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ms-office.vbaProject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charts/chart1.xml" ContentType="application/vnd.openxmlformats-officedocument.drawingml.chart+xml"/>
  <Override PartName="/xl/drawings/charts/chart2.xml" ContentType="application/vnd.openxmlformats-officedocument.drawingml.char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worksheets/sheet4.xml" ContentType="application/vnd.openxmlformats-officedocument.spreadsheetml.worksheet+xml"/>
  <Override PartName="/xl/tables/table2.xml" ContentType="application/vnd.openxmlformats-officedocument.spreadsheetml.table+xml"/>
  <Override PartName="/xl/worksheets/sheet5.xml" ContentType="application/vnd.openxmlformats-officedocument.spreadsheetml.worksheet+xml"/>
  <Override PartName="/xl/tables/table3.xml" ContentType="application/vnd.openxmlformats-officedocument.spreadsheetml.table+xml"/>
  <Override PartName="/xl/worksheets/sheet6.xml" ContentType="application/vnd.openxmlformats-officedocument.spreadsheetml.worksheet+xml"/>
  <Override PartName="/xl/tables/table4.xml" ContentType="application/vnd.openxmlformats-officedocument.spreadsheetml.table+xml"/>
  <Override PartName="/xl/worksheets/sheet7.xml" ContentType="application/vnd.openxmlformats-officedocument.spreadsheetml.worksheet+xml"/>
  <Override PartName="/xl/tables/table5.xml" ContentType="application/vnd.openxmlformats-officedocument.spreadsheetml.table+xml"/>
  <Override PartName="/xl/worksheets/sheet8.xml" ContentType="application/vnd.openxmlformats-officedocument.spreadsheetml.worksheet+xml"/>
  <Override PartName="/xl/tables/table6.xml" ContentType="application/vnd.openxmlformats-officedocument.spreadsheetml.table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b34e4b9859934ed7" Target="xl/workbook.xml" Type="http://schemas.openxmlformats.org/officeDocument/2006/relationships/officeDocument"></Relationship></Relationships>
</file>

<file path=xl/workbook.xml><?xml version="1.0" encoding="utf-8"?>
<workbook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bookViews>
    <workbookView/>
  </bookViews>
  <sheets>
    <sheet name="使い方" sheetId="1" r:id="R7e41e81ca167445b"/>
    <sheet name="業務ダッシュボード" sheetId="2" r:id="Re571b78a740e4b13"/>
    <sheet name="入出庫記録" sheetId="3" r:id="R491576507c1d40ee"/>
    <sheet name="在庫サマリー" sheetId="4" r:id="Rdbdaa1fb654c4761"/>
    <sheet name="商品マスタ" sheetId="5" r:id="Ra97a94f1c55e4dfc"/>
    <sheet name="倉庫ロケーション" sheetId="6" r:id="Rbc655e4027284c15"/>
    <sheet name="取引先・部門" sheetId="7" r:id="R90432b1c7bb8449b"/>
    <sheet name="設定" sheetId="8" r:id="Rb42448eb38cb4910"/>
  </sheets>
</workbook>
</file>

<file path=xl/sharedStrings.xml><?xml version="1.0" encoding="utf-8"?>
<sst xmlns="http://schemas.openxmlformats.org/spreadsheetml/2006/main" count="310" uniqueCount="310">
  <si>
    <t>倉庫入出庫記録テンプレート - 使い方</t>
  </si>
  <si>
    <t>複数会社と多様な業務シーンに対応します。先にマスタを整え、入出庫記録を入力し、最後に在庫サマリーと業務ダッシュボードを確認します。</t>
  </si>
  <si>
    <t>モジュール</t>
  </si>
  <si>
    <t>役割</t>
  </si>
  <si>
    <t>運用ポイント</t>
  </si>
  <si>
    <t>商品マスタ</t>
  </si>
  <si>
    <t>SKU、資材、慎重部品、製品の標準単位、セキュリティ在庫、標準単価などを管理します。</t>
  </si>
  <si>
    <t>入力シートでは商品名、仕様、単位が自動表示されます。会社ごとのコード体系に置き換えられます。</t>
  </si>
  <si>
    <t>倉庫ロケーション</t>
  </si>
  <si>
    <t>複数倉庫、倉庫エリア、ロケーションを管理します。</t>
  </si>
  <si>
    <t>振替、返品、検査倉庫、外注先との入出庫は、移動元倉庫と移動先倉庫の組み合わせで表現できます。</t>
  </si>
  <si>
    <t>取引先・部門</t>
  </si>
  <si>
    <t>仕入先、得意先、社内部門、外注加工先を管理します。</t>
  </si>
  <si>
    <t>業務の発生元、責任部門、照合先を追跡するために使います。</t>
  </si>
  <si>
    <t>入出庫記録</t>
  </si>
  <si>
    <t>メイン入力表です。1行が1個の在庫移動を表します。</t>
  </si>
  <si>
    <t>伝票ステータスが記帳済みの行だけ在庫に反映します。下書きや取消済みの記録は集計に含めません。</t>
  </si>
  <si>
    <t>在庫サマリー</t>
  </si>
  <si>
    <t>商品、倉庫、ロケーション別に在庫、金額、直近取引日、補充状態を自動計算します。</t>
  </si>
  <si>
    <t>セキュリティ在庫未満、過剰在庫、マイナス在庫を自動で表示します。</t>
  </si>
  <si>
    <t>業務ダッシュボード</t>
  </si>
  <si>
    <t>集計月ごとに入庫、出庫、調整、在庫金額、業務タイプ別内訳を集計します。</t>
  </si>
  <si>
    <t>集計月はB4で変更できます。グラフは数式範囲をもとに自動更新されます。</t>
  </si>
  <si>
    <t>対象業務シーン</t>
  </si>
  <si>
    <t>テンプレートでの扱い方</t>
  </si>
  <si>
    <t>備考</t>
  </si>
  <si>
    <t>購買入庫</t>
  </si>
  <si>
    <t>業務タイプを購買入庫、入出庫区分を入庫にし、移動先倉庫、移動先ロケーション、仕入先を入力します。</t>
  </si>
  <si>
    <t>購買品の受入と入荷登録に適しています。</t>
  </si>
  <si>
    <t>販売出庫</t>
  </si>
  <si>
    <t>業務タイプを販売出庫、入出庫区分を出庫にし、移動元倉庫、移動元ロケーション、得意先を入力します。</t>
  </si>
  <si>
    <t>製品出荷とチャネル向け出庫に適しています。</t>
  </si>
  <si>
    <t>製造払出・戻入</t>
  </si>
  <si>
    <t>製造払出は出庫、製造戻入は入庫で入力します。取引先欄には製造部門または製造指図番号を入力できます。</t>
  </si>
  <si>
    <t>製造業の原材料と副資材の消費、戻入に対応します。</t>
  </si>
  <si>
    <t>倉庫間振替</t>
  </si>
  <si>
    <t>同じ振替伝票は、振替出庫と振替入庫の2行で入力することを推奨します。</t>
  </si>
  <si>
    <t>移動元倉庫で減算し、移動先倉庫で加算しやすくなります。</t>
  </si>
  <si>
    <t>棚卸差異</t>
  </si>
  <si>
    <t>業務タイプを棚卸差異、入出庫区分を在庫調整にし、数量は正負どちらでも入力できます。</t>
  </si>
  <si>
    <t>正数は棚卸増、負数は棚卸減を表します。</t>
  </si>
  <si>
    <t>返品、廃棄、貸出、外注</t>
  </si>
  <si>
    <t>該当する業務タイプ、理由と用途、取引先を使って責任の所在を追跡します。</t>
  </si>
  <si>
    <t>小売、製造、工事、サービス、オフィス資産などに対応できます。</t>
  </si>
  <si>
    <t>出典と参考</t>
  </si>
  <si>
    <t>リンク</t>
  </si>
  <si>
    <t>説明</t>
  </si>
  <si>
    <t>ユーザー提供ページ</t>
  </si>
  <si>
    <t>http://localhost:2020/excel-templates/warehouse-management/stock-movement-log/</t>
  </si>
  <si>
    <t>現在の実行環境ではローカルプレビューページに直接アクセスできないため、このテンプレートは「倉庫入出庫記録」のページテーマと汎用的な有効項目に基づいて設計しています。</t>
  </si>
  <si>
    <t>Microsoft Excel 在庫テンプレート</t>
  </si>
  <si>
    <t>在庫テンプレートの一般的な使い方とカスタマイズの考え方を参考にしています。</t>
  </si>
  <si>
    <t>Microsoft 商品在庫追跡ガイド</t>
  </si>
  <si>
    <t>基本的な在庫追跡と列項目の構成を参考にしています。</t>
  </si>
  <si>
    <t>Smartsheet 在庫テンプレート</t>
  </si>
  <si>
    <t>複数シート構成、取引記録、在庫階層、ダッシュボード設計を参考にしています。</t>
  </si>
  <si>
    <t>項目定義</t>
  </si>
  <si>
    <t>ルール</t>
  </si>
  <si>
    <t>例</t>
  </si>
  <si>
    <t>有効数量</t>
  </si>
  <si>
    <t>伝票ステータスが記帳済みの行だけ在庫計算に入ります。入庫と振替入庫は正数、出庫と振替出庫は負数、在庫調整は入力数量の正負を使います。</t>
  </si>
  <si>
    <t>棚卸減 -50 は在庫を50減らします。</t>
  </si>
  <si>
    <t>在庫に反映する倉庫またはロケーション</t>
  </si>
  <si>
    <t>入庫、振替入庫、在庫調整は移動先倉庫と移動先ロケーションを使います。出庫と振替出庫は移動元倉庫と移動元ロケーションを使います。</t>
  </si>
  <si>
    <t>振替は2行で入力すると、両側の在庫を同時に表現できます。</t>
  </si>
  <si>
    <t>入力チェック</t>
  </si>
  <si>
    <t>必須項目不足、倉庫不足、数量ルール違反を自動表示します。</t>
  </si>
  <si>
    <t>「確認済み」と表示されれば承認フローに進めます。</t>
  </si>
  <si>
    <t>主要指標、在庫状態、業務タイプ別内訳を自動集計します。集計月はB4で変更でき、初期値は当月です。</t>
  </si>
  <si>
    <t>集計月</t>
  </si>
  <si>
    <t>指標</t>
  </si>
  <si>
    <t>値</t>
  </si>
  <si>
    <t>当月入庫数量</t>
  </si>
  <si>
    <t>入庫と振替入庫、記帳済み</t>
  </si>
  <si>
    <t>現在庫金額</t>
  </si>
  <si>
    <t>在庫サマリー金額合計</t>
  </si>
  <si>
    <t>当月出庫数量</t>
  </si>
  <si>
    <t>出庫と振替出庫、記帳済み</t>
  </si>
  <si>
    <t>低在庫行数</t>
  </si>
  <si>
    <t>セキュリティ在庫未満</t>
  </si>
  <si>
    <t>当月調整数量</t>
  </si>
  <si>
    <t>在庫調整、記帳済み</t>
  </si>
  <si>
    <t>承認待ち伝票数</t>
  </si>
  <si>
    <t>承認ステータスが承認待ち</t>
  </si>
  <si>
    <t>当月取引個数</t>
  </si>
  <si>
    <t>記帳済み記録数</t>
  </si>
  <si>
    <t>マイナス在庫行数</t>
  </si>
  <si>
    <t>在庫状態がマイナス在庫</t>
  </si>
  <si>
    <t>直近6か月の推移</t>
  </si>
  <si>
    <t>業務タイプ別内訳</t>
  </si>
  <si>
    <t>月</t>
  </si>
  <si>
    <t>入庫数量</t>
  </si>
  <si>
    <t>出庫数量</t>
  </si>
  <si>
    <t>調整数量</t>
  </si>
  <si>
    <t>業務タイプ</t>
  </si>
  <si>
    <t>金額</t>
  </si>
  <si>
    <t>製造払出</t>
  </si>
  <si>
    <t>製造戻入</t>
  </si>
  <si>
    <t>返品入庫</t>
  </si>
  <si>
    <t>返品出庫</t>
  </si>
  <si>
    <t>廃棄出庫</t>
  </si>
  <si>
    <t>貸出出庫</t>
  </si>
  <si>
    <t>外注支給</t>
  </si>
  <si>
    <t>外注入庫</t>
  </si>
  <si>
    <t>購買入庫、販売出庫、製造払出と戻入、倉庫間振替、棚卸調整、返品、廃棄、貸出、外注など、在庫移動を1個ずつ入力します。*付きの項目は入力を推奨します。</t>
  </si>
  <si>
    <t>番号</t>
  </si>
  <si>
    <t>日付*</t>
  </si>
  <si>
    <t>伝票番号*</t>
  </si>
  <si>
    <t>業務タイプ*</t>
  </si>
  <si>
    <t>入出庫区分*</t>
  </si>
  <si>
    <t>商品コード*</t>
  </si>
  <si>
    <t>商品名</t>
  </si>
  <si>
    <t>仕様・型式</t>
  </si>
  <si>
    <t>ロット番号</t>
  </si>
  <si>
    <t>シリアル番号または箱番号</t>
  </si>
  <si>
    <t>在庫属性</t>
  </si>
  <si>
    <t>単位</t>
  </si>
  <si>
    <t>単価</t>
  </si>
  <si>
    <t>税込金額</t>
  </si>
  <si>
    <t>移動元倉庫</t>
  </si>
  <si>
    <t>移動元ロケーション</t>
  </si>
  <si>
    <t>移動先倉庫</t>
  </si>
  <si>
    <t>移動先ロケーション</t>
  </si>
  <si>
    <t>取引先または部門</t>
  </si>
  <si>
    <t>案個または注文番号</t>
  </si>
  <si>
    <t>理由または用途</t>
  </si>
  <si>
    <t>担当者</t>
  </si>
  <si>
    <t>承認ステータス</t>
  </si>
  <si>
    <t>伝票ステータス</t>
  </si>
  <si>
    <t>在庫反映倉庫</t>
  </si>
  <si>
    <t>在庫反映ロケーション</t>
  </si>
  <si>
    <t>入庫</t>
  </si>
  <si>
    <t>通常</t>
  </si>
  <si>
    <t>購買受入</t>
  </si>
  <si>
    <t>佐藤太郎</t>
  </si>
  <si>
    <t>承認済み</t>
  </si>
  <si>
    <t>記帳済み</t>
  </si>
  <si>
    <t>初回入庫</t>
  </si>
  <si>
    <t>出庫</t>
  </si>
  <si>
    <t>販売出荷</t>
  </si>
  <si>
    <t>鈴木一郎</t>
  </si>
  <si>
    <t>製造消費</t>
  </si>
  <si>
    <t>高橋健</t>
  </si>
  <si>
    <t>製造余材戻入</t>
  </si>
  <si>
    <t>振替出庫</t>
  </si>
  <si>
    <t>物流費部</t>
  </si>
  <si>
    <t>倉庫移動</t>
  </si>
  <si>
    <t>田中誠</t>
  </si>
  <si>
    <t>振替入庫</t>
  </si>
  <si>
    <t>検査待ち</t>
  </si>
  <si>
    <t>在庫調整</t>
  </si>
  <si>
    <t>伊藤直子</t>
  </si>
  <si>
    <t>棚卸減調整</t>
  </si>
  <si>
    <t>返品処理待ち</t>
  </si>
  <si>
    <t>顧客返品</t>
  </si>
  <si>
    <t>仕入先返品</t>
  </si>
  <si>
    <t>損耗または廃棄</t>
  </si>
  <si>
    <t>山本亮</t>
  </si>
  <si>
    <t>サンプルまたは貸出</t>
  </si>
  <si>
    <t>中村葵</t>
  </si>
  <si>
    <t>貸出返却</t>
  </si>
  <si>
    <t>外注加工</t>
  </si>
  <si>
    <t>承認待ち</t>
  </si>
  <si>
    <t>下書き</t>
  </si>
  <si>
    <t>未記帳のため在庫に反映しません</t>
  </si>
  <si>
    <t>商品、倉庫、ロケーション別に現在庫、引当可能在庫、在庫金額、補充状態を集計します。記帳済みの記録だけを対象にします。</t>
  </si>
  <si>
    <t>カテゴリ</t>
  </si>
  <si>
    <t>セキュリティ在庫</t>
  </si>
  <si>
    <t>最大在庫</t>
  </si>
  <si>
    <t>倉庫コード*</t>
  </si>
  <si>
    <t>ロケーションコード*</t>
  </si>
  <si>
    <t>現在庫</t>
  </si>
  <si>
    <t>引当可能在庫</t>
  </si>
  <si>
    <t>在庫金額</t>
  </si>
  <si>
    <t>直近取引日</t>
  </si>
  <si>
    <t>在庫状態</t>
  </si>
  <si>
    <t>補充または対応提案</t>
  </si>
  <si>
    <t>先に商品、資材、慎重部品、資産の基本情報を管理します。入出庫記録では名称、仕様、単位、標準単価を自動参照します。</t>
  </si>
  <si>
    <t>商品名*</t>
  </si>
  <si>
    <t>ブランドまたは案個</t>
  </si>
  <si>
    <t>バーコード</t>
  </si>
  <si>
    <t>標準単位</t>
  </si>
  <si>
    <t>標準単価</t>
  </si>
  <si>
    <t>標準倉庫</t>
  </si>
  <si>
    <t>標準ロケーション</t>
  </si>
  <si>
    <t>ロット管理</t>
  </si>
  <si>
    <t>シリアル管理</t>
  </si>
  <si>
    <t>品質保持日数</t>
  </si>
  <si>
    <t>主仕入先</t>
  </si>
  <si>
    <t>ねじ</t>
  </si>
  <si>
    <t>副資材</t>
  </si>
  <si>
    <t>汎用</t>
  </si>
  <si>
    <t>はい</t>
  </si>
  <si>
    <t>いいえ</t>
  </si>
  <si>
    <t>梱包箱</t>
  </si>
  <si>
    <t>梱包資材</t>
  </si>
  <si>
    <t>個</t>
  </si>
  <si>
    <t>原材料A</t>
  </si>
  <si>
    <t>25kg袋</t>
  </si>
  <si>
    <t>案個X</t>
  </si>
  <si>
    <t>製品B</t>
  </si>
  <si>
    <t>標準版</t>
  </si>
  <si>
    <t>製品</t>
  </si>
  <si>
    <t>案個Y</t>
  </si>
  <si>
    <t>慎重部品C</t>
  </si>
  <si>
    <t>慎重部品</t>
  </si>
  <si>
    <t>設備慎重</t>
  </si>
  <si>
    <t>倉庫とロケーション</t>
  </si>
  <si>
    <t>倉庫、倉庫エリア、ロケーションを管理します。複数倉庫、複数ロケーション、振替、返品倉庫などのシーンに対応します。</t>
  </si>
  <si>
    <t>倉庫名*</t>
  </si>
  <si>
    <t>ロケーション名</t>
  </si>
  <si>
    <t>都市または拠点</t>
  </si>
  <si>
    <t>温度管理要個</t>
  </si>
  <si>
    <t>有効</t>
  </si>
  <si>
    <t>責任者</t>
  </si>
  <si>
    <t>中央倉庫</t>
  </si>
  <si>
    <t>原材料エリア-01</t>
  </si>
  <si>
    <t>関東物流費パーク</t>
  </si>
  <si>
    <t>倉庫担当 王</t>
  </si>
  <si>
    <t>副資材・梱包資材エリア-01</t>
  </si>
  <si>
    <t>製品倉庫</t>
  </si>
  <si>
    <t>製品エリア-01</t>
  </si>
  <si>
    <t>倉庫担当 趙</t>
  </si>
  <si>
    <t>慎重部品エリア-01</t>
  </si>
  <si>
    <t>検査倉庫</t>
  </si>
  <si>
    <t>入荷検査エリア</t>
  </si>
  <si>
    <t>倉庫担当 銭</t>
  </si>
  <si>
    <t>返品倉庫</t>
  </si>
  <si>
    <t>返品処理待ちエリア</t>
  </si>
  <si>
    <t>倉庫担当 孫</t>
  </si>
  <si>
    <t>取引先と部門</t>
  </si>
  <si>
    <t>仕入先、得意先、社内部門、外注加工先などを管理し、業務の発生元と責任の所在を記録します。</t>
  </si>
  <si>
    <t>取引先コード*</t>
  </si>
  <si>
    <t>取引先名*</t>
  </si>
  <si>
    <t>タイプ</t>
  </si>
  <si>
    <t>連絡先担当者</t>
  </si>
  <si>
    <t>電話</t>
  </si>
  <si>
    <t>住所または案個</t>
  </si>
  <si>
    <t>決済個個付き付き</t>
  </si>
  <si>
    <t>関東資材サプライヤー</t>
  </si>
  <si>
    <t>仕入先</t>
  </si>
  <si>
    <t>佐々木部長</t>
  </si>
  <si>
    <t>関東</t>
  </si>
  <si>
    <t>月末締め</t>
  </si>
  <si>
    <t>関西梱包サプライヤー</t>
  </si>
  <si>
    <t>森部長</t>
  </si>
  <si>
    <t>関西</t>
  </si>
  <si>
    <t>納品時精算</t>
  </si>
  <si>
    <t>東北慎重部品サプライヤー</t>
  </si>
  <si>
    <t>小林部長</t>
  </si>
  <si>
    <t>東北</t>
  </si>
  <si>
    <t>チャネル顧客第一部</t>
  </si>
  <si>
    <t>得意先</t>
  </si>
  <si>
    <t>山田部長</t>
  </si>
  <si>
    <t>チャネル顧客</t>
  </si>
  <si>
    <t>直販顧客第一部</t>
  </si>
  <si>
    <t>井上部長</t>
  </si>
  <si>
    <t>直販顧客</t>
  </si>
  <si>
    <t>前払い</t>
  </si>
  <si>
    <t>製造一課</t>
  </si>
  <si>
    <t>社内部門</t>
  </si>
  <si>
    <t>製造責任者</t>
  </si>
  <si>
    <t>製造指図センター</t>
  </si>
  <si>
    <t>社内振替</t>
  </si>
  <si>
    <t>品質部</t>
  </si>
  <si>
    <t>品質検査責任者</t>
  </si>
  <si>
    <t>品質検査</t>
  </si>
  <si>
    <t>研究開発プロジェクトチーム</t>
  </si>
  <si>
    <t>研究開発責任者</t>
  </si>
  <si>
    <t>試作品製作</t>
  </si>
  <si>
    <t>精工外注加工先</t>
  </si>
  <si>
    <t>外注</t>
  </si>
  <si>
    <t>加藤工場長</t>
  </si>
  <si>
    <t>外注精算</t>
  </si>
  <si>
    <t>設定</t>
  </si>
  <si>
    <t>選択肢を管理します。各事業会社は自社プロセスに合わせて選択肢を追加、削除し、入力シートで対応するリストを使えます。</t>
  </si>
  <si>
    <t>入出庫区分</t>
  </si>
  <si>
    <t>計量単位</t>
  </si>
  <si>
    <t>原価方式</t>
  </si>
  <si>
    <t>ABC分類</t>
  </si>
  <si>
    <t>責任部門</t>
  </si>
  <si>
    <t>はい・いいえ</t>
  </si>
  <si>
    <t>取引理由または用途</t>
  </si>
  <si>
    <t>承認不要</t>
  </si>
  <si>
    <t>移動平均</t>
  </si>
  <si>
    <t>購買部</t>
  </si>
  <si>
    <t>確認済み</t>
  </si>
  <si>
    <t>先入先出</t>
  </si>
  <si>
    <t>営業部</t>
  </si>
  <si>
    <t>冷暗所</t>
  </si>
  <si>
    <t>凍結</t>
  </si>
  <si>
    <t>ロット別原価</t>
  </si>
  <si>
    <t>製造部</t>
  </si>
  <si>
    <t>冷蔵</t>
  </si>
  <si>
    <t>取消済み</t>
  </si>
  <si>
    <t>却下済み</t>
  </si>
  <si>
    <t>標準原価</t>
  </si>
  <si>
    <t>冷凍</t>
  </si>
  <si>
    <t>委託在庫</t>
  </si>
  <si>
    <t>実際原価</t>
  </si>
  <si>
    <t>輸送中</t>
  </si>
  <si>
    <t>経理部</t>
  </si>
  <si>
    <t>危険物専用倉庫</t>
  </si>
  <si>
    <t>研究開発部</t>
  </si>
  <si>
    <t>メートル</t>
  </si>
  <si>
    <t>総務部</t>
  </si>
  <si>
    <t>巻</t>
  </si>
  <si>
    <t>パレット</t>
  </si>
  <si>
    <t>その他</t>
  </si>
  <si>
    <t>このリンクはローカルアドレスのため、現在の環境ではページ内容を読み取れません。本テンプレートは金融経費精算記録の共通項目、内部統制要個、複数の業務シーンに基づいて構成しています。</t>
  </si>
</sst>
</file>

<file path=xl/styles.xml><?xml version="1.0" encoding="utf-8"?>
<styleSheet xmlns="http://schemas.openxmlformats.org/spreadsheetml/2006/main">
  <numFmts count="5">
    <numFmt numFmtId="200" formatCode="#,##0.00"/>
    <numFmt numFmtId="201" formatCode="0%"/>
    <numFmt numFmtId="202" formatCode="yyyy-mm-dd"/>
    <numFmt numFmtId="203" formatCode="yyyy-mm"/>
    <numFmt numFmtId="204" formatCode="@"/>
  </numFmts>
  <fonts count="7">
    <font>
      <sz val="11"/>
      <name val="Carlito"/>
    </font>
    <font>
      <b val="1"/>
      <sz val="18"/>
      <color rgb="FF065F46"/>
      <name val="Microsoft YaHei"/>
    </font>
    <font>
      <sz val="10"/>
      <color rgb="FF6B7280"/>
      <name val="Microsoft YaHei"/>
    </font>
    <font>
      <b val="1"/>
      <sz val="10"/>
      <color rgb="FF065F46"/>
      <name val="Microsoft YaHei"/>
    </font>
    <font>
      <sz val="10"/>
      <color rgb="FF111827"/>
      <name val="Microsoft YaHei"/>
    </font>
    <font>
      <b val="1"/>
      <sz val="11"/>
      <color rgb="FF075985"/>
      <name val="Microsoft YaHei"/>
    </font>
    <font>
      <b val="1"/>
      <sz val="14"/>
      <color rgb="FF065F46"/>
      <name val="Microsoft YaHei"/>
    </font>
  </fonts>
  <fills count="6">
    <fill>
      <patternFill patternType="none"/>
    </fill>
    <fill>
      <patternFill patternType="gray125"/>
    </fill>
    <fill>
      <patternFill patternType="solid">
        <fgColor rgb="FFF0FDFA"/>
      </patternFill>
    </fill>
    <fill>
      <patternFill patternType="solid">
        <fgColor rgb="FFD1FAE5"/>
      </patternFill>
    </fill>
    <fill>
      <patternFill patternType="solid">
        <fgColor rgb="FFE0F2FE"/>
      </patternFill>
    </fill>
    <fill>
      <patternFill patternType="solid">
        <fgColor rgb="FFECFEFF"/>
      </patternFill>
    </fill>
  </fills>
  <borders count="4">
    <border/>
    <border/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NumberFormat="true" applyFont="true" applyFill="true" applyBorder="true"/>
    <xf numFmtId="0" fontId="0" fillId="2" borderId="0" xfId="0" applyNumberFormat="true" applyFont="true" applyFill="true" applyBorder="true"/>
    <xf numFmtId="0" fontId="1" fillId="2" borderId="0" xfId="0" applyNumberFormat="true" applyFont="true" applyFill="true" applyBorder="true"/>
    <xf numFmtId="0" fontId="1" fillId="2" borderId="0" xfId="0" applyNumberFormat="true" applyFont="true" applyFill="true" applyBorder="true" applyAlignment="true">
      <alignment vertical="center"/>
    </xf>
    <xf numFmtId="0" fontId="0" fillId="2" borderId="1" xfId="0" applyNumberFormat="true" applyFont="true" applyFill="true" applyBorder="true"/>
    <xf numFmtId="0" fontId="1" fillId="2" borderId="1" xfId="0" applyNumberFormat="true" applyFont="true" applyFill="true" applyBorder="true"/>
    <xf numFmtId="0" fontId="1" fillId="2" borderId="1" xfId="0" applyNumberFormat="true" applyFont="true" applyFill="true" applyBorder="true" applyAlignment="true">
      <alignment vertical="center"/>
    </xf>
    <xf numFmtId="0" fontId="2" fillId="2" borderId="0" xfId="0" applyNumberFormat="true" applyFont="true" applyFill="true" applyBorder="true"/>
    <xf numFmtId="0" fontId="2" fillId="2" borderId="0" xfId="0" applyNumberFormat="true" applyFont="true" applyFill="true" applyBorder="true" applyAlignment="true">
      <alignment wrapText="true"/>
    </xf>
    <xf numFmtId="0" fontId="2" fillId="2" borderId="0" xfId="0" applyNumberFormat="true" applyFont="true" applyFill="true" applyBorder="true" applyAlignment="true">
      <alignment vertical="center" wrapText="true"/>
    </xf>
    <xf numFmtId="0" fontId="2" fillId="2" borderId="1" xfId="0" applyNumberFormat="true" applyFont="true" applyFill="true" applyBorder="true"/>
    <xf numFmtId="0" fontId="2" fillId="2" borderId="1" xfId="0" applyNumberFormat="true" applyFont="true" applyFill="true" applyBorder="true" applyAlignment="true">
      <alignment wrapText="true"/>
    </xf>
    <xf numFmtId="0" fontId="2" fillId="2" borderId="1" xfId="0" applyNumberFormat="true" applyFont="true" applyFill="true" applyBorder="true" applyAlignment="true">
      <alignment vertical="center" wrapText="true"/>
    </xf>
    <xf numFmtId="0" fontId="0" fillId="3" borderId="0" xfId="0" applyNumberFormat="true" applyFont="true" applyFill="true" applyBorder="true"/>
    <xf numFmtId="0" fontId="3" fillId="3" borderId="0" xfId="0" applyNumberFormat="true" applyFont="true" applyFill="true" applyBorder="true"/>
    <xf numFmtId="0" fontId="3" fillId="3" borderId="2" xfId="0" applyNumberFormat="true" applyFont="true" applyFill="true" applyBorder="true"/>
    <xf numFmtId="0" fontId="3" fillId="3" borderId="2" xfId="0" applyNumberFormat="true" applyFont="true" applyFill="true" applyBorder="true" applyAlignment="true">
      <alignment wrapText="true"/>
    </xf>
    <xf numFmtId="0" fontId="3" fillId="3" borderId="2" xfId="0" applyNumberFormat="true" applyFont="true" applyFill="true" applyBorder="true" applyAlignment="true">
      <alignment horizontal="center" wrapText="true"/>
    </xf>
    <xf numFmtId="0" fontId="3" fillId="3" borderId="2" xfId="0" applyNumberFormat="true" applyFont="true" applyFill="true" applyBorder="true" applyAlignment="true">
      <alignment horizontal="center" vertical="center" wrapText="true"/>
    </xf>
    <xf numFmtId="0" fontId="0" fillId="3" borderId="1" xfId="0" applyNumberFormat="true" applyFont="true" applyFill="true" applyBorder="true"/>
    <xf numFmtId="0" fontId="3" fillId="3" borderId="1" xfId="0" applyNumberFormat="true" applyFont="true" applyFill="true" applyBorder="true"/>
    <xf numFmtId="0" fontId="3" fillId="3" borderId="3" xfId="0" applyNumberFormat="true" applyFont="true" applyFill="true" applyBorder="true"/>
    <xf numFmtId="0" fontId="3" fillId="3" borderId="3" xfId="0" applyNumberFormat="true" applyFont="true" applyFill="true" applyBorder="true" applyAlignment="true">
      <alignment wrapText="true"/>
    </xf>
    <xf numFmtId="0" fontId="3" fillId="3" borderId="3" xfId="0" applyNumberFormat="true" applyFont="true" applyFill="true" applyBorder="true" applyAlignment="true">
      <alignment horizontal="center" wrapText="true"/>
    </xf>
    <xf numFmtId="0" fontId="3" fillId="3" borderId="3" xfId="0" applyNumberFormat="true" applyFont="true" applyFill="true" applyBorder="true" applyAlignment="true">
      <alignment horizontal="center" vertical="center" wrapText="true"/>
    </xf>
    <xf numFmtId="0" fontId="4" fillId="0" borderId="0" xfId="0" applyNumberFormat="true" applyFont="true" applyFill="true" applyBorder="true"/>
    <xf numFmtId="0" fontId="4" fillId="0" borderId="2" xfId="0" applyNumberFormat="true" applyFont="true" applyFill="true" applyBorder="true"/>
    <xf numFmtId="0" fontId="4" fillId="0" borderId="2" xfId="0" applyNumberFormat="true" applyFont="true" applyFill="true" applyBorder="true" applyAlignment="true">
      <alignment/>
    </xf>
    <xf numFmtId="0" fontId="4" fillId="0" borderId="2" xfId="0" applyNumberFormat="true" applyFont="true" applyFill="true" applyBorder="true" applyAlignment="true">
      <alignment vertical="center"/>
    </xf>
    <xf numFmtId="0" fontId="4" fillId="0" borderId="1" xfId="0" applyNumberFormat="true" applyFont="true" applyFill="true" applyBorder="true"/>
    <xf numFmtId="0" fontId="4" fillId="0" borderId="3" xfId="0" applyNumberFormat="true" applyFont="true" applyFill="true" applyBorder="true"/>
    <xf numFmtId="0" fontId="4" fillId="0" borderId="3" xfId="0" applyNumberFormat="true" applyFont="true" applyFill="true" applyBorder="true" applyAlignment="true">
      <alignment/>
    </xf>
    <xf numFmtId="0" fontId="4" fillId="0" borderId="3" xfId="0" applyNumberFormat="true" applyFont="true" applyFill="true" applyBorder="true" applyAlignment="true">
      <alignment vertical="center"/>
    </xf>
    <xf numFmtId="200" fontId="4" fillId="0" borderId="2" xfId="0" applyNumberFormat="true" applyFont="true" applyFill="true" applyBorder="true" applyAlignment="true">
      <alignment vertical="center"/>
    </xf>
    <xf numFmtId="200" fontId="4" fillId="0" borderId="3" xfId="0" applyNumberFormat="true" applyFont="true" applyFill="true" applyBorder="true" applyAlignment="true">
      <alignment vertical="center"/>
    </xf>
    <xf numFmtId="201" fontId="4" fillId="0" borderId="2" xfId="0" applyNumberFormat="true" applyFont="true" applyFill="true" applyBorder="true" applyAlignment="true">
      <alignment vertical="center"/>
    </xf>
    <xf numFmtId="201" fontId="4" fillId="0" borderId="3" xfId="0" applyNumberFormat="true" applyFont="true" applyFill="true" applyBorder="true" applyAlignment="true">
      <alignment vertical="center"/>
    </xf>
    <xf numFmtId="202" fontId="4" fillId="0" borderId="2" xfId="0" applyNumberFormat="true" applyFont="true" applyFill="true" applyBorder="true" applyAlignment="true">
      <alignment vertical="center"/>
    </xf>
    <xf numFmtId="202" fontId="4" fillId="0" borderId="3" xfId="0" applyNumberFormat="true" applyFont="true" applyFill="true" applyBorder="true" applyAlignment="true">
      <alignment vertical="center"/>
    </xf>
    <xf numFmtId="0" fontId="3" fillId="2" borderId="0" xfId="0" applyNumberFormat="true" applyFont="true" applyFill="true" applyBorder="true"/>
    <xf numFmtId="0" fontId="3" fillId="2" borderId="0" xfId="0" applyNumberFormat="true" applyFont="true" applyFill="true" applyBorder="true" applyAlignment="true">
      <alignment vertical="center"/>
    </xf>
    <xf numFmtId="0" fontId="3" fillId="2" borderId="1" xfId="0" applyNumberFormat="true" applyFont="true" applyFill="true" applyBorder="true"/>
    <xf numFmtId="0" fontId="3" fillId="2" borderId="1" xfId="0" applyNumberFormat="true" applyFont="true" applyFill="true" applyBorder="true" applyAlignment="true">
      <alignment vertical="center"/>
    </xf>
    <xf numFmtId="0" fontId="0" fillId="4" borderId="0" xfId="0" applyNumberFormat="true" applyFont="true" applyFill="true" applyBorder="true"/>
    <xf numFmtId="0" fontId="5" fillId="4" borderId="0" xfId="0" applyNumberFormat="true" applyFont="true" applyFill="true" applyBorder="true"/>
    <xf numFmtId="0" fontId="5" fillId="4" borderId="0" xfId="0" applyNumberFormat="true" applyFont="true" applyFill="true" applyBorder="true" applyAlignment="true">
      <alignment vertical="center"/>
    </xf>
    <xf numFmtId="0" fontId="0" fillId="4" borderId="1" xfId="0" applyNumberFormat="true" applyFont="true" applyFill="true" applyBorder="true"/>
    <xf numFmtId="0" fontId="5" fillId="4" borderId="1" xfId="0" applyNumberFormat="true" applyFont="true" applyFill="true" applyBorder="true"/>
    <xf numFmtId="0" fontId="5" fillId="4" borderId="1" xfId="0" applyNumberFormat="true" applyFont="true" applyFill="true" applyBorder="true" applyAlignment="true">
      <alignment vertical="center"/>
    </xf>
    <xf numFmtId="203" fontId="3" fillId="2" borderId="0" xfId="0" applyNumberFormat="true" applyFont="true" applyFill="true" applyBorder="true" applyAlignment="true">
      <alignment vertical="center"/>
    </xf>
    <xf numFmtId="203" fontId="3" fillId="2" borderId="1" xfId="0" applyNumberFormat="true" applyFont="true" applyFill="true" applyBorder="true" applyAlignment="true">
      <alignment vertical="center"/>
    </xf>
    <xf numFmtId="203" fontId="4" fillId="0" borderId="2" xfId="0" applyNumberFormat="true" applyFont="true" applyFill="true" applyBorder="true" applyAlignment="true">
      <alignment vertical="center"/>
    </xf>
    <xf numFmtId="203" fontId="4" fillId="0" borderId="3" xfId="0" applyNumberFormat="true" applyFont="true" applyFill="true" applyBorder="true" applyAlignment="true">
      <alignment vertical="center"/>
    </xf>
    <xf numFmtId="200" fontId="4" fillId="5" borderId="2" xfId="0" applyNumberFormat="true" applyFont="true" applyFill="true" applyBorder="true" applyAlignment="true">
      <alignment vertical="center"/>
    </xf>
    <xf numFmtId="200" fontId="6" fillId="5" borderId="2" xfId="0" applyNumberFormat="true" applyFont="true" applyFill="true" applyBorder="true" applyAlignment="true">
      <alignment vertical="center"/>
    </xf>
    <xf numFmtId="200" fontId="6" fillId="5" borderId="2" xfId="0" applyNumberFormat="true" applyFont="true" applyFill="true" applyBorder="true" applyAlignment="true">
      <alignment horizontal="right" vertical="center"/>
    </xf>
    <xf numFmtId="200" fontId="4" fillId="5" borderId="3" xfId="0" applyNumberFormat="true" applyFont="true" applyFill="true" applyBorder="true" applyAlignment="true">
      <alignment vertical="center"/>
    </xf>
    <xf numFmtId="200" fontId="6" fillId="5" borderId="3" xfId="0" applyNumberFormat="true" applyFont="true" applyFill="true" applyBorder="true" applyAlignment="true">
      <alignment vertical="center"/>
    </xf>
    <xf numFmtId="200" fontId="6" fillId="5" borderId="3" xfId="0" applyNumberFormat="true" applyFont="true" applyFill="true" applyBorder="true" applyAlignment="true">
      <alignment horizontal="right" vertical="center"/>
    </xf>
    <xf numFmtId="0" fontId="4" fillId="0" borderId="2" xfId="0" applyNumberFormat="true" applyFont="true" applyFill="true" applyBorder="true" applyAlignment="true">
      <alignment vertical="center" wrapText="true"/>
    </xf>
    <xf numFmtId="0" fontId="0" fillId="0" borderId="0" xfId="0" applyNumberFormat="true" applyFont="true" applyFill="true" applyBorder="true" applyAlignment="true">
      <alignment wrapText="true"/>
    </xf>
    <xf numFmtId="0" fontId="4" fillId="0" borderId="3" xfId="0" applyNumberFormat="true" applyFont="true" applyFill="true" applyBorder="true" applyAlignment="true">
      <alignment vertical="center" wrapText="true"/>
    </xf>
    <xf numFmtId="0" fontId="0" fillId="0" borderId="1" xfId="0" applyNumberFormat="true" applyFont="true" applyFill="true" applyBorder="true" applyAlignment="true">
      <alignment wrapText="true"/>
    </xf>
    <xf numFmtId="0" fontId="2" fillId="2" borderId="0" xfId="0" applyNumberFormat="true" applyFont="true" applyFill="true" applyBorder="true" applyAlignment="true">
      <alignment vertical="center"/>
    </xf>
    <xf numFmtId="0" fontId="2" fillId="2" borderId="1" xfId="0" applyNumberFormat="true" applyFont="true" applyFill="true" applyBorder="true" applyAlignment="true">
      <alignment vertical="center"/>
    </xf>
    <xf numFmtId="204" fontId="4" fillId="0" borderId="2" xfId="0" applyNumberFormat="true" applyFont="true" applyFill="true" applyBorder="true" applyAlignment="true">
      <alignment vertical="center"/>
    </xf>
  </cellXfs>
  <cellStyles count="1">
    <cellStyle name="Normal" xfId="0"/>
  </cellStyles>
  <dxfs count="10">
    <dxf>
      <font>
        <b val="1"/>
        <color rgb="FF166534"/>
      </font>
      <fill>
        <patternFill patternType="solid">
          <bgColor rgb="FFDCFCE7"/>
        </patternFill>
      </fill>
    </dxf>
    <dxf>
      <font>
        <b val="1"/>
        <color rgb="FF991B1B"/>
      </font>
      <fill>
        <patternFill patternType="solid">
          <bgColor rgb="FFFEE2E2"/>
        </patternFill>
      </fill>
    </dxf>
    <dxf>
      <font>
        <b val="1"/>
        <color rgb="FF1D4ED8"/>
      </font>
      <fill>
        <patternFill patternType="solid">
          <bgColor rgb="FFDBEAFE"/>
        </patternFill>
      </fill>
    </dxf>
    <dxf>
      <font>
        <b val="1"/>
        <color rgb="FF166534"/>
      </font>
      <fill>
        <patternFill patternType="solid">
          <bgColor rgb="FFDCFCE7"/>
        </patternFill>
      </fill>
    </dxf>
    <dxf>
      <font>
        <b val="1"/>
        <color rgb="FF991B1B"/>
      </font>
      <fill>
        <patternFill patternType="solid">
          <bgColor rgb="FFFEE2E2"/>
        </patternFill>
      </fill>
    </dxf>
    <dxf>
      <font>
        <b val="1"/>
        <color rgb="FF92400E"/>
      </font>
      <fill>
        <patternFill patternType="solid">
          <bgColor rgb="FFFEF3C7"/>
        </patternFill>
      </fill>
    </dxf>
    <dxf>
      <font>
        <b val="1"/>
        <color rgb="FF166534"/>
      </font>
      <fill>
        <patternFill patternType="solid">
          <bgColor rgb="FFDCFCE7"/>
        </patternFill>
      </fill>
    </dxf>
    <dxf>
      <font>
        <b val="1"/>
        <color rgb="FF92400E"/>
      </font>
      <fill>
        <patternFill patternType="solid">
          <bgColor rgb="FFFEF3C7"/>
        </patternFill>
      </fill>
    </dxf>
    <dxf>
      <font>
        <b val="1"/>
        <color rgb="FF1D4ED8"/>
      </font>
      <fill>
        <patternFill patternType="solid">
          <bgColor rgb="FFDBEAFE"/>
        </patternFill>
      </fill>
    </dxf>
    <dxf>
      <font>
        <b val="1"/>
        <color rgb="FF991B1B"/>
      </font>
      <fill>
        <patternFill patternType="solid">
          <bgColor rgb="FFFEE2E2"/>
        </patternFill>
      </fill>
    </dxf>
  </dxfs>
</styleSheet>
</file>

<file path=xl/_rels/workbook.xml.rels><?xml version="1.0" encoding="UTF-8"?>
<Relationships xmlns="http://schemas.openxmlformats.org/package/2006/relationships"><Relationship Id="R19a4fc5a4feb44d5" Target="styles.xml" Type="http://schemas.openxmlformats.org/officeDocument/2006/relationships/styles"></Relationship><Relationship Id="R739cd46144844741" Target="theme/theme1.xml" Type="http://schemas.openxmlformats.org/officeDocument/2006/relationships/theme"></Relationship><Relationship Id="Ra7cb4f035f4a4878" Target="sharedStrings.xml" Type="http://schemas.openxmlformats.org/officeDocument/2006/relationships/sharedStrings"></Relationship><Relationship Id="R7e41e81ca167445b" Target="worksheets/sheet1.xml" Type="http://schemas.openxmlformats.org/officeDocument/2006/relationships/worksheet"></Relationship><Relationship Id="Re571b78a740e4b13" Target="worksheets/sheet2.xml" Type="http://schemas.openxmlformats.org/officeDocument/2006/relationships/worksheet"></Relationship><Relationship Id="R491576507c1d40ee" Target="worksheets/sheet3.xml" Type="http://schemas.openxmlformats.org/officeDocument/2006/relationships/worksheet"></Relationship><Relationship Id="Rdbdaa1fb654c4761" Target="worksheets/sheet4.xml" Type="http://schemas.openxmlformats.org/officeDocument/2006/relationships/worksheet"></Relationship><Relationship Id="Ra97a94f1c55e4dfc" Target="worksheets/sheet5.xml" Type="http://schemas.openxmlformats.org/officeDocument/2006/relationships/worksheet"></Relationship><Relationship Id="Rbc655e4027284c15" Target="worksheets/sheet6.xml" Type="http://schemas.openxmlformats.org/officeDocument/2006/relationships/worksheet"></Relationship><Relationship Id="R90432b1c7bb8449b" Target="worksheets/sheet7.xml" Type="http://schemas.openxmlformats.org/officeDocument/2006/relationships/worksheet"></Relationship><Relationship Id="Rb42448eb38cb4910" Target="worksheets/sheet8.xml" Type="http://schemas.openxmlformats.org/officeDocument/2006/relationships/worksheet"></Relationship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charts/chart1.xml" Id="R2fc5c39b948940b9" /><Relationship Type="http://schemas.openxmlformats.org/officeDocument/2006/relationships/chart" Target="charts/chart2.xml" Id="Rddc620f744764bba" /></Relationships>
</file>

<file path=xl/drawings/charts/chart1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直近6か月の入出庫推移</a:t>
            </a:r>
          </a:p>
        </c:rich>
      </c:tx>
      <c:overlay val="0"/>
    </c:title>
    <c:autoTitleDeleted val="0"/>
    <c:view3D/>
    <c:plotArea>
      <c:layout/>
      <c:lineChart>
        <c:ser>
          <c:idx val="0"/>
          <c:order val="0"/>
          <c:tx>
            <c:v>入庫数量</c:v>
          </c:tx>
          <c:marker/>
          <c:cat>
            <c:strRef>
              <c:f>'業務ダッシュボード'!$A$13:$A$18</c:f>
              <c:strCache>
                <c:ptCount val="0"/>
              </c:strCache>
            </c:strRef>
          </c:cat>
          <c:val>
            <c:numRef>
              <c:f>'業務ダッシュボード'!$B$13:$B$18</c:f>
              <c:numCache>
                <c:formatCode>#,##0.00</c:formatCode>
                <c:ptCount val="0"/>
              </c:numCache>
            </c:numRef>
          </c:val>
          <c:smooth val="0"/>
        </c:ser>
        <c:ser>
          <c:idx val="1"/>
          <c:order val="1"/>
          <c:tx>
            <c:v>出庫数量</c:v>
          </c:tx>
          <c:marker/>
          <c:cat>
            <c:strRef>
              <c:f>'業務ダッシュボード'!$A$13:$A$18</c:f>
              <c:strCache>
                <c:ptCount val="0"/>
              </c:strCache>
            </c:strRef>
          </c:cat>
          <c:val>
            <c:numRef>
              <c:f>'業務ダッシュボード'!$C$13:$C$18</c:f>
              <c:numCache>
                <c:formatCode>#,##0.00</c:formatCode>
                <c:ptCount val="0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line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txPr>
          <a:bodyPr xmlns:a="http://schemas.openxmlformats.org/drawingml/2006/main" anchorCtr="1"/>
          <a:lstStyle xmlns:a="http://schemas.openxmlformats.org/drawingml/2006/main"/>
          <a:p xmlns:a="http://schemas.openxmlformats.org/drawingml/2006/main">
            <a:pPr>
              <a:defRPr sz="675"/>
            </a:pPr>
          </a:p>
        </c:txPr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E5E7EB"/>
              </a:solidFill>
              <a:prstDash val="solid"/>
            </a:ln>
          </c:spPr>
        </c:majorGridlines>
        <c:numFmt formatCode=""/>
        <c:majorTickMark val="none"/>
        <c:minorTickMark val="none"/>
        <c:txPr>
          <a:bodyPr xmlns:a="http://schemas.openxmlformats.org/drawingml/2006/main" anchorCtr="1"/>
          <a:lstStyle xmlns:a="http://schemas.openxmlformats.org/drawingml/2006/main"/>
          <a:p xmlns:a="http://schemas.openxmlformats.org/drawingml/2006/main">
            <a:pPr>
              <a:defRPr sz="675"/>
            </a:pPr>
          </a:p>
        </c:txPr>
        <c:crossAx val="48650112"/>
        <c:crosses val="autoZero"/>
        <c:crossBetween val="between"/>
      </c:valAx>
    </c:plotArea>
    <c:legend>
      <c:legendPos val="b"/>
      <c:overlay val="0"/>
      <c:txPr>
        <a:bodyPr xmlns:a="http://schemas.openxmlformats.org/drawingml/2006/main" anchorCtr="1"/>
        <a:lstStyle xmlns:a="http://schemas.openxmlformats.org/drawingml/2006/main"/>
        <a:p xmlns:a="http://schemas.openxmlformats.org/drawingml/2006/main">
          <a:pPr>
            <a:defRPr sz="675"/>
          </a:pPr>
        </a:p>
      </c:txPr>
    </c:legend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charts/chart2.xml><?xml version="1.0" encoding="utf-8"?>
<c:chartSpace xmlns:c="http://schemas.openxmlformats.org/drawingml/2006/chart">
  <c:lang val="en-US"/>
  <c:roundedCorners val="0"/>
  <c:chart>
    <c:title>
      <c:tx>
        <c: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当月業務タイプ別数量</a:t>
            </a:r>
          </a:p>
        </c:rich>
      </c:tx>
      <c:overlay val="0"/>
    </c:title>
    <c:autoTitleDeleted val="0"/>
    <c:view3D/>
    <c:plotArea>
      <c:layout/>
      <c:barChart>
        <c:barDir val="col"/>
        <c:varyColors val="0"/>
        <c:ser>
          <c:idx val="0"/>
          <c:order val="0"/>
          <c:tx>
            <c:v>数量</c:v>
          </c:tx>
          <c:cat>
            <c:strRef>
              <c:f>'業務ダッシュボード'!$F$13:$F$23</c:f>
              <c:strCache>
                <c:ptCount val="0"/>
              </c:strCache>
            </c:strRef>
          </c:cat>
          <c:val>
            <c:numRef>
              <c:f>'業務ダッシュボード'!$G$13:$G$23</c:f>
              <c:numCache>
                <c:formatCode>#,##0.00</c:formatCode>
                <c:ptCount val="0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xmlns:a="http://schemas.openxmlformats.org/drawingml/2006/main" w="9525">
              <a:solidFill>
                <a:srgbClr val="CCCCCC"/>
              </a:solidFill>
              <a:prstDash val="dash"/>
            </a:ln>
          </c:spPr>
        </c:majorGridlines>
        <c:numFmt formatCode=""/>
        <c:majorTickMark val="none"/>
        <c:minorTickMark val="none"/>
        <c:tickLblPos val="nextTo"/>
        <c:txPr>
          <a:bodyPr xmlns:a="http://schemas.openxmlformats.org/drawingml/2006/main" anchorCtr="1"/>
          <a:lstStyle xmlns:a="http://schemas.openxmlformats.org/drawingml/2006/main"/>
          <a:p xmlns:a="http://schemas.openxmlformats.org/drawingml/2006/main">
            <a:pPr>
              <a:defRPr sz="675"/>
            </a:pPr>
          </a:p>
        </c:txPr>
        <c:crossAx val="48672768"/>
        <c:crosses val="autoZero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xmlns:a="http://schemas.openxmlformats.org/drawingml/2006/main" w="9525">
              <a:solidFill>
                <a:srgbClr val="E5E7EB"/>
              </a:solidFill>
              <a:prstDash val="solid"/>
            </a:ln>
          </c:spPr>
        </c:majorGridlines>
        <c:numFmt formatCode=""/>
        <c:majorTickMark val="none"/>
        <c:minorTickMark val="none"/>
        <c:txPr>
          <a:bodyPr xmlns:a="http://schemas.openxmlformats.org/drawingml/2006/main" anchorCtr="1"/>
          <a:lstStyle xmlns:a="http://schemas.openxmlformats.org/drawingml/2006/main"/>
          <a:p xmlns:a="http://schemas.openxmlformats.org/drawingml/2006/main">
            <a:pPr>
              <a:defRPr sz="675"/>
            </a:pPr>
          </a:p>
        </c:txPr>
        <c:crossAx val="48650112"/>
        <c:crosses val="autoZero"/>
        <c:crossBetween val="between"/>
      </c:valAx>
    </c:plotArea>
    <c:plotVisOnly val="1"/>
  </c:chart>
  <c:spPr>
    <a:ln xmlns:a="http://schemas.openxmlformats.org/drawingml/2006/main" w="9525">
      <a:solidFill>
        <a:srgbClr val="D9D9D9"/>
      </a:solidFill>
      <a:prstDash val="solid"/>
    </a:ln>
  </c:spPr>
</c:chartSpace>
</file>

<file path=xl/drawings/drawing1.xml><?xml version="1.0" encoding="utf-8"?>
<xdr:wsDr xmlns:xdr="http://schemas.openxmlformats.org/drawingml/2006/spreadsheetDrawing">
  <xdr:twoCellAnchor>
    <xdr:from>
      <xdr:col>9</xdr:col>
      <xdr:colOff>0</xdr:colOff>
      <xdr:row>4</xdr:row>
      <xdr:rowOff>0</xdr:rowOff>
    </xdr:from>
    <xdr:to>
      <xdr:col>17</xdr:col>
      <xdr:colOff>0</xdr:colOff>
      <xdr:row>17</xdr:row>
      <xdr:rowOff>0</xdr:rowOff>
    </xdr:to>
    <xdr:graphicFrame macro="">
      <xdr:nvGraphicFramePr>
        <xdr:cNvPr id="1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2fc5c39b948940b9"/>
        </a:graphicData>
      </a:graphic>
    </xdr:graphicFrame>
    <xdr:clientData/>
  </xdr:twoCellAnchor>
  <xdr:twoCellAnchor>
    <xdr:from>
      <xdr:col>9</xdr:col>
      <xdr:colOff>0</xdr:colOff>
      <xdr:row>18</xdr:row>
      <xdr:rowOff>0</xdr:rowOff>
    </xdr:from>
    <xdr:to>
      <xdr:col>17</xdr:col>
      <xdr:colOff>0</xdr:colOff>
      <xdr:row>33</xdr:row>
      <xdr:rowOff>0</xdr:rowOff>
    </xdr:to>
    <xdr:graphicFrame macro="">
      <xdr:nvGraphicFramePr>
        <xdr:cNvPr id="2" name="Chart"/>
        <xdr:cNvGraphicFramePr/>
      </xdr:nvGraphicFramePr>
      <xdr:xfrm>
        <a:off xmlns:a="http://schemas.openxmlformats.org/drawingml/2006/main" x="0" y="0"/>
        <a:ext xmlns:a="http://schemas.openxmlformats.org/drawingml/2006/main" cx="0" cy="0"/>
      </xdr:xfrm>
      <a:graphic xmlns:a="http://schemas.openxmlformats.org/drawingml/2006/main">
        <a:graphicData uri="http://schemas.openxmlformats.org/drawingml/2006/chart">
          <c:chart xmlns:r="http://schemas.openxmlformats.org/officeDocument/2006/relationships" xmlns:c="http://schemas.openxmlformats.org/drawingml/2006/chart" r:id="Rddc620f744764bba"/>
        </a:graphicData>
      </a:graphic>
    </xdr:graphicFrame>
    <xdr:clientData/>
  </xdr:twoCellAnchor>
</xdr:wsDr>
</file>

<file path=xl/tables/table1.xml><?xml version="1.0" encoding="utf-8"?>
<x:table xmlns:x="http://schemas.openxmlformats.org/spreadsheetml/2006/main" id="5" name="StockMovementLog" displayName="StockMovementLog" ref="A4:AF20" headerRowCount="1">
  <x:tableColumns count="32">
    <x:tableColumn id="1" name="番号"/>
    <x:tableColumn id="2" name="日付*"/>
    <x:tableColumn id="3" name="伝票番号*"/>
    <x:tableColumn id="4" name="業務タイプ*"/>
    <x:tableColumn id="5" name="入出庫区分*"/>
    <x:tableColumn id="6" name="商品コード*"/>
    <x:tableColumn id="7" name="商品名"/>
    <x:tableColumn id="8" name="仕様・型式"/>
    <x:tableColumn id="9" name="ロット番号"/>
    <x:tableColumn id="10" name="シリアル番号または箱番号"/>
    <x:tableColumn id="11" name="在庫属性"/>
    <x:tableColumn id="12" name="数量*"/>
    <x:tableColumn id="13" name="単位"/>
    <x:tableColumn id="14" name="単価"/>
    <x:tableColumn id="15" name="金額"/>
    <x:tableColumn id="16" name="税率"/>
    <x:tableColumn id="17" name="税込金額"/>
    <x:tableColumn id="18" name="移動元倉庫"/>
    <x:tableColumn id="19" name="移動元ロケーション"/>
    <x:tableColumn id="20" name="移動先倉庫"/>
    <x:tableColumn id="21" name="移動先ロケーション"/>
    <x:tableColumn id="22" name="取引先または部門"/>
    <x:tableColumn id="23" name="案個または注文番号"/>
    <x:tableColumn id="24" name="理由または用途"/>
    <x:tableColumn id="25" name="担当者"/>
    <x:tableColumn id="26" name="承認ステータス"/>
    <x:tableColumn id="27" name="伝票ステータス"/>
    <x:tableColumn id="28" name="備考"/>
    <x:tableColumn id="29" name="有効数量"/>
    <x:tableColumn id="30" name="在庫反映倉庫"/>
    <x:tableColumn id="31" name="在庫反映ロケーション"/>
    <x:tableColumn id="32" name="入力チェック"/>
  </x:tableColumns>
  <x:tableStyleInfo name="TableStyleMedium2" showRowStripes="1"/>
</x:table>
</file>

<file path=xl/tables/table2.xml><?xml version="1.0" encoding="utf-8"?>
<x:table xmlns:x="http://schemas.openxmlformats.org/spreadsheetml/2006/main" id="6" name="InventorySummary" displayName="InventorySummary" ref="A4:O14" headerRowCount="1">
  <x:tableColumns count="15">
    <x:tableColumn id="1" name="商品コード*"/>
    <x:tableColumn id="2" name="商品名"/>
    <x:tableColumn id="3" name="カテゴリ"/>
    <x:tableColumn id="4" name="単位"/>
    <x:tableColumn id="5" name="セキュリティ在庫"/>
    <x:tableColumn id="6" name="最大在庫"/>
    <x:tableColumn id="7" name="倉庫コード*"/>
    <x:tableColumn id="8" name="ロケーションコード*"/>
    <x:tableColumn id="9" name="現在庫"/>
    <x:tableColumn id="10" name="引当可能在庫"/>
    <x:tableColumn id="11" name="在庫金額"/>
    <x:tableColumn id="12" name="直近取引日"/>
    <x:tableColumn id="13" name="在庫状態"/>
    <x:tableColumn id="14" name="補充または対応提案"/>
    <x:tableColumn id="15" name="備考"/>
  </x:tableColumns>
  <x:tableStyleInfo name="TableStyleMedium2" showRowStripes="1"/>
</x:table>
</file>

<file path=xl/tables/table3.xml><?xml version="1.0" encoding="utf-8"?>
<x:table xmlns:x="http://schemas.openxmlformats.org/spreadsheetml/2006/main" id="2" name="ItemMaster" displayName="ItemMaster" ref="A4:S9" headerRowCount="1">
  <x:tableColumns count="19">
    <x:tableColumn id="1" name="商品コード*"/>
    <x:tableColumn id="2" name="商品名*"/>
    <x:tableColumn id="3" name="仕様・型式"/>
    <x:tableColumn id="4" name="カテゴリ"/>
    <x:tableColumn id="5" name="ブランドまたは案個"/>
    <x:tableColumn id="6" name="バーコード"/>
    <x:tableColumn id="7" name="標準単位"/>
    <x:tableColumn id="8" name="セキュリティ在庫"/>
    <x:tableColumn id="9" name="最大在庫"/>
    <x:tableColumn id="10" name="標準単価"/>
    <x:tableColumn id="11" name="税率"/>
    <x:tableColumn id="12" name="標準倉庫"/>
    <x:tableColumn id="13" name="標準ロケーション"/>
    <x:tableColumn id="14" name="在庫属性"/>
    <x:tableColumn id="15" name="ロット管理"/>
    <x:tableColumn id="16" name="シリアル管理"/>
    <x:tableColumn id="17" name="品質保持日数"/>
    <x:tableColumn id="18" name="主仕入先"/>
    <x:tableColumn id="19" name="備考"/>
  </x:tableColumns>
  <x:tableStyleInfo name="TableStyleMedium2" showRowStripes="1"/>
</x:table>
</file>

<file path=xl/tables/table4.xml><?xml version="1.0" encoding="utf-8"?>
<x:table xmlns:x="http://schemas.openxmlformats.org/spreadsheetml/2006/main" id="3" name="WarehouseLocations" displayName="WarehouseLocations" ref="A4:I10" headerRowCount="1">
  <x:tableColumns count="9">
    <x:tableColumn id="1" name="倉庫コード*"/>
    <x:tableColumn id="2" name="倉庫名*"/>
    <x:tableColumn id="3" name="ロケーションコード*"/>
    <x:tableColumn id="4" name="ロケーション名"/>
    <x:tableColumn id="5" name="都市または拠点"/>
    <x:tableColumn id="6" name="温度管理要個"/>
    <x:tableColumn id="7" name="有効"/>
    <x:tableColumn id="8" name="責任者"/>
    <x:tableColumn id="9" name="備考"/>
  </x:tableColumns>
  <x:tableStyleInfo name="TableStyleMedium2" showRowStripes="1"/>
</x:table>
</file>

<file path=xl/tables/table5.xml><?xml version="1.0" encoding="utf-8"?>
<x:table xmlns:x="http://schemas.openxmlformats.org/spreadsheetml/2006/main" id="4" name="Counterparties" displayName="Counterparties" ref="A4:H13" headerRowCount="1">
  <x:tableColumns count="8">
    <x:tableColumn id="1" name="取引先コード*"/>
    <x:tableColumn id="2" name="取引先名*"/>
    <x:tableColumn id="3" name="タイプ"/>
    <x:tableColumn id="4" name="連絡先担当者"/>
    <x:tableColumn id="5" name="電話"/>
    <x:tableColumn id="6" name="住所または案個"/>
    <x:tableColumn id="7" name="決済個個付き付き"/>
    <x:tableColumn id="8" name="備考"/>
  </x:tableColumns>
  <x:tableStyleInfo name="TableStyleMedium2" showRowStripes="1"/>
</x:table>
</file>

<file path=xl/tables/table6.xml><?xml version="1.0" encoding="utf-8"?>
<x:table xmlns:x="http://schemas.openxmlformats.org/spreadsheetml/2006/main" id="1" name="ParamLists" displayName="ParamLists" ref="A4:M18" headerRowCount="1">
  <x:tableColumns count="13">
    <x:tableColumn id="1" name="入出庫区分"/>
    <x:tableColumn id="2" name="業務タイプ"/>
    <x:tableColumn id="3" name="伝票ステータス"/>
    <x:tableColumn id="4" name="承認ステータス"/>
    <x:tableColumn id="5" name="計量単位"/>
    <x:tableColumn id="6" name="在庫属性"/>
    <x:tableColumn id="7" name="原価方式"/>
    <x:tableColumn id="8" name="ABC分類"/>
    <x:tableColumn id="9" name="責任部門"/>
    <x:tableColumn id="10" name="温度管理要個"/>
    <x:tableColumn id="11" name="はい・いいえ"/>
    <x:tableColumn id="12" name="税率"/>
    <x:tableColumn id="13" name="取引理由または用途"/>
  </x:tableColumns>
  <x:tableStyleInfo name="TableStyleMedium2" showRowStripes="1"/>
</x:table>
</file>

<file path=xl/theme/theme1.xml><?xml version="1.0" encoding="utf-8"?>
<a:theme xmlns:a="http://schemas.openxmlformats.org/drawingml/2006/main" xmlns:r="http://schemas.openxmlformats.org/officeDocument/2006/relationships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1.xml" Id="Rf130297196e14668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table" Target="../tables/table1.xml" Id="R8a88cfadb28e41f1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table" Target="../tables/table2.xml" Id="Redea96da4d0d428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table" Target="../tables/table3.xml" Id="R470ec86a9e0c4e03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table" Target="../tables/table4.xml" Id="R17bc87a31f344558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table" Target="../tables/table5.xml" Id="R4b495528f6634493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table" Target="../tables/table6.xml" Id="R1b95b1ade5484809" /></Relationships>
</file>

<file path=xl/worksheets/sheet1.xml><?xml version="1.0" encoding="utf-8"?>
<worksheet xmlns:x="http://schemas.openxmlformats.org/spreadsheetml/2006/main" xmlns="http://schemas.openxmlformats.org/spreadsheetml/2006/main">
  <sheetViews>
    <sheetView tabSelected="true" workbookViewId="0"/>
  </sheetViews>
  <sheetFormatPr defaultRowHeight="15"/>
  <cols>
    <col customWidth="true" max="1" min="1" width="18"/>
    <col customWidth="true" max="2" min="2" width="78"/>
    <col customWidth="true" max="3" min="3" width="46"/>
    <col customWidth="true" max="11" min="4" width="4"/>
  </cols>
  <sheetData>
    <row r="1" ht="32" customHeight="true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2" customHeight="true">
      <c r="A2" s="64" t="s">
        <v>1</v>
      </c>
      <c r="B2" s="64"/>
      <c r="C2" s="64"/>
      <c r="D2" s="64"/>
      <c r="E2" s="64"/>
      <c r="F2" s="64"/>
      <c r="G2" s="64"/>
      <c r="H2" s="64"/>
      <c r="I2" s="64"/>
      <c r="J2" s="64"/>
      <c r="K2" s="64"/>
    </row>
    <row r="3"/>
    <row r="4" ht="32" customHeight="true">
      <c r="A4" s="19" t="s">
        <v>2</v>
      </c>
      <c r="B4" s="19" t="s">
        <v>3</v>
      </c>
      <c r="C4" s="19" t="s">
        <v>4</v>
      </c>
    </row>
    <row r="5" ht="44" customHeight="true">
      <c r="A5" s="29" t="s">
        <v>5</v>
      </c>
      <c r="B5" s="60" t="s">
        <v>6</v>
      </c>
      <c r="C5" s="60" t="s">
        <v>7</v>
      </c>
    </row>
    <row r="6" ht="44" customHeight="true">
      <c r="A6" s="29" t="s">
        <v>8</v>
      </c>
      <c r="B6" s="60" t="s">
        <v>9</v>
      </c>
      <c r="C6" s="60" t="s">
        <v>10</v>
      </c>
    </row>
    <row r="7" ht="44" customHeight="true">
      <c r="A7" s="29" t="s">
        <v>11</v>
      </c>
      <c r="B7" s="60" t="s">
        <v>12</v>
      </c>
      <c r="C7" s="60" t="s">
        <v>13</v>
      </c>
    </row>
    <row r="8" ht="44" customHeight="true">
      <c r="A8" s="29" t="s">
        <v>14</v>
      </c>
      <c r="B8" s="60" t="s">
        <v>15</v>
      </c>
      <c r="C8" s="60" t="s">
        <v>16</v>
      </c>
    </row>
    <row r="9" ht="44" customHeight="true">
      <c r="A9" s="29" t="s">
        <v>17</v>
      </c>
      <c r="B9" s="60" t="s">
        <v>18</v>
      </c>
      <c r="C9" s="60" t="s">
        <v>19</v>
      </c>
    </row>
    <row r="10" ht="44" customHeight="true">
      <c r="A10" s="29" t="s">
        <v>20</v>
      </c>
      <c r="B10" s="60" t="s">
        <v>21</v>
      </c>
      <c r="C10" s="60" t="s">
        <v>22</v>
      </c>
    </row>
    <row r="11" ht="44" customHeight="true">
      <c r="B11" s="61"/>
      <c r="C11" s="61"/>
    </row>
    <row r="12" ht="44" customHeight="true">
      <c r="A12" s="19" t="s">
        <v>23</v>
      </c>
      <c r="B12" s="19" t="s">
        <v>24</v>
      </c>
      <c r="C12" s="19" t="s">
        <v>25</v>
      </c>
    </row>
    <row r="13" ht="44" customHeight="true">
      <c r="A13" s="29" t="s">
        <v>26</v>
      </c>
      <c r="B13" s="60" t="s">
        <v>27</v>
      </c>
      <c r="C13" s="60" t="s">
        <v>28</v>
      </c>
    </row>
    <row r="14" ht="44" customHeight="true">
      <c r="A14" s="29" t="s">
        <v>29</v>
      </c>
      <c r="B14" s="60" t="s">
        <v>309</v>
      </c>
      <c r="C14" s="60" t="s">
        <v>31</v>
      </c>
    </row>
    <row r="15" ht="44" customHeight="true">
      <c r="A15" s="29" t="s">
        <v>32</v>
      </c>
      <c r="B15" s="60" t="s">
        <v>33</v>
      </c>
      <c r="C15" s="60" t="s">
        <v>34</v>
      </c>
    </row>
    <row r="16" ht="44" customHeight="true">
      <c r="A16" s="29" t="s">
        <v>35</v>
      </c>
      <c r="B16" s="60" t="s">
        <v>36</v>
      </c>
      <c r="C16" s="60" t="s">
        <v>37</v>
      </c>
    </row>
    <row r="17" ht="44" customHeight="true">
      <c r="A17" s="29" t="s">
        <v>38</v>
      </c>
      <c r="B17" s="60" t="s">
        <v>39</v>
      </c>
      <c r="C17" s="60" t="s">
        <v>40</v>
      </c>
    </row>
    <row r="18" ht="44" customHeight="true">
      <c r="A18" s="29" t="s">
        <v>41</v>
      </c>
      <c r="B18" s="60" t="s">
        <v>42</v>
      </c>
      <c r="C18" s="60" t="s">
        <v>43</v>
      </c>
    </row>
    <row r="19" ht="44" customHeight="true">
      <c r="B19" s="61"/>
      <c r="C19" s="61"/>
    </row>
    <row r="20" ht="44" customHeight="true">
      <c r="A20" s="19" t="s">
        <v>44</v>
      </c>
      <c r="B20" s="19" t="s">
        <v>45</v>
      </c>
      <c r="C20" s="19" t="s">
        <v>46</v>
      </c>
    </row>
    <row r="21" ht="48" customHeight="true">
      <c r="A21" s="29" t="s">
        <v>47</v>
      </c>
      <c r="B21" s="60" t="s">
        <v>48</v>
      </c>
      <c r="C21" s="60" t="s">
        <v>49</v>
      </c>
    </row>
    <row r="22" ht="48" customHeight="true">
      <c r="A22" s="29" t="s">
        <v>50</v>
      </c>
      <c r="B22" s="60" t="str">
        <v>https://excel.cloud.microsoft/create/en/inventory-templates/</v>
      </c>
      <c r="C22" s="60" t="s">
        <v>51</v>
      </c>
    </row>
    <row r="23" ht="48" customHeight="true">
      <c r="A23" s="29" t="s">
        <v>52</v>
      </c>
      <c r="B23" s="60" t="str">
        <v>https://support.microsoft.com/en-us/office/track-product-inventory-df87e413-3c9f-46be-87d4-173882c19a07</v>
      </c>
      <c r="C23" s="60" t="s">
        <v>53</v>
      </c>
    </row>
    <row r="24" ht="48" customHeight="true">
      <c r="A24" s="29" t="s">
        <v>54</v>
      </c>
      <c r="B24" s="60" t="str">
        <v>https://www.smartsheet.com/free-excel-inventory-templates</v>
      </c>
      <c r="C24" s="60" t="s">
        <v>55</v>
      </c>
    </row>
    <row r="25" ht="44" customHeight="true">
      <c r="B25" s="61"/>
      <c r="C25" s="61"/>
    </row>
    <row r="26" ht="44" customHeight="true">
      <c r="A26" s="19" t="s">
        <v>56</v>
      </c>
      <c r="B26" s="19" t="s">
        <v>57</v>
      </c>
      <c r="C26" s="19" t="s">
        <v>58</v>
      </c>
    </row>
    <row r="27" ht="44" customHeight="true">
      <c r="A27" s="29" t="s">
        <v>59</v>
      </c>
      <c r="B27" s="60" t="s">
        <v>60</v>
      </c>
      <c r="C27" s="60" t="s">
        <v>61</v>
      </c>
    </row>
    <row r="28" ht="44" customHeight="true">
      <c r="A28" s="29" t="s">
        <v>62</v>
      </c>
      <c r="B28" s="60" t="s">
        <v>63</v>
      </c>
      <c r="C28" s="60" t="s">
        <v>64</v>
      </c>
    </row>
    <row r="29" ht="44" customHeight="true">
      <c r="A29" s="29" t="s">
        <v>65</v>
      </c>
      <c r="B29" s="60" t="s">
        <v>66</v>
      </c>
      <c r="C29" s="60" t="s">
        <v>67</v>
      </c>
    </row>
  </sheetData>
  <pageMargins left="0.7" right="0.7" top="0.75" bottom="0.75" header="0.3" footer="0.3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</worksheet>
</file>

<file path=xl/worksheets/sheet2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6"/>
    <col customWidth="true" max="2" min="2" width="14"/>
    <col customWidth="true" max="3" min="3" width="24"/>
    <col customWidth="true" max="4" min="4" width="10"/>
    <col customWidth="true" max="5" min="5" width="16"/>
    <col customWidth="true" max="6" min="6" width="14"/>
    <col customWidth="true" max="7" min="7" width="24"/>
    <col customWidth="true" max="8" min="8" width="14"/>
    <col customWidth="true" max="9" min="9" width="3"/>
    <col customWidth="true" max="17" min="10" width="12"/>
  </cols>
  <sheetData>
    <row r="1" ht="32" customHeight="true">
      <c r="A1" s="4" t="s">
        <v>20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2" customHeight="true">
      <c r="A2" s="64" t="s">
        <v>68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</row>
    <row r="3" ht="22" customHeight="true"/>
    <row r="4" ht="22" customHeight="true">
      <c r="A4" s="41" t="s">
        <v>69</v>
      </c>
      <c r="B4" s="50" t="n">
        <f>DATE(YEAR(TODAY()),MONTH(TODAY()),1)</f>
        <v>46143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</row>
    <row r="5" ht="28" customHeight="true">
      <c r="A5" s="19" t="s">
        <v>70</v>
      </c>
      <c r="B5" s="19" t="s">
        <v>71</v>
      </c>
      <c r="C5" s="19" t="s">
        <v>46</v>
      </c>
      <c r="D5" s="19"/>
      <c r="E5" s="19" t="s">
        <v>70</v>
      </c>
      <c r="F5" s="19" t="s">
        <v>71</v>
      </c>
      <c r="G5" s="19" t="s">
        <v>46</v>
      </c>
      <c r="H5" s="19"/>
    </row>
    <row r="6" ht="28" customHeight="true">
      <c r="A6" s="29" t="s">
        <v>72</v>
      </c>
      <c r="B6" s="56" t="n">
        <f>SUMIFS('入出庫記録'!$L$5:$L$304,'入出庫記録'!$E$5:$E$304,"入庫",'入出庫記録'!$B$5:$B$304,"&gt;="&amp;$B$4,'入出庫記録'!$B$5:$B$304,"&lt;"&amp;EDATE($B$4,1),'入出庫記録'!$AA$5:$AA$304,"記帳済み")+SUMIFS('入出庫記録'!$L$5:$L$304,'入出庫記録'!$E$5:$E$304,"振替入庫",'入出庫記録'!$B$5:$B$304,"&gt;="&amp;$B$4,'入出庫記録'!$B$5:$B$304,"&lt;"&amp;EDATE($B$4,1),'入出庫記録'!$AA$5:$AA$304,"記帳済み")</f>
        <v>8218</v>
      </c>
      <c r="C6" s="29" t="s">
        <v>73</v>
      </c>
      <c r="D6" s="29"/>
      <c r="E6" s="29" t="s">
        <v>74</v>
      </c>
      <c r="F6" s="56" t="n">
        <f>SUM('在庫サマリー'!$K$5:$K$104)</f>
        <v>13749</v>
      </c>
      <c r="G6" s="29" t="s">
        <v>75</v>
      </c>
      <c r="H6" s="29"/>
    </row>
    <row r="7" ht="28" customHeight="true">
      <c r="A7" s="29" t="s">
        <v>76</v>
      </c>
      <c r="B7" s="56" t="n">
        <f>SUMIFS('入出庫記録'!$L$5:$L$304,'入出庫記録'!$E$5:$E$304,"出庫",'入出庫記録'!$B$5:$B$304,"&gt;="&amp;$B$4,'入出庫記録'!$B$5:$B$304,"&lt;"&amp;EDATE($B$4,1),'入出庫記録'!$AA$5:$AA$304,"記帳済み")+SUMIFS('入出庫記録'!$L$5:$L$304,'入出庫記録'!$E$5:$E$304,"振替出庫",'入出庫記録'!$B$5:$B$304,"&gt;="&amp;$B$4,'入出庫記録'!$B$5:$B$304,"&lt;"&amp;EDATE($B$4,1),'入出庫記録'!$AA$5:$AA$304,"記帳済み")</f>
        <v>2257</v>
      </c>
      <c r="C7" s="29" t="s">
        <v>77</v>
      </c>
      <c r="D7" s="29"/>
      <c r="E7" s="29" t="s">
        <v>78</v>
      </c>
      <c r="F7" s="56" t="n">
        <f>COUNTIF('在庫サマリー'!$M$5:$M$104,"セキュリティ在庫未満")</f>
        <v>6</v>
      </c>
      <c r="G7" s="29" t="s">
        <v>79</v>
      </c>
      <c r="H7" s="29"/>
    </row>
    <row r="8" ht="28" customHeight="true">
      <c r="A8" s="29" t="s">
        <v>80</v>
      </c>
      <c r="B8" s="56" t="n">
        <f>SUMIFS('入出庫記録'!$L$5:$L$304,'入出庫記録'!$E$5:$E$304,"在庫調整",'入出庫記録'!$B$5:$B$304,"&gt;="&amp;$B$4,'入出庫記録'!$B$5:$B$304,"&lt;"&amp;EDATE($B$4,1),'入出庫記録'!$AA$5:$AA$304,"記帳済み")</f>
        <v>-50</v>
      </c>
      <c r="C8" s="29" t="s">
        <v>81</v>
      </c>
      <c r="D8" s="29"/>
      <c r="E8" s="29" t="s">
        <v>82</v>
      </c>
      <c r="F8" s="56" t="n">
        <f>COUNTIF('入出庫記録'!$Z$5:$Z$304,"承認待ち")</f>
        <v>1</v>
      </c>
      <c r="G8" s="29" t="s">
        <v>83</v>
      </c>
      <c r="H8" s="29"/>
    </row>
    <row r="9" ht="28" customHeight="true">
      <c r="A9" s="29" t="s">
        <v>84</v>
      </c>
      <c r="B9" s="56" t="n">
        <f>COUNTIFS('入出庫記録'!$B$5:$B$304,"&gt;="&amp;$B$4,'入出庫記録'!$B$5:$B$304,"&lt;"&amp;EDATE($B$4,1),'入出庫記録'!$AA$5:$AA$304,"記帳済み")</f>
        <v>15</v>
      </c>
      <c r="C9" s="29" t="s">
        <v>85</v>
      </c>
      <c r="D9" s="29"/>
      <c r="E9" s="29" t="s">
        <v>86</v>
      </c>
      <c r="F9" s="56" t="n">
        <f>COUNTIF('在庫サマリー'!$M$5:$M$104,"マイナス在庫")</f>
        <v>2</v>
      </c>
      <c r="G9" s="29" t="s">
        <v>87</v>
      </c>
      <c r="H9" s="29"/>
    </row>
    <row r="10" ht="22" customHeight="true"/>
    <row r="11" ht="28" customHeight="true">
      <c r="A11" s="46" t="s">
        <v>88</v>
      </c>
      <c r="B11" s="46"/>
      <c r="C11" s="46"/>
      <c r="D11" s="46"/>
      <c r="E11" t="s">
        <v>89</v>
      </c>
      <c r="F11" s="46"/>
      <c r="G11" s="46"/>
      <c r="H11" s="46"/>
    </row>
    <row r="12" ht="28" customHeight="true">
      <c r="A12" s="19" t="s">
        <v>90</v>
      </c>
      <c r="B12" s="19" t="s">
        <v>91</v>
      </c>
      <c r="C12" s="19" t="s">
        <v>92</v>
      </c>
      <c r="D12" s="19" t="s">
        <v>93</v>
      </c>
      <c r="F12" s="19" t="s">
        <v>94</v>
      </c>
      <c r="G12" s="19" t="str">
        <v>数量</v>
      </c>
      <c r="H12" s="19" t="s">
        <v>95</v>
      </c>
    </row>
    <row r="13" ht="22" customHeight="true">
      <c r="A13" s="66" t="str">
        <f>TEXT(EDATE($B$4,-5),"yyyy-mm")</f>
        <v>2025-12</v>
      </c>
      <c r="B13" s="34" t="n">
        <f>SUMIFS('入出庫記録'!$L$5:$L$304,'入出庫記録'!$E$5:$E$304,"入庫",'入出庫記録'!$B$5:$B$304,"&gt;="&amp;EDATE($B$4,-5),'入出庫記録'!$B$5:$B$304,"&lt;"&amp;EDATE(EDATE($B$4,-5),1),'入出庫記録'!$AA$5:$AA$304,"記帳済み")+SUMIFS('入出庫記録'!$L$5:$L$304,'入出庫記録'!$E$5:$E$304,"振替入庫",'入出庫記録'!$B$5:$B$304,"&gt;="&amp;EDATE($B$4,-5),'入出庫記録'!$B$5:$B$304,"&lt;"&amp;EDATE(EDATE($B$4,-5),1),'入出庫記録'!$AA$5:$AA$304,"記帳済み")</f>
        <v>0</v>
      </c>
      <c r="C13" s="34" t="n">
        <f>SUMIFS('入出庫記録'!$L$5:$L$304,'入出庫記録'!$E$5:$E$304,"出庫",'入出庫記録'!$B$5:$B$304,"&gt;="&amp;EDATE($B$4,-5),'入出庫記録'!$B$5:$B$304,"&lt;"&amp;EDATE(EDATE($B$4,-5),1),'入出庫記録'!$AA$5:$AA$304,"記帳済み")+SUMIFS('入出庫記録'!$L$5:$L$304,'入出庫記録'!$E$5:$E$304,"振替出庫",'入出庫記録'!$B$5:$B$304,"&gt;="&amp;EDATE($B$4,-5),'入出庫記録'!$B$5:$B$304,"&lt;"&amp;EDATE(EDATE($B$4,-5),1),'入出庫記録'!$AA$5:$AA$304,"記帳済み")</f>
        <v>0</v>
      </c>
      <c r="D13" s="34" t="n">
        <f>SUMIFS('入出庫記録'!$L$5:$L$304,'入出庫記録'!$E$5:$E$304,"在庫調整",'入出庫記録'!$B$5:$B$304,"&gt;="&amp;EDATE($B$4,-5),'入出庫記録'!$B$5:$B$304,"&lt;"&amp;EDATE(EDATE($B$4,-5),1),'入出庫記録'!$AA$5:$AA$304,"記帳済み")</f>
        <v>0</v>
      </c>
      <c r="F13" s="29" t="s">
        <v>26</v>
      </c>
      <c r="G13" s="34" t="n">
        <f>SUMIFS('入出庫記録'!$L$5:$L$304,'入出庫記録'!$D$5:$D$304,F13,'入出庫記録'!$B$5:$B$304,"&gt;="&amp;$B$4,'入出庫記録'!$B$5:$B$304,"&lt;"&amp;EDATE($B$4,1),'入出庫記録'!$AA$5:$AA$304,"記帳済み")</f>
        <v>8000</v>
      </c>
      <c r="H13" s="34" t="n">
        <f>SUMIFS('入出庫記録'!$O$5:$O$304,'入出庫記録'!$D$5:$D$304,F13,'入出庫記録'!$B$5:$B$304,"&gt;="&amp;$B$4,'入出庫記録'!$B$5:$B$304,"&lt;"&amp;EDATE($B$4,1),'入出庫記録'!$AA$5:$AA$304,"記帳済み")</f>
        <v>21240</v>
      </c>
    </row>
    <row r="14" ht="22" customHeight="true">
      <c r="A14" s="66" t="str">
        <f>TEXT(EDATE($B$4,-4),"yyyy-mm")</f>
        <v>2026-01</v>
      </c>
      <c r="B14" s="34" t="n">
        <f>SUMIFS('入出庫記録'!$L$5:$L$304,'入出庫記録'!$E$5:$E$304,"入庫",'入出庫記録'!$B$5:$B$304,"&gt;="&amp;EDATE($B$4,-4),'入出庫記録'!$B$5:$B$304,"&lt;"&amp;EDATE(EDATE($B$4,-4),1),'入出庫記録'!$AA$5:$AA$304,"記帳済み")+SUMIFS('入出庫記録'!$L$5:$L$304,'入出庫記録'!$E$5:$E$304,"振替入庫",'入出庫記録'!$B$5:$B$304,"&gt;="&amp;EDATE($B$4,-4),'入出庫記録'!$B$5:$B$304,"&lt;"&amp;EDATE(EDATE($B$4,-4),1),'入出庫記録'!$AA$5:$AA$304,"記帳済み")</f>
        <v>0</v>
      </c>
      <c r="C14" s="34" t="n">
        <f>SUMIFS('入出庫記録'!$L$5:$L$304,'入出庫記録'!$E$5:$E$304,"出庫",'入出庫記録'!$B$5:$B$304,"&gt;="&amp;EDATE($B$4,-4),'入出庫記録'!$B$5:$B$304,"&lt;"&amp;EDATE(EDATE($B$4,-4),1),'入出庫記録'!$AA$5:$AA$304,"記帳済み")+SUMIFS('入出庫記録'!$L$5:$L$304,'入出庫記録'!$E$5:$E$304,"振替出庫",'入出庫記録'!$B$5:$B$304,"&gt;="&amp;EDATE($B$4,-4),'入出庫記録'!$B$5:$B$304,"&lt;"&amp;EDATE(EDATE($B$4,-4),1),'入出庫記録'!$AA$5:$AA$304,"記帳済み")</f>
        <v>0</v>
      </c>
      <c r="D14" s="34" t="n">
        <f>SUMIFS('入出庫記録'!$L$5:$L$304,'入出庫記録'!$E$5:$E$304,"在庫調整",'入出庫記録'!$B$5:$B$304,"&gt;="&amp;EDATE($B$4,-4),'入出庫記録'!$B$5:$B$304,"&lt;"&amp;EDATE(EDATE($B$4,-4),1),'入出庫記録'!$AA$5:$AA$304,"記帳済み")</f>
        <v>0</v>
      </c>
      <c r="F14" s="29" t="s">
        <v>29</v>
      </c>
      <c r="G14" s="34" t="n">
        <f>SUMIFS('入出庫記録'!$L$5:$L$304,'入出庫記録'!$D$5:$D$304,F14,'入出庫記録'!$B$5:$B$304,"&gt;="&amp;$B$4,'入出庫記録'!$B$5:$B$304,"&lt;"&amp;EDATE($B$4,1),'入出庫記録'!$AA$5:$AA$304,"記帳済み")</f>
        <v>30</v>
      </c>
      <c r="H14" s="34" t="n">
        <f>SUMIFS('入出庫記録'!$O$5:$O$304,'入出庫記録'!$D$5:$D$304,F14,'入出庫記録'!$B$5:$B$304,"&gt;="&amp;$B$4,'入出庫記録'!$B$5:$B$304,"&lt;"&amp;EDATE($B$4,1),'入出庫記録'!$AA$5:$AA$304,"記帳済み")</f>
        <v>2550</v>
      </c>
    </row>
    <row r="15" ht="22" customHeight="true">
      <c r="A15" s="66" t="str">
        <f>TEXT(EDATE($B$4,-3),"yyyy-mm")</f>
        <v>2026-02</v>
      </c>
      <c r="B15" s="34" t="n">
        <f>SUMIFS('入出庫記録'!$L$5:$L$304,'入出庫記録'!$E$5:$E$304,"入庫",'入出庫記録'!$B$5:$B$304,"&gt;="&amp;EDATE($B$4,-3),'入出庫記録'!$B$5:$B$304,"&lt;"&amp;EDATE(EDATE($B$4,-3),1),'入出庫記録'!$AA$5:$AA$304,"記帳済み")+SUMIFS('入出庫記録'!$L$5:$L$304,'入出庫記録'!$E$5:$E$304,"振替入庫",'入出庫記録'!$B$5:$B$304,"&gt;="&amp;EDATE($B$4,-3),'入出庫記録'!$B$5:$B$304,"&lt;"&amp;EDATE(EDATE($B$4,-3),1),'入出庫記録'!$AA$5:$AA$304,"記帳済み")</f>
        <v>0</v>
      </c>
      <c r="C15" s="34" t="n">
        <f>SUMIFS('入出庫記録'!$L$5:$L$304,'入出庫記録'!$E$5:$E$304,"出庫",'入出庫記録'!$B$5:$B$304,"&gt;="&amp;EDATE($B$4,-3),'入出庫記録'!$B$5:$B$304,"&lt;"&amp;EDATE(EDATE($B$4,-3),1),'入出庫記録'!$AA$5:$AA$304,"記帳済み")+SUMIFS('入出庫記録'!$L$5:$L$304,'入出庫記録'!$E$5:$E$304,"振替出庫",'入出庫記録'!$B$5:$B$304,"&gt;="&amp;EDATE($B$4,-3),'入出庫記録'!$B$5:$B$304,"&lt;"&amp;EDATE(EDATE($B$4,-3),1),'入出庫記録'!$AA$5:$AA$304,"記帳済み")</f>
        <v>0</v>
      </c>
      <c r="D15" s="34" t="n">
        <f>SUMIFS('入出庫記録'!$L$5:$L$304,'入出庫記録'!$E$5:$E$304,"在庫調整",'入出庫記録'!$B$5:$B$304,"&gt;="&amp;EDATE($B$4,-3),'入出庫記録'!$B$5:$B$304,"&lt;"&amp;EDATE(EDATE($B$4,-3),1),'入出庫記録'!$AA$5:$AA$304,"記帳済み")</f>
        <v>0</v>
      </c>
      <c r="F15" s="29" t="s">
        <v>96</v>
      </c>
      <c r="G15" s="34" t="n">
        <f>SUMIFS('入出庫記録'!$L$5:$L$304,'入出庫記録'!$D$5:$D$304,F15,'入出庫記録'!$B$5:$B$304,"&gt;="&amp;$B$4,'入出庫記録'!$B$5:$B$304,"&lt;"&amp;EDATE($B$4,1),'入出庫記録'!$AA$5:$AA$304,"記帳済み")</f>
        <v>1200</v>
      </c>
      <c r="H15" s="34" t="n">
        <f>SUMIFS('入出庫記録'!$O$5:$O$304,'入出庫記録'!$D$5:$D$304,F15,'入出庫記録'!$B$5:$B$304,"&gt;="&amp;$B$4,'入出庫記録'!$B$5:$B$304,"&lt;"&amp;EDATE($B$4,1),'入出庫記録'!$AA$5:$AA$304,"記帳済み")</f>
        <v>5040</v>
      </c>
    </row>
    <row r="16" ht="22" customHeight="true">
      <c r="A16" s="66" t="str">
        <f>TEXT(EDATE($B$4,-2),"yyyy-mm")</f>
        <v>2026-03</v>
      </c>
      <c r="B16" s="34" t="n">
        <f>SUMIFS('入出庫記録'!$L$5:$L$304,'入出庫記録'!$E$5:$E$304,"入庫",'入出庫記録'!$B$5:$B$304,"&gt;="&amp;EDATE($B$4,-2),'入出庫記録'!$B$5:$B$304,"&lt;"&amp;EDATE(EDATE($B$4,-2),1),'入出庫記録'!$AA$5:$AA$304,"記帳済み")+SUMIFS('入出庫記録'!$L$5:$L$304,'入出庫記録'!$E$5:$E$304,"振替入庫",'入出庫記録'!$B$5:$B$304,"&gt;="&amp;EDATE($B$4,-2),'入出庫記録'!$B$5:$B$304,"&lt;"&amp;EDATE(EDATE($B$4,-2),1),'入出庫記録'!$AA$5:$AA$304,"記帳済み")</f>
        <v>0</v>
      </c>
      <c r="C16" s="34" t="n">
        <f>SUMIFS('入出庫記録'!$L$5:$L$304,'入出庫記録'!$E$5:$E$304,"出庫",'入出庫記録'!$B$5:$B$304,"&gt;="&amp;EDATE($B$4,-2),'入出庫記録'!$B$5:$B$304,"&lt;"&amp;EDATE(EDATE($B$4,-2),1),'入出庫記録'!$AA$5:$AA$304,"記帳済み")+SUMIFS('入出庫記録'!$L$5:$L$304,'入出庫記録'!$E$5:$E$304,"振替出庫",'入出庫記録'!$B$5:$B$304,"&gt;="&amp;EDATE($B$4,-2),'入出庫記録'!$B$5:$B$304,"&lt;"&amp;EDATE(EDATE($B$4,-2),1),'入出庫記録'!$AA$5:$AA$304,"記帳済み")</f>
        <v>0</v>
      </c>
      <c r="D16" s="34" t="n">
        <f>SUMIFS('入出庫記録'!$L$5:$L$304,'入出庫記録'!$E$5:$E$304,"在庫調整",'入出庫記録'!$B$5:$B$304,"&gt;="&amp;EDATE($B$4,-2),'入出庫記録'!$B$5:$B$304,"&lt;"&amp;EDATE(EDATE($B$4,-2),1),'入出庫記録'!$AA$5:$AA$304,"記帳済み")</f>
        <v>0</v>
      </c>
      <c r="F16" s="29" t="s">
        <v>97</v>
      </c>
      <c r="G16" s="34" t="n">
        <f>SUMIFS('入出庫記録'!$L$5:$L$304,'入出庫記録'!$D$5:$D$304,F16,'入出庫記録'!$B$5:$B$304,"&gt;="&amp;$B$4,'入出庫記録'!$B$5:$B$304,"&lt;"&amp;EDATE($B$4,1),'入出庫記録'!$AA$5:$AA$304,"記帳済み")</f>
        <v>150</v>
      </c>
      <c r="H16" s="34" t="n">
        <f>SUMIFS('入出庫記録'!$O$5:$O$304,'入出庫記録'!$D$5:$D$304,F16,'入出庫記録'!$B$5:$B$304,"&gt;="&amp;$B$4,'入出庫記録'!$B$5:$B$304,"&lt;"&amp;EDATE($B$4,1),'入出庫記録'!$AA$5:$AA$304,"記帳済み")</f>
        <v>630</v>
      </c>
    </row>
    <row r="17" ht="22" customHeight="true">
      <c r="A17" s="66" t="str">
        <f>TEXT(EDATE($B$4,-1),"yyyy-mm")</f>
        <v>2026-04</v>
      </c>
      <c r="B17" s="34" t="n">
        <f>SUMIFS('入出庫記録'!$L$5:$L$304,'入出庫記録'!$E$5:$E$304,"入庫",'入出庫記録'!$B$5:$B$304,"&gt;="&amp;EDATE($B$4,-1),'入出庫記録'!$B$5:$B$304,"&lt;"&amp;EDATE(EDATE($B$4,-1),1),'入出庫記録'!$AA$5:$AA$304,"記帳済み")+SUMIFS('入出庫記録'!$L$5:$L$304,'入出庫記録'!$E$5:$E$304,"振替入庫",'入出庫記録'!$B$5:$B$304,"&gt;="&amp;EDATE($B$4,-1),'入出庫記録'!$B$5:$B$304,"&lt;"&amp;EDATE(EDATE($B$4,-1),1),'入出庫記録'!$AA$5:$AA$304,"記帳済み")</f>
        <v>0</v>
      </c>
      <c r="C17" s="34" t="n">
        <f>SUMIFS('入出庫記録'!$L$5:$L$304,'入出庫記録'!$E$5:$E$304,"出庫",'入出庫記録'!$B$5:$B$304,"&gt;="&amp;EDATE($B$4,-1),'入出庫記録'!$B$5:$B$304,"&lt;"&amp;EDATE(EDATE($B$4,-1),1),'入出庫記録'!$AA$5:$AA$304,"記帳済み")+SUMIFS('入出庫記録'!$L$5:$L$304,'入出庫記録'!$E$5:$E$304,"振替出庫",'入出庫記録'!$B$5:$B$304,"&gt;="&amp;EDATE($B$4,-1),'入出庫記録'!$B$5:$B$304,"&lt;"&amp;EDATE(EDATE($B$4,-1),1),'入出庫記録'!$AA$5:$AA$304,"記帳済み")</f>
        <v>0</v>
      </c>
      <c r="D17" s="34" t="n">
        <f>SUMIFS('入出庫記録'!$L$5:$L$304,'入出庫記録'!$E$5:$E$304,"在庫調整",'入出庫記録'!$B$5:$B$304,"&gt;="&amp;EDATE($B$4,-1),'入出庫記録'!$B$5:$B$304,"&lt;"&amp;EDATE(EDATE($B$4,-1),1),'入出庫記録'!$AA$5:$AA$304,"記帳済み")</f>
        <v>0</v>
      </c>
      <c r="F17" s="29" t="s">
        <v>98</v>
      </c>
      <c r="G17" s="34" t="n">
        <f>SUMIFS('入出庫記録'!$L$5:$L$304,'入出庫記録'!$D$5:$D$304,F17,'入出庫記録'!$B$5:$B$304,"&gt;="&amp;$B$4,'入出庫記録'!$B$5:$B$304,"&lt;"&amp;EDATE($B$4,1),'入出庫記録'!$AA$5:$AA$304,"記帳済み")</f>
        <v>5</v>
      </c>
      <c r="H17" s="34" t="n">
        <f>SUMIFS('入出庫記録'!$O$5:$O$304,'入出庫記録'!$D$5:$D$304,F17,'入出庫記録'!$B$5:$B$304,"&gt;="&amp;$B$4,'入出庫記録'!$B$5:$B$304,"&lt;"&amp;EDATE($B$4,1),'入出庫記録'!$AA$5:$AA$304,"記帳済み")</f>
        <v>425</v>
      </c>
    </row>
    <row r="18" ht="22" customHeight="true">
      <c r="A18" s="66" t="str">
        <f>TEXT(EDATE($B$4,0),"yyyy-mm")</f>
        <v>2026-05</v>
      </c>
      <c r="B18" s="34" t="n">
        <f>SUMIFS('入出庫記録'!$L$5:$L$304,'入出庫記録'!$E$5:$E$304,"入庫",'入出庫記録'!$B$5:$B$304,"&gt;="&amp;EDATE($B$4,0),'入出庫記録'!$B$5:$B$304,"&lt;"&amp;EDATE(EDATE($B$4,0),1),'入出庫記録'!$AA$5:$AA$304,"記帳済み")+SUMIFS('入出庫記録'!$L$5:$L$304,'入出庫記録'!$E$5:$E$304,"振替入庫",'入出庫記録'!$B$5:$B$304,"&gt;="&amp;EDATE($B$4,0),'入出庫記録'!$B$5:$B$304,"&lt;"&amp;EDATE(EDATE($B$4,0),1),'入出庫記録'!$AA$5:$AA$304,"記帳済み")</f>
        <v>8218</v>
      </c>
      <c r="C18" s="34" t="n">
        <f>SUMIFS('入出庫記録'!$L$5:$L$304,'入出庫記録'!$E$5:$E$304,"出庫",'入出庫記録'!$B$5:$B$304,"&gt;="&amp;EDATE($B$4,0),'入出庫記録'!$B$5:$B$304,"&lt;"&amp;EDATE(EDATE($B$4,0),1),'入出庫記録'!$AA$5:$AA$304,"記帳済み")+SUMIFS('入出庫記録'!$L$5:$L$304,'入出庫記録'!$E$5:$E$304,"振替出庫",'入出庫記録'!$B$5:$B$304,"&gt;="&amp;EDATE($B$4,0),'入出庫記録'!$B$5:$B$304,"&lt;"&amp;EDATE(EDATE($B$4,0),1),'入出庫記録'!$AA$5:$AA$304,"記帳済み")</f>
        <v>2257</v>
      </c>
      <c r="D18" s="34" t="n">
        <f>SUMIFS('入出庫記録'!$L$5:$L$304,'入出庫記録'!$E$5:$E$304,"在庫調整",'入出庫記録'!$B$5:$B$304,"&gt;="&amp;EDATE($B$4,0),'入出庫記録'!$B$5:$B$304,"&lt;"&amp;EDATE(EDATE($B$4,0),1),'入出庫記録'!$AA$5:$AA$304,"記帳済み")</f>
        <v>-50</v>
      </c>
      <c r="F18" s="29" t="s">
        <v>99</v>
      </c>
      <c r="G18" s="34" t="n">
        <f>SUMIFS('入出庫記録'!$L$5:$L$304,'入出庫記録'!$D$5:$D$304,F18,'入出庫記録'!$B$5:$B$304,"&gt;="&amp;$B$4,'入出庫記録'!$B$5:$B$304,"&lt;"&amp;EDATE($B$4,1),'入出庫記録'!$AA$5:$AA$304,"記帳済み")</f>
        <v>200</v>
      </c>
      <c r="H18" s="34" t="n">
        <f>SUMIFS('入出庫記録'!$O$5:$O$304,'入出庫記録'!$D$5:$D$304,F18,'入出庫記録'!$B$5:$B$304,"&gt;="&amp;$B$4,'入出庫記録'!$B$5:$B$304,"&lt;"&amp;EDATE($B$4,1),'入出庫記録'!$AA$5:$AA$304,"記帳済み")</f>
        <v>840</v>
      </c>
    </row>
    <row r="19" ht="22" customHeight="true">
      <c r="F19" s="29" t="s">
        <v>35</v>
      </c>
      <c r="G19" s="34" t="n">
        <f>SUMIFS('入出庫記録'!$L$5:$L$304,'入出庫記録'!$D$5:$D$304,F19,'入出庫記録'!$B$5:$B$304,"&gt;="&amp;$B$4,'入出庫記録'!$B$5:$B$304,"&lt;"&amp;EDATE($B$4,1),'入出庫記録'!$AA$5:$AA$304,"記帳済み")</f>
        <v>40</v>
      </c>
      <c r="H19" s="34" t="n">
        <f>SUMIFS('入出庫記録'!$O$5:$O$304,'入出庫記録'!$D$5:$D$304,F19,'入出庫記録'!$B$5:$B$304,"&gt;="&amp;$B$4,'入出庫記録'!$B$5:$B$304,"&lt;"&amp;EDATE($B$4,1),'入出庫記録'!$AA$5:$AA$304,"記帳済み")</f>
        <v>3400</v>
      </c>
    </row>
    <row r="20" ht="22" customHeight="true">
      <c r="F20" s="29" t="s">
        <v>100</v>
      </c>
      <c r="G20" s="34" t="n">
        <f>SUMIFS('入出庫記録'!$L$5:$L$304,'入出庫記録'!$D$5:$D$304,F20,'入出庫記録'!$B$5:$B$304,"&gt;="&amp;$B$4,'入出庫記録'!$B$5:$B$304,"&lt;"&amp;EDATE($B$4,1),'入出庫記録'!$AA$5:$AA$304,"記帳済み")</f>
        <v>2</v>
      </c>
      <c r="H20" s="34" t="n">
        <f>SUMIFS('入出庫記録'!$O$5:$O$304,'入出庫記録'!$D$5:$D$304,F20,'入出庫記録'!$B$5:$B$304,"&gt;="&amp;$B$4,'入出庫記録'!$B$5:$B$304,"&lt;"&amp;EDATE($B$4,1),'入出庫記録'!$AA$5:$AA$304,"記帳済み")</f>
        <v>76</v>
      </c>
    </row>
    <row r="21" ht="22" customHeight="true">
      <c r="F21" s="29" t="s">
        <v>101</v>
      </c>
      <c r="G21" s="34" t="n">
        <f>SUMIFS('入出庫記録'!$L$5:$L$304,'入出庫記録'!$D$5:$D$304,F21,'入出庫記録'!$B$5:$B$304,"&gt;="&amp;$B$4,'入出庫記録'!$B$5:$B$304,"&lt;"&amp;EDATE($B$4,1),'入出庫記録'!$AA$5:$AA$304,"記帳済み")</f>
        <v>5</v>
      </c>
      <c r="H21" s="34" t="n">
        <f>SUMIFS('入出庫記録'!$O$5:$O$304,'入出庫記録'!$D$5:$D$304,F21,'入出庫記録'!$B$5:$B$304,"&gt;="&amp;$B$4,'入出庫記録'!$B$5:$B$304,"&lt;"&amp;EDATE($B$4,1),'入出庫記録'!$AA$5:$AA$304,"記帳済み")</f>
        <v>190</v>
      </c>
    </row>
    <row r="22" ht="22" customHeight="true">
      <c r="F22" s="29" t="s">
        <v>102</v>
      </c>
      <c r="G22" s="34" t="n">
        <f>SUMIFS('入出庫記録'!$L$5:$L$304,'入出庫記録'!$D$5:$D$304,F22,'入出庫記録'!$B$5:$B$304,"&gt;="&amp;$B$4,'入出庫記録'!$B$5:$B$304,"&lt;"&amp;EDATE($B$4,1),'入出庫記録'!$AA$5:$AA$304,"記帳済み")</f>
        <v>800</v>
      </c>
      <c r="H22" s="34" t="n">
        <f>SUMIFS('入出庫記録'!$O$5:$O$304,'入出庫記録'!$D$5:$D$304,F22,'入出庫記録'!$B$5:$B$304,"&gt;="&amp;$B$4,'入出庫記録'!$B$5:$B$304,"&lt;"&amp;EDATE($B$4,1),'入出庫記録'!$AA$5:$AA$304,"記帳済み")</f>
        <v>3360</v>
      </c>
    </row>
    <row r="23" ht="22" customHeight="true">
      <c r="F23" s="29" t="s">
        <v>103</v>
      </c>
      <c r="G23" s="34" t="n">
        <f>SUMIFS('入出庫記録'!$L$5:$L$304,'入出庫記録'!$D$5:$D$304,F23,'入出庫記録'!$B$5:$B$304,"&gt;="&amp;$B$4,'入出庫記録'!$B$5:$B$304,"&lt;"&amp;EDATE($B$4,1),'入出庫記録'!$AA$5:$AA$304,"記帳済み")</f>
        <v>40</v>
      </c>
      <c r="H23" s="34" t="n">
        <f>SUMIFS('入出庫記録'!$O$5:$O$304,'入出庫記録'!$D$5:$D$304,F23,'入出庫記録'!$B$5:$B$304,"&gt;="&amp;$B$4,'入出庫記録'!$B$5:$B$304,"&lt;"&amp;EDATE($B$4,1),'入出庫記録'!$AA$5:$AA$304,"記帳済み")</f>
        <v>3400</v>
      </c>
    </row>
    <row r="24" ht="22" customHeight="true"/>
    <row r="25" ht="22" customHeight="true"/>
    <row r="26" ht="22" customHeight="true"/>
    <row r="27" ht="22" customHeight="true"/>
    <row r="28" ht="22" customHeight="true"/>
    <row r="29" ht="22" customHeight="true"/>
    <row r="30" ht="22" customHeight="true"/>
    <row r="31" ht="22" customHeight="true"/>
    <row r="32" ht="22" customHeight="true"/>
    <row r="33" ht="22" customHeight="true"/>
  </sheetData>
  <pageMargins left="0.7" right="0.7" top="0.75" bottom="0.75" header="0.3" footer="0.3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rawing r:id="Rf130297196e14668"/>
</worksheet>
</file>

<file path=xl/worksheets/sheet3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8"/>
    <col customWidth="true" max="2" min="2" width="12"/>
    <col customWidth="true" max="3" min="3" width="18"/>
    <col customWidth="true" max="4" min="4" width="13"/>
    <col customWidth="true" max="5" min="5" width="12"/>
    <col customWidth="true" max="6" min="6" width="13"/>
    <col customWidth="true" max="7" min="7" width="15"/>
    <col customWidth="true" max="8" min="8" width="14"/>
    <col customWidth="true" max="10" min="9" width="16"/>
    <col customWidth="true" max="11" min="11" width="13"/>
    <col customWidth="true" max="12" min="12" width="10"/>
    <col customWidth="true" max="13" min="13" width="9"/>
    <col customWidth="true" max="14" min="14" width="11"/>
    <col customWidth="true" max="15" min="15" width="12"/>
    <col customWidth="true" max="16" min="16" width="9"/>
    <col customWidth="true" max="21" min="17" width="12"/>
    <col customWidth="true" max="23" min="22" width="16"/>
    <col customWidth="true" max="24" min="24" width="14"/>
    <col customWidth="true" max="25" min="25" width="10"/>
    <col customWidth="true" max="27" min="26" width="12"/>
    <col customWidth="true" max="28" min="28" width="22"/>
    <col customWidth="true" max="29" min="29" width="11"/>
    <col customWidth="true" max="31" min="30" width="13"/>
    <col customWidth="true" max="32" min="32" width="16"/>
  </cols>
  <sheetData>
    <row r="1" ht="32" customHeight="true">
      <c r="A1" s="4" t="s">
        <v>14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</row>
    <row r="2" ht="22" customHeight="true">
      <c r="A2" s="64" t="s">
        <v>104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</row>
    <row r="3"/>
    <row r="4" ht="32" customHeight="true">
      <c r="A4" s="19" t="s">
        <v>105</v>
      </c>
      <c r="B4" s="19" t="s">
        <v>106</v>
      </c>
      <c r="C4" s="19" t="s">
        <v>107</v>
      </c>
      <c r="D4" s="19" t="s">
        <v>108</v>
      </c>
      <c r="E4" s="19" t="s">
        <v>109</v>
      </c>
      <c r="F4" s="19" t="s">
        <v>110</v>
      </c>
      <c r="G4" s="19" t="s">
        <v>111</v>
      </c>
      <c r="H4" s="19" t="s">
        <v>112</v>
      </c>
      <c r="I4" s="19" t="s">
        <v>113</v>
      </c>
      <c r="J4" s="19" t="s">
        <v>114</v>
      </c>
      <c r="K4" s="19" t="s">
        <v>115</v>
      </c>
      <c r="L4" s="19" t="str">
        <v>数量*</v>
      </c>
      <c r="M4" s="19" t="s">
        <v>116</v>
      </c>
      <c r="N4" s="19" t="s">
        <v>117</v>
      </c>
      <c r="O4" s="19" t="s">
        <v>95</v>
      </c>
      <c r="P4" s="19" t="str">
        <v>税率</v>
      </c>
      <c r="Q4" s="19" t="s">
        <v>118</v>
      </c>
      <c r="R4" s="19" t="s">
        <v>119</v>
      </c>
      <c r="S4" s="19" t="s">
        <v>120</v>
      </c>
      <c r="T4" s="19" t="s">
        <v>121</v>
      </c>
      <c r="U4" s="19" t="s">
        <v>122</v>
      </c>
      <c r="V4" s="19" t="s">
        <v>123</v>
      </c>
      <c r="W4" s="19" t="s">
        <v>124</v>
      </c>
      <c r="X4" s="19" t="s">
        <v>125</v>
      </c>
      <c r="Y4" s="19" t="s">
        <v>126</v>
      </c>
      <c r="Z4" s="19" t="s">
        <v>127</v>
      </c>
      <c r="AA4" s="19" t="s">
        <v>128</v>
      </c>
      <c r="AB4" s="19" t="s">
        <v>25</v>
      </c>
      <c r="AC4" s="19" t="s">
        <v>59</v>
      </c>
      <c r="AD4" s="19" t="s">
        <v>129</v>
      </c>
      <c r="AE4" s="19" t="s">
        <v>130</v>
      </c>
      <c r="AF4" s="19" t="s">
        <v>65</v>
      </c>
    </row>
    <row r="5" ht="20" customHeight="true">
      <c r="A5" s="29" t="n">
        <v>1</v>
      </c>
      <c r="B5" s="38" t="n">
        <v>46143</v>
      </c>
      <c r="C5" s="29" t="str">
        <v>PO-20260501-001</v>
      </c>
      <c r="D5" s="29" t="s">
        <v>26</v>
      </c>
      <c r="E5" s="29" t="s">
        <v>131</v>
      </c>
      <c r="F5" s="29" t="str">
        <v>SKU-003</v>
      </c>
      <c r="G5" s="29" t="str">
        <f>IFERROR(VLOOKUP(F5,'商品マスタ'!$A$4:$S$104,2,FALSE),"")</f>
        <v>原材料A</v>
      </c>
      <c r="H5" s="29" t="str">
        <f>IFERROR(VLOOKUP(F5,'商品マスタ'!$A$4:$S$104,3,FALSE),"")</f>
        <v>25kg袋</v>
      </c>
      <c r="I5" s="29" t="str">
        <v>BATCH-A250501</v>
      </c>
      <c r="J5" s="29"/>
      <c r="K5" s="29" t="s">
        <v>132</v>
      </c>
      <c r="L5" s="34" t="n">
        <v>5000</v>
      </c>
      <c r="M5" s="29" t="str">
        <f>IFERROR(VLOOKUP(F5,'商品マスタ'!$A$4:$S$104,7,FALSE),"")</f>
        <v>kg</v>
      </c>
      <c r="N5" s="34" t="n">
        <v>4.2</v>
      </c>
      <c r="O5" s="34" t="n">
        <f>IFERROR(L5*N5,0)</f>
        <v>21000</v>
      </c>
      <c r="P5" s="36" t="n">
        <v>0.13</v>
      </c>
      <c r="Q5" s="34" t="n">
        <f>IFERROR(O5*(1+P5),0)</f>
        <v>23729.999999999996</v>
      </c>
      <c r="R5" s="29"/>
      <c r="S5" s="29"/>
      <c r="T5" s="29" t="str">
        <v>WH-A</v>
      </c>
      <c r="U5" s="29" t="str">
        <v>A-01-01</v>
      </c>
      <c r="V5" s="29" t="str">
        <v>SUP-001</v>
      </c>
      <c r="W5" s="29" t="str">
        <v>PO-1001</v>
      </c>
      <c r="X5" s="29" t="s">
        <v>133</v>
      </c>
      <c r="Y5" s="29" t="s">
        <v>134</v>
      </c>
      <c r="Z5" s="29" t="s">
        <v>135</v>
      </c>
      <c r="AA5" s="29" t="s">
        <v>136</v>
      </c>
      <c r="AB5" s="29" t="s">
        <v>137</v>
      </c>
      <c r="AC5" s="34" t="n">
        <f>IF(AA5&lt;&gt;"記帳済み",0,IF(OR(E5="入庫",E5="振替入庫"),L5,IF(OR(E5="出庫",E5="振替出庫"),-L5,IF(E5="在庫調整",L5,0))))</f>
        <v>5000</v>
      </c>
      <c r="AD5" s="29" t="str">
        <f>IF(OR(E5="入庫",E5="振替入庫",E5="在庫調整"),T5,IF(OR(E5="出庫",E5="振替出庫"),R5,""))</f>
        <v>WH-A</v>
      </c>
      <c r="AE5" s="29" t="str">
        <f>IF(OR(E5="入庫",E5="振替入庫",E5="在庫調整"),U5,IF(OR(E5="出庫",E5="振替出庫"),S5,""))</f>
        <v>A-01-01</v>
      </c>
      <c r="AF5" s="29" t="str">
        <f>IF(COUNTA(B5:F5)=0,"",IF(OR(B5="",C5="",D5="",E5="",F5="",L5=""),"必須項目不足",IF(AND(E5&lt;&gt;"在庫調整",L5&lt;=0),"数量は0より大きくしてください",IF(AND(E5="在庫調整",L5=0),"調整数量は0にできません",IF(AND(OR(E5="出庫",E5="振替出庫"),R5=""),"移動元倉庫不足",IF(AND(OR(E5="入庫",E5="振替入庫",E5="在庫調整"),T5=""),"移動先倉庫不足","確認済み"))))))</f>
        <v>確認済み</v>
      </c>
    </row>
    <row r="6" ht="20" customHeight="true">
      <c r="A6" s="29" t="n">
        <v>2</v>
      </c>
      <c r="B6" s="38" t="n">
        <v>46143</v>
      </c>
      <c r="C6" s="29" t="str">
        <v>PO-20260501-002</v>
      </c>
      <c r="D6" s="29" t="s">
        <v>26</v>
      </c>
      <c r="E6" s="29" t="s">
        <v>131</v>
      </c>
      <c r="F6" s="29" t="str">
        <v>SKU-001</v>
      </c>
      <c r="G6" s="29" t="str">
        <f>IFERROR(VLOOKUP(F6,'商品マスタ'!$A$4:$S$104,2,FALSE),"")</f>
        <v>ねじ</v>
      </c>
      <c r="H6" s="29" t="str">
        <f>IFERROR(VLOOKUP(F6,'商品マスタ'!$A$4:$S$104,3,FALSE),"")</f>
        <v>M6x20</v>
      </c>
      <c r="I6" s="29" t="str">
        <v>BATCH-M60501</v>
      </c>
      <c r="J6" s="29"/>
      <c r="K6" s="29" t="s">
        <v>132</v>
      </c>
      <c r="L6" s="34" t="n">
        <v>3000</v>
      </c>
      <c r="M6" s="29" t="str">
        <f>IFERROR(VLOOKUP(F6,'商品マスタ'!$A$4:$S$104,7,FALSE),"")</f>
        <v>pcs</v>
      </c>
      <c r="N6" s="34" t="n">
        <v>0.08</v>
      </c>
      <c r="O6" s="34" t="n">
        <f>IFERROR(L6*N6,0)</f>
        <v>240</v>
      </c>
      <c r="P6" s="36" t="n">
        <v>0.13</v>
      </c>
      <c r="Q6" s="34" t="n">
        <f>IFERROR(O6*(1+P6),0)</f>
        <v>271.2</v>
      </c>
      <c r="R6" s="29"/>
      <c r="S6" s="29"/>
      <c r="T6" s="29" t="str">
        <v>WH-A</v>
      </c>
      <c r="U6" s="29" t="str">
        <v>A-02-01</v>
      </c>
      <c r="V6" s="29" t="str">
        <v>SUP-002</v>
      </c>
      <c r="W6" s="29" t="str">
        <v>PO-1002</v>
      </c>
      <c r="X6" s="29" t="s">
        <v>133</v>
      </c>
      <c r="Y6" s="29" t="s">
        <v>134</v>
      </c>
      <c r="Z6" s="29" t="s">
        <v>135</v>
      </c>
      <c r="AA6" s="29" t="s">
        <v>136</v>
      </c>
      <c r="AB6" s="29"/>
      <c r="AC6" s="34" t="n">
        <f>IF(AA6&lt;&gt;"記帳済み",0,IF(OR(E6="入庫",E6="振替入庫"),L6,IF(OR(E6="出庫",E6="振替出庫"),-L6,IF(E6="在庫調整",L6,0))))</f>
        <v>3000</v>
      </c>
      <c r="AD6" s="29" t="str">
        <f>IF(OR(E6="入庫",E6="振替入庫",E6="在庫調整"),T6,IF(OR(E6="出庫",E6="振替出庫"),R6,""))</f>
        <v>WH-A</v>
      </c>
      <c r="AE6" s="29" t="str">
        <f>IF(OR(E6="入庫",E6="振替入庫",E6="在庫調整"),U6,IF(OR(E6="出庫",E6="振替出庫"),S6,""))</f>
        <v>A-02-01</v>
      </c>
      <c r="AF6" s="29" t="str">
        <f>IF(COUNTA(B6:F6)=0,"",IF(OR(B6="",C6="",D6="",E6="",F6="",L6=""),"必須項目不足",IF(AND(E6&lt;&gt;"在庫調整",L6&lt;=0),"数量は0より大きくしてください",IF(AND(E6="在庫調整",L6=0),"調整数量は0にできません",IF(AND(OR(E6="出庫",E6="振替出庫"),R6=""),"移動元倉庫不足",IF(AND(OR(E6="入庫",E6="振替入庫",E6="在庫調整"),T6=""),"移動先倉庫不足","確認済み"))))))</f>
        <v>確認済み</v>
      </c>
    </row>
    <row r="7" ht="20" customHeight="true">
      <c r="A7" s="29" t="n">
        <v>3</v>
      </c>
      <c r="B7" s="38" t="n">
        <v>46144</v>
      </c>
      <c r="C7" s="29" t="str">
        <v>SO-20260502-001</v>
      </c>
      <c r="D7" s="29" t="s">
        <v>29</v>
      </c>
      <c r="E7" s="29" t="s">
        <v>138</v>
      </c>
      <c r="F7" s="29" t="str">
        <v>SKU-004</v>
      </c>
      <c r="G7" s="29" t="str">
        <f>IFERROR(VLOOKUP(F7,'商品マスタ'!$A$4:$S$104,2,FALSE),"")</f>
        <v>製品B</v>
      </c>
      <c r="H7" s="29" t="str">
        <f>IFERROR(VLOOKUP(F7,'商品マスタ'!$A$4:$S$104,3,FALSE),"")</f>
        <v>標準版</v>
      </c>
      <c r="I7" s="29" t="str">
        <v>FGB250501</v>
      </c>
      <c r="J7" s="29" t="str">
        <v>BOX-C001</v>
      </c>
      <c r="K7" s="29" t="s">
        <v>132</v>
      </c>
      <c r="L7" s="34" t="n">
        <v>30</v>
      </c>
      <c r="M7" s="29" t="str">
        <f>IFERROR(VLOOKUP(F7,'商品マスタ'!$A$4:$S$104,7,FALSE),"")</f>
        <v>pcs</v>
      </c>
      <c r="N7" s="34" t="n">
        <v>85</v>
      </c>
      <c r="O7" s="34" t="n">
        <f>IFERROR(L7*N7,0)</f>
        <v>2550</v>
      </c>
      <c r="P7" s="36" t="n">
        <v>0.13</v>
      </c>
      <c r="Q7" s="34" t="n">
        <f>IFERROR(O7*(1+P7),0)</f>
        <v>2881.4999999999995</v>
      </c>
      <c r="R7" s="29" t="str">
        <v>WH-B</v>
      </c>
      <c r="S7" s="29" t="str">
        <v>B-01-01</v>
      </c>
      <c r="T7" s="29"/>
      <c r="U7" s="29"/>
      <c r="V7" s="29" t="str">
        <v>CUS-001</v>
      </c>
      <c r="W7" s="29" t="str">
        <v>SO-9001</v>
      </c>
      <c r="X7" s="29" t="s">
        <v>139</v>
      </c>
      <c r="Y7" s="29" t="s">
        <v>140</v>
      </c>
      <c r="Z7" s="29" t="s">
        <v>135</v>
      </c>
      <c r="AA7" s="29" t="s">
        <v>136</v>
      </c>
      <c r="AB7" s="29"/>
      <c r="AC7" s="34" t="n">
        <f>IF(AA7&lt;&gt;"記帳済み",0,IF(OR(E7="入庫",E7="振替入庫"),L7,IF(OR(E7="出庫",E7="振替出庫"),-L7,IF(E7="在庫調整",L7,0))))</f>
        <v>-30</v>
      </c>
      <c r="AD7" s="29" t="str">
        <f>IF(OR(E7="入庫",E7="振替入庫",E7="在庫調整"),T7,IF(OR(E7="出庫",E7="振替出庫"),R7,""))</f>
        <v>WH-B</v>
      </c>
      <c r="AE7" s="29" t="str">
        <f>IF(OR(E7="入庫",E7="振替入庫",E7="在庫調整"),U7,IF(OR(E7="出庫",E7="振替出庫"),S7,""))</f>
        <v>B-01-01</v>
      </c>
      <c r="AF7" s="29" t="str">
        <f>IF(COUNTA(B7:F7)=0,"",IF(OR(B7="",C7="",D7="",E7="",F7="",L7=""),"必須項目不足",IF(AND(E7&lt;&gt;"在庫調整",L7&lt;=0),"数量は0より大きくしてください",IF(AND(E7="在庫調整",L7=0),"調整数量は0にできません",IF(AND(OR(E7="出庫",E7="振替出庫"),R7=""),"移動元倉庫不足",IF(AND(OR(E7="入庫",E7="振替入庫",E7="在庫調整"),T7=""),"移動先倉庫不足","確認済み"))))))</f>
        <v>確認済み</v>
      </c>
    </row>
    <row r="8" ht="20" customHeight="true">
      <c r="A8" s="29" t="n">
        <v>4</v>
      </c>
      <c r="B8" s="38" t="n">
        <v>46145</v>
      </c>
      <c r="C8" s="29" t="str">
        <v>MO-20260503-001</v>
      </c>
      <c r="D8" s="29" t="s">
        <v>96</v>
      </c>
      <c r="E8" s="29" t="s">
        <v>138</v>
      </c>
      <c r="F8" s="29" t="str">
        <v>SKU-003</v>
      </c>
      <c r="G8" s="29" t="str">
        <f>IFERROR(VLOOKUP(F8,'商品マスタ'!$A$4:$S$104,2,FALSE),"")</f>
        <v>原材料A</v>
      </c>
      <c r="H8" s="29" t="str">
        <f>IFERROR(VLOOKUP(F8,'商品マスタ'!$A$4:$S$104,3,FALSE),"")</f>
        <v>25kg袋</v>
      </c>
      <c r="I8" s="29" t="str">
        <v>BATCH-A250501</v>
      </c>
      <c r="J8" s="29"/>
      <c r="K8" s="29" t="s">
        <v>132</v>
      </c>
      <c r="L8" s="34" t="n">
        <v>1200</v>
      </c>
      <c r="M8" s="29" t="str">
        <f>IFERROR(VLOOKUP(F8,'商品マスタ'!$A$4:$S$104,7,FALSE),"")</f>
        <v>kg</v>
      </c>
      <c r="N8" s="34" t="n">
        <v>4.2</v>
      </c>
      <c r="O8" s="34" t="n">
        <f>IFERROR(L8*N8,0)</f>
        <v>5040</v>
      </c>
      <c r="P8" s="36" t="n">
        <v>0.13</v>
      </c>
      <c r="Q8" s="34" t="n">
        <f>IFERROR(O8*(1+P8),0)</f>
        <v>5695.2</v>
      </c>
      <c r="R8" s="29" t="str">
        <v>WH-A</v>
      </c>
      <c r="S8" s="29" t="str">
        <v>A-01-01</v>
      </c>
      <c r="T8" s="29"/>
      <c r="U8" s="29"/>
      <c r="V8" s="29" t="str">
        <v>DEP-PROD</v>
      </c>
      <c r="W8" s="29" t="str">
        <v>MO-6001</v>
      </c>
      <c r="X8" s="29" t="s">
        <v>141</v>
      </c>
      <c r="Y8" s="29" t="s">
        <v>142</v>
      </c>
      <c r="Z8" s="29" t="s">
        <v>135</v>
      </c>
      <c r="AA8" s="29" t="s">
        <v>136</v>
      </c>
      <c r="AB8" s="29"/>
      <c r="AC8" s="34" t="n">
        <f>IF(AA8&lt;&gt;"記帳済み",0,IF(OR(E8="入庫",E8="振替入庫"),L8,IF(OR(E8="出庫",E8="振替出庫"),-L8,IF(E8="在庫調整",L8,0))))</f>
        <v>-1200</v>
      </c>
      <c r="AD8" s="29" t="str">
        <f>IF(OR(E8="入庫",E8="振替入庫",E8="在庫調整"),T8,IF(OR(E8="出庫",E8="振替出庫"),R8,""))</f>
        <v>WH-A</v>
      </c>
      <c r="AE8" s="29" t="str">
        <f>IF(OR(E8="入庫",E8="振替入庫",E8="在庫調整"),U8,IF(OR(E8="出庫",E8="振替出庫"),S8,""))</f>
        <v>A-01-01</v>
      </c>
      <c r="AF8" s="29" t="str">
        <f>IF(COUNTA(B8:F8)=0,"",IF(OR(B8="",C8="",D8="",E8="",F8="",L8=""),"必須項目不足",IF(AND(E8&lt;&gt;"在庫調整",L8&lt;=0),"数量は0より大きくしてください",IF(AND(E8="在庫調整",L8=0),"調整数量は0にできません",IF(AND(OR(E8="出庫",E8="振替出庫"),R8=""),"移動元倉庫不足",IF(AND(OR(E8="入庫",E8="振替入庫",E8="在庫調整"),T8=""),"移動先倉庫不足","確認済み"))))))</f>
        <v>確認済み</v>
      </c>
    </row>
    <row r="9" ht="20" customHeight="true">
      <c r="A9" s="29" t="n">
        <v>5</v>
      </c>
      <c r="B9" s="38" t="n">
        <v>46146</v>
      </c>
      <c r="C9" s="29" t="str">
        <v>MO-20260504-RTN</v>
      </c>
      <c r="D9" s="29" t="s">
        <v>97</v>
      </c>
      <c r="E9" s="29" t="s">
        <v>131</v>
      </c>
      <c r="F9" s="29" t="str">
        <v>SKU-003</v>
      </c>
      <c r="G9" s="29" t="str">
        <f>IFERROR(VLOOKUP(F9,'商品マスタ'!$A$4:$S$104,2,FALSE),"")</f>
        <v>原材料A</v>
      </c>
      <c r="H9" s="29" t="str">
        <f>IFERROR(VLOOKUP(F9,'商品マスタ'!$A$4:$S$104,3,FALSE),"")</f>
        <v>25kg袋</v>
      </c>
      <c r="I9" s="29" t="str">
        <v>BATCH-A250501</v>
      </c>
      <c r="J9" s="29"/>
      <c r="K9" s="29" t="s">
        <v>132</v>
      </c>
      <c r="L9" s="34" t="n">
        <v>150</v>
      </c>
      <c r="M9" s="29" t="str">
        <f>IFERROR(VLOOKUP(F9,'商品マスタ'!$A$4:$S$104,7,FALSE),"")</f>
        <v>kg</v>
      </c>
      <c r="N9" s="34" t="n">
        <v>4.2</v>
      </c>
      <c r="O9" s="34" t="n">
        <f>IFERROR(L9*N9,0)</f>
        <v>630</v>
      </c>
      <c r="P9" s="36" t="n">
        <v>0.13</v>
      </c>
      <c r="Q9" s="34" t="n">
        <f>IFERROR(O9*(1+P9),0)</f>
        <v>711.9</v>
      </c>
      <c r="R9" s="29"/>
      <c r="S9" s="29"/>
      <c r="T9" s="29" t="str">
        <v>WH-A</v>
      </c>
      <c r="U9" s="29" t="str">
        <v>A-01-01</v>
      </c>
      <c r="V9" s="29" t="str">
        <v>DEP-PROD</v>
      </c>
      <c r="W9" s="29" t="str">
        <v>MO-6001</v>
      </c>
      <c r="X9" s="29" t="s">
        <v>143</v>
      </c>
      <c r="Y9" s="29" t="s">
        <v>142</v>
      </c>
      <c r="Z9" s="29" t="s">
        <v>135</v>
      </c>
      <c r="AA9" s="29" t="s">
        <v>136</v>
      </c>
      <c r="AB9" s="29"/>
      <c r="AC9" s="34" t="n">
        <f>IF(AA9&lt;&gt;"記帳済み",0,IF(OR(E9="入庫",E9="振替入庫"),L9,IF(OR(E9="出庫",E9="振替出庫"),-L9,IF(E9="在庫調整",L9,0))))</f>
        <v>150</v>
      </c>
      <c r="AD9" s="29" t="str">
        <f>IF(OR(E9="入庫",E9="振替入庫",E9="在庫調整"),T9,IF(OR(E9="出庫",E9="振替出庫"),R9,""))</f>
        <v>WH-A</v>
      </c>
      <c r="AE9" s="29" t="str">
        <f>IF(OR(E9="入庫",E9="振替入庫",E9="在庫調整"),U9,IF(OR(E9="出庫",E9="振替出庫"),S9,""))</f>
        <v>A-01-01</v>
      </c>
      <c r="AF9" s="29" t="str">
        <f>IF(COUNTA(B9:F9)=0,"",IF(OR(B9="",C9="",D9="",E9="",F9="",L9=""),"必須項目不足",IF(AND(E9&lt;&gt;"在庫調整",L9&lt;=0),"数量は0より大きくしてください",IF(AND(E9="在庫調整",L9=0),"調整数量は0にできません",IF(AND(OR(E9="出庫",E9="振替出庫"),R9=""),"移動元倉庫不足",IF(AND(OR(E9="入庫",E9="振替入庫",E9="在庫調整"),T9=""),"移動先倉庫不足","確認済み"))))))</f>
        <v>確認済み</v>
      </c>
    </row>
    <row r="10" ht="20" customHeight="true">
      <c r="A10" s="29" t="n">
        <v>6</v>
      </c>
      <c r="B10" s="38" t="n">
        <v>46147</v>
      </c>
      <c r="C10" s="29" t="str">
        <v>TR-20260505-001</v>
      </c>
      <c r="D10" s="29" t="s">
        <v>35</v>
      </c>
      <c r="E10" s="29" t="s">
        <v>144</v>
      </c>
      <c r="F10" s="29" t="str">
        <v>SKU-004</v>
      </c>
      <c r="G10" s="29" t="str">
        <f>IFERROR(VLOOKUP(F10,'商品マスタ'!$A$4:$S$104,2,FALSE),"")</f>
        <v>製品B</v>
      </c>
      <c r="H10" s="29" t="str">
        <f>IFERROR(VLOOKUP(F10,'商品マスタ'!$A$4:$S$104,3,FALSE),"")</f>
        <v>標準版</v>
      </c>
      <c r="I10" s="29" t="str">
        <v>FGB250501</v>
      </c>
      <c r="J10" s="29"/>
      <c r="K10" s="29" t="s">
        <v>132</v>
      </c>
      <c r="L10" s="34" t="n">
        <v>20</v>
      </c>
      <c r="M10" s="29" t="str">
        <f>IFERROR(VLOOKUP(F10,'商品マスタ'!$A$4:$S$104,7,FALSE),"")</f>
        <v>pcs</v>
      </c>
      <c r="N10" s="34" t="n">
        <v>85</v>
      </c>
      <c r="O10" s="34" t="n">
        <f>IFERROR(L10*N10,0)</f>
        <v>1700</v>
      </c>
      <c r="P10" s="36" t="n">
        <v>0.13</v>
      </c>
      <c r="Q10" s="34" t="n">
        <f>IFERROR(O10*(1+P10),0)</f>
        <v>1920.9999999999998</v>
      </c>
      <c r="R10" s="29" t="str">
        <v>WH-B</v>
      </c>
      <c r="S10" s="29" t="str">
        <v>B-01-01</v>
      </c>
      <c r="T10" s="29" t="str">
        <v>WH-RET</v>
      </c>
      <c r="U10" s="29" t="str">
        <v>RET-01-01</v>
      </c>
      <c r="V10" s="29" t="s">
        <v>145</v>
      </c>
      <c r="W10" s="29" t="str">
        <v>TR-001</v>
      </c>
      <c r="X10" s="29" t="s">
        <v>146</v>
      </c>
      <c r="Y10" s="29" t="s">
        <v>147</v>
      </c>
      <c r="Z10" s="29" t="s">
        <v>135</v>
      </c>
      <c r="AA10" s="29" t="s">
        <v>136</v>
      </c>
      <c r="AB10" s="29" t="s">
        <v>144</v>
      </c>
      <c r="AC10" s="34" t="n">
        <f>IF(AA10&lt;&gt;"記帳済み",0,IF(OR(E10="入庫",E10="振替入庫"),L10,IF(OR(E10="出庫",E10="振替出庫"),-L10,IF(E10="在庫調整",L10,0))))</f>
        <v>-20</v>
      </c>
      <c r="AD10" s="29" t="str">
        <f>IF(OR(E10="入庫",E10="振替入庫",E10="在庫調整"),T10,IF(OR(E10="出庫",E10="振替出庫"),R10,""))</f>
        <v>WH-B</v>
      </c>
      <c r="AE10" s="29" t="str">
        <f>IF(OR(E10="入庫",E10="振替入庫",E10="在庫調整"),U10,IF(OR(E10="出庫",E10="振替出庫"),S10,""))</f>
        <v>B-01-01</v>
      </c>
      <c r="AF10" s="29" t="str">
        <f>IF(COUNTA(B10:F10)=0,"",IF(OR(B10="",C10="",D10="",E10="",F10="",L10=""),"必須項目不足",IF(AND(E10&lt;&gt;"在庫調整",L10&lt;=0),"数量は0より大きくしてください",IF(AND(E10="在庫調整",L10=0),"調整数量は0にできません",IF(AND(OR(E10="出庫",E10="振替出庫"),R10=""),"移動元倉庫不足",IF(AND(OR(E10="入庫",E10="振替入庫",E10="在庫調整"),T10=""),"移動先倉庫不足","確認済み"))))))</f>
        <v>確認済み</v>
      </c>
    </row>
    <row r="11" ht="20" customHeight="true">
      <c r="A11" s="29" t="n">
        <v>7</v>
      </c>
      <c r="B11" s="38" t="n">
        <v>46147</v>
      </c>
      <c r="C11" s="29" t="str">
        <v>TR-20260505-001</v>
      </c>
      <c r="D11" s="29" t="s">
        <v>35</v>
      </c>
      <c r="E11" s="29" t="s">
        <v>148</v>
      </c>
      <c r="F11" s="29" t="str">
        <v>SKU-004</v>
      </c>
      <c r="G11" s="29" t="str">
        <f>IFERROR(VLOOKUP(F11,'商品マスタ'!$A$4:$S$104,2,FALSE),"")</f>
        <v>製品B</v>
      </c>
      <c r="H11" s="29" t="str">
        <f>IFERROR(VLOOKUP(F11,'商品マスタ'!$A$4:$S$104,3,FALSE),"")</f>
        <v>標準版</v>
      </c>
      <c r="I11" s="29" t="str">
        <v>FGB250501</v>
      </c>
      <c r="J11" s="29"/>
      <c r="K11" s="29" t="s">
        <v>149</v>
      </c>
      <c r="L11" s="34" t="n">
        <v>20</v>
      </c>
      <c r="M11" s="29" t="str">
        <f>IFERROR(VLOOKUP(F11,'商品マスタ'!$A$4:$S$104,7,FALSE),"")</f>
        <v>pcs</v>
      </c>
      <c r="N11" s="34" t="n">
        <v>85</v>
      </c>
      <c r="O11" s="34" t="n">
        <f>IFERROR(L11*N11,0)</f>
        <v>1700</v>
      </c>
      <c r="P11" s="36" t="n">
        <v>0.13</v>
      </c>
      <c r="Q11" s="34" t="n">
        <f>IFERROR(O11*(1+P11),0)</f>
        <v>1920.9999999999998</v>
      </c>
      <c r="R11" s="29" t="str">
        <v>WH-B</v>
      </c>
      <c r="S11" s="29" t="str">
        <v>B-01-01</v>
      </c>
      <c r="T11" s="29" t="str">
        <v>WH-RET</v>
      </c>
      <c r="U11" s="29" t="str">
        <v>RET-01-01</v>
      </c>
      <c r="V11" s="29" t="s">
        <v>145</v>
      </c>
      <c r="W11" s="29" t="str">
        <v>TR-001</v>
      </c>
      <c r="X11" s="29" t="s">
        <v>146</v>
      </c>
      <c r="Y11" s="29" t="s">
        <v>147</v>
      </c>
      <c r="Z11" s="29" t="s">
        <v>135</v>
      </c>
      <c r="AA11" s="29" t="s">
        <v>136</v>
      </c>
      <c r="AB11" s="29" t="s">
        <v>148</v>
      </c>
      <c r="AC11" s="34" t="n">
        <f>IF(AA11&lt;&gt;"記帳済み",0,IF(OR(E11="入庫",E11="振替入庫"),L11,IF(OR(E11="出庫",E11="振替出庫"),-L11,IF(E11="在庫調整",L11,0))))</f>
        <v>20</v>
      </c>
      <c r="AD11" s="29" t="str">
        <f>IF(OR(E11="入庫",E11="振替入庫",E11="在庫調整"),T11,IF(OR(E11="出庫",E11="振替出庫"),R11,""))</f>
        <v>WH-RET</v>
      </c>
      <c r="AE11" s="29" t="str">
        <f>IF(OR(E11="入庫",E11="振替入庫",E11="在庫調整"),U11,IF(OR(E11="出庫",E11="振替出庫"),S11,""))</f>
        <v>RET-01-01</v>
      </c>
      <c r="AF11" s="29" t="str">
        <f>IF(COUNTA(B11:F11)=0,"",IF(OR(B11="",C11="",D11="",E11="",F11="",L11=""),"必須項目不足",IF(AND(E11&lt;&gt;"在庫調整",L11&lt;=0),"数量は0より大きくしてください",IF(AND(E11="在庫調整",L11=0),"調整数量は0にできません",IF(AND(OR(E11="出庫",E11="振替出庫"),R11=""),"移動元倉庫不足",IF(AND(OR(E11="入庫",E11="振替入庫",E11="在庫調整"),T11=""),"移動先倉庫不足","確認済み"))))))</f>
        <v>確認済み</v>
      </c>
    </row>
    <row r="12" ht="20" customHeight="true">
      <c r="A12" s="29" t="n">
        <v>8</v>
      </c>
      <c r="B12" s="38" t="n">
        <v>46148</v>
      </c>
      <c r="C12" s="29" t="str">
        <v>ADJ-20260506-001</v>
      </c>
      <c r="D12" s="29" t="s">
        <v>38</v>
      </c>
      <c r="E12" s="29" t="s">
        <v>150</v>
      </c>
      <c r="F12" s="29" t="str">
        <v>SKU-001</v>
      </c>
      <c r="G12" s="29" t="str">
        <f>IFERROR(VLOOKUP(F12,'商品マスタ'!$A$4:$S$104,2,FALSE),"")</f>
        <v>ねじ</v>
      </c>
      <c r="H12" s="29" t="str">
        <f>IFERROR(VLOOKUP(F12,'商品マスタ'!$A$4:$S$104,3,FALSE),"")</f>
        <v>M6x20</v>
      </c>
      <c r="I12" s="29" t="str">
        <v>BATCH-M60501</v>
      </c>
      <c r="J12" s="29"/>
      <c r="K12" s="29" t="s">
        <v>132</v>
      </c>
      <c r="L12" s="34" t="n">
        <v>-50</v>
      </c>
      <c r="M12" s="29" t="str">
        <f>IFERROR(VLOOKUP(F12,'商品マスタ'!$A$4:$S$104,7,FALSE),"")</f>
        <v>pcs</v>
      </c>
      <c r="N12" s="34" t="n">
        <v>0.08</v>
      </c>
      <c r="O12" s="34" t="n">
        <f>IFERROR(L12*N12,0)</f>
        <v>-4</v>
      </c>
      <c r="P12" s="36" t="n">
        <v>0.13</v>
      </c>
      <c r="Q12" s="34" t="n">
        <f>IFERROR(O12*(1+P12),0)</f>
        <v>-4.52</v>
      </c>
      <c r="R12" s="29"/>
      <c r="S12" s="29"/>
      <c r="T12" s="29" t="str">
        <v>WH-A</v>
      </c>
      <c r="U12" s="29" t="str">
        <v>A-02-01</v>
      </c>
      <c r="V12" s="29" t="s">
        <v>145</v>
      </c>
      <c r="W12" s="29" t="str">
        <v>COUNT-0506</v>
      </c>
      <c r="X12" s="29" t="s">
        <v>38</v>
      </c>
      <c r="Y12" s="29" t="s">
        <v>151</v>
      </c>
      <c r="Z12" s="29" t="s">
        <v>135</v>
      </c>
      <c r="AA12" s="29" t="s">
        <v>136</v>
      </c>
      <c r="AB12" s="29" t="s">
        <v>152</v>
      </c>
      <c r="AC12" s="34" t="n">
        <f>IF(AA12&lt;&gt;"記帳済み",0,IF(OR(E12="入庫",E12="振替入庫"),L12,IF(OR(E12="出庫",E12="振替出庫"),-L12,IF(E12="在庫調整",L12,0))))</f>
        <v>-50</v>
      </c>
      <c r="AD12" s="29" t="str">
        <f>IF(OR(E12="入庫",E12="振替入庫",E12="在庫調整"),T12,IF(OR(E12="出庫",E12="振替出庫"),R12,""))</f>
        <v>WH-A</v>
      </c>
      <c r="AE12" s="29" t="str">
        <f>IF(OR(E12="入庫",E12="振替入庫",E12="在庫調整"),U12,IF(OR(E12="出庫",E12="振替出庫"),S12,""))</f>
        <v>A-02-01</v>
      </c>
      <c r="AF12" s="29" t="str">
        <f>IF(COUNTA(B12:F12)=0,"",IF(OR(B12="",C12="",D12="",E12="",F12="",L12=""),"必須項目不足",IF(AND(E12&lt;&gt;"在庫調整",L12&lt;=0),"数量は0より大きくしてください",IF(AND(E12="在庫調整",L12=0),"調整数量は0にできません",IF(AND(OR(E12="出庫",E12="振替出庫"),R12=""),"移動元倉庫不足",IF(AND(OR(E12="入庫",E12="振替入庫",E12="在庫調整"),T12=""),"移動先倉庫不足","確認済み"))))))</f>
        <v>確認済み</v>
      </c>
    </row>
    <row r="13" ht="20" customHeight="true">
      <c r="A13" s="29" t="n">
        <v>9</v>
      </c>
      <c r="B13" s="38" t="n">
        <v>46149</v>
      </c>
      <c r="C13" s="29" t="str">
        <v>RET-20260507-001</v>
      </c>
      <c r="D13" s="29" t="s">
        <v>98</v>
      </c>
      <c r="E13" s="29" t="s">
        <v>131</v>
      </c>
      <c r="F13" s="29" t="str">
        <v>SKU-004</v>
      </c>
      <c r="G13" s="29" t="str">
        <f>IFERROR(VLOOKUP(F13,'商品マスタ'!$A$4:$S$104,2,FALSE),"")</f>
        <v>製品B</v>
      </c>
      <c r="H13" s="29" t="str">
        <f>IFERROR(VLOOKUP(F13,'商品マスタ'!$A$4:$S$104,3,FALSE),"")</f>
        <v>標準版</v>
      </c>
      <c r="I13" s="29" t="str">
        <v>FGB250501</v>
      </c>
      <c r="J13" s="29"/>
      <c r="K13" s="29" t="s">
        <v>153</v>
      </c>
      <c r="L13" s="34" t="n">
        <v>5</v>
      </c>
      <c r="M13" s="29" t="str">
        <f>IFERROR(VLOOKUP(F13,'商品マスタ'!$A$4:$S$104,7,FALSE),"")</f>
        <v>pcs</v>
      </c>
      <c r="N13" s="34" t="n">
        <v>85</v>
      </c>
      <c r="O13" s="34" t="n">
        <f>IFERROR(L13*N13,0)</f>
        <v>425</v>
      </c>
      <c r="P13" s="36" t="n">
        <v>0.13</v>
      </c>
      <c r="Q13" s="34" t="n">
        <f>IFERROR(O13*(1+P13),0)</f>
        <v>480.24999999999994</v>
      </c>
      <c r="R13" s="29"/>
      <c r="S13" s="29"/>
      <c r="T13" s="29" t="str">
        <v>WH-RET</v>
      </c>
      <c r="U13" s="29" t="str">
        <v>RET-01-01</v>
      </c>
      <c r="V13" s="29" t="str">
        <v>CUS-001</v>
      </c>
      <c r="W13" s="29" t="str">
        <v>RMA-7001</v>
      </c>
      <c r="X13" s="29" t="s">
        <v>154</v>
      </c>
      <c r="Y13" s="29" t="s">
        <v>140</v>
      </c>
      <c r="Z13" s="29" t="s">
        <v>135</v>
      </c>
      <c r="AA13" s="29" t="s">
        <v>136</v>
      </c>
      <c r="AB13" s="29"/>
      <c r="AC13" s="34" t="n">
        <f>IF(AA13&lt;&gt;"記帳済み",0,IF(OR(E13="入庫",E13="振替入庫"),L13,IF(OR(E13="出庫",E13="振替出庫"),-L13,IF(E13="在庫調整",L13,0))))</f>
        <v>5</v>
      </c>
      <c r="AD13" s="29" t="str">
        <f>IF(OR(E13="入庫",E13="振替入庫",E13="在庫調整"),T13,IF(OR(E13="出庫",E13="振替出庫"),R13,""))</f>
        <v>WH-RET</v>
      </c>
      <c r="AE13" s="29" t="str">
        <f>IF(OR(E13="入庫",E13="振替入庫",E13="在庫調整"),U13,IF(OR(E13="出庫",E13="振替出庫"),S13,""))</f>
        <v>RET-01-01</v>
      </c>
      <c r="AF13" s="29" t="str">
        <f>IF(COUNTA(B13:F13)=0,"",IF(OR(B13="",C13="",D13="",E13="",F13="",L13=""),"必須項目不足",IF(AND(E13&lt;&gt;"在庫調整",L13&lt;=0),"数量は0より大きくしてください",IF(AND(E13="在庫調整",L13=0),"調整数量は0にできません",IF(AND(OR(E13="出庫",E13="振替出庫"),R13=""),"移動元倉庫不足",IF(AND(OR(E13="入庫",E13="振替入庫",E13="在庫調整"),T13=""),"移動先倉庫不足","確認済み"))))))</f>
        <v>確認済み</v>
      </c>
    </row>
    <row r="14" ht="20" customHeight="true">
      <c r="A14" s="29" t="n">
        <v>10</v>
      </c>
      <c r="B14" s="38" t="n">
        <v>46150</v>
      </c>
      <c r="C14" s="29" t="str">
        <v>RMA-20260508-001</v>
      </c>
      <c r="D14" s="29" t="s">
        <v>99</v>
      </c>
      <c r="E14" s="29" t="s">
        <v>138</v>
      </c>
      <c r="F14" s="29" t="str">
        <v>SKU-003</v>
      </c>
      <c r="G14" s="29" t="str">
        <f>IFERROR(VLOOKUP(F14,'商品マスタ'!$A$4:$S$104,2,FALSE),"")</f>
        <v>原材料A</v>
      </c>
      <c r="H14" s="29" t="str">
        <f>IFERROR(VLOOKUP(F14,'商品マスタ'!$A$4:$S$104,3,FALSE),"")</f>
        <v>25kg袋</v>
      </c>
      <c r="I14" s="29" t="str">
        <v>BATCH-A250501</v>
      </c>
      <c r="J14" s="29"/>
      <c r="K14" s="29" t="s">
        <v>132</v>
      </c>
      <c r="L14" s="34" t="n">
        <v>200</v>
      </c>
      <c r="M14" s="29" t="str">
        <f>IFERROR(VLOOKUP(F14,'商品マスタ'!$A$4:$S$104,7,FALSE),"")</f>
        <v>kg</v>
      </c>
      <c r="N14" s="34" t="n">
        <v>4.2</v>
      </c>
      <c r="O14" s="34" t="n">
        <f>IFERROR(L14*N14,0)</f>
        <v>840</v>
      </c>
      <c r="P14" s="36" t="n">
        <v>0.13</v>
      </c>
      <c r="Q14" s="34" t="n">
        <f>IFERROR(O14*(1+P14),0)</f>
        <v>949.1999999999999</v>
      </c>
      <c r="R14" s="29" t="str">
        <v>WH-A</v>
      </c>
      <c r="S14" s="29" t="str">
        <v>A-01-01</v>
      </c>
      <c r="T14" s="29"/>
      <c r="U14" s="29"/>
      <c r="V14" s="29" t="str">
        <v>SUP-001</v>
      </c>
      <c r="W14" s="29" t="str">
        <v>RMA-S-001</v>
      </c>
      <c r="X14" s="29" t="s">
        <v>155</v>
      </c>
      <c r="Y14" s="29" t="s">
        <v>134</v>
      </c>
      <c r="Z14" s="29" t="s">
        <v>135</v>
      </c>
      <c r="AA14" s="29" t="s">
        <v>136</v>
      </c>
      <c r="AB14" s="29"/>
      <c r="AC14" s="34" t="n">
        <f>IF(AA14&lt;&gt;"記帳済み",0,IF(OR(E14="入庫",E14="振替入庫"),L14,IF(OR(E14="出庫",E14="振替出庫"),-L14,IF(E14="在庫調整",L14,0))))</f>
        <v>-200</v>
      </c>
      <c r="AD14" s="29" t="str">
        <f>IF(OR(E14="入庫",E14="振替入庫",E14="在庫調整"),T14,IF(OR(E14="出庫",E14="振替出庫"),R14,""))</f>
        <v>WH-A</v>
      </c>
      <c r="AE14" s="29" t="str">
        <f>IF(OR(E14="入庫",E14="振替入庫",E14="在庫調整"),U14,IF(OR(E14="出庫",E14="振替出庫"),S14,""))</f>
        <v>A-01-01</v>
      </c>
      <c r="AF14" s="29" t="str">
        <f>IF(COUNTA(B14:F14)=0,"",IF(OR(B14="",C14="",D14="",E14="",F14="",L14=""),"必須項目不足",IF(AND(E14&lt;&gt;"在庫調整",L14&lt;=0),"数量は0より大きくしてください",IF(AND(E14="在庫調整",L14=0),"調整数量は0にできません",IF(AND(OR(E14="出庫",E14="振替出庫"),R14=""),"移動元倉庫不足",IF(AND(OR(E14="入庫",E14="振替入庫",E14="在庫調整"),T14=""),"移動先倉庫不足","確認済み"))))))</f>
        <v>確認済み</v>
      </c>
    </row>
    <row r="15" ht="20" customHeight="true">
      <c r="A15" s="29" t="n">
        <v>11</v>
      </c>
      <c r="B15" s="38" t="n">
        <v>46151</v>
      </c>
      <c r="C15" s="29" t="str">
        <v>SCR-20260509-001</v>
      </c>
      <c r="D15" s="29" t="s">
        <v>100</v>
      </c>
      <c r="E15" s="29" t="s">
        <v>138</v>
      </c>
      <c r="F15" s="29" t="str">
        <v>SKU-005</v>
      </c>
      <c r="G15" s="29" t="str">
        <f>IFERROR(VLOOKUP(F15,'商品マスタ'!$A$4:$S$104,2,FALSE),"")</f>
        <v>慎重部品C</v>
      </c>
      <c r="H15" s="29" t="str">
        <f>IFERROR(VLOOKUP(F15,'商品マスタ'!$A$4:$S$104,3,FALSE),"")</f>
        <v>汎用</v>
      </c>
      <c r="I15" s="29" t="str">
        <v>SP-C2501</v>
      </c>
      <c r="J15" s="29" t="str">
        <v>SN-C-009</v>
      </c>
      <c r="K15" s="29" t="str">
        <v>不良品</v>
      </c>
      <c r="L15" s="34" t="n">
        <v>2</v>
      </c>
      <c r="M15" s="29" t="str">
        <f>IFERROR(VLOOKUP(F15,'商品マスタ'!$A$4:$S$104,7,FALSE),"")</f>
        <v>pcs</v>
      </c>
      <c r="N15" s="34" t="n">
        <v>38</v>
      </c>
      <c r="O15" s="34" t="n">
        <f>IFERROR(L15*N15,0)</f>
        <v>76</v>
      </c>
      <c r="P15" s="36" t="n">
        <v>0.13</v>
      </c>
      <c r="Q15" s="34" t="n">
        <f>IFERROR(O15*(1+P15),0)</f>
        <v>85.88</v>
      </c>
      <c r="R15" s="29" t="str">
        <v>WH-B</v>
      </c>
      <c r="S15" s="29" t="str">
        <v>B-02-01</v>
      </c>
      <c r="T15" s="29"/>
      <c r="U15" s="29"/>
      <c r="V15" s="29" t="str">
        <v>DEP-QC</v>
      </c>
      <c r="W15" s="29" t="str">
        <v>SCR-001</v>
      </c>
      <c r="X15" s="29" t="s">
        <v>156</v>
      </c>
      <c r="Y15" s="29" t="s">
        <v>157</v>
      </c>
      <c r="Z15" s="29" t="s">
        <v>135</v>
      </c>
      <c r="AA15" s="29" t="s">
        <v>136</v>
      </c>
      <c r="AB15" s="29"/>
      <c r="AC15" s="34" t="n">
        <f>IF(AA15&lt;&gt;"記帳済み",0,IF(OR(E15="入庫",E15="振替入庫"),L15,IF(OR(E15="出庫",E15="振替出庫"),-L15,IF(E15="在庫調整",L15,0))))</f>
        <v>-2</v>
      </c>
      <c r="AD15" s="29" t="str">
        <f>IF(OR(E15="入庫",E15="振替入庫",E15="在庫調整"),T15,IF(OR(E15="出庫",E15="振替出庫"),R15,""))</f>
        <v>WH-B</v>
      </c>
      <c r="AE15" s="29" t="str">
        <f>IF(OR(E15="入庫",E15="振替入庫",E15="在庫調整"),U15,IF(OR(E15="出庫",E15="振替出庫"),S15,""))</f>
        <v>B-02-01</v>
      </c>
      <c r="AF15" s="29" t="str">
        <f>IF(COUNTA(B15:F15)=0,"",IF(OR(B15="",C15="",D15="",E15="",F15="",L15=""),"必須項目不足",IF(AND(E15&lt;&gt;"在庫調整",L15&lt;=0),"数量は0より大きくしてください",IF(AND(E15="在庫調整",L15=0),"調整数量は0にできません",IF(AND(OR(E15="出庫",E15="振替出庫"),R15=""),"移動元倉庫不足",IF(AND(OR(E15="入庫",E15="振替入庫",E15="在庫調整"),T15=""),"移動先倉庫不足","確認済み"))))))</f>
        <v>確認済み</v>
      </c>
    </row>
    <row r="16" ht="20" customHeight="true">
      <c r="A16" s="29" t="n">
        <v>12</v>
      </c>
      <c r="B16" s="38" t="n">
        <v>46152</v>
      </c>
      <c r="C16" s="29" t="str">
        <v>LOAN-20260510-001</v>
      </c>
      <c r="D16" s="29" t="s">
        <v>101</v>
      </c>
      <c r="E16" s="29" t="s">
        <v>138</v>
      </c>
      <c r="F16" s="29" t="str">
        <v>SKU-005</v>
      </c>
      <c r="G16" s="29" t="str">
        <f>IFERROR(VLOOKUP(F16,'商品マスタ'!$A$4:$S$104,2,FALSE),"")</f>
        <v>慎重部品C</v>
      </c>
      <c r="H16" s="29" t="str">
        <f>IFERROR(VLOOKUP(F16,'商品マスタ'!$A$4:$S$104,3,FALSE),"")</f>
        <v>汎用</v>
      </c>
      <c r="I16" s="29" t="str">
        <v>SP-C2501</v>
      </c>
      <c r="J16" s="29" t="str">
        <v>SN-C-010</v>
      </c>
      <c r="K16" s="29" t="s">
        <v>132</v>
      </c>
      <c r="L16" s="34" t="n">
        <v>5</v>
      </c>
      <c r="M16" s="29" t="str">
        <f>IFERROR(VLOOKUP(F16,'商品マスタ'!$A$4:$S$104,7,FALSE),"")</f>
        <v>pcs</v>
      </c>
      <c r="N16" s="34" t="n">
        <v>38</v>
      </c>
      <c r="O16" s="34" t="n">
        <f>IFERROR(L16*N16,0)</f>
        <v>190</v>
      </c>
      <c r="P16" s="36" t="n">
        <v>0.13</v>
      </c>
      <c r="Q16" s="34" t="n">
        <f>IFERROR(O16*(1+P16),0)</f>
        <v>214.7</v>
      </c>
      <c r="R16" s="29" t="str">
        <v>WH-B</v>
      </c>
      <c r="S16" s="29" t="str">
        <v>B-02-01</v>
      </c>
      <c r="T16" s="29"/>
      <c r="U16" s="29"/>
      <c r="V16" s="29" t="str">
        <v>DEP-RD</v>
      </c>
      <c r="W16" s="29" t="str">
        <v>RD-TEST</v>
      </c>
      <c r="X16" s="29" t="s">
        <v>158</v>
      </c>
      <c r="Y16" s="29" t="s">
        <v>159</v>
      </c>
      <c r="Z16" s="29" t="s">
        <v>135</v>
      </c>
      <c r="AA16" s="29" t="s">
        <v>136</v>
      </c>
      <c r="AB16" s="29"/>
      <c r="AC16" s="34" t="n">
        <f>IF(AA16&lt;&gt;"記帳済み",0,IF(OR(E16="入庫",E16="振替入庫"),L16,IF(OR(E16="出庫",E16="振替出庫"),-L16,IF(E16="在庫調整",L16,0))))</f>
        <v>-5</v>
      </c>
      <c r="AD16" s="29" t="str">
        <f>IF(OR(E16="入庫",E16="振替入庫",E16="在庫調整"),T16,IF(OR(E16="出庫",E16="振替出庫"),R16,""))</f>
        <v>WH-B</v>
      </c>
      <c r="AE16" s="29" t="str">
        <f>IF(OR(E16="入庫",E16="振替入庫",E16="在庫調整"),U16,IF(OR(E16="出庫",E16="振替出庫"),S16,""))</f>
        <v>B-02-01</v>
      </c>
      <c r="AF16" s="29" t="str">
        <f>IF(COUNTA(B16:F16)=0,"",IF(OR(B16="",C16="",D16="",E16="",F16="",L16=""),"必須項目不足",IF(AND(E16&lt;&gt;"在庫調整",L16&lt;=0),"数量は0より大きくしてください",IF(AND(E16="在庫調整",L16=0),"調整数量は0にできません",IF(AND(OR(E16="出庫",E16="振替出庫"),R16=""),"移動元倉庫不足",IF(AND(OR(E16="入庫",E16="振替入庫",E16="在庫調整"),T16=""),"移動先倉庫不足","確認済み"))))))</f>
        <v>確認済み</v>
      </c>
    </row>
    <row r="17" ht="20" customHeight="true">
      <c r="A17" s="29" t="n">
        <v>13</v>
      </c>
      <c r="B17" s="38" t="n">
        <v>46153</v>
      </c>
      <c r="C17" s="29" t="str">
        <v>LOAN-20260511-001</v>
      </c>
      <c r="D17" s="29" t="s">
        <v>160</v>
      </c>
      <c r="E17" s="29" t="s">
        <v>131</v>
      </c>
      <c r="F17" s="29" t="str">
        <v>SKU-005</v>
      </c>
      <c r="G17" s="29" t="str">
        <f>IFERROR(VLOOKUP(F17,'商品マスタ'!$A$4:$S$104,2,FALSE),"")</f>
        <v>慎重部品C</v>
      </c>
      <c r="H17" s="29" t="str">
        <f>IFERROR(VLOOKUP(F17,'商品マスタ'!$A$4:$S$104,3,FALSE),"")</f>
        <v>汎用</v>
      </c>
      <c r="I17" s="29" t="str">
        <v>SP-C2501</v>
      </c>
      <c r="J17" s="29" t="str">
        <v>SN-C-010</v>
      </c>
      <c r="K17" s="29" t="s">
        <v>132</v>
      </c>
      <c r="L17" s="34" t="n">
        <v>3</v>
      </c>
      <c r="M17" s="29" t="str">
        <f>IFERROR(VLOOKUP(F17,'商品マスタ'!$A$4:$S$104,7,FALSE),"")</f>
        <v>pcs</v>
      </c>
      <c r="N17" s="34" t="n">
        <v>38</v>
      </c>
      <c r="O17" s="34" t="n">
        <f>IFERROR(L17*N17,0)</f>
        <v>114</v>
      </c>
      <c r="P17" s="36" t="n">
        <v>0.13</v>
      </c>
      <c r="Q17" s="34" t="n">
        <f>IFERROR(O17*(1+P17),0)</f>
        <v>128.82</v>
      </c>
      <c r="R17" s="29"/>
      <c r="S17" s="29"/>
      <c r="T17" s="29" t="str">
        <v>WH-B</v>
      </c>
      <c r="U17" s="29" t="str">
        <v>B-02-01</v>
      </c>
      <c r="V17" s="29" t="str">
        <v>DEP-RD</v>
      </c>
      <c r="W17" s="29" t="str">
        <v>RD-TEST</v>
      </c>
      <c r="X17" s="29" t="s">
        <v>158</v>
      </c>
      <c r="Y17" s="29" t="s">
        <v>159</v>
      </c>
      <c r="Z17" s="29" t="s">
        <v>135</v>
      </c>
      <c r="AA17" s="29" t="s">
        <v>136</v>
      </c>
      <c r="AB17" s="29" t="s">
        <v>160</v>
      </c>
      <c r="AC17" s="34" t="n">
        <f>IF(AA17&lt;&gt;"記帳済み",0,IF(OR(E17="入庫",E17="振替入庫"),L17,IF(OR(E17="出庫",E17="振替出庫"),-L17,IF(E17="在庫調整",L17,0))))</f>
        <v>3</v>
      </c>
      <c r="AD17" s="29" t="str">
        <f>IF(OR(E17="入庫",E17="振替入庫",E17="在庫調整"),T17,IF(OR(E17="出庫",E17="振替出庫"),R17,""))</f>
        <v>WH-B</v>
      </c>
      <c r="AE17" s="29" t="str">
        <f>IF(OR(E17="入庫",E17="振替入庫",E17="在庫調整"),U17,IF(OR(E17="出庫",E17="振替出庫"),S17,""))</f>
        <v>B-02-01</v>
      </c>
      <c r="AF17" s="29" t="str">
        <f>IF(COUNTA(B17:F17)=0,"",IF(OR(B17="",C17="",D17="",E17="",F17="",L17=""),"必須項目不足",IF(AND(E17&lt;&gt;"在庫調整",L17&lt;=0),"数量は0より大きくしてください",IF(AND(E17="在庫調整",L17=0),"調整数量は0にできません",IF(AND(OR(E17="出庫",E17="振替出庫"),R17=""),"移動元倉庫不足",IF(AND(OR(E17="入庫",E17="振替入庫",E17="在庫調整"),T17=""),"移動先倉庫不足","確認済み"))))))</f>
        <v>確認済み</v>
      </c>
    </row>
    <row r="18" ht="20" customHeight="true">
      <c r="A18" s="29" t="n">
        <v>14</v>
      </c>
      <c r="B18" s="38" t="n">
        <v>46154</v>
      </c>
      <c r="C18" s="29" t="str">
        <v>OUT-20260512-001</v>
      </c>
      <c r="D18" s="29" t="s">
        <v>102</v>
      </c>
      <c r="E18" s="29" t="s">
        <v>138</v>
      </c>
      <c r="F18" s="29" t="str">
        <v>SKU-003</v>
      </c>
      <c r="G18" s="29" t="str">
        <f>IFERROR(VLOOKUP(F18,'商品マスタ'!$A$4:$S$104,2,FALSE),"")</f>
        <v>原材料A</v>
      </c>
      <c r="H18" s="29" t="str">
        <f>IFERROR(VLOOKUP(F18,'商品マスタ'!$A$4:$S$104,3,FALSE),"")</f>
        <v>25kg袋</v>
      </c>
      <c r="I18" s="29" t="str">
        <v>BATCH-A250501</v>
      </c>
      <c r="J18" s="29"/>
      <c r="K18" s="29" t="s">
        <v>132</v>
      </c>
      <c r="L18" s="34" t="n">
        <v>800</v>
      </c>
      <c r="M18" s="29" t="str">
        <f>IFERROR(VLOOKUP(F18,'商品マスタ'!$A$4:$S$104,7,FALSE),"")</f>
        <v>kg</v>
      </c>
      <c r="N18" s="34" t="n">
        <v>4.2</v>
      </c>
      <c r="O18" s="34" t="n">
        <f>IFERROR(L18*N18,0)</f>
        <v>3360</v>
      </c>
      <c r="P18" s="36" t="n">
        <v>0.13</v>
      </c>
      <c r="Q18" s="34" t="n">
        <f>IFERROR(O18*(1+P18),0)</f>
        <v>3796.7999999999997</v>
      </c>
      <c r="R18" s="29" t="str">
        <v>WH-A</v>
      </c>
      <c r="S18" s="29" t="str">
        <v>A-01-01</v>
      </c>
      <c r="T18" s="29"/>
      <c r="U18" s="29"/>
      <c r="V18" s="29" t="str">
        <v>OUT-001</v>
      </c>
      <c r="W18" s="29" t="str">
        <v>OUT-3001</v>
      </c>
      <c r="X18" s="29" t="s">
        <v>161</v>
      </c>
      <c r="Y18" s="29" t="s">
        <v>134</v>
      </c>
      <c r="Z18" s="29" t="s">
        <v>135</v>
      </c>
      <c r="AA18" s="29" t="s">
        <v>136</v>
      </c>
      <c r="AB18" s="29"/>
      <c r="AC18" s="34" t="n">
        <f>IF(AA18&lt;&gt;"記帳済み",0,IF(OR(E18="入庫",E18="振替入庫"),L18,IF(OR(E18="出庫",E18="振替出庫"),-L18,IF(E18="在庫調整",L18,0))))</f>
        <v>-800</v>
      </c>
      <c r="AD18" s="29" t="str">
        <f>IF(OR(E18="入庫",E18="振替入庫",E18="在庫調整"),T18,IF(OR(E18="出庫",E18="振替出庫"),R18,""))</f>
        <v>WH-A</v>
      </c>
      <c r="AE18" s="29" t="str">
        <f>IF(OR(E18="入庫",E18="振替入庫",E18="在庫調整"),U18,IF(OR(E18="出庫",E18="振替出庫"),S18,""))</f>
        <v>A-01-01</v>
      </c>
      <c r="AF18" s="29" t="str">
        <f>IF(COUNTA(B18:F18)=0,"",IF(OR(B18="",C18="",D18="",E18="",F18="",L18=""),"必須項目不足",IF(AND(E18&lt;&gt;"在庫調整",L18&lt;=0),"数量は0より大きくしてください",IF(AND(E18="在庫調整",L18=0),"調整数量は0にできません",IF(AND(OR(E18="出庫",E18="振替出庫"),R18=""),"移動元倉庫不足",IF(AND(OR(E18="入庫",E18="振替入庫",E18="在庫調整"),T18=""),"移動先倉庫不足","確認済み"))))))</f>
        <v>確認済み</v>
      </c>
    </row>
    <row r="19" ht="20" customHeight="true">
      <c r="A19" s="29" t="n">
        <v>15</v>
      </c>
      <c r="B19" s="38" t="n">
        <v>46155</v>
      </c>
      <c r="C19" s="29" t="str">
        <v>OUT-20260513-002</v>
      </c>
      <c r="D19" s="29" t="s">
        <v>103</v>
      </c>
      <c r="E19" s="29" t="s">
        <v>131</v>
      </c>
      <c r="F19" s="29" t="str">
        <v>SKU-004</v>
      </c>
      <c r="G19" s="29" t="str">
        <f>IFERROR(VLOOKUP(F19,'商品マスタ'!$A$4:$S$104,2,FALSE),"")</f>
        <v>製品B</v>
      </c>
      <c r="H19" s="29" t="str">
        <f>IFERROR(VLOOKUP(F19,'商品マスタ'!$A$4:$S$104,3,FALSE),"")</f>
        <v>標準版</v>
      </c>
      <c r="I19" s="29" t="str">
        <v>FGB250513</v>
      </c>
      <c r="J19" s="29"/>
      <c r="K19" s="29" t="s">
        <v>132</v>
      </c>
      <c r="L19" s="34" t="n">
        <v>40</v>
      </c>
      <c r="M19" s="29" t="str">
        <f>IFERROR(VLOOKUP(F19,'商品マスタ'!$A$4:$S$104,7,FALSE),"")</f>
        <v>pcs</v>
      </c>
      <c r="N19" s="34" t="n">
        <v>85</v>
      </c>
      <c r="O19" s="34" t="n">
        <f>IFERROR(L19*N19,0)</f>
        <v>3400</v>
      </c>
      <c r="P19" s="36" t="n">
        <v>0.13</v>
      </c>
      <c r="Q19" s="34" t="n">
        <f>IFERROR(O19*(1+P19),0)</f>
        <v>3841.9999999999995</v>
      </c>
      <c r="R19" s="29"/>
      <c r="S19" s="29"/>
      <c r="T19" s="29" t="str">
        <v>WH-B</v>
      </c>
      <c r="U19" s="29" t="str">
        <v>B-01-01</v>
      </c>
      <c r="V19" s="29" t="str">
        <v>OUT-001</v>
      </c>
      <c r="W19" s="29" t="str">
        <v>OUT-3001</v>
      </c>
      <c r="X19" s="29" t="s">
        <v>161</v>
      </c>
      <c r="Y19" s="29" t="s">
        <v>134</v>
      </c>
      <c r="Z19" s="29" t="s">
        <v>135</v>
      </c>
      <c r="AA19" s="29" t="s">
        <v>136</v>
      </c>
      <c r="AB19" s="29"/>
      <c r="AC19" s="34" t="n">
        <f>IF(AA19&lt;&gt;"記帳済み",0,IF(OR(E19="入庫",E19="振替入庫"),L19,IF(OR(E19="出庫",E19="振替出庫"),-L19,IF(E19="在庫調整",L19,0))))</f>
        <v>40</v>
      </c>
      <c r="AD19" s="29" t="str">
        <f>IF(OR(E19="入庫",E19="振替入庫",E19="在庫調整"),T19,IF(OR(E19="出庫",E19="振替出庫"),R19,""))</f>
        <v>WH-B</v>
      </c>
      <c r="AE19" s="29" t="str">
        <f>IF(OR(E19="入庫",E19="振替入庫",E19="在庫調整"),U19,IF(OR(E19="出庫",E19="振替出庫"),S19,""))</f>
        <v>B-01-01</v>
      </c>
      <c r="AF19" s="29" t="str">
        <f>IF(COUNTA(B19:F19)=0,"",IF(OR(B19="",C19="",D19="",E19="",F19="",L19=""),"必須項目不足",IF(AND(E19&lt;&gt;"在庫調整",L19&lt;=0),"数量は0より大きくしてください",IF(AND(E19="在庫調整",L19=0),"調整数量は0にできません",IF(AND(OR(E19="出庫",E19="振替出庫"),R19=""),"移動元倉庫不足",IF(AND(OR(E19="入庫",E19="振替入庫",E19="在庫調整"),T19=""),"移動先倉庫不足","確認済み"))))))</f>
        <v>確認済み</v>
      </c>
    </row>
    <row r="20" ht="20" customHeight="true">
      <c r="A20" s="29" t="n">
        <v>16</v>
      </c>
      <c r="B20" s="38" t="n">
        <v>46156</v>
      </c>
      <c r="C20" s="29" t="str">
        <v>SO-20260514-002</v>
      </c>
      <c r="D20" s="29" t="s">
        <v>29</v>
      </c>
      <c r="E20" s="29" t="s">
        <v>138</v>
      </c>
      <c r="F20" s="29" t="str">
        <v>SKU-004</v>
      </c>
      <c r="G20" s="29" t="str">
        <f>IFERROR(VLOOKUP(F20,'商品マスタ'!$A$4:$S$104,2,FALSE),"")</f>
        <v>製品B</v>
      </c>
      <c r="H20" s="29" t="str">
        <f>IFERROR(VLOOKUP(F20,'商品マスタ'!$A$4:$S$104,3,FALSE),"")</f>
        <v>標準版</v>
      </c>
      <c r="I20" s="29" t="str">
        <v>FGB250513</v>
      </c>
      <c r="J20" s="29" t="str">
        <v>BOX-C018</v>
      </c>
      <c r="K20" s="29" t="s">
        <v>132</v>
      </c>
      <c r="L20" s="34" t="n">
        <v>10</v>
      </c>
      <c r="M20" s="29" t="str">
        <f>IFERROR(VLOOKUP(F20,'商品マスタ'!$A$4:$S$104,7,FALSE),"")</f>
        <v>pcs</v>
      </c>
      <c r="N20" s="34" t="n">
        <v>85</v>
      </c>
      <c r="O20" s="34" t="n">
        <f>IFERROR(L20*N20,0)</f>
        <v>850</v>
      </c>
      <c r="P20" s="36" t="n">
        <v>0.13</v>
      </c>
      <c r="Q20" s="34" t="n">
        <f>IFERROR(O20*(1+P20),0)</f>
        <v>960.4999999999999</v>
      </c>
      <c r="R20" s="29" t="str">
        <v>WH-B</v>
      </c>
      <c r="S20" s="29" t="str">
        <v>B-01-01</v>
      </c>
      <c r="T20" s="29"/>
      <c r="U20" s="29"/>
      <c r="V20" s="29" t="str">
        <v>CUS-002</v>
      </c>
      <c r="W20" s="29" t="str">
        <v>SO-9002</v>
      </c>
      <c r="X20" s="29" t="s">
        <v>139</v>
      </c>
      <c r="Y20" s="29" t="s">
        <v>140</v>
      </c>
      <c r="Z20" s="29" t="s">
        <v>162</v>
      </c>
      <c r="AA20" s="29" t="s">
        <v>163</v>
      </c>
      <c r="AB20" s="29" t="s">
        <v>164</v>
      </c>
      <c r="AC20" s="34" t="n">
        <f>IF(AA20&lt;&gt;"記帳済み",0,IF(OR(E20="入庫",E20="振替入庫"),L20,IF(OR(E20="出庫",E20="振替出庫"),-L20,IF(E20="在庫調整",L20,0))))</f>
        <v>0</v>
      </c>
      <c r="AD20" s="29" t="str">
        <f>IF(OR(E20="入庫",E20="振替入庫",E20="在庫調整"),T20,IF(OR(E20="出庫",E20="振替出庫"),R20,""))</f>
        <v>WH-B</v>
      </c>
      <c r="AE20" s="29" t="str">
        <f>IF(OR(E20="入庫",E20="振替入庫",E20="在庫調整"),U20,IF(OR(E20="出庫",E20="振替出庫"),S20,""))</f>
        <v>B-01-01</v>
      </c>
      <c r="AF20" s="29" t="str">
        <f>IF(COUNTA(B20:F20)=0,"",IF(OR(B20="",C20="",D20="",E20="",F20="",L20=""),"必須項目不足",IF(AND(E20&lt;&gt;"在庫調整",L20&lt;=0),"数量は0より大きくしてください",IF(AND(E20="在庫調整",L20=0),"調整数量は0にできません",IF(AND(OR(E20="出庫",E20="振替出庫"),R20=""),"移動元倉庫不足",IF(AND(OR(E20="入庫",E20="振替入庫",E20="在庫調整"),T20=""),"移動先倉庫不足","確認済み"))))))</f>
        <v>確認済み</v>
      </c>
    </row>
  </sheetData>
  <conditionalFormatting sqref="E5:E304">
    <cfRule type="containsText" dxfId="0" priority="1" operator="containsText" text="入庫"/>
    <cfRule type="containsText" dxfId="1" priority="2" operator="containsText" text="出庫"/>
    <cfRule type="containsText" dxfId="2" priority="3" operator="containsText" text="振替"/>
  </conditionalFormatting>
  <conditionalFormatting sqref="AF5:AF304">
    <cfRule type="containsText" dxfId="3" priority="4" operator="containsText" text="確認済み"/>
    <cfRule type="containsText" dxfId="4" priority="5" operator="containsText" text="不足"/>
    <cfRule type="containsText" dxfId="5" priority="6" operator="containsText" text="数量"/>
  </conditionalFormatting>
  <dataValidations count="13">
    <dataValidation allowBlank="false" error="一覧から値を選択してください。" errorStyle="warning" errorTitle="業務タイプ" showErrorMessage="true" sqref="D5:D304"/>
    <dataValidation allowBlank="false" error="一覧から値を選択してください。" errorStyle="warning" errorTitle="入出庫区分" showErrorMessage="true" sqref="E5:E304"/>
    <dataValidation allowBlank="false" error="一覧から値を選択してください。" errorStyle="warning" errorTitle="商品コード" showErrorMessage="true" sqref="F5:F304"/>
    <dataValidation allowBlank="false" error="一覧から値を選択してください。" errorStyle="warning" errorTitle="在庫属性" showErrorMessage="true" sqref="K5:K304"/>
    <dataValidation allowBlank="false" error="一覧から値を選択してください。" errorStyle="warning" errorTitle="税率" showErrorMessage="true" sqref="P5:P304"/>
    <dataValidation allowBlank="false" error="一覧から値を選択してください。" errorStyle="warning" errorTitle="移動元倉庫" showErrorMessage="true" sqref="R5:R304"/>
    <dataValidation allowBlank="false" error="一覧から値を選択してください。" errorStyle="warning" errorTitle="移動先倉庫" showErrorMessage="true" sqref="T5:T304"/>
    <dataValidation allowBlank="false" error="一覧から値を選択してください。" errorStyle="warning" errorTitle="移動元ロケーション" showErrorMessage="true" sqref="S5:S304"/>
    <dataValidation allowBlank="false" error="一覧から値を選択してください。" errorStyle="warning" errorTitle="移動先ロケーション" showErrorMessage="true" sqref="U5:U304"/>
    <dataValidation allowBlank="false" error="一覧から値を選択してください。" errorStyle="warning" errorTitle="取引先または部門" showErrorMessage="true" sqref="V5:V304"/>
    <dataValidation allowBlank="false" error="一覧から値を選択してください。" errorStyle="warning" errorTitle="理由または用途" showErrorMessage="true" sqref="X5:X304"/>
    <dataValidation allowBlank="false" error="一覧から値を選択してください。" errorStyle="warning" errorTitle="承認ステータス" showErrorMessage="true" sqref="Z5:Z304"/>
    <dataValidation allowBlank="false" error="一覧から値を選択してください。" errorStyle="warning" errorTitle="伝票ステータス" showErrorMessage="true" sqref="AA5:AA304"/>
  </dataValidations>
  <pageMargins left="0.7" right="0.7" top="0.75" bottom="0.75" header="0.3" footer="0.3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tableParts count="1">
    <tablePart r:id="R8a88cfadb28e41f1"/>
  </tableParts>
</worksheet>
</file>

<file path=xl/worksheets/sheet4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4"/>
    <col customWidth="true" max="2" min="2" width="16"/>
    <col customWidth="true" max="3" min="3" width="12"/>
    <col customWidth="true" max="4" min="4" width="9"/>
    <col customWidth="true" max="10" min="5" width="12"/>
    <col customWidth="true" max="13" min="11" width="14"/>
    <col customWidth="true" max="14" min="14" width="20"/>
    <col customWidth="true" max="15" min="15" width="24"/>
  </cols>
  <sheetData>
    <row r="1" ht="32" customHeight="true">
      <c r="A1" s="4" t="s">
        <v>17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2" customHeight="true">
      <c r="A2" s="64" t="s">
        <v>165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/>
    <row r="4" ht="32" customHeight="true">
      <c r="A4" s="19" t="s">
        <v>110</v>
      </c>
      <c r="B4" s="19" t="s">
        <v>111</v>
      </c>
      <c r="C4" s="19" t="s">
        <v>166</v>
      </c>
      <c r="D4" s="19" t="s">
        <v>116</v>
      </c>
      <c r="E4" s="19" t="s">
        <v>167</v>
      </c>
      <c r="F4" s="19" t="s">
        <v>168</v>
      </c>
      <c r="G4" s="19" t="s">
        <v>169</v>
      </c>
      <c r="H4" s="19" t="s">
        <v>170</v>
      </c>
      <c r="I4" s="19" t="s">
        <v>171</v>
      </c>
      <c r="J4" s="19" t="s">
        <v>172</v>
      </c>
      <c r="K4" s="19" t="s">
        <v>173</v>
      </c>
      <c r="L4" s="19" t="s">
        <v>174</v>
      </c>
      <c r="M4" s="19" t="s">
        <v>175</v>
      </c>
      <c r="N4" s="19" t="s">
        <v>176</v>
      </c>
      <c r="O4" s="19" t="s">
        <v>25</v>
      </c>
    </row>
    <row r="5" ht="20" customHeight="true">
      <c r="A5" s="29" t="str">
        <v>SKU-001</v>
      </c>
      <c r="B5" s="29" t="str">
        <f>IFERROR(VLOOKUP(A5,'商品マスタ'!$A$4:$S$104,2,FALSE),"")</f>
        <v>ねじ</v>
      </c>
      <c r="C5" s="29" t="str">
        <f>IFERROR(VLOOKUP(A5,'商品マスタ'!$A$4:$S$104,4,FALSE),"")</f>
        <v>副資材</v>
      </c>
      <c r="D5" s="29" t="str">
        <f>IFERROR(VLOOKUP(A5,'商品マスタ'!$A$4:$S$104,7,FALSE),"")</f>
        <v>pcs</v>
      </c>
      <c r="E5" s="34" t="n">
        <f>IFERROR(VLOOKUP(A5,'商品マスタ'!$A$4:$S$104,8,FALSE),"")</f>
        <v>500</v>
      </c>
      <c r="F5" s="34" t="n">
        <f>IFERROR(VLOOKUP(A5,'商品マスタ'!$A$4:$S$104,9,FALSE),"")</f>
        <v>5000</v>
      </c>
      <c r="G5" s="34" t="str">
        <v>WH-A</v>
      </c>
      <c r="H5" s="34" t="str">
        <v>A-02-01</v>
      </c>
      <c r="I5" s="34" t="n">
        <f>IF(A5="","",SUMIFS('入出庫記録'!$AC$5:$AC$304,'入出庫記録'!$F$5:$F$304,A5,'入出庫記録'!$AD$5:$AD$304,G5,'入出庫記録'!$AE$5:$AE$304,H5))</f>
        <v>2950</v>
      </c>
      <c r="J5" s="34" t="n">
        <f>IF(A5="","",I5-SUMIFS('入出庫記録'!$AC$5:$AC$304,'入出庫記録'!$F$5:$F$304,A5,'入出庫記録'!$AD$5:$AD$304,G5,'入出庫記録'!$AE$5:$AE$304,H5,'入出庫記録'!$K$5:$K$304,"凍結")-SUMIFS('入出庫記録'!$AC$5:$AC$304,'入出庫記録'!$F$5:$F$304,A5,'入出庫記録'!$AD$5:$AD$304,G5,'入出庫記録'!$AE$5:$AE$304,H5,'入出庫記録'!$K$5:$K$304,"検査待ち"))</f>
        <v>2950</v>
      </c>
      <c r="K5" s="34" t="n">
        <f>IF(A5="","",I5*IFERROR(VLOOKUP(A5,'商品マスタ'!$A$4:$S$104,10,FALSE),0))</f>
        <v>236</v>
      </c>
      <c r="L5" s="38" t="n">
        <f>IF(COUNTIFS('入出庫記録'!$F$5:$F$304,A5,'入出庫記録'!$AD$5:$AD$304,G5,'入出庫記録'!$AE$5:$AE$304,H5,'入出庫記録'!$AA$5:$AA$304,"記帳済み")=0,"",MAXIFS('入出庫記録'!$B$5:$B$304,'入出庫記録'!$F$5:$F$304,A5,'入出庫記録'!$AD$5:$AD$304,G5,'入出庫記録'!$AE$5:$AE$304,H5,'入出庫記録'!$AA$5:$AA$304,"記帳済み"))</f>
        <v>46148</v>
      </c>
      <c r="M5" s="29" t="str">
        <f>IF(A5="","",IF(I5&lt;0,"マイナス在庫",IF(I5&lt;=E5,"セキュリティ在庫未満",IF(I5&gt;F5,"最大在庫超過","通常"))))</f>
        <v>通常</v>
      </c>
      <c r="N5" s="29" t="str">
        <f>IF(A5="","",IF(M5="マイナス在庫","帳簿と現物の差異を直ちに確認",IF(M5="セキュリティ在庫未満","購買または振替入庫を推奨",IF(M5="最大在庫超過","販促、振替、購買削減を推奨",""))))</f>
      </c>
      <c r="O5" s="29"/>
    </row>
    <row r="6" ht="20" customHeight="true">
      <c r="A6" s="29" t="str">
        <v>SKU-002</v>
      </c>
      <c r="B6" s="29" t="str">
        <f>IFERROR(VLOOKUP(A6,'商品マスタ'!$A$4:$S$104,2,FALSE),"")</f>
        <v>梱包箱</v>
      </c>
      <c r="C6" s="29" t="str">
        <f>IFERROR(VLOOKUP(A6,'商品マスタ'!$A$4:$S$104,4,FALSE),"")</f>
        <v>梱包資材</v>
      </c>
      <c r="D6" s="29" t="str">
        <f>IFERROR(VLOOKUP(A6,'商品マスタ'!$A$4:$S$104,7,FALSE),"")</f>
        <v>個</v>
      </c>
      <c r="E6" s="34" t="n">
        <f>IFERROR(VLOOKUP(A6,'商品マスタ'!$A$4:$S$104,8,FALSE),"")</f>
        <v>100</v>
      </c>
      <c r="F6" s="34" t="n">
        <f>IFERROR(VLOOKUP(A6,'商品マスタ'!$A$4:$S$104,9,FALSE),"")</f>
        <v>1000</v>
      </c>
      <c r="G6" s="34" t="str">
        <v>WH-A</v>
      </c>
      <c r="H6" s="34" t="str">
        <v>A-02-01</v>
      </c>
      <c r="I6" s="34" t="n">
        <f>IF(A6="","",SUMIFS('入出庫記録'!$AC$5:$AC$304,'入出庫記録'!$F$5:$F$304,A6,'入出庫記録'!$AD$5:$AD$304,G6,'入出庫記録'!$AE$5:$AE$304,H6))</f>
        <v>0</v>
      </c>
      <c r="J6" s="34" t="n">
        <f>IF(A6="","",I6-SUMIFS('入出庫記録'!$AC$5:$AC$304,'入出庫記録'!$F$5:$F$304,A6,'入出庫記録'!$AD$5:$AD$304,G6,'入出庫記録'!$AE$5:$AE$304,H6,'入出庫記録'!$K$5:$K$304,"凍結")-SUMIFS('入出庫記録'!$AC$5:$AC$304,'入出庫記録'!$F$5:$F$304,A6,'入出庫記録'!$AD$5:$AD$304,G6,'入出庫記録'!$AE$5:$AE$304,H6,'入出庫記録'!$K$5:$K$304,"検査待ち"))</f>
        <v>0</v>
      </c>
      <c r="K6" s="34" t="n">
        <f>IF(A6="","",I6*IFERROR(VLOOKUP(A6,'商品マスタ'!$A$4:$S$104,10,FALSE),0))</f>
        <v>0</v>
      </c>
      <c r="L6" s="38" t="str">
        <f>IF(COUNTIFS('入出庫記録'!$F$5:$F$304,A6,'入出庫記録'!$AD$5:$AD$304,G6,'入出庫記録'!$AE$5:$AE$304,H6,'入出庫記録'!$AA$5:$AA$304,"記帳済み")=0,"",MAXIFS('入出庫記録'!$B$5:$B$304,'入出庫記録'!$F$5:$F$304,A6,'入出庫記録'!$AD$5:$AD$304,G6,'入出庫記録'!$AE$5:$AE$304,H6,'入出庫記録'!$AA$5:$AA$304,"記帳済み"))</f>
      </c>
      <c r="M6" s="29" t="str">
        <f>IF(A6="","",IF(I6&lt;0,"マイナス在庫",IF(I6&lt;=E6,"セキュリティ在庫未満",IF(I6&gt;F6,"最大在庫超過","通常"))))</f>
        <v>セキュリティ在庫未満</v>
      </c>
      <c r="N6" s="29" t="str">
        <f>IF(A6="","",IF(M6="マイナス在庫","帳簿と現物の差異を直ちに確認",IF(M6="セキュリティ在庫未満","購買または振替入庫を推奨",IF(M6="最大在庫超過","販促、振替、購買削減を推奨",""))))</f>
        <v>購買または振替入庫を推奨</v>
      </c>
      <c r="O6" s="29"/>
    </row>
    <row r="7" ht="20" customHeight="true">
      <c r="A7" s="29" t="str">
        <v>SKU-003</v>
      </c>
      <c r="B7" s="29" t="str">
        <f>IFERROR(VLOOKUP(A7,'商品マスタ'!$A$4:$S$104,2,FALSE),"")</f>
        <v>原材料A</v>
      </c>
      <c r="C7" s="29" t="str">
        <f>IFERROR(VLOOKUP(A7,'商品マスタ'!$A$4:$S$104,4,FALSE),"")</f>
        <v>原材料</v>
      </c>
      <c r="D7" s="29" t="str">
        <f>IFERROR(VLOOKUP(A7,'商品マスタ'!$A$4:$S$104,7,FALSE),"")</f>
        <v>kg</v>
      </c>
      <c r="E7" s="34" t="n">
        <f>IFERROR(VLOOKUP(A7,'商品マスタ'!$A$4:$S$104,8,FALSE),"")</f>
        <v>1000</v>
      </c>
      <c r="F7" s="34" t="n">
        <f>IFERROR(VLOOKUP(A7,'商品マスタ'!$A$4:$S$104,9,FALSE),"")</f>
        <v>20000</v>
      </c>
      <c r="G7" s="34" t="str">
        <v>WH-A</v>
      </c>
      <c r="H7" s="34" t="str">
        <v>A-01-01</v>
      </c>
      <c r="I7" s="34" t="n">
        <f>IF(A7="","",SUMIFS('入出庫記録'!$AC$5:$AC$304,'入出庫記録'!$F$5:$F$304,A7,'入出庫記録'!$AD$5:$AD$304,G7,'入出庫記録'!$AE$5:$AE$304,H7))</f>
        <v>2950</v>
      </c>
      <c r="J7" s="34" t="n">
        <f>IF(A7="","",I7-SUMIFS('入出庫記録'!$AC$5:$AC$304,'入出庫記録'!$F$5:$F$304,A7,'入出庫記録'!$AD$5:$AD$304,G7,'入出庫記録'!$AE$5:$AE$304,H7,'入出庫記録'!$K$5:$K$304,"凍結")-SUMIFS('入出庫記録'!$AC$5:$AC$304,'入出庫記録'!$F$5:$F$304,A7,'入出庫記録'!$AD$5:$AD$304,G7,'入出庫記録'!$AE$5:$AE$304,H7,'入出庫記録'!$K$5:$K$304,"検査待ち"))</f>
        <v>2950</v>
      </c>
      <c r="K7" s="34" t="n">
        <f>IF(A7="","",I7*IFERROR(VLOOKUP(A7,'商品マスタ'!$A$4:$S$104,10,FALSE),0))</f>
        <v>12390</v>
      </c>
      <c r="L7" s="38" t="n">
        <f>IF(COUNTIFS('入出庫記録'!$F$5:$F$304,A7,'入出庫記録'!$AD$5:$AD$304,G7,'入出庫記録'!$AE$5:$AE$304,H7,'入出庫記録'!$AA$5:$AA$304,"記帳済み")=0,"",MAXIFS('入出庫記録'!$B$5:$B$304,'入出庫記録'!$F$5:$F$304,A7,'入出庫記録'!$AD$5:$AD$304,G7,'入出庫記録'!$AE$5:$AE$304,H7,'入出庫記録'!$AA$5:$AA$304,"記帳済み"))</f>
        <v>46154</v>
      </c>
      <c r="M7" s="29" t="str">
        <f>IF(A7="","",IF(I7&lt;0,"マイナス在庫",IF(I7&lt;=E7,"セキュリティ在庫未満",IF(I7&gt;F7,"最大在庫超過","通常"))))</f>
        <v>通常</v>
      </c>
      <c r="N7" s="29" t="str">
        <f>IF(A7="","",IF(M7="マイナス在庫","帳簿と現物の差異を直ちに確認",IF(M7="セキュリティ在庫未満","購買または振替入庫を推奨",IF(M7="最大在庫超過","販促、振替、購買削減を推奨",""))))</f>
      </c>
      <c r="O7" s="29"/>
    </row>
    <row r="8" ht="20" customHeight="true">
      <c r="A8" s="29" t="str">
        <v>SKU-004</v>
      </c>
      <c r="B8" s="29" t="str">
        <f>IFERROR(VLOOKUP(A8,'商品マスタ'!$A$4:$S$104,2,FALSE),"")</f>
        <v>製品B</v>
      </c>
      <c r="C8" s="29" t="str">
        <f>IFERROR(VLOOKUP(A8,'商品マスタ'!$A$4:$S$104,4,FALSE),"")</f>
        <v>製品</v>
      </c>
      <c r="D8" s="29" t="str">
        <f>IFERROR(VLOOKUP(A8,'商品マスタ'!$A$4:$S$104,7,FALSE),"")</f>
        <v>pcs</v>
      </c>
      <c r="E8" s="34" t="n">
        <f>IFERROR(VLOOKUP(A8,'商品マスタ'!$A$4:$S$104,8,FALSE),"")</f>
        <v>50</v>
      </c>
      <c r="F8" s="34" t="n">
        <f>IFERROR(VLOOKUP(A8,'商品マスタ'!$A$4:$S$104,9,FALSE),"")</f>
        <v>500</v>
      </c>
      <c r="G8" s="34" t="str">
        <v>WH-B</v>
      </c>
      <c r="H8" s="34" t="str">
        <v>B-01-01</v>
      </c>
      <c r="I8" s="34" t="n">
        <f>IF(A8="","",SUMIFS('入出庫記録'!$AC$5:$AC$304,'入出庫記録'!$F$5:$F$304,A8,'入出庫記録'!$AD$5:$AD$304,G8,'入出庫記録'!$AE$5:$AE$304,H8))</f>
        <v>-10</v>
      </c>
      <c r="J8" s="34" t="n">
        <f>IF(A8="","",I8-SUMIFS('入出庫記録'!$AC$5:$AC$304,'入出庫記録'!$F$5:$F$304,A8,'入出庫記録'!$AD$5:$AD$304,G8,'入出庫記録'!$AE$5:$AE$304,H8,'入出庫記録'!$K$5:$K$304,"凍結")-SUMIFS('入出庫記録'!$AC$5:$AC$304,'入出庫記録'!$F$5:$F$304,A8,'入出庫記録'!$AD$5:$AD$304,G8,'入出庫記録'!$AE$5:$AE$304,H8,'入出庫記録'!$K$5:$K$304,"検査待ち"))</f>
        <v>-10</v>
      </c>
      <c r="K8" s="34" t="n">
        <f>IF(A8="","",I8*IFERROR(VLOOKUP(A8,'商品マスタ'!$A$4:$S$104,10,FALSE),0))</f>
        <v>-850</v>
      </c>
      <c r="L8" s="38" t="n">
        <f>IF(COUNTIFS('入出庫記録'!$F$5:$F$304,A8,'入出庫記録'!$AD$5:$AD$304,G8,'入出庫記録'!$AE$5:$AE$304,H8,'入出庫記録'!$AA$5:$AA$304,"記帳済み")=0,"",MAXIFS('入出庫記録'!$B$5:$B$304,'入出庫記録'!$F$5:$F$304,A8,'入出庫記録'!$AD$5:$AD$304,G8,'入出庫記録'!$AE$5:$AE$304,H8,'入出庫記録'!$AA$5:$AA$304,"記帳済み"))</f>
        <v>46155</v>
      </c>
      <c r="M8" s="29" t="str">
        <f>IF(A8="","",IF(I8&lt;0,"マイナス在庫",IF(I8&lt;=E8,"セキュリティ在庫未満",IF(I8&gt;F8,"最大在庫超過","通常"))))</f>
        <v>マイナス在庫</v>
      </c>
      <c r="N8" s="29" t="str">
        <f>IF(A8="","",IF(M8="マイナス在庫","帳簿と現物の差異を直ちに確認",IF(M8="セキュリティ在庫未満","購買または振替入庫を推奨",IF(M8="最大在庫超過","販促、振替、購買削減を推奨",""))))</f>
        <v>帳簿と現物の差異を直ちに確認</v>
      </c>
      <c r="O8" s="29"/>
    </row>
    <row r="9" ht="20" customHeight="true">
      <c r="A9" s="29" t="str">
        <v>SKU-004</v>
      </c>
      <c r="B9" s="29" t="str">
        <f>IFERROR(VLOOKUP(A9,'商品マスタ'!$A$4:$S$104,2,FALSE),"")</f>
        <v>製品B</v>
      </c>
      <c r="C9" s="29" t="str">
        <f>IFERROR(VLOOKUP(A9,'商品マスタ'!$A$4:$S$104,4,FALSE),"")</f>
        <v>製品</v>
      </c>
      <c r="D9" s="29" t="str">
        <f>IFERROR(VLOOKUP(A9,'商品マスタ'!$A$4:$S$104,7,FALSE),"")</f>
        <v>pcs</v>
      </c>
      <c r="E9" s="34" t="n">
        <f>IFERROR(VLOOKUP(A9,'商品マスタ'!$A$4:$S$104,8,FALSE),"")</f>
        <v>50</v>
      </c>
      <c r="F9" s="34" t="n">
        <f>IFERROR(VLOOKUP(A9,'商品マスタ'!$A$4:$S$104,9,FALSE),"")</f>
        <v>500</v>
      </c>
      <c r="G9" s="34" t="str">
        <v>WH-RET</v>
      </c>
      <c r="H9" s="34" t="str">
        <v>RET-01-01</v>
      </c>
      <c r="I9" s="34" t="n">
        <f>IF(A9="","",SUMIFS('入出庫記録'!$AC$5:$AC$304,'入出庫記録'!$F$5:$F$304,A9,'入出庫記録'!$AD$5:$AD$304,G9,'入出庫記録'!$AE$5:$AE$304,H9))</f>
        <v>25</v>
      </c>
      <c r="J9" s="34" t="n">
        <f>IF(A9="","",I9-SUMIFS('入出庫記録'!$AC$5:$AC$304,'入出庫記録'!$F$5:$F$304,A9,'入出庫記録'!$AD$5:$AD$304,G9,'入出庫記録'!$AE$5:$AE$304,H9,'入出庫記録'!$K$5:$K$304,"凍結")-SUMIFS('入出庫記録'!$AC$5:$AC$304,'入出庫記録'!$F$5:$F$304,A9,'入出庫記録'!$AD$5:$AD$304,G9,'入出庫記録'!$AE$5:$AE$304,H9,'入出庫記録'!$K$5:$K$304,"検査待ち"))</f>
        <v>5</v>
      </c>
      <c r="K9" s="34" t="n">
        <f>IF(A9="","",I9*IFERROR(VLOOKUP(A9,'商品マスタ'!$A$4:$S$104,10,FALSE),0))</f>
        <v>2125</v>
      </c>
      <c r="L9" s="38" t="n">
        <f>IF(COUNTIFS('入出庫記録'!$F$5:$F$304,A9,'入出庫記録'!$AD$5:$AD$304,G9,'入出庫記録'!$AE$5:$AE$304,H9,'入出庫記録'!$AA$5:$AA$304,"記帳済み")=0,"",MAXIFS('入出庫記録'!$B$5:$B$304,'入出庫記録'!$F$5:$F$304,A9,'入出庫記録'!$AD$5:$AD$304,G9,'入出庫記録'!$AE$5:$AE$304,H9,'入出庫記録'!$AA$5:$AA$304,"記帳済み"))</f>
        <v>46149</v>
      </c>
      <c r="M9" s="29" t="str">
        <f>IF(A9="","",IF(I9&lt;0,"マイナス在庫",IF(I9&lt;=E9,"セキュリティ在庫未満",IF(I9&gt;F9,"最大在庫超過","通常"))))</f>
        <v>セキュリティ在庫未満</v>
      </c>
      <c r="N9" s="29" t="str">
        <f>IF(A9="","",IF(M9="マイナス在庫","帳簿と現物の差異を直ちに確認",IF(M9="セキュリティ在庫未満","購買または振替入庫を推奨",IF(M9="最大在庫超過","販促、振替、購買削減を推奨",""))))</f>
        <v>購買または振替入庫を推奨</v>
      </c>
      <c r="O9" s="29"/>
    </row>
    <row r="10" ht="20" customHeight="true">
      <c r="A10" s="29" t="str">
        <v>SKU-005</v>
      </c>
      <c r="B10" s="29" t="str">
        <f>IFERROR(VLOOKUP(A10,'商品マスタ'!$A$4:$S$104,2,FALSE),"")</f>
        <v>慎重部品C</v>
      </c>
      <c r="C10" s="29" t="str">
        <f>IFERROR(VLOOKUP(A10,'商品マスタ'!$A$4:$S$104,4,FALSE),"")</f>
        <v>保守部品</v>
      </c>
      <c r="D10" s="29" t="str">
        <f>IFERROR(VLOOKUP(A10,'商品マスタ'!$A$4:$S$104,7,FALSE),"")</f>
        <v>pcs</v>
      </c>
      <c r="E10" s="34" t="n">
        <f>IFERROR(VLOOKUP(A10,'商品マスタ'!$A$4:$S$104,8,FALSE),"")</f>
        <v>10</v>
      </c>
      <c r="F10" s="34" t="n">
        <f>IFERROR(VLOOKUP(A10,'商品マスタ'!$A$4:$S$104,9,FALSE),"")</f>
        <v>80</v>
      </c>
      <c r="G10" s="34" t="str">
        <v>WH-B</v>
      </c>
      <c r="H10" s="34" t="str">
        <v>B-02-01</v>
      </c>
      <c r="I10" s="34" t="n">
        <f>IF(A10="","",SUMIFS('入出庫記録'!$AC$5:$AC$304,'入出庫記録'!$F$5:$F$304,A10,'入出庫記録'!$AD$5:$AD$304,G10,'入出庫記録'!$AE$5:$AE$304,H10))</f>
        <v>-4</v>
      </c>
      <c r="J10" s="34" t="n">
        <f>IF(A10="","",I10-SUMIFS('入出庫記録'!$AC$5:$AC$304,'入出庫記録'!$F$5:$F$304,A10,'入出庫記録'!$AD$5:$AD$304,G10,'入出庫記録'!$AE$5:$AE$304,H10,'入出庫記録'!$K$5:$K$304,"凍結")-SUMIFS('入出庫記録'!$AC$5:$AC$304,'入出庫記録'!$F$5:$F$304,A10,'入出庫記録'!$AD$5:$AD$304,G10,'入出庫記録'!$AE$5:$AE$304,H10,'入出庫記録'!$K$5:$K$304,"検査待ち"))</f>
        <v>-4</v>
      </c>
      <c r="K10" s="34" t="n">
        <f>IF(A10="","",I10*IFERROR(VLOOKUP(A10,'商品マスタ'!$A$4:$S$104,10,FALSE),0))</f>
        <v>-152</v>
      </c>
      <c r="L10" s="38" t="n">
        <f>IF(COUNTIFS('入出庫記録'!$F$5:$F$304,A10,'入出庫記録'!$AD$5:$AD$304,G10,'入出庫記録'!$AE$5:$AE$304,H10,'入出庫記録'!$AA$5:$AA$304,"記帳済み")=0,"",MAXIFS('入出庫記録'!$B$5:$B$304,'入出庫記録'!$F$5:$F$304,A10,'入出庫記録'!$AD$5:$AD$304,G10,'入出庫記録'!$AE$5:$AE$304,H10,'入出庫記録'!$AA$5:$AA$304,"記帳済み"))</f>
        <v>46153</v>
      </c>
      <c r="M10" s="29" t="str">
        <f>IF(A10="","",IF(I10&lt;0,"マイナス在庫",IF(I10&lt;=E10,"セキュリティ在庫未満",IF(I10&gt;F10,"最大在庫超過","通常"))))</f>
        <v>マイナス在庫</v>
      </c>
      <c r="N10" s="29" t="str">
        <f>IF(A10="","",IF(M10="マイナス在庫","帳簿と現物の差異を直ちに確認",IF(M10="セキュリティ在庫未満","購買または振替入庫を推奨",IF(M10="最大在庫超過","販促、振替、購買削減を推奨",""))))</f>
        <v>帳簿と現物の差異を直ちに確認</v>
      </c>
      <c r="O10" s="29"/>
    </row>
    <row r="11" ht="20" customHeight="true">
      <c r="A11" s="29" t="str">
        <v>SKU-003</v>
      </c>
      <c r="B11" s="29" t="str">
        <f>IFERROR(VLOOKUP(A11,'商品マスタ'!$A$4:$S$104,2,FALSE),"")</f>
        <v>原材料A</v>
      </c>
      <c r="C11" s="29" t="str">
        <f>IFERROR(VLOOKUP(A11,'商品マスタ'!$A$4:$S$104,4,FALSE),"")</f>
        <v>原材料</v>
      </c>
      <c r="D11" s="29" t="str">
        <f>IFERROR(VLOOKUP(A11,'商品マスタ'!$A$4:$S$104,7,FALSE),"")</f>
        <v>kg</v>
      </c>
      <c r="E11" s="34" t="n">
        <f>IFERROR(VLOOKUP(A11,'商品マスタ'!$A$4:$S$104,8,FALSE),"")</f>
        <v>1000</v>
      </c>
      <c r="F11" s="34" t="n">
        <f>IFERROR(VLOOKUP(A11,'商品マスタ'!$A$4:$S$104,9,FALSE),"")</f>
        <v>20000</v>
      </c>
      <c r="G11" s="34" t="str">
        <v>WH-QC</v>
      </c>
      <c r="H11" s="34" t="str">
        <v>QC-01-01</v>
      </c>
      <c r="I11" s="34" t="n">
        <f>IF(A11="","",SUMIFS('入出庫記録'!$AC$5:$AC$304,'入出庫記録'!$F$5:$F$304,A11,'入出庫記録'!$AD$5:$AD$304,G11,'入出庫記録'!$AE$5:$AE$304,H11))</f>
        <v>0</v>
      </c>
      <c r="J11" s="34" t="n">
        <f>IF(A11="","",I11-SUMIFS('入出庫記録'!$AC$5:$AC$304,'入出庫記録'!$F$5:$F$304,A11,'入出庫記録'!$AD$5:$AD$304,G11,'入出庫記録'!$AE$5:$AE$304,H11,'入出庫記録'!$K$5:$K$304,"凍結")-SUMIFS('入出庫記録'!$AC$5:$AC$304,'入出庫記録'!$F$5:$F$304,A11,'入出庫記録'!$AD$5:$AD$304,G11,'入出庫記録'!$AE$5:$AE$304,H11,'入出庫記録'!$K$5:$K$304,"検査待ち"))</f>
        <v>0</v>
      </c>
      <c r="K11" s="34" t="n">
        <f>IF(A11="","",I11*IFERROR(VLOOKUP(A11,'商品マスタ'!$A$4:$S$104,10,FALSE),0))</f>
        <v>0</v>
      </c>
      <c r="L11" s="38" t="str">
        <f>IF(COUNTIFS('入出庫記録'!$F$5:$F$304,A11,'入出庫記録'!$AD$5:$AD$304,G11,'入出庫記録'!$AE$5:$AE$304,H11,'入出庫記録'!$AA$5:$AA$304,"記帳済み")=0,"",MAXIFS('入出庫記録'!$B$5:$B$304,'入出庫記録'!$F$5:$F$304,A11,'入出庫記録'!$AD$5:$AD$304,G11,'入出庫記録'!$AE$5:$AE$304,H11,'入出庫記録'!$AA$5:$AA$304,"記帳済み"))</f>
      </c>
      <c r="M11" s="29" t="str">
        <f>IF(A11="","",IF(I11&lt;0,"マイナス在庫",IF(I11&lt;=E11,"セキュリティ在庫未満",IF(I11&gt;F11,"最大在庫超過","通常"))))</f>
        <v>セキュリティ在庫未満</v>
      </c>
      <c r="N11" s="29" t="str">
        <f>IF(A11="","",IF(M11="マイナス在庫","帳簿と現物の差異を直ちに確認",IF(M11="セキュリティ在庫未満","購買または振替入庫を推奨",IF(M11="最大在庫超過","販促、振替、購買削減を推奨",""))))</f>
        <v>購買または振替入庫を推奨</v>
      </c>
      <c r="O11" s="29"/>
    </row>
    <row r="12" ht="20" customHeight="true">
      <c r="A12" s="29" t="str">
        <v>SKU-004</v>
      </c>
      <c r="B12" s="29" t="str">
        <f>IFERROR(VLOOKUP(A12,'商品マスタ'!$A$4:$S$104,2,FALSE),"")</f>
        <v>製品B</v>
      </c>
      <c r="C12" s="29" t="str">
        <f>IFERROR(VLOOKUP(A12,'商品マスタ'!$A$4:$S$104,4,FALSE),"")</f>
        <v>製品</v>
      </c>
      <c r="D12" s="29" t="str">
        <f>IFERROR(VLOOKUP(A12,'商品マスタ'!$A$4:$S$104,7,FALSE),"")</f>
        <v>pcs</v>
      </c>
      <c r="E12" s="34" t="n">
        <f>IFERROR(VLOOKUP(A12,'商品マスタ'!$A$4:$S$104,8,FALSE),"")</f>
        <v>50</v>
      </c>
      <c r="F12" s="34" t="n">
        <f>IFERROR(VLOOKUP(A12,'商品マスタ'!$A$4:$S$104,9,FALSE),"")</f>
        <v>500</v>
      </c>
      <c r="G12" s="34" t="str">
        <v>WH-B</v>
      </c>
      <c r="H12" s="34" t="str">
        <v>B-02-01</v>
      </c>
      <c r="I12" s="34" t="n">
        <f>IF(A12="","",SUMIFS('入出庫記録'!$AC$5:$AC$304,'入出庫記録'!$F$5:$F$304,A12,'入出庫記録'!$AD$5:$AD$304,G12,'入出庫記録'!$AE$5:$AE$304,H12))</f>
        <v>0</v>
      </c>
      <c r="J12" s="34" t="n">
        <f>IF(A12="","",I12-SUMIFS('入出庫記録'!$AC$5:$AC$304,'入出庫記録'!$F$5:$F$304,A12,'入出庫記録'!$AD$5:$AD$304,G12,'入出庫記録'!$AE$5:$AE$304,H12,'入出庫記録'!$K$5:$K$304,"凍結")-SUMIFS('入出庫記録'!$AC$5:$AC$304,'入出庫記録'!$F$5:$F$304,A12,'入出庫記録'!$AD$5:$AD$304,G12,'入出庫記録'!$AE$5:$AE$304,H12,'入出庫記録'!$K$5:$K$304,"検査待ち"))</f>
        <v>0</v>
      </c>
      <c r="K12" s="34" t="n">
        <f>IF(A12="","",I12*IFERROR(VLOOKUP(A12,'商品マスタ'!$A$4:$S$104,10,FALSE),0))</f>
        <v>0</v>
      </c>
      <c r="L12" s="38" t="str">
        <f>IF(COUNTIFS('入出庫記録'!$F$5:$F$304,A12,'入出庫記録'!$AD$5:$AD$304,G12,'入出庫記録'!$AE$5:$AE$304,H12,'入出庫記録'!$AA$5:$AA$304,"記帳済み")=0,"",MAXIFS('入出庫記録'!$B$5:$B$304,'入出庫記録'!$F$5:$F$304,A12,'入出庫記録'!$AD$5:$AD$304,G12,'入出庫記録'!$AE$5:$AE$304,H12,'入出庫記録'!$AA$5:$AA$304,"記帳済み"))</f>
      </c>
      <c r="M12" s="29" t="str">
        <f>IF(A12="","",IF(I12&lt;0,"マイナス在庫",IF(I12&lt;=E12,"セキュリティ在庫未満",IF(I12&gt;F12,"最大在庫超過","通常"))))</f>
        <v>セキュリティ在庫未満</v>
      </c>
      <c r="N12" s="29" t="str">
        <f>IF(A12="","",IF(M12="マイナス在庫","帳簿と現物の差異を直ちに確認",IF(M12="セキュリティ在庫未満","購買または振替入庫を推奨",IF(M12="最大在庫超過","販促、振替、購買削減を推奨",""))))</f>
        <v>購買または振替入庫を推奨</v>
      </c>
      <c r="O12" s="29"/>
    </row>
    <row r="13" ht="20" customHeight="true">
      <c r="A13" s="29" t="str">
        <v>SKU-002</v>
      </c>
      <c r="B13" s="29" t="str">
        <f>IFERROR(VLOOKUP(A13,'商品マスタ'!$A$4:$S$104,2,FALSE),"")</f>
        <v>梱包箱</v>
      </c>
      <c r="C13" s="29" t="str">
        <f>IFERROR(VLOOKUP(A13,'商品マスタ'!$A$4:$S$104,4,FALSE),"")</f>
        <v>梱包資材</v>
      </c>
      <c r="D13" s="29" t="str">
        <f>IFERROR(VLOOKUP(A13,'商品マスタ'!$A$4:$S$104,7,FALSE),"")</f>
        <v>個</v>
      </c>
      <c r="E13" s="34" t="n">
        <f>IFERROR(VLOOKUP(A13,'商品マスタ'!$A$4:$S$104,8,FALSE),"")</f>
        <v>100</v>
      </c>
      <c r="F13" s="34" t="n">
        <f>IFERROR(VLOOKUP(A13,'商品マスタ'!$A$4:$S$104,9,FALSE),"")</f>
        <v>1000</v>
      </c>
      <c r="G13" s="34" t="str">
        <v>WH-B</v>
      </c>
      <c r="H13" s="34" t="str">
        <v>B-01-01</v>
      </c>
      <c r="I13" s="34" t="n">
        <f>IF(A13="","",SUMIFS('入出庫記録'!$AC$5:$AC$304,'入出庫記録'!$F$5:$F$304,A13,'入出庫記録'!$AD$5:$AD$304,G13,'入出庫記録'!$AE$5:$AE$304,H13))</f>
        <v>0</v>
      </c>
      <c r="J13" s="34" t="n">
        <f>IF(A13="","",I13-SUMIFS('入出庫記録'!$AC$5:$AC$304,'入出庫記録'!$F$5:$F$304,A13,'入出庫記録'!$AD$5:$AD$304,G13,'入出庫記録'!$AE$5:$AE$304,H13,'入出庫記録'!$K$5:$K$304,"凍結")-SUMIFS('入出庫記録'!$AC$5:$AC$304,'入出庫記録'!$F$5:$F$304,A13,'入出庫記録'!$AD$5:$AD$304,G13,'入出庫記録'!$AE$5:$AE$304,H13,'入出庫記録'!$K$5:$K$304,"検査待ち"))</f>
        <v>0</v>
      </c>
      <c r="K13" s="34" t="n">
        <f>IF(A13="","",I13*IFERROR(VLOOKUP(A13,'商品マスタ'!$A$4:$S$104,10,FALSE),0))</f>
        <v>0</v>
      </c>
      <c r="L13" s="38" t="str">
        <f>IF(COUNTIFS('入出庫記録'!$F$5:$F$304,A13,'入出庫記録'!$AD$5:$AD$304,G13,'入出庫記録'!$AE$5:$AE$304,H13,'入出庫記録'!$AA$5:$AA$304,"記帳済み")=0,"",MAXIFS('入出庫記録'!$B$5:$B$304,'入出庫記録'!$F$5:$F$304,A13,'入出庫記録'!$AD$5:$AD$304,G13,'入出庫記録'!$AE$5:$AE$304,H13,'入出庫記録'!$AA$5:$AA$304,"記帳済み"))</f>
      </c>
      <c r="M13" s="29" t="str">
        <f>IF(A13="","",IF(I13&lt;0,"マイナス在庫",IF(I13&lt;=E13,"セキュリティ在庫未満",IF(I13&gt;F13,"最大在庫超過","通常"))))</f>
        <v>セキュリティ在庫未満</v>
      </c>
      <c r="N13" s="29" t="str">
        <f>IF(A13="","",IF(M13="マイナス在庫","帳簿と現物の差異を直ちに確認",IF(M13="セキュリティ在庫未満","購買または振替入庫を推奨",IF(M13="最大在庫超過","販促、振替、購買削減を推奨",""))))</f>
        <v>購買または振替入庫を推奨</v>
      </c>
      <c r="O13" s="29"/>
    </row>
    <row r="14" ht="20" customHeight="true">
      <c r="A14" s="29" t="str">
        <v>SKU-005</v>
      </c>
      <c r="B14" s="29" t="str">
        <f>IFERROR(VLOOKUP(A14,'商品マスタ'!$A$4:$S$104,2,FALSE),"")</f>
        <v>慎重部品C</v>
      </c>
      <c r="C14" s="29" t="str">
        <f>IFERROR(VLOOKUP(A14,'商品マスタ'!$A$4:$S$104,4,FALSE),"")</f>
        <v>保守部品</v>
      </c>
      <c r="D14" s="29" t="str">
        <f>IFERROR(VLOOKUP(A14,'商品マスタ'!$A$4:$S$104,7,FALSE),"")</f>
        <v>pcs</v>
      </c>
      <c r="E14" s="34" t="n">
        <f>IFERROR(VLOOKUP(A14,'商品マスタ'!$A$4:$S$104,8,FALSE),"")</f>
        <v>10</v>
      </c>
      <c r="F14" s="34" t="n">
        <f>IFERROR(VLOOKUP(A14,'商品マスタ'!$A$4:$S$104,9,FALSE),"")</f>
        <v>80</v>
      </c>
      <c r="G14" s="34" t="str">
        <v>WH-RET</v>
      </c>
      <c r="H14" s="34" t="str">
        <v>RET-01-01</v>
      </c>
      <c r="I14" s="34" t="n">
        <f>IF(A14="","",SUMIFS('入出庫記録'!$AC$5:$AC$304,'入出庫記録'!$F$5:$F$304,A14,'入出庫記録'!$AD$5:$AD$304,G14,'入出庫記録'!$AE$5:$AE$304,H14))</f>
        <v>0</v>
      </c>
      <c r="J14" s="34" t="n">
        <f>IF(A14="","",I14-SUMIFS('入出庫記録'!$AC$5:$AC$304,'入出庫記録'!$F$5:$F$304,A14,'入出庫記録'!$AD$5:$AD$304,G14,'入出庫記録'!$AE$5:$AE$304,H14,'入出庫記録'!$K$5:$K$304,"凍結")-SUMIFS('入出庫記録'!$AC$5:$AC$304,'入出庫記録'!$F$5:$F$304,A14,'入出庫記録'!$AD$5:$AD$304,G14,'入出庫記録'!$AE$5:$AE$304,H14,'入出庫記録'!$K$5:$K$304,"検査待ち"))</f>
        <v>0</v>
      </c>
      <c r="K14" s="34" t="n">
        <f>IF(A14="","",I14*IFERROR(VLOOKUP(A14,'商品マスタ'!$A$4:$S$104,10,FALSE),0))</f>
        <v>0</v>
      </c>
      <c r="L14" s="38" t="str">
        <f>IF(COUNTIFS('入出庫記録'!$F$5:$F$304,A14,'入出庫記録'!$AD$5:$AD$304,G14,'入出庫記録'!$AE$5:$AE$304,H14,'入出庫記録'!$AA$5:$AA$304,"記帳済み")=0,"",MAXIFS('入出庫記録'!$B$5:$B$304,'入出庫記録'!$F$5:$F$304,A14,'入出庫記録'!$AD$5:$AD$304,G14,'入出庫記録'!$AE$5:$AE$304,H14,'入出庫記録'!$AA$5:$AA$304,"記帳済み"))</f>
      </c>
      <c r="M14" s="29" t="str">
        <f>IF(A14="","",IF(I14&lt;0,"マイナス在庫",IF(I14&lt;=E14,"セキュリティ在庫未満",IF(I14&gt;F14,"最大在庫超過","通常"))))</f>
        <v>セキュリティ在庫未満</v>
      </c>
      <c r="N14" s="29" t="str">
        <f>IF(A14="","",IF(M14="マイナス在庫","帳簿と現物の差異を直ちに確認",IF(M14="セキュリティ在庫未満","購買または振替入庫を推奨",IF(M14="最大在庫超過","販促、振替、購買削減を推奨",""))))</f>
        <v>購買または振替入庫を推奨</v>
      </c>
      <c r="O14" s="29"/>
    </row>
  </sheetData>
  <conditionalFormatting sqref="M5:M104">
    <cfRule type="containsText" dxfId="6" priority="1" operator="containsText" text="通常"/>
    <cfRule type="containsText" dxfId="7" priority="2" operator="containsText" text="セキュリティ在庫未満"/>
    <cfRule type="containsText" dxfId="8" priority="3" operator="containsText" text="最大在庫超過"/>
    <cfRule type="containsText" dxfId="9" priority="4" operator="containsText" text="マイナス在庫"/>
  </conditionalFormatting>
  <conditionalFormatting sqref="I5:K104">
    <cfRule type="dataBar" priority="5">
      <dataBar>
        <cfvo type="min"/>
        <cfvo type="max"/>
        <color rgb="99F6E4"/>
      </dataBar>
      <ignoredErrors>
        <ignoredError sqref="A1:XFD1048576" evalError="1" twoDigitTextYear="1" numberStoredAsText="1" formula="1" formulaRange="1" unlockedFormula="1" emptyCellReference="1" listDataValidation="1" calculatedColumn="1"/>
      </ignoredErrors>
      <extLst>
        <x:ext xmlns:x14="http://schemas.microsoft.com/office/spreadsheetml/2009/9/main" uri="{B025F937-C7B1-47D3-B67F-A62EFF666E3E}">
          <x14:id>{F7CFA5E8-753D-E113-5939-383D8F73DFA0}</x14:id>
        </x:ext>
      </extLst>
    </cfRule>
  </conditionalFormatting>
  <dataValidations count="3">
    <dataValidation allowBlank="false" error="一覧から値を選択してください。" errorStyle="warning" errorTitle="商品コード" showErrorMessage="true" sqref="A5:A104"/>
    <dataValidation allowBlank="false" error="一覧から値を選択してください。" errorStyle="warning" errorTitle="倉庫コード" showErrorMessage="true" sqref="G5:G104"/>
    <dataValidation allowBlank="false" error="一覧から値を選択してください。" errorStyle="warning" errorTitle="ロケーションコード" showErrorMessage="true" sqref="H5:H104"/>
  </dataValidations>
  <pageMargins left="0.7" right="0.7" top="0.75" bottom="0.75" header="0.3" footer="0.3"/>
  <tableParts count="1">
    <tablePart r:id="Redea96da4d0d4287"/>
  </tableParts>
  <extLst>
    <x:ext xmlns:x14="http://schemas.microsoft.com/office/spreadsheetml/2009/9/main" xmlns:xm="http://schemas.microsoft.com/office/excel/2006/main" uri="{78C0D931-6437-407d-A8EE-F0AAD7539E65}">
      <x14:conditionalFormattings>
        <x14:conditionalFormatting>
          <x14:cfRule type="dataBar" priority="5" id="{F7CFA5E8-753D-E113-5939-383D8F73DFA0}">
            <x14:dataBar gradient="1">
              <x14:cfvo type="min"/>
              <x14:cfvo type="max"/>
              <x14:fillColor rgb="99F6E4"/>
            </x14:dataBar>
          </x14:cfRule>
          <xm:sqref>I5:K104</xm:sqref>
        </x14:conditionalFormatting>
      </x14:conditionalFormattings>
    </x:ext>
  </extLst>
</worksheet>
</file>

<file path=xl/worksheets/sheet5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5"/>
    <col customWidth="true" max="2" min="2" width="18"/>
    <col customWidth="true" max="3" min="3" width="16"/>
    <col customWidth="true" max="4" min="4" width="12"/>
    <col customWidth="true" max="5" min="5" width="14"/>
    <col customWidth="true" max="6" min="6" width="18"/>
    <col customWidth="true" max="7" min="7" width="10"/>
    <col customWidth="true" max="9" min="8" width="11"/>
    <col customWidth="true" max="10" min="10" width="12"/>
    <col customWidth="true" max="11" min="11" width="9"/>
    <col customWidth="true" max="14" min="12" width="12"/>
    <col customWidth="true" max="15" min="15" width="10"/>
    <col customWidth="true" max="17" min="16" width="12"/>
    <col customWidth="true" max="18" min="18" width="16"/>
    <col customWidth="true" max="19" min="19" width="24"/>
  </cols>
  <sheetData>
    <row r="1" ht="32" customHeight="tru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2" customHeight="true">
      <c r="A2" s="64" t="s">
        <v>177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</row>
    <row r="3"/>
    <row r="4" ht="32" customHeight="true">
      <c r="A4" s="19" t="s">
        <v>110</v>
      </c>
      <c r="B4" s="19" t="s">
        <v>178</v>
      </c>
      <c r="C4" s="19" t="s">
        <v>112</v>
      </c>
      <c r="D4" s="19" t="s">
        <v>166</v>
      </c>
      <c r="E4" s="19" t="s">
        <v>179</v>
      </c>
      <c r="F4" s="19" t="s">
        <v>180</v>
      </c>
      <c r="G4" s="19" t="s">
        <v>181</v>
      </c>
      <c r="H4" s="19" t="s">
        <v>167</v>
      </c>
      <c r="I4" s="19" t="s">
        <v>168</v>
      </c>
      <c r="J4" s="19" t="s">
        <v>182</v>
      </c>
      <c r="K4" s="19" t="str">
        <v>税率</v>
      </c>
      <c r="L4" s="19" t="s">
        <v>183</v>
      </c>
      <c r="M4" s="19" t="s">
        <v>184</v>
      </c>
      <c r="N4" s="19" t="s">
        <v>115</v>
      </c>
      <c r="O4" s="19" t="s">
        <v>185</v>
      </c>
      <c r="P4" s="19" t="s">
        <v>186</v>
      </c>
      <c r="Q4" s="19" t="s">
        <v>187</v>
      </c>
      <c r="R4" s="19" t="s">
        <v>188</v>
      </c>
      <c r="S4" s="19" t="s">
        <v>25</v>
      </c>
    </row>
    <row r="5" ht="20" customHeight="true">
      <c r="A5" s="29" t="str">
        <v>SKU-001</v>
      </c>
      <c r="B5" s="29" t="s">
        <v>189</v>
      </c>
      <c r="C5" s="29" t="str">
        <v>M6x20</v>
      </c>
      <c r="D5" s="29" t="s">
        <v>190</v>
      </c>
      <c r="E5" s="29" t="s">
        <v>191</v>
      </c>
      <c r="F5" s="29" t="str">
        <v>6900001001</v>
      </c>
      <c r="G5" s="29" t="str">
        <v>pcs</v>
      </c>
      <c r="H5" s="34" t="n">
        <v>500</v>
      </c>
      <c r="I5" s="34" t="n">
        <v>5000</v>
      </c>
      <c r="J5" s="34" t="n">
        <v>0.08</v>
      </c>
      <c r="K5" s="36" t="n">
        <v>0.13</v>
      </c>
      <c r="L5" s="29" t="str">
        <v>WH-A</v>
      </c>
      <c r="M5" s="29" t="str">
        <v>A-02-01</v>
      </c>
      <c r="N5" s="29" t="s">
        <v>132</v>
      </c>
      <c r="O5" s="29" t="s">
        <v>192</v>
      </c>
      <c r="P5" s="29" t="s">
        <v>193</v>
      </c>
      <c r="Q5" s="29"/>
      <c r="R5" s="29" t="str">
        <v>SUP-002</v>
      </c>
      <c r="S5" s="29"/>
    </row>
    <row r="6" ht="20" customHeight="true">
      <c r="A6" s="29" t="str">
        <v>SKU-002</v>
      </c>
      <c r="B6" s="29" t="s">
        <v>194</v>
      </c>
      <c r="C6" s="29" t="str">
        <v>600x400mm</v>
      </c>
      <c r="D6" s="29" t="s">
        <v>195</v>
      </c>
      <c r="E6" s="29" t="s">
        <v>191</v>
      </c>
      <c r="F6" s="29" t="str">
        <v>6900001002</v>
      </c>
      <c r="G6" s="29" t="s">
        <v>196</v>
      </c>
      <c r="H6" s="34" t="n">
        <v>100</v>
      </c>
      <c r="I6" s="34" t="n">
        <v>1000</v>
      </c>
      <c r="J6" s="34" t="n">
        <v>2.5</v>
      </c>
      <c r="K6" s="36" t="n">
        <v>0.13</v>
      </c>
      <c r="L6" s="29" t="str">
        <v>WH-A</v>
      </c>
      <c r="M6" s="29" t="str">
        <v>A-02-01</v>
      </c>
      <c r="N6" s="29" t="s">
        <v>132</v>
      </c>
      <c r="O6" s="29" t="s">
        <v>193</v>
      </c>
      <c r="P6" s="29" t="s">
        <v>193</v>
      </c>
      <c r="Q6" s="29"/>
      <c r="R6" s="29" t="str">
        <v>SUP-002</v>
      </c>
      <c r="S6" s="29"/>
    </row>
    <row r="7" ht="20" customHeight="true">
      <c r="A7" s="29" t="str">
        <v>SKU-003</v>
      </c>
      <c r="B7" s="29" t="s">
        <v>197</v>
      </c>
      <c r="C7" s="29" t="s">
        <v>198</v>
      </c>
      <c r="D7" s="29" t="str">
        <v>原材料</v>
      </c>
      <c r="E7" s="29" t="s">
        <v>199</v>
      </c>
      <c r="F7" s="29" t="str">
        <v>6900001003</v>
      </c>
      <c r="G7" s="29" t="str">
        <v>kg</v>
      </c>
      <c r="H7" s="34" t="n">
        <v>1000</v>
      </c>
      <c r="I7" s="34" t="n">
        <v>20000</v>
      </c>
      <c r="J7" s="34" t="n">
        <v>4.2</v>
      </c>
      <c r="K7" s="36" t="n">
        <v>0.13</v>
      </c>
      <c r="L7" s="29" t="str">
        <v>WH-A</v>
      </c>
      <c r="M7" s="29" t="str">
        <v>A-01-01</v>
      </c>
      <c r="N7" s="29" t="s">
        <v>132</v>
      </c>
      <c r="O7" s="29" t="s">
        <v>192</v>
      </c>
      <c r="P7" s="29" t="s">
        <v>193</v>
      </c>
      <c r="Q7" s="29" t="n">
        <v>365</v>
      </c>
      <c r="R7" s="29" t="str">
        <v>SUP-001</v>
      </c>
      <c r="S7" s="29"/>
    </row>
    <row r="8" ht="20" customHeight="true">
      <c r="A8" s="29" t="str">
        <v>SKU-004</v>
      </c>
      <c r="B8" s="29" t="s">
        <v>200</v>
      </c>
      <c r="C8" s="29" t="s">
        <v>201</v>
      </c>
      <c r="D8" s="29" t="s">
        <v>202</v>
      </c>
      <c r="E8" s="29" t="s">
        <v>203</v>
      </c>
      <c r="F8" s="29" t="str">
        <v>6900001004</v>
      </c>
      <c r="G8" s="29" t="str">
        <v>pcs</v>
      </c>
      <c r="H8" s="34" t="n">
        <v>50</v>
      </c>
      <c r="I8" s="34" t="n">
        <v>500</v>
      </c>
      <c r="J8" s="34" t="n">
        <v>85</v>
      </c>
      <c r="K8" s="36" t="n">
        <v>0.13</v>
      </c>
      <c r="L8" s="29" t="str">
        <v>WH-B</v>
      </c>
      <c r="M8" s="29" t="str">
        <v>B-01-01</v>
      </c>
      <c r="N8" s="29" t="s">
        <v>132</v>
      </c>
      <c r="O8" s="29" t="s">
        <v>192</v>
      </c>
      <c r="P8" s="29" t="s">
        <v>193</v>
      </c>
      <c r="Q8" s="29"/>
      <c r="R8" s="29"/>
      <c r="S8" s="29"/>
    </row>
    <row r="9" ht="20" customHeight="true">
      <c r="A9" s="29" t="str">
        <v>SKU-005</v>
      </c>
      <c r="B9" s="29" t="s">
        <v>204</v>
      </c>
      <c r="C9" s="29" t="s">
        <v>191</v>
      </c>
      <c r="D9" s="29" t="s">
        <v>205</v>
      </c>
      <c r="E9" s="29" t="s">
        <v>206</v>
      </c>
      <c r="F9" s="29" t="str">
        <v>6900001005</v>
      </c>
      <c r="G9" s="29" t="str">
        <v>pcs</v>
      </c>
      <c r="H9" s="34" t="n">
        <v>10</v>
      </c>
      <c r="I9" s="34" t="n">
        <v>80</v>
      </c>
      <c r="J9" s="34" t="n">
        <v>38</v>
      </c>
      <c r="K9" s="36" t="n">
        <v>0.13</v>
      </c>
      <c r="L9" s="29" t="str">
        <v>WH-B</v>
      </c>
      <c r="M9" s="29" t="str">
        <v>B-02-01</v>
      </c>
      <c r="N9" s="29" t="s">
        <v>132</v>
      </c>
      <c r="O9" s="29" t="s">
        <v>193</v>
      </c>
      <c r="P9" s="29" t="s">
        <v>192</v>
      </c>
      <c r="Q9" s="29"/>
      <c r="R9" s="29" t="str">
        <v>SUP-003</v>
      </c>
      <c r="S9" s="29"/>
    </row>
  </sheetData>
  <dataValidations count="4">
    <dataValidation allowBlank="false" error="一覧から値を選択してください。" errorStyle="warning" errorTitle="計量単位" showErrorMessage="true" sqref="G5:G104"/>
    <dataValidation allowBlank="false" error="一覧から値を選択してください。" errorStyle="warning" errorTitle="税率" showErrorMessage="true" sqref="K5:K104"/>
    <dataValidation allowBlank="false" error="一覧から値を選択してください。" errorStyle="warning" errorTitle="在庫属性" showErrorMessage="true" sqref="N5:N104"/>
    <dataValidation allowBlank="false" error="一覧から値を選択してください。" errorStyle="warning" errorTitle="はい・いいえ" showErrorMessage="true" sqref="O5:P104"/>
  </dataValidations>
  <pageMargins left="0.7" right="0.7" top="0.75" bottom="0.75" header="0.3" footer="0.3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tableParts count="1">
    <tablePart r:id="R470ec86a9e0c4e03"/>
  </tableParts>
</worksheet>
</file>

<file path=xl/worksheets/sheet6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4"/>
    <col customWidth="true" max="2" min="2" width="16"/>
    <col customWidth="true" max="3" min="3" width="14"/>
    <col customWidth="true" max="4" min="4" width="18"/>
    <col customWidth="true" max="5" min="5" width="16"/>
    <col customWidth="true" max="6" min="6" width="14"/>
    <col customWidth="true" max="7" min="7" width="10"/>
    <col customWidth="true" max="8" min="8" width="12"/>
    <col customWidth="true" max="9" min="9" width="24"/>
  </cols>
  <sheetData>
    <row r="1" ht="32" customHeight="true">
      <c r="A1" s="4" t="s">
        <v>207</v>
      </c>
      <c r="B1" s="4"/>
      <c r="C1" s="4"/>
      <c r="D1" s="4"/>
      <c r="E1" s="4"/>
      <c r="F1" s="4"/>
      <c r="G1" s="4"/>
      <c r="H1" s="4"/>
      <c r="I1" s="4"/>
    </row>
    <row r="2" ht="22" customHeight="true">
      <c r="A2" s="64" t="s">
        <v>208</v>
      </c>
      <c r="B2" s="64"/>
      <c r="C2" s="64"/>
      <c r="D2" s="64"/>
      <c r="E2" s="64"/>
      <c r="F2" s="64"/>
      <c r="G2" s="64"/>
      <c r="H2" s="64"/>
      <c r="I2" s="64"/>
    </row>
    <row r="3"/>
    <row r="4" ht="32" customHeight="true">
      <c r="A4" s="19" t="s">
        <v>169</v>
      </c>
      <c r="B4" s="19" t="s">
        <v>209</v>
      </c>
      <c r="C4" s="19" t="s">
        <v>170</v>
      </c>
      <c r="D4" s="19" t="s">
        <v>210</v>
      </c>
      <c r="E4" s="19" t="s">
        <v>211</v>
      </c>
      <c r="F4" s="19" t="s">
        <v>212</v>
      </c>
      <c r="G4" s="19" t="s">
        <v>213</v>
      </c>
      <c r="H4" s="19" t="s">
        <v>214</v>
      </c>
      <c r="I4" s="19" t="s">
        <v>25</v>
      </c>
    </row>
    <row r="5" ht="20" customHeight="true">
      <c r="A5" s="29" t="str">
        <v>WH-A</v>
      </c>
      <c r="B5" s="29" t="s">
        <v>215</v>
      </c>
      <c r="C5" s="29" t="str">
        <v>A-01-01</v>
      </c>
      <c r="D5" s="29" t="s">
        <v>216</v>
      </c>
      <c r="E5" s="29" t="s">
        <v>217</v>
      </c>
      <c r="F5" s="29" t="str">
        <v>常温</v>
      </c>
      <c r="G5" s="29" t="s">
        <v>192</v>
      </c>
      <c r="H5" s="29" t="s">
        <v>218</v>
      </c>
      <c r="I5" s="29"/>
    </row>
    <row r="6" ht="20" customHeight="true">
      <c r="A6" s="29" t="str">
        <v>WH-A</v>
      </c>
      <c r="B6" s="29" t="s">
        <v>215</v>
      </c>
      <c r="C6" s="29" t="str">
        <v>A-02-01</v>
      </c>
      <c r="D6" s="29" t="s">
        <v>219</v>
      </c>
      <c r="E6" s="29" t="s">
        <v>217</v>
      </c>
      <c r="F6" s="29" t="str">
        <v>常温</v>
      </c>
      <c r="G6" s="29" t="s">
        <v>192</v>
      </c>
      <c r="H6" s="29" t="s">
        <v>218</v>
      </c>
      <c r="I6" s="29"/>
    </row>
    <row r="7" ht="20" customHeight="true">
      <c r="A7" s="29" t="str">
        <v>WH-B</v>
      </c>
      <c r="B7" s="29" t="s">
        <v>220</v>
      </c>
      <c r="C7" s="29" t="str">
        <v>B-01-01</v>
      </c>
      <c r="D7" s="29" t="s">
        <v>221</v>
      </c>
      <c r="E7" s="29" t="s">
        <v>217</v>
      </c>
      <c r="F7" s="29" t="str">
        <v>常温</v>
      </c>
      <c r="G7" s="29" t="s">
        <v>192</v>
      </c>
      <c r="H7" s="29" t="s">
        <v>222</v>
      </c>
      <c r="I7" s="29"/>
    </row>
    <row r="8" ht="20" customHeight="true">
      <c r="A8" s="29" t="str">
        <v>WH-B</v>
      </c>
      <c r="B8" s="29" t="s">
        <v>220</v>
      </c>
      <c r="C8" s="29" t="str">
        <v>B-02-01</v>
      </c>
      <c r="D8" s="29" t="s">
        <v>223</v>
      </c>
      <c r="E8" s="29" t="s">
        <v>217</v>
      </c>
      <c r="F8" s="29" t="str">
        <v>常温</v>
      </c>
      <c r="G8" s="29" t="s">
        <v>192</v>
      </c>
      <c r="H8" s="29" t="s">
        <v>222</v>
      </c>
      <c r="I8" s="29"/>
    </row>
    <row r="9" ht="20" customHeight="true">
      <c r="A9" s="29" t="str">
        <v>WH-QC</v>
      </c>
      <c r="B9" s="29" t="s">
        <v>224</v>
      </c>
      <c r="C9" s="29" t="str">
        <v>QC-01-01</v>
      </c>
      <c r="D9" s="29" t="s">
        <v>225</v>
      </c>
      <c r="E9" s="29" t="s">
        <v>217</v>
      </c>
      <c r="F9" s="29" t="str">
        <v>常温</v>
      </c>
      <c r="G9" s="29" t="s">
        <v>192</v>
      </c>
      <c r="H9" s="29" t="s">
        <v>226</v>
      </c>
      <c r="I9" s="29"/>
    </row>
    <row r="10" ht="20" customHeight="true">
      <c r="A10" s="29" t="str">
        <v>WH-RET</v>
      </c>
      <c r="B10" s="29" t="s">
        <v>227</v>
      </c>
      <c r="C10" s="29" t="str">
        <v>RET-01-01</v>
      </c>
      <c r="D10" s="29" t="s">
        <v>228</v>
      </c>
      <c r="E10" s="29" t="s">
        <v>217</v>
      </c>
      <c r="F10" s="29" t="str">
        <v>常温</v>
      </c>
      <c r="G10" s="29" t="s">
        <v>192</v>
      </c>
      <c r="H10" s="29" t="s">
        <v>229</v>
      </c>
      <c r="I10" s="29"/>
    </row>
  </sheetData>
  <dataValidations count="2">
    <dataValidation allowBlank="false" error="一覧から値を選択してください。" errorStyle="warning" errorTitle="温度管理要個" showErrorMessage="true" sqref="F5:F104"/>
    <dataValidation allowBlank="false" error="一覧から値を選択してください。" errorStyle="warning" errorTitle="有効" showErrorMessage="true" sqref="G5:G104"/>
  </dataValidations>
  <pageMargins left="0.7" right="0.7" top="0.75" bottom="0.75" header="0.3" footer="0.3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tableParts count="1">
    <tablePart r:id="R17bc87a31f344558"/>
  </tableParts>
</worksheet>
</file>

<file path=xl/worksheets/sheet7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" min="1" width="16"/>
    <col customWidth="true" max="2" min="2" width="20"/>
    <col customWidth="true" max="4" min="3" width="12"/>
    <col customWidth="true" max="5" min="5" width="14"/>
    <col customWidth="true" max="6" min="6" width="18"/>
    <col customWidth="true" max="7" min="7" width="14"/>
    <col customWidth="true" max="8" min="8" width="24"/>
  </cols>
  <sheetData>
    <row r="1" ht="32" customHeight="true">
      <c r="A1" s="4" t="s">
        <v>230</v>
      </c>
      <c r="B1" s="4"/>
      <c r="C1" s="4"/>
      <c r="D1" s="4"/>
      <c r="E1" s="4"/>
      <c r="F1" s="4"/>
      <c r="G1" s="4"/>
      <c r="H1" s="4"/>
    </row>
    <row r="2" ht="22" customHeight="true">
      <c r="A2" s="64" t="s">
        <v>231</v>
      </c>
      <c r="B2" s="64"/>
      <c r="C2" s="64"/>
      <c r="D2" s="64"/>
      <c r="E2" s="64"/>
      <c r="F2" s="64"/>
      <c r="G2" s="64"/>
      <c r="H2" s="64"/>
    </row>
    <row r="3"/>
    <row r="4" ht="32" customHeight="true">
      <c r="A4" s="19" t="s">
        <v>232</v>
      </c>
      <c r="B4" s="19" t="s">
        <v>233</v>
      </c>
      <c r="C4" s="19" t="s">
        <v>234</v>
      </c>
      <c r="D4" s="19" t="s">
        <v>235</v>
      </c>
      <c r="E4" s="19" t="s">
        <v>236</v>
      </c>
      <c r="F4" s="19" t="s">
        <v>237</v>
      </c>
      <c r="G4" s="19" t="s">
        <v>238</v>
      </c>
      <c r="H4" s="19" t="s">
        <v>25</v>
      </c>
    </row>
    <row r="5" ht="20" customHeight="true">
      <c r="A5" s="29" t="str">
        <v>SUP-001</v>
      </c>
      <c r="B5" s="29" t="s">
        <v>239</v>
      </c>
      <c r="C5" s="29" t="s">
        <v>240</v>
      </c>
      <c r="D5" s="29" t="s">
        <v>241</v>
      </c>
      <c r="E5" s="29"/>
      <c r="F5" s="29" t="s">
        <v>242</v>
      </c>
      <c r="G5" s="29" t="s">
        <v>243</v>
      </c>
      <c r="H5" s="29"/>
    </row>
    <row r="6" ht="20" customHeight="true">
      <c r="A6" s="29" t="str">
        <v>SUP-002</v>
      </c>
      <c r="B6" s="29" t="s">
        <v>244</v>
      </c>
      <c r="C6" s="29" t="s">
        <v>240</v>
      </c>
      <c r="D6" s="29" t="s">
        <v>245</v>
      </c>
      <c r="E6" s="29"/>
      <c r="F6" s="29" t="s">
        <v>246</v>
      </c>
      <c r="G6" s="29" t="s">
        <v>247</v>
      </c>
      <c r="H6" s="29"/>
    </row>
    <row r="7" ht="20" customHeight="true">
      <c r="A7" s="29" t="str">
        <v>SUP-003</v>
      </c>
      <c r="B7" s="29" t="s">
        <v>248</v>
      </c>
      <c r="C7" s="29" t="s">
        <v>240</v>
      </c>
      <c r="D7" s="29" t="s">
        <v>249</v>
      </c>
      <c r="E7" s="29"/>
      <c r="F7" s="29" t="s">
        <v>250</v>
      </c>
      <c r="G7" s="29" t="s">
        <v>243</v>
      </c>
      <c r="H7" s="29"/>
    </row>
    <row r="8" ht="20" customHeight="true">
      <c r="A8" s="29" t="str">
        <v>CUS-001</v>
      </c>
      <c r="B8" s="29" t="s">
        <v>251</v>
      </c>
      <c r="C8" s="29" t="s">
        <v>252</v>
      </c>
      <c r="D8" s="29" t="s">
        <v>253</v>
      </c>
      <c r="E8" s="29"/>
      <c r="F8" s="29" t="s">
        <v>254</v>
      </c>
      <c r="G8" s="29" t="s">
        <v>243</v>
      </c>
      <c r="H8" s="29"/>
    </row>
    <row r="9" ht="20" customHeight="true">
      <c r="A9" s="29" t="str">
        <v>CUS-002</v>
      </c>
      <c r="B9" s="29" t="s">
        <v>255</v>
      </c>
      <c r="C9" s="29" t="s">
        <v>252</v>
      </c>
      <c r="D9" s="29" t="s">
        <v>256</v>
      </c>
      <c r="E9" s="29"/>
      <c r="F9" s="29" t="s">
        <v>257</v>
      </c>
      <c r="G9" s="29" t="s">
        <v>258</v>
      </c>
      <c r="H9" s="29"/>
    </row>
    <row r="10" ht="20" customHeight="true">
      <c r="A10" s="29" t="str">
        <v>DEP-PROD</v>
      </c>
      <c r="B10" s="29" t="s">
        <v>259</v>
      </c>
      <c r="C10" s="29" t="s">
        <v>260</v>
      </c>
      <c r="D10" s="29" t="s">
        <v>261</v>
      </c>
      <c r="E10" s="29"/>
      <c r="F10" s="29" t="s">
        <v>262</v>
      </c>
      <c r="G10" s="29" t="s">
        <v>263</v>
      </c>
      <c r="H10" s="29"/>
    </row>
    <row r="11" ht="20" customHeight="true">
      <c r="A11" s="29" t="str">
        <v>DEP-QC</v>
      </c>
      <c r="B11" s="29" t="s">
        <v>264</v>
      </c>
      <c r="C11" s="29" t="s">
        <v>260</v>
      </c>
      <c r="D11" s="29" t="s">
        <v>265</v>
      </c>
      <c r="E11" s="29"/>
      <c r="F11" s="29" t="s">
        <v>266</v>
      </c>
      <c r="G11" s="29" t="s">
        <v>263</v>
      </c>
      <c r="H11" s="29"/>
    </row>
    <row r="12" ht="20" customHeight="true">
      <c r="A12" s="29" t="str">
        <v>DEP-RD</v>
      </c>
      <c r="B12" s="29" t="s">
        <v>267</v>
      </c>
      <c r="C12" s="29" t="s">
        <v>260</v>
      </c>
      <c r="D12" s="29" t="s">
        <v>268</v>
      </c>
      <c r="E12" s="29"/>
      <c r="F12" s="29" t="s">
        <v>269</v>
      </c>
      <c r="G12" s="29" t="s">
        <v>263</v>
      </c>
      <c r="H12" s="29"/>
    </row>
    <row r="13" ht="20" customHeight="true">
      <c r="A13" s="29" t="str">
        <v>OUT-001</v>
      </c>
      <c r="B13" s="29" t="s">
        <v>270</v>
      </c>
      <c r="C13" s="29" t="s">
        <v>271</v>
      </c>
      <c r="D13" s="29" t="s">
        <v>272</v>
      </c>
      <c r="E13" s="29"/>
      <c r="F13" s="29" t="s">
        <v>161</v>
      </c>
      <c r="G13" s="29" t="s">
        <v>273</v>
      </c>
      <c r="H13" s="29"/>
    </row>
  </sheetData>
  <dataValidations count="1">
    <dataValidation allowBlank="false" error="一覧から値を選択してください。" errorStyle="warning" errorTitle="タイプ" showErrorMessage="true" sqref="C5:C104"/>
  </dataValidations>
  <pageMargins left="0.7" right="0.7" top="0.75" bottom="0.75" header="0.3" footer="0.3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tableParts count="1">
    <tablePart r:id="R4b495528f6634493"/>
  </tableParts>
</worksheet>
</file>

<file path=xl/worksheets/sheet8.xml><?xml version="1.0" encoding="utf-8"?>
<worksheet xmlns:x="http://schemas.openxmlformats.org/spreadsheetml/2006/main" xmlns="http://schemas.openxmlformats.org/spreadsheetml/2006/main" xmlns:r="http://schemas.openxmlformats.org/officeDocument/2006/relationships" xmlns:mc="http://schemas.openxmlformats.org/markup-compatibility/2006">
  <sheetViews>
    <sheetView workbookViewId="0"/>
  </sheetViews>
  <sheetFormatPr defaultRowHeight="15"/>
  <cols>
    <col customWidth="true" max="13" min="1" width="16"/>
  </cols>
  <sheetData>
    <row r="1" ht="32" customHeight="true">
      <c r="A1" s="4" t="s">
        <v>274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22" customHeight="true">
      <c r="A2" s="64" t="s">
        <v>275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</row>
    <row r="3"/>
    <row r="4" ht="32" customHeight="true">
      <c r="A4" s="19" t="s">
        <v>276</v>
      </c>
      <c r="B4" s="19" t="s">
        <v>94</v>
      </c>
      <c r="C4" s="19" t="s">
        <v>128</v>
      </c>
      <c r="D4" s="19" t="s">
        <v>127</v>
      </c>
      <c r="E4" s="19" t="s">
        <v>277</v>
      </c>
      <c r="F4" s="19" t="s">
        <v>115</v>
      </c>
      <c r="G4" s="19" t="s">
        <v>278</v>
      </c>
      <c r="H4" s="19" t="s">
        <v>279</v>
      </c>
      <c r="I4" s="19" t="s">
        <v>280</v>
      </c>
      <c r="J4" s="19" t="s">
        <v>212</v>
      </c>
      <c r="K4" s="19" t="s">
        <v>281</v>
      </c>
      <c r="L4" s="19" t="str">
        <v>税率</v>
      </c>
      <c r="M4" s="19" t="s">
        <v>282</v>
      </c>
    </row>
    <row r="5" ht="20" customHeight="true">
      <c r="A5" s="29" t="s">
        <v>131</v>
      </c>
      <c r="B5" s="29" t="s">
        <v>26</v>
      </c>
      <c r="C5" s="29" t="s">
        <v>163</v>
      </c>
      <c r="D5" s="29" t="s">
        <v>283</v>
      </c>
      <c r="E5" s="29" t="str">
        <v>pcs</v>
      </c>
      <c r="F5" s="29" t="s">
        <v>132</v>
      </c>
      <c r="G5" s="29" t="s">
        <v>284</v>
      </c>
      <c r="H5" s="29" t="str">
        <v>A</v>
      </c>
      <c r="I5" s="29" t="s">
        <v>285</v>
      </c>
      <c r="J5" s="29" t="str">
        <v>常温</v>
      </c>
      <c r="K5" s="29" t="s">
        <v>192</v>
      </c>
      <c r="L5" s="29" t="str">
        <v>0%</v>
      </c>
      <c r="M5" s="29" t="s">
        <v>133</v>
      </c>
    </row>
    <row r="6" ht="20" customHeight="true">
      <c r="A6" s="29" t="s">
        <v>138</v>
      </c>
      <c r="B6" s="29" t="s">
        <v>29</v>
      </c>
      <c r="C6" s="29" t="s">
        <v>286</v>
      </c>
      <c r="D6" s="29" t="s">
        <v>162</v>
      </c>
      <c r="E6" s="29" t="str">
        <v>箱</v>
      </c>
      <c r="F6" s="29" t="s">
        <v>149</v>
      </c>
      <c r="G6" s="29" t="s">
        <v>287</v>
      </c>
      <c r="H6" s="29" t="str">
        <v>B</v>
      </c>
      <c r="I6" s="29" t="s">
        <v>288</v>
      </c>
      <c r="J6" s="29" t="s">
        <v>289</v>
      </c>
      <c r="K6" s="29" t="s">
        <v>193</v>
      </c>
      <c r="L6" s="29" t="str">
        <v>1%</v>
      </c>
      <c r="M6" s="29" t="s">
        <v>139</v>
      </c>
    </row>
    <row r="7" ht="20" customHeight="true">
      <c r="A7" s="29" t="s">
        <v>148</v>
      </c>
      <c r="B7" s="29" t="s">
        <v>96</v>
      </c>
      <c r="C7" s="29" t="s">
        <v>136</v>
      </c>
      <c r="D7" s="29" t="s">
        <v>135</v>
      </c>
      <c r="E7" s="29" t="s">
        <v>196</v>
      </c>
      <c r="F7" s="29" t="s">
        <v>290</v>
      </c>
      <c r="G7" s="29" t="s">
        <v>291</v>
      </c>
      <c r="H7" s="29" t="str">
        <v>C</v>
      </c>
      <c r="I7" s="29" t="s">
        <v>292</v>
      </c>
      <c r="J7" s="29" t="s">
        <v>293</v>
      </c>
      <c r="K7" s="29"/>
      <c r="L7" s="29" t="str">
        <v>3%</v>
      </c>
      <c r="M7" s="29" t="s">
        <v>141</v>
      </c>
    </row>
    <row r="8" ht="20" customHeight="true">
      <c r="A8" s="29" t="s">
        <v>144</v>
      </c>
      <c r="B8" s="29" t="s">
        <v>97</v>
      </c>
      <c r="C8" s="29" t="s">
        <v>294</v>
      </c>
      <c r="D8" s="29" t="s">
        <v>295</v>
      </c>
      <c r="E8" s="29" t="str">
        <v>kg</v>
      </c>
      <c r="F8" s="29" t="str">
        <v>不良品</v>
      </c>
      <c r="G8" s="29" t="s">
        <v>296</v>
      </c>
      <c r="H8" s="29"/>
      <c r="I8" s="29" t="s">
        <v>264</v>
      </c>
      <c r="J8" s="29" t="s">
        <v>297</v>
      </c>
      <c r="K8" s="29"/>
      <c r="L8" s="29" t="str">
        <v>6%</v>
      </c>
      <c r="M8" s="29" t="s">
        <v>143</v>
      </c>
    </row>
    <row r="9" ht="20" customHeight="true">
      <c r="A9" s="29" t="s">
        <v>150</v>
      </c>
      <c r="B9" s="29" t="s">
        <v>98</v>
      </c>
      <c r="C9" s="29"/>
      <c r="D9" s="29"/>
      <c r="E9" s="29" t="str">
        <v>g</v>
      </c>
      <c r="F9" s="29" t="s">
        <v>298</v>
      </c>
      <c r="G9" s="29" t="s">
        <v>299</v>
      </c>
      <c r="H9" s="29"/>
      <c r="I9" s="29" t="s">
        <v>145</v>
      </c>
      <c r="J9" s="29" t="str">
        <v>恒温恒湿</v>
      </c>
      <c r="K9" s="29"/>
      <c r="L9" s="29" t="str">
        <v>9%</v>
      </c>
      <c r="M9" s="29" t="s">
        <v>154</v>
      </c>
    </row>
    <row r="10" ht="20" customHeight="true">
      <c r="A10" s="29"/>
      <c r="B10" s="29" t="s">
        <v>99</v>
      </c>
      <c r="C10" s="29"/>
      <c r="D10" s="29"/>
      <c r="E10" s="29" t="str">
        <v>L</v>
      </c>
      <c r="F10" s="29" t="s">
        <v>300</v>
      </c>
      <c r="G10" s="29"/>
      <c r="H10" s="29"/>
      <c r="I10" s="29" t="s">
        <v>301</v>
      </c>
      <c r="J10" s="29" t="s">
        <v>302</v>
      </c>
      <c r="K10" s="29"/>
      <c r="L10" s="29" t="str">
        <v>13%</v>
      </c>
      <c r="M10" s="29" t="s">
        <v>155</v>
      </c>
    </row>
    <row r="11" ht="20" customHeight="true">
      <c r="A11" s="29"/>
      <c r="B11" s="29" t="s">
        <v>35</v>
      </c>
      <c r="C11" s="29"/>
      <c r="D11" s="29"/>
      <c r="E11" s="29" t="str">
        <v>ml</v>
      </c>
      <c r="F11" s="29" t="s">
        <v>153</v>
      </c>
      <c r="G11" s="29"/>
      <c r="H11" s="29"/>
      <c r="I11" s="29" t="s">
        <v>303</v>
      </c>
      <c r="J11" s="29"/>
      <c r="K11" s="29"/>
      <c r="L11" s="29"/>
      <c r="M11" s="29" t="s">
        <v>38</v>
      </c>
    </row>
    <row r="12" ht="20" customHeight="true">
      <c r="A12" s="29"/>
      <c r="B12" s="29" t="s">
        <v>38</v>
      </c>
      <c r="C12" s="29"/>
      <c r="D12" s="29"/>
      <c r="E12" s="29" t="s">
        <v>304</v>
      </c>
      <c r="F12" s="29"/>
      <c r="G12" s="29"/>
      <c r="H12" s="29"/>
      <c r="I12" s="29" t="s">
        <v>305</v>
      </c>
      <c r="J12" s="29"/>
      <c r="K12" s="29"/>
      <c r="L12" s="29"/>
      <c r="M12" s="29" t="s">
        <v>146</v>
      </c>
    </row>
    <row r="13" ht="20" customHeight="true">
      <c r="A13" s="29"/>
      <c r="B13" s="29" t="s">
        <v>100</v>
      </c>
      <c r="C13" s="29"/>
      <c r="D13" s="29"/>
      <c r="E13" s="29" t="s">
        <v>306</v>
      </c>
      <c r="F13" s="29"/>
      <c r="G13" s="29"/>
      <c r="H13" s="29"/>
      <c r="I13" s="29"/>
      <c r="J13" s="29"/>
      <c r="K13" s="29"/>
      <c r="L13" s="29"/>
      <c r="M13" s="29" t="s">
        <v>156</v>
      </c>
    </row>
    <row r="14" ht="20" customHeight="true">
      <c r="A14" s="29"/>
      <c r="B14" s="29" t="s">
        <v>101</v>
      </c>
      <c r="C14" s="29"/>
      <c r="D14" s="29"/>
      <c r="E14" s="29" t="str">
        <v>包</v>
      </c>
      <c r="F14" s="29"/>
      <c r="G14" s="29"/>
      <c r="H14" s="29"/>
      <c r="I14" s="29"/>
      <c r="J14" s="29"/>
      <c r="K14" s="29"/>
      <c r="L14" s="29"/>
      <c r="M14" s="29" t="s">
        <v>158</v>
      </c>
    </row>
    <row r="15" ht="20" customHeight="true">
      <c r="A15" s="29"/>
      <c r="B15" s="29" t="s">
        <v>160</v>
      </c>
      <c r="C15" s="29"/>
      <c r="D15" s="29"/>
      <c r="E15" s="29" t="s">
        <v>307</v>
      </c>
      <c r="F15" s="29"/>
      <c r="G15" s="29"/>
      <c r="H15" s="29"/>
      <c r="I15" s="29"/>
      <c r="J15" s="29"/>
      <c r="K15" s="29"/>
      <c r="L15" s="29"/>
      <c r="M15" s="29" t="s">
        <v>161</v>
      </c>
    </row>
    <row r="16" ht="20" customHeight="true">
      <c r="A16" s="29"/>
      <c r="B16" s="29" t="s">
        <v>102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 t="s">
        <v>308</v>
      </c>
    </row>
    <row r="17" ht="20" customHeight="true">
      <c r="A17" s="29"/>
      <c r="B17" s="29" t="s">
        <v>103</v>
      </c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</row>
    <row r="18" ht="20" customHeight="true">
      <c r="A18" s="29"/>
      <c r="B18" s="29" t="s">
        <v>308</v>
      </c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</row>
  </sheetData>
  <pageMargins left="0.7" right="0.7" top="0.75" bottom="0.75" header="0.3" footer="0.3"/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tableParts count="1">
    <tablePart r:id="R1b95b1ade5484809"/>
  </tableParts>
</worksheet>
</file>