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Guid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Supplier Register" sheetId="3" state="visible" r:id="rId3"/>
    <sheet xmlns:r="http://schemas.openxmlformats.org/officeDocument/2006/relationships" name="360 Score Entry" sheetId="4" state="visible" r:id="rId4"/>
    <sheet xmlns:r="http://schemas.openxmlformats.org/officeDocument/2006/relationships" name="Risk Event Register" sheetId="5" state="visible" r:id="rId5"/>
    <sheet xmlns:r="http://schemas.openxmlformats.org/officeDocument/2006/relationships" name="Final Score and Tiering" sheetId="6" state="visible" r:id="rId6"/>
    <sheet xmlns:r="http://schemas.openxmlformats.org/officeDocument/2006/relationships" name="Dashboard" sheetId="7" state="visible" r:id="rId7"/>
    <sheet xmlns:r="http://schemas.openxmlformats.org/officeDocument/2006/relationships" name="Field Notes and Sources" sheetId="8" state="visible" r:id="rId8"/>
  </sheets>
  <definedNames/>
</workbook>
</file>

<file path=xl/styles.xml><?xml version="1.0" encoding="utf-8"?>
<styleSheet xmlns="http://schemas.openxmlformats.org/spreadsheetml/2006/main">
  <numFmts count="3">
    <numFmt numFmtId="164" formatCode="¥#,##0"/>
    <numFmt numFmtId="165" formatCode="yyyy-mm-dd"/>
    <numFmt numFmtId="166" formatCode="0.0"/>
  </numFmts>
  <fonts count="11">
    <font>
      <name val="Carlito"/>
      <sz val="11"/>
    </font>
    <font>
      <name val="Microsoft YaHei"/>
      <b val="1"/>
      <color rgb="001F5D7A"/>
      <sz val="18"/>
    </font>
    <font>
      <name val="Microsoft YaHei"/>
      <color rgb="004B5563"/>
      <sz val="10"/>
    </font>
    <font>
      <name val="Microsoft YaHei"/>
      <b val="1"/>
      <color rgb="0017384D"/>
      <sz val="10"/>
    </font>
    <font>
      <name val="Microsoft YaHei"/>
      <color rgb="001F2937"/>
      <sz val="10"/>
    </font>
    <font>
      <name val="Microsoft YaHei"/>
      <b val="1"/>
      <color rgb="001F5D7A"/>
      <sz val="11"/>
    </font>
    <font>
      <name val="Microsoft YaHei"/>
      <b val="1"/>
      <color rgb="001F5D7A"/>
      <sz val="10"/>
    </font>
    <font>
      <name val="Microsoft YaHei"/>
      <b val="1"/>
      <color rgb="00111827"/>
      <sz val="18"/>
    </font>
    <font>
      <name val="Microsoft YaHei"/>
      <sz val="10"/>
    </font>
    <font>
      <name val="Microsoft YaHei"/>
      <b val="1"/>
      <color rgb="00111827"/>
      <sz val="10"/>
    </font>
    <font>
      <name val="Microsoft YaHei"/>
      <color rgb="00FFFFFF"/>
      <sz val="1"/>
    </font>
  </fonts>
  <fills count="8">
    <fill>
      <patternFill/>
    </fill>
    <fill>
      <patternFill patternType="gray125"/>
    </fill>
    <fill>
      <patternFill patternType="solid">
        <fgColor rgb="00EAF4F8"/>
      </patternFill>
    </fill>
    <fill>
      <patternFill patternType="solid">
        <fgColor rgb="00D9EAF3"/>
      </patternFill>
    </fill>
    <fill>
      <patternFill patternType="solid">
        <fgColor rgb="00EEF6FA"/>
      </patternFill>
    </fill>
    <fill>
      <patternFill patternType="solid">
        <fgColor rgb="00F3F8EC"/>
      </patternFill>
    </fill>
    <fill>
      <patternFill patternType="solid">
        <fgColor rgb="00FFFFFF"/>
      </patternFill>
    </fill>
    <fill>
      <patternFill patternType="solid">
        <fgColor rgb="00FFFFFF"/>
      </patternFill>
    </fill>
  </fills>
  <borders count="45">
    <border/>
    <border/>
    <border>
      <left style="thin">
        <color rgb="00D7DEE8"/>
      </left>
      <top style="thin">
        <color rgb="00D7DEE8"/>
      </top>
      <bottom style="thin">
        <color rgb="00D7DEE8"/>
      </bottom>
    </border>
    <border>
      <top style="thin">
        <color rgb="00D7DEE8"/>
      </top>
      <bottom style="thin">
        <color rgb="00D7DEE8"/>
      </bottom>
    </border>
    <border>
      <right style="thin">
        <color rgb="00D7DEE8"/>
      </right>
      <top style="thin">
        <color rgb="00D7DEE8"/>
      </top>
      <bottom style="thin">
        <color rgb="00D7DEE8"/>
      </bottom>
    </border>
    <border>
      <left style="thin">
        <color rgb="00D7DEE8"/>
      </left>
      <top style="thin">
        <color rgb="00D7DEE8"/>
      </top>
      <bottom style="thin">
        <color rgb="00D7DEE8"/>
      </bottom>
    </border>
    <border>
      <top style="thin">
        <color rgb="00D7DEE8"/>
      </top>
      <bottom style="thin">
        <color rgb="00D7DEE8"/>
      </bottom>
    </border>
    <border>
      <right style="thin">
        <color rgb="00D7DEE8"/>
      </right>
      <top style="thin">
        <color rgb="00D7DEE8"/>
      </top>
      <bottom style="thin">
        <color rgb="00D7DEE8"/>
      </bottom>
    </border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D7DEE8"/>
      </left>
      <top style="thin">
        <color rgb="00D7DEE8"/>
      </top>
    </border>
    <border>
      <top style="thin">
        <color rgb="00D7DEE8"/>
      </top>
    </border>
    <border>
      <right style="thin">
        <color rgb="00D7DEE8"/>
      </right>
      <top style="thin">
        <color rgb="00D7DEE8"/>
      </top>
    </border>
    <border>
      <left style="thin">
        <color rgb="00D7DEE8"/>
      </left>
      <bottom style="thin">
        <color rgb="00D7DEE8"/>
      </bottom>
    </border>
    <border>
      <bottom style="thin">
        <color rgb="00D7DEE8"/>
      </bottom>
    </border>
    <border>
      <right style="thin">
        <color rgb="00D7DEE8"/>
      </right>
      <bottom style="thin">
        <color rgb="00D7DEE8"/>
      </bottom>
    </border>
    <border>
      <left style="thin">
        <color rgb="00D7DEE8"/>
      </left>
      <top style="thin">
        <color rgb="00D7DEE8"/>
      </top>
    </border>
    <border>
      <top style="thin">
        <color rgb="00D7DEE8"/>
      </top>
    </border>
    <border>
      <right style="thin">
        <color rgb="00D7DEE8"/>
      </right>
      <top style="thin">
        <color rgb="00D7DEE8"/>
      </top>
    </border>
    <border>
      <left style="thin">
        <color rgb="00D7DEE8"/>
      </left>
      <bottom style="thin">
        <color rgb="00D7DEE8"/>
      </bottom>
    </border>
    <border>
      <bottom style="thin">
        <color rgb="00D7DEE8"/>
      </bottom>
    </border>
    <border>
      <right style="thin">
        <color rgb="00D7DEE8"/>
      </right>
      <bottom style="thin">
        <color rgb="00D7DEE8"/>
      </bottom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  <border>
      <left style="thin">
        <color rgb="00D7DEE8"/>
      </left>
    </border>
    <border>
      <right style="thin">
        <color rgb="00D7DEE8"/>
      </right>
    </border>
  </borders>
  <cellStyleXfs count="1">
    <xf numFmtId="0" fontId="0" fillId="0" borderId="1"/>
  </cellStyleXfs>
  <cellXfs count="320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wrapText="1"/>
    </xf>
    <xf numFmtId="0" fontId="1" fillId="2" borderId="0" applyAlignment="1" pivotButton="0" quotePrefix="0" xfId="0">
      <alignment horizontal="left" wrapText="1"/>
    </xf>
    <xf numFmtId="0" fontId="1" fillId="2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wrapText="1"/>
    </xf>
    <xf numFmtId="0" fontId="1" fillId="2" borderId="1" applyAlignment="1" pivotButton="0" quotePrefix="0" xfId="0">
      <alignment horizontal="left" wrapText="1"/>
    </xf>
    <xf numFmtId="0" fontId="1" fillId="2" borderId="1" applyAlignment="1" pivotButton="0" quotePrefix="0" xfId="0">
      <alignment horizontal="left" vertical="center" wrapText="1"/>
    </xf>
    <xf numFmtId="0" fontId="2" fillId="2" borderId="0" pivotButton="0" quotePrefix="0" xfId="0"/>
    <xf numFmtId="0" fontId="2" fillId="2" borderId="0" applyAlignment="1" pivotButton="0" quotePrefix="0" xfId="0">
      <alignment wrapText="1"/>
    </xf>
    <xf numFmtId="0" fontId="2" fillId="2" borderId="0" applyAlignment="1" pivotButton="0" quotePrefix="0" xfId="0">
      <alignment horizontal="left" wrapText="1"/>
    </xf>
    <xf numFmtId="0" fontId="2" fillId="2" borderId="0" applyAlignment="1" pivotButton="0" quotePrefix="0" xfId="0">
      <alignment horizontal="left" vertical="center" wrapText="1"/>
    </xf>
    <xf numFmtId="0" fontId="2" fillId="2" borderId="1" pivotButton="0" quotePrefix="0" xfId="0"/>
    <xf numFmtId="0" fontId="2" fillId="2" borderId="1" applyAlignment="1" pivotButton="0" quotePrefix="0" xfId="0">
      <alignment wrapText="1"/>
    </xf>
    <xf numFmtId="0" fontId="2" fillId="2" borderId="1" applyAlignment="1" pivotButton="0" quotePrefix="0" xfId="0">
      <alignment horizontal="left" wrapText="1"/>
    </xf>
    <xf numFmtId="0" fontId="2" fillId="2" borderId="1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3" borderId="0" pivotButton="0" quotePrefix="0" xfId="0"/>
    <xf numFmtId="0" fontId="3" fillId="3" borderId="2" pivotButton="0" quotePrefix="0" xfId="0"/>
    <xf numFmtId="0" fontId="3" fillId="3" borderId="3" pivotButton="0" quotePrefix="0" xfId="0"/>
    <xf numFmtId="0" fontId="3" fillId="3" borderId="4" pivotButton="0" quotePrefix="0" xfId="0"/>
    <xf numFmtId="0" fontId="3" fillId="3" borderId="2" applyAlignment="1" pivotButton="0" quotePrefix="0" xfId="0">
      <alignment wrapText="1"/>
    </xf>
    <xf numFmtId="0" fontId="3" fillId="3" borderId="3" applyAlignment="1" pivotButton="0" quotePrefix="0" xfId="0">
      <alignment wrapText="1"/>
    </xf>
    <xf numFmtId="0" fontId="3" fillId="3" borderId="4" applyAlignment="1" pivotButton="0" quotePrefix="0" xfId="0">
      <alignment wrapText="1"/>
    </xf>
    <xf numFmtId="0" fontId="3" fillId="3" borderId="2" applyAlignment="1" pivotButton="0" quotePrefix="0" xfId="0">
      <alignment horizontal="center" wrapText="1"/>
    </xf>
    <xf numFmtId="0" fontId="3" fillId="3" borderId="3" applyAlignment="1" pivotButton="0" quotePrefix="0" xfId="0">
      <alignment horizontal="center" wrapText="1"/>
    </xf>
    <xf numFmtId="0" fontId="3" fillId="3" borderId="4" applyAlignment="1" pivotButton="0" quotePrefix="0" xfId="0">
      <alignment horizontal="center" wrapText="1"/>
    </xf>
    <xf numFmtId="0" fontId="3" fillId="3" borderId="2" applyAlignment="1" pivotButton="0" quotePrefix="0" xfId="0">
      <alignment horizontal="center" vertical="center" wrapText="1"/>
    </xf>
    <xf numFmtId="0" fontId="3" fillId="3" borderId="3" applyAlignment="1" pivotButton="0" quotePrefix="0" xfId="0">
      <alignment horizontal="center" vertical="center" wrapText="1"/>
    </xf>
    <xf numFmtId="0" fontId="3" fillId="3" borderId="4" applyAlignment="1" pivotButton="0" quotePrefix="0" xfId="0">
      <alignment horizontal="center" vertical="center" wrapText="1"/>
    </xf>
    <xf numFmtId="0" fontId="0" fillId="3" borderId="1" pivotButton="0" quotePrefix="0" xfId="0"/>
    <xf numFmtId="0" fontId="3" fillId="3" borderId="1" pivotButton="0" quotePrefix="0" xfId="0"/>
    <xf numFmtId="0" fontId="3" fillId="3" borderId="5" pivotButton="0" quotePrefix="0" xfId="0"/>
    <xf numFmtId="0" fontId="3" fillId="3" borderId="6" pivotButton="0" quotePrefix="0" xfId="0"/>
    <xf numFmtId="0" fontId="3" fillId="3" borderId="7" pivotButton="0" quotePrefix="0" xfId="0"/>
    <xf numFmtId="0" fontId="3" fillId="3" borderId="5" applyAlignment="1" pivotButton="0" quotePrefix="0" xfId="0">
      <alignment wrapText="1"/>
    </xf>
    <xf numFmtId="0" fontId="3" fillId="3" borderId="6" applyAlignment="1" pivotButton="0" quotePrefix="0" xfId="0">
      <alignment wrapText="1"/>
    </xf>
    <xf numFmtId="0" fontId="3" fillId="3" borderId="7" applyAlignment="1" pivotButton="0" quotePrefix="0" xfId="0">
      <alignment wrapText="1"/>
    </xf>
    <xf numFmtId="0" fontId="3" fillId="3" borderId="5" applyAlignment="1" pivotButton="0" quotePrefix="0" xfId="0">
      <alignment horizontal="center" wrapText="1"/>
    </xf>
    <xf numFmtId="0" fontId="3" fillId="3" borderId="6" applyAlignment="1" pivotButton="0" quotePrefix="0" xfId="0">
      <alignment horizontal="center" wrapText="1"/>
    </xf>
    <xf numFmtId="0" fontId="3" fillId="3" borderId="7" applyAlignment="1" pivotButton="0" quotePrefix="0" xfId="0">
      <alignment horizontal="center" wrapText="1"/>
    </xf>
    <xf numFmtId="0" fontId="3" fillId="3" borderId="5" applyAlignment="1" pivotButton="0" quotePrefix="0" xfId="0">
      <alignment horizontal="center" vertical="center" wrapText="1"/>
    </xf>
    <xf numFmtId="0" fontId="3" fillId="3" borderId="6" applyAlignment="1" pivotButton="0" quotePrefix="0" xfId="0">
      <alignment horizontal="center" vertical="center" wrapText="1"/>
    </xf>
    <xf numFmtId="0" fontId="3" fillId="3" borderId="7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0" borderId="8" pivotButton="0" quotePrefix="0" xfId="0"/>
    <xf numFmtId="0" fontId="4" fillId="0" borderId="9" pivotButton="0" quotePrefix="0" xfId="0"/>
    <xf numFmtId="0" fontId="4" fillId="0" borderId="10" pivotButton="0" quotePrefix="0" xfId="0"/>
    <xf numFmtId="0" fontId="4" fillId="0" borderId="11" pivotButton="0" quotePrefix="0" xfId="0"/>
    <xf numFmtId="0" fontId="4" fillId="0" borderId="12" pivotButton="0" quotePrefix="0" xfId="0"/>
    <xf numFmtId="0" fontId="4" fillId="0" borderId="13" pivotButton="0" quotePrefix="0" xfId="0"/>
    <xf numFmtId="0" fontId="4" fillId="0" borderId="14" pivotButton="0" quotePrefix="0" xfId="0"/>
    <xf numFmtId="0" fontId="4" fillId="0" borderId="15" pivotButton="0" quotePrefix="0" xfId="0"/>
    <xf numFmtId="0" fontId="4" fillId="0" borderId="8" applyAlignment="1" pivotButton="0" quotePrefix="0" xfId="0">
      <alignment wrapText="1"/>
    </xf>
    <xf numFmtId="0" fontId="4" fillId="0" borderId="9" applyAlignment="1" pivotButton="0" quotePrefix="0" xfId="0">
      <alignment wrapText="1"/>
    </xf>
    <xf numFmtId="0" fontId="4" fillId="0" borderId="10" applyAlignment="1" pivotButton="0" quotePrefix="0" xfId="0">
      <alignment wrapText="1"/>
    </xf>
    <xf numFmtId="0" fontId="4" fillId="0" borderId="11" applyAlignment="1" pivotButton="0" quotePrefix="0" xfId="0">
      <alignment wrapText="1"/>
    </xf>
    <xf numFmtId="0" fontId="4" fillId="0" borderId="0" applyAlignment="1" pivotButton="0" quotePrefix="0" xfId="0">
      <alignment wrapText="1"/>
    </xf>
    <xf numFmtId="0" fontId="4" fillId="0" borderId="12" applyAlignment="1" pivotButton="0" quotePrefix="0" xfId="0">
      <alignment wrapText="1"/>
    </xf>
    <xf numFmtId="0" fontId="4" fillId="0" borderId="13" applyAlignment="1" pivotButton="0" quotePrefix="0" xfId="0">
      <alignment wrapText="1"/>
    </xf>
    <xf numFmtId="0" fontId="4" fillId="0" borderId="14" applyAlignment="1" pivotButton="0" quotePrefix="0" xfId="0">
      <alignment wrapText="1"/>
    </xf>
    <xf numFmtId="0" fontId="4" fillId="0" borderId="15" applyAlignment="1" pivotButton="0" quotePrefix="0" xfId="0">
      <alignment wrapText="1"/>
    </xf>
    <xf numFmtId="0" fontId="4" fillId="0" borderId="8" applyAlignment="1" pivotButton="0" quotePrefix="0" xfId="0">
      <alignment vertical="center" wrapText="1"/>
    </xf>
    <xf numFmtId="0" fontId="4" fillId="0" borderId="9" applyAlignment="1" pivotButton="0" quotePrefix="0" xfId="0">
      <alignment vertical="center" wrapText="1"/>
    </xf>
    <xf numFmtId="0" fontId="4" fillId="0" borderId="10" applyAlignment="1" pivotButton="0" quotePrefix="0" xfId="0">
      <alignment vertical="center" wrapText="1"/>
    </xf>
    <xf numFmtId="0" fontId="4" fillId="0" borderId="1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4" fillId="0" borderId="12" applyAlignment="1" pivotButton="0" quotePrefix="0" xfId="0">
      <alignment vertical="center" wrapText="1"/>
    </xf>
    <xf numFmtId="0" fontId="4" fillId="0" borderId="13" applyAlignment="1" pivotButton="0" quotePrefix="0" xfId="0">
      <alignment vertical="center" wrapText="1"/>
    </xf>
    <xf numFmtId="0" fontId="4" fillId="0" borderId="14" applyAlignment="1" pivotButton="0" quotePrefix="0" xfId="0">
      <alignment vertical="center" wrapText="1"/>
    </xf>
    <xf numFmtId="0" fontId="4" fillId="0" borderId="15" applyAlignment="1" pivotButton="0" quotePrefix="0" xfId="0">
      <alignment vertical="center" wrapText="1"/>
    </xf>
    <xf numFmtId="0" fontId="4" fillId="0" borderId="1" pivotButton="0" quotePrefix="0" xfId="0"/>
    <xf numFmtId="0" fontId="4" fillId="0" borderId="16" pivotButton="0" quotePrefix="0" xfId="0"/>
    <xf numFmtId="0" fontId="4" fillId="0" borderId="17" pivotButton="0" quotePrefix="0" xfId="0"/>
    <xf numFmtId="0" fontId="4" fillId="0" borderId="18" pivotButton="0" quotePrefix="0" xfId="0"/>
    <xf numFmtId="0" fontId="4" fillId="0" borderId="19" pivotButton="0" quotePrefix="0" xfId="0"/>
    <xf numFmtId="0" fontId="4" fillId="0" borderId="20" pivotButton="0" quotePrefix="0" xfId="0"/>
    <xf numFmtId="0" fontId="4" fillId="0" borderId="21" pivotButton="0" quotePrefix="0" xfId="0"/>
    <xf numFmtId="0" fontId="4" fillId="0" borderId="22" pivotButton="0" quotePrefix="0" xfId="0"/>
    <xf numFmtId="0" fontId="4" fillId="0" borderId="23" pivotButton="0" quotePrefix="0" xfId="0"/>
    <xf numFmtId="0" fontId="4" fillId="0" borderId="16" applyAlignment="1" pivotButton="0" quotePrefix="0" xfId="0">
      <alignment wrapText="1"/>
    </xf>
    <xf numFmtId="0" fontId="4" fillId="0" borderId="17" applyAlignment="1" pivotButton="0" quotePrefix="0" xfId="0">
      <alignment wrapText="1"/>
    </xf>
    <xf numFmtId="0" fontId="4" fillId="0" borderId="18" applyAlignment="1" pivotButton="0" quotePrefix="0" xfId="0">
      <alignment wrapText="1"/>
    </xf>
    <xf numFmtId="0" fontId="4" fillId="0" borderId="19" applyAlignment="1" pivotButton="0" quotePrefix="0" xfId="0">
      <alignment wrapText="1"/>
    </xf>
    <xf numFmtId="0" fontId="4" fillId="0" borderId="1" applyAlignment="1" pivotButton="0" quotePrefix="0" xfId="0">
      <alignment wrapText="1"/>
    </xf>
    <xf numFmtId="0" fontId="4" fillId="0" borderId="20" applyAlignment="1" pivotButton="0" quotePrefix="0" xfId="0">
      <alignment wrapText="1"/>
    </xf>
    <xf numFmtId="0" fontId="4" fillId="0" borderId="21" applyAlignment="1" pivotButton="0" quotePrefix="0" xfId="0">
      <alignment wrapText="1"/>
    </xf>
    <xf numFmtId="0" fontId="4" fillId="0" borderId="22" applyAlignment="1" pivotButton="0" quotePrefix="0" xfId="0">
      <alignment wrapText="1"/>
    </xf>
    <xf numFmtId="0" fontId="4" fillId="0" borderId="23" applyAlignment="1" pivotButton="0" quotePrefix="0" xfId="0">
      <alignment wrapText="1"/>
    </xf>
    <xf numFmtId="0" fontId="4" fillId="0" borderId="16" applyAlignment="1" pivotButton="0" quotePrefix="0" xfId="0">
      <alignment vertical="center" wrapText="1"/>
    </xf>
    <xf numFmtId="0" fontId="4" fillId="0" borderId="17" applyAlignment="1" pivotButton="0" quotePrefix="0" xfId="0">
      <alignment vertical="center" wrapText="1"/>
    </xf>
    <xf numFmtId="0" fontId="4" fillId="0" borderId="18" applyAlignment="1" pivotButton="0" quotePrefix="0" xfId="0">
      <alignment vertical="center" wrapText="1"/>
    </xf>
    <xf numFmtId="0" fontId="4" fillId="0" borderId="19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0" borderId="20" applyAlignment="1" pivotButton="0" quotePrefix="0" xfId="0">
      <alignment vertical="center" wrapText="1"/>
    </xf>
    <xf numFmtId="0" fontId="4" fillId="0" borderId="21" applyAlignment="1" pivotButton="0" quotePrefix="0" xfId="0">
      <alignment vertical="center" wrapText="1"/>
    </xf>
    <xf numFmtId="0" fontId="4" fillId="0" borderId="22" applyAlignment="1" pivotButton="0" quotePrefix="0" xfId="0">
      <alignment vertical="center" wrapText="1"/>
    </xf>
    <xf numFmtId="0" fontId="4" fillId="0" borderId="23" applyAlignment="1" pivotButton="0" quotePrefix="0" xfId="0">
      <alignment vertical="center" wrapText="1"/>
    </xf>
    <xf numFmtId="0" fontId="0" fillId="4" borderId="0" pivotButton="0" quotePrefix="0" xfId="0"/>
    <xf numFmtId="0" fontId="5" fillId="4" borderId="0" pivotButton="0" quotePrefix="0" xfId="0"/>
    <xf numFmtId="0" fontId="5" fillId="4" borderId="2" pivotButton="0" quotePrefix="0" xfId="0"/>
    <xf numFmtId="0" fontId="5" fillId="4" borderId="3" pivotButton="0" quotePrefix="0" xfId="0"/>
    <xf numFmtId="0" fontId="5" fillId="4" borderId="4" pivotButton="0" quotePrefix="0" xfId="0"/>
    <xf numFmtId="0" fontId="5" fillId="4" borderId="2" applyAlignment="1" pivotButton="0" quotePrefix="0" xfId="0">
      <alignment vertical="center"/>
    </xf>
    <xf numFmtId="0" fontId="5" fillId="4" borderId="3" applyAlignment="1" pivotButton="0" quotePrefix="0" xfId="0">
      <alignment vertical="center"/>
    </xf>
    <xf numFmtId="0" fontId="5" fillId="4" borderId="4" applyAlignment="1" pivotButton="0" quotePrefix="0" xfId="0">
      <alignment vertical="center"/>
    </xf>
    <xf numFmtId="0" fontId="0" fillId="4" borderId="1" pivotButton="0" quotePrefix="0" xfId="0"/>
    <xf numFmtId="0" fontId="5" fillId="4" borderId="1" pivotButton="0" quotePrefix="0" xfId="0"/>
    <xf numFmtId="0" fontId="5" fillId="4" borderId="5" pivotButton="0" quotePrefix="0" xfId="0"/>
    <xf numFmtId="0" fontId="5" fillId="4" borderId="6" pivotButton="0" quotePrefix="0" xfId="0"/>
    <xf numFmtId="0" fontId="5" fillId="4" borderId="7" pivotButton="0" quotePrefix="0" xfId="0"/>
    <xf numFmtId="0" fontId="5" fillId="4" borderId="5" applyAlignment="1" pivotButton="0" quotePrefix="0" xfId="0">
      <alignment vertical="center"/>
    </xf>
    <xf numFmtId="0" fontId="5" fillId="4" borderId="6" applyAlignment="1" pivotButton="0" quotePrefix="0" xfId="0">
      <alignment vertical="center"/>
    </xf>
    <xf numFmtId="0" fontId="5" fillId="4" borderId="7" applyAlignment="1" pivotButton="0" quotePrefix="0" xfId="0">
      <alignment vertical="center"/>
    </xf>
    <xf numFmtId="0" fontId="4" fillId="0" borderId="24" pivotButton="0" quotePrefix="0" xfId="0"/>
    <xf numFmtId="0" fontId="4" fillId="0" borderId="25" pivotButton="0" quotePrefix="0" xfId="0"/>
    <xf numFmtId="0" fontId="4" fillId="0" borderId="26" pivotButton="0" quotePrefix="0" xfId="0"/>
    <xf numFmtId="0" fontId="4" fillId="0" borderId="24" applyAlignment="1" pivotButton="0" quotePrefix="0" xfId="0">
      <alignment wrapText="1"/>
    </xf>
    <xf numFmtId="0" fontId="4" fillId="0" borderId="25" applyAlignment="1" pivotButton="0" quotePrefix="0" xfId="0">
      <alignment wrapText="1"/>
    </xf>
    <xf numFmtId="0" fontId="4" fillId="0" borderId="26" applyAlignment="1" pivotButton="0" quotePrefix="0" xfId="0">
      <alignment wrapText="1"/>
    </xf>
    <xf numFmtId="0" fontId="4" fillId="0" borderId="24" applyAlignment="1" pivotButton="0" quotePrefix="0" xfId="0">
      <alignment vertical="center" wrapText="1"/>
    </xf>
    <xf numFmtId="0" fontId="4" fillId="0" borderId="25" applyAlignment="1" pivotButton="0" quotePrefix="0" xfId="0">
      <alignment vertical="center" wrapText="1"/>
    </xf>
    <xf numFmtId="0" fontId="4" fillId="0" borderId="26" applyAlignment="1" pivotButton="0" quotePrefix="0" xfId="0">
      <alignment vertical="center" wrapText="1"/>
    </xf>
    <xf numFmtId="0" fontId="4" fillId="0" borderId="27" pivotButton="0" quotePrefix="0" xfId="0"/>
    <xf numFmtId="0" fontId="4" fillId="0" borderId="28" pivotButton="0" quotePrefix="0" xfId="0"/>
    <xf numFmtId="0" fontId="4" fillId="0" borderId="29" pivotButton="0" quotePrefix="0" xfId="0"/>
    <xf numFmtId="0" fontId="4" fillId="0" borderId="27" applyAlignment="1" pivotButton="0" quotePrefix="0" xfId="0">
      <alignment wrapText="1"/>
    </xf>
    <xf numFmtId="0" fontId="4" fillId="0" borderId="28" applyAlignment="1" pivotButton="0" quotePrefix="0" xfId="0">
      <alignment wrapText="1"/>
    </xf>
    <xf numFmtId="0" fontId="4" fillId="0" borderId="29" applyAlignment="1" pivotButton="0" quotePrefix="0" xfId="0">
      <alignment wrapText="1"/>
    </xf>
    <xf numFmtId="0" fontId="4" fillId="0" borderId="27" applyAlignment="1" pivotButton="0" quotePrefix="0" xfId="0">
      <alignment vertical="center" wrapText="1"/>
    </xf>
    <xf numFmtId="0" fontId="4" fillId="0" borderId="28" applyAlignment="1" pivotButton="0" quotePrefix="0" xfId="0">
      <alignment vertical="center" wrapText="1"/>
    </xf>
    <xf numFmtId="0" fontId="4" fillId="0" borderId="29" applyAlignment="1" pivotButton="0" quotePrefix="0" xfId="0">
      <alignment vertical="center" wrapText="1"/>
    </xf>
    <xf numFmtId="1" fontId="4" fillId="0" borderId="9" applyAlignment="1" pivotButton="0" quotePrefix="0" xfId="0">
      <alignment vertical="center" wrapText="1"/>
    </xf>
    <xf numFmtId="1" fontId="4" fillId="0" borderId="0" applyAlignment="1" pivotButton="0" quotePrefix="0" xfId="0">
      <alignment vertical="center" wrapText="1"/>
    </xf>
    <xf numFmtId="1" fontId="4" fillId="0" borderId="14" applyAlignment="1" pivotButton="0" quotePrefix="0" xfId="0">
      <alignment vertical="center" wrapText="1"/>
    </xf>
    <xf numFmtId="1" fontId="5" fillId="4" borderId="3" applyAlignment="1" pivotButton="0" quotePrefix="0" xfId="0">
      <alignment vertical="center"/>
    </xf>
    <xf numFmtId="1" fontId="4" fillId="0" borderId="17" applyAlignment="1" pivotButton="0" quotePrefix="0" xfId="0">
      <alignment vertical="center" wrapText="1"/>
    </xf>
    <xf numFmtId="1" fontId="4" fillId="0" borderId="1" applyAlignment="1" pivotButton="0" quotePrefix="0" xfId="0">
      <alignment vertical="center" wrapText="1"/>
    </xf>
    <xf numFmtId="1" fontId="4" fillId="0" borderId="22" applyAlignment="1" pivotButton="0" quotePrefix="0" xfId="0">
      <alignment vertical="center" wrapText="1"/>
    </xf>
    <xf numFmtId="1" fontId="5" fillId="4" borderId="6" applyAlignment="1" pivotButton="0" quotePrefix="0" xfId="0">
      <alignment vertical="center"/>
    </xf>
    <xf numFmtId="1" fontId="4" fillId="0" borderId="8" applyAlignment="1" pivotButton="0" quotePrefix="0" xfId="0">
      <alignment vertical="center" wrapText="1"/>
    </xf>
    <xf numFmtId="1" fontId="4" fillId="0" borderId="10" applyAlignment="1" pivotButton="0" quotePrefix="0" xfId="0">
      <alignment vertical="center" wrapText="1"/>
    </xf>
    <xf numFmtId="1" fontId="4" fillId="0" borderId="11" applyAlignment="1" pivotButton="0" quotePrefix="0" xfId="0">
      <alignment vertical="center" wrapText="1"/>
    </xf>
    <xf numFmtId="1" fontId="4" fillId="0" borderId="12" applyAlignment="1" pivotButton="0" quotePrefix="0" xfId="0">
      <alignment vertical="center" wrapText="1"/>
    </xf>
    <xf numFmtId="1" fontId="4" fillId="0" borderId="13" applyAlignment="1" pivotButton="0" quotePrefix="0" xfId="0">
      <alignment vertical="center" wrapText="1"/>
    </xf>
    <xf numFmtId="1" fontId="4" fillId="0" borderId="15" applyAlignment="1" pivotButton="0" quotePrefix="0" xfId="0">
      <alignment vertical="center" wrapText="1"/>
    </xf>
    <xf numFmtId="1" fontId="5" fillId="4" borderId="2" applyAlignment="1" pivotButton="0" quotePrefix="0" xfId="0">
      <alignment vertical="center"/>
    </xf>
    <xf numFmtId="1" fontId="5" fillId="4" borderId="4" applyAlignment="1" pivotButton="0" quotePrefix="0" xfId="0">
      <alignment vertical="center"/>
    </xf>
    <xf numFmtId="1" fontId="4" fillId="0" borderId="24" applyAlignment="1" pivotButton="0" quotePrefix="0" xfId="0">
      <alignment vertical="center" wrapText="1"/>
    </xf>
    <xf numFmtId="1" fontId="4" fillId="0" borderId="25" applyAlignment="1" pivotButton="0" quotePrefix="0" xfId="0">
      <alignment vertical="center" wrapText="1"/>
    </xf>
    <xf numFmtId="1" fontId="4" fillId="0" borderId="26" applyAlignment="1" pivotButton="0" quotePrefix="0" xfId="0">
      <alignment vertical="center" wrapText="1"/>
    </xf>
    <xf numFmtId="1" fontId="4" fillId="0" borderId="16" applyAlignment="1" pivotButton="0" quotePrefix="0" xfId="0">
      <alignment vertical="center" wrapText="1"/>
    </xf>
    <xf numFmtId="1" fontId="4" fillId="0" borderId="18" applyAlignment="1" pivotButton="0" quotePrefix="0" xfId="0">
      <alignment vertical="center" wrapText="1"/>
    </xf>
    <xf numFmtId="1" fontId="4" fillId="0" borderId="19" applyAlignment="1" pivotButton="0" quotePrefix="0" xfId="0">
      <alignment vertical="center" wrapText="1"/>
    </xf>
    <xf numFmtId="1" fontId="4" fillId="0" borderId="20" applyAlignment="1" pivotButton="0" quotePrefix="0" xfId="0">
      <alignment vertical="center" wrapText="1"/>
    </xf>
    <xf numFmtId="1" fontId="4" fillId="0" borderId="21" applyAlignment="1" pivotButton="0" quotePrefix="0" xfId="0">
      <alignment vertical="center" wrapText="1"/>
    </xf>
    <xf numFmtId="1" fontId="4" fillId="0" borderId="23" applyAlignment="1" pivotButton="0" quotePrefix="0" xfId="0">
      <alignment vertical="center" wrapText="1"/>
    </xf>
    <xf numFmtId="1" fontId="5" fillId="4" borderId="5" applyAlignment="1" pivotButton="0" quotePrefix="0" xfId="0">
      <alignment vertical="center"/>
    </xf>
    <xf numFmtId="1" fontId="5" fillId="4" borderId="7" applyAlignment="1" pivotButton="0" quotePrefix="0" xfId="0">
      <alignment vertical="center"/>
    </xf>
    <xf numFmtId="1" fontId="4" fillId="0" borderId="27" applyAlignment="1" pivotButton="0" quotePrefix="0" xfId="0">
      <alignment vertical="center" wrapText="1"/>
    </xf>
    <xf numFmtId="1" fontId="4" fillId="0" borderId="28" applyAlignment="1" pivotButton="0" quotePrefix="0" xfId="0">
      <alignment vertical="center" wrapText="1"/>
    </xf>
    <xf numFmtId="1" fontId="4" fillId="0" borderId="29" applyAlignment="1" pivotButton="0" quotePrefix="0" xfId="0">
      <alignment vertical="center" wrapText="1"/>
    </xf>
    <xf numFmtId="164" fontId="4" fillId="0" borderId="9" applyAlignment="1" pivotButton="0" quotePrefix="0" xfId="0">
      <alignment vertical="center" wrapText="1"/>
    </xf>
    <xf numFmtId="164" fontId="4" fillId="0" borderId="0" applyAlignment="1" pivotButton="0" quotePrefix="0" xfId="0">
      <alignment vertical="center" wrapText="1"/>
    </xf>
    <xf numFmtId="164" fontId="4" fillId="0" borderId="14" applyAlignment="1" pivotButton="0" quotePrefix="0" xfId="0">
      <alignment vertical="center" wrapText="1"/>
    </xf>
    <xf numFmtId="164" fontId="4" fillId="0" borderId="17" applyAlignment="1" pivotButton="0" quotePrefix="0" xfId="0">
      <alignment vertical="center" wrapText="1"/>
    </xf>
    <xf numFmtId="164" fontId="4" fillId="0" borderId="1" applyAlignment="1" pivotButton="0" quotePrefix="0" xfId="0">
      <alignment vertical="center" wrapText="1"/>
    </xf>
    <xf numFmtId="164" fontId="4" fillId="0" borderId="22" applyAlignment="1" pivotButton="0" quotePrefix="0" xfId="0">
      <alignment vertical="center" wrapText="1"/>
    </xf>
    <xf numFmtId="165" fontId="4" fillId="0" borderId="9" applyAlignment="1" pivotButton="0" quotePrefix="0" xfId="0">
      <alignment vertical="center" wrapText="1"/>
    </xf>
    <xf numFmtId="165" fontId="4" fillId="0" borderId="0" applyAlignment="1" pivotButton="0" quotePrefix="0" xfId="0">
      <alignment vertical="center" wrapText="1"/>
    </xf>
    <xf numFmtId="165" fontId="4" fillId="0" borderId="14" applyAlignment="1" pivotButton="0" quotePrefix="0" xfId="0">
      <alignment vertical="center" wrapText="1"/>
    </xf>
    <xf numFmtId="165" fontId="4" fillId="0" borderId="17" applyAlignment="1" pivotButton="0" quotePrefix="0" xfId="0">
      <alignment vertical="center" wrapText="1"/>
    </xf>
    <xf numFmtId="165" fontId="4" fillId="0" borderId="1" applyAlignment="1" pivotButton="0" quotePrefix="0" xfId="0">
      <alignment vertical="center" wrapText="1"/>
    </xf>
    <xf numFmtId="165" fontId="4" fillId="0" borderId="22" applyAlignment="1" pivotButton="0" quotePrefix="0" xfId="0">
      <alignment vertical="center" wrapText="1"/>
    </xf>
    <xf numFmtId="166" fontId="4" fillId="0" borderId="9" applyAlignment="1" pivotButton="0" quotePrefix="0" xfId="0">
      <alignment vertical="center" wrapText="1"/>
    </xf>
    <xf numFmtId="166" fontId="4" fillId="0" borderId="0" applyAlignment="1" pivotButton="0" quotePrefix="0" xfId="0">
      <alignment vertical="center" wrapText="1"/>
    </xf>
    <xf numFmtId="166" fontId="4" fillId="0" borderId="14" applyAlignment="1" pivotButton="0" quotePrefix="0" xfId="0">
      <alignment vertical="center" wrapText="1"/>
    </xf>
    <xf numFmtId="166" fontId="4" fillId="0" borderId="17" applyAlignment="1" pivotButton="0" quotePrefix="0" xfId="0">
      <alignment vertical="center" wrapText="1"/>
    </xf>
    <xf numFmtId="166" fontId="4" fillId="0" borderId="1" applyAlignment="1" pivotButton="0" quotePrefix="0" xfId="0">
      <alignment vertical="center" wrapText="1"/>
    </xf>
    <xf numFmtId="166" fontId="4" fillId="0" borderId="22" applyAlignment="1" pivotButton="0" quotePrefix="0" xfId="0">
      <alignment vertical="center" wrapText="1"/>
    </xf>
    <xf numFmtId="0" fontId="0" fillId="5" borderId="0" pivotButton="0" quotePrefix="0" xfId="0"/>
    <xf numFmtId="0" fontId="6" fillId="5" borderId="0" pivotButton="0" quotePrefix="0" xfId="0"/>
    <xf numFmtId="0" fontId="6" fillId="5" borderId="2" pivotButton="0" quotePrefix="0" xfId="0"/>
    <xf numFmtId="0" fontId="6" fillId="5" borderId="3" pivotButton="0" quotePrefix="0" xfId="0"/>
    <xf numFmtId="0" fontId="6" fillId="5" borderId="4" pivotButton="0" quotePrefix="0" xfId="0"/>
    <xf numFmtId="0" fontId="6" fillId="5" borderId="2" applyAlignment="1" pivotButton="0" quotePrefix="0" xfId="0">
      <alignment horizontal="center"/>
    </xf>
    <xf numFmtId="0" fontId="6" fillId="5" borderId="3" applyAlignment="1" pivotButton="0" quotePrefix="0" xfId="0">
      <alignment horizontal="center"/>
    </xf>
    <xf numFmtId="0" fontId="6" fillId="5" borderId="4" applyAlignment="1" pivotButton="0" quotePrefix="0" xfId="0">
      <alignment horizontal="center"/>
    </xf>
    <xf numFmtId="0" fontId="6" fillId="5" borderId="2" applyAlignment="1" pivotButton="0" quotePrefix="0" xfId="0">
      <alignment horizontal="center" vertical="center"/>
    </xf>
    <xf numFmtId="0" fontId="6" fillId="5" borderId="3" applyAlignment="1" pivotButton="0" quotePrefix="0" xfId="0">
      <alignment horizontal="center" vertical="center"/>
    </xf>
    <xf numFmtId="0" fontId="6" fillId="5" borderId="4" applyAlignment="1" pivotButton="0" quotePrefix="0" xfId="0">
      <alignment horizontal="center" vertical="center"/>
    </xf>
    <xf numFmtId="0" fontId="0" fillId="5" borderId="1" pivotButton="0" quotePrefix="0" xfId="0"/>
    <xf numFmtId="0" fontId="6" fillId="5" borderId="1" pivotButton="0" quotePrefix="0" xfId="0"/>
    <xf numFmtId="0" fontId="6" fillId="5" borderId="5" pivotButton="0" quotePrefix="0" xfId="0"/>
    <xf numFmtId="0" fontId="6" fillId="5" borderId="6" pivotButton="0" quotePrefix="0" xfId="0"/>
    <xf numFmtId="0" fontId="6" fillId="5" borderId="7" pivotButton="0" quotePrefix="0" xfId="0"/>
    <xf numFmtId="0" fontId="6" fillId="5" borderId="5" applyAlignment="1" pivotButton="0" quotePrefix="0" xfId="0">
      <alignment horizontal="center"/>
    </xf>
    <xf numFmtId="0" fontId="6" fillId="5" borderId="6" applyAlignment="1" pivotButton="0" quotePrefix="0" xfId="0">
      <alignment horizontal="center"/>
    </xf>
    <xf numFmtId="0" fontId="6" fillId="5" borderId="7" applyAlignment="1" pivotButton="0" quotePrefix="0" xfId="0">
      <alignment horizontal="center"/>
    </xf>
    <xf numFmtId="0" fontId="6" fillId="5" borderId="5" applyAlignment="1" pivotButton="0" quotePrefix="0" xfId="0">
      <alignment horizontal="center" vertical="center"/>
    </xf>
    <xf numFmtId="0" fontId="6" fillId="5" borderId="6" applyAlignment="1" pivotButton="0" quotePrefix="0" xfId="0">
      <alignment horizontal="center" vertical="center"/>
    </xf>
    <xf numFmtId="0" fontId="6" fillId="5" borderId="7" applyAlignment="1" pivotButton="0" quotePrefix="0" xfId="0">
      <alignment horizontal="center" vertical="center"/>
    </xf>
    <xf numFmtId="0" fontId="0" fillId="6" borderId="0" pivotButton="0" quotePrefix="0" xfId="0"/>
    <xf numFmtId="0" fontId="7" fillId="6" borderId="0" pivotButton="0" quotePrefix="0" xfId="0"/>
    <xf numFmtId="0" fontId="7" fillId="6" borderId="30" pivotButton="0" quotePrefix="0" xfId="0"/>
    <xf numFmtId="0" fontId="7" fillId="6" borderId="31" pivotButton="0" quotePrefix="0" xfId="0"/>
    <xf numFmtId="0" fontId="7" fillId="6" borderId="32" pivotButton="0" quotePrefix="0" xfId="0"/>
    <xf numFmtId="0" fontId="7" fillId="6" borderId="33" pivotButton="0" quotePrefix="0" xfId="0"/>
    <xf numFmtId="0" fontId="7" fillId="6" borderId="34" pivotButton="0" quotePrefix="0" xfId="0"/>
    <xf numFmtId="0" fontId="7" fillId="6" borderId="35" pivotButton="0" quotePrefix="0" xfId="0"/>
    <xf numFmtId="0" fontId="7" fillId="6" borderId="30" applyAlignment="1" pivotButton="0" quotePrefix="0" xfId="0">
      <alignment horizontal="center"/>
    </xf>
    <xf numFmtId="0" fontId="7" fillId="6" borderId="31" applyAlignment="1" pivotButton="0" quotePrefix="0" xfId="0">
      <alignment horizontal="center"/>
    </xf>
    <xf numFmtId="0" fontId="7" fillId="6" borderId="32" applyAlignment="1" pivotButton="0" quotePrefix="0" xfId="0">
      <alignment horizontal="center"/>
    </xf>
    <xf numFmtId="0" fontId="7" fillId="6" borderId="33" applyAlignment="1" pivotButton="0" quotePrefix="0" xfId="0">
      <alignment horizontal="center"/>
    </xf>
    <xf numFmtId="0" fontId="7" fillId="6" borderId="34" applyAlignment="1" pivotButton="0" quotePrefix="0" xfId="0">
      <alignment horizontal="center"/>
    </xf>
    <xf numFmtId="0" fontId="7" fillId="6" borderId="35" applyAlignment="1" pivotButton="0" quotePrefix="0" xfId="0">
      <alignment horizontal="center"/>
    </xf>
    <xf numFmtId="0" fontId="7" fillId="6" borderId="30" applyAlignment="1" pivotButton="0" quotePrefix="0" xfId="0">
      <alignment horizontal="center" vertical="center"/>
    </xf>
    <xf numFmtId="0" fontId="7" fillId="6" borderId="31" applyAlignment="1" pivotButton="0" quotePrefix="0" xfId="0">
      <alignment horizontal="center" vertical="center"/>
    </xf>
    <xf numFmtId="0" fontId="7" fillId="6" borderId="32" applyAlignment="1" pivotButton="0" quotePrefix="0" xfId="0">
      <alignment horizontal="center" vertical="center"/>
    </xf>
    <xf numFmtId="0" fontId="7" fillId="6" borderId="33" applyAlignment="1" pivotButton="0" quotePrefix="0" xfId="0">
      <alignment horizontal="center" vertical="center"/>
    </xf>
    <xf numFmtId="0" fontId="7" fillId="6" borderId="34" applyAlignment="1" pivotButton="0" quotePrefix="0" xfId="0">
      <alignment horizontal="center" vertical="center"/>
    </xf>
    <xf numFmtId="0" fontId="7" fillId="6" borderId="35" applyAlignment="1" pivotButton="0" quotePrefix="0" xfId="0">
      <alignment horizontal="center" vertical="center"/>
    </xf>
    <xf numFmtId="0" fontId="0" fillId="6" borderId="1" pivotButton="0" quotePrefix="0" xfId="0"/>
    <xf numFmtId="0" fontId="7" fillId="6" borderId="1" pivotButton="0" quotePrefix="0" xfId="0"/>
    <xf numFmtId="0" fontId="7" fillId="6" borderId="36" pivotButton="0" quotePrefix="0" xfId="0"/>
    <xf numFmtId="0" fontId="7" fillId="6" borderId="37" pivotButton="0" quotePrefix="0" xfId="0"/>
    <xf numFmtId="0" fontId="7" fillId="6" borderId="38" pivotButton="0" quotePrefix="0" xfId="0"/>
    <xf numFmtId="0" fontId="7" fillId="6" borderId="39" pivotButton="0" quotePrefix="0" xfId="0"/>
    <xf numFmtId="0" fontId="7" fillId="6" borderId="40" pivotButton="0" quotePrefix="0" xfId="0"/>
    <xf numFmtId="0" fontId="7" fillId="6" borderId="41" pivotButton="0" quotePrefix="0" xfId="0"/>
    <xf numFmtId="0" fontId="7" fillId="6" borderId="36" applyAlignment="1" pivotButton="0" quotePrefix="0" xfId="0">
      <alignment horizontal="center"/>
    </xf>
    <xf numFmtId="0" fontId="7" fillId="6" borderId="37" applyAlignment="1" pivotButton="0" quotePrefix="0" xfId="0">
      <alignment horizontal="center"/>
    </xf>
    <xf numFmtId="0" fontId="7" fillId="6" borderId="38" applyAlignment="1" pivotButton="0" quotePrefix="0" xfId="0">
      <alignment horizontal="center"/>
    </xf>
    <xf numFmtId="0" fontId="7" fillId="6" borderId="39" applyAlignment="1" pivotButton="0" quotePrefix="0" xfId="0">
      <alignment horizontal="center"/>
    </xf>
    <xf numFmtId="0" fontId="7" fillId="6" borderId="40" applyAlignment="1" pivotButton="0" quotePrefix="0" xfId="0">
      <alignment horizontal="center"/>
    </xf>
    <xf numFmtId="0" fontId="7" fillId="6" borderId="41" applyAlignment="1" pivotButton="0" quotePrefix="0" xfId="0">
      <alignment horizontal="center"/>
    </xf>
    <xf numFmtId="0" fontId="7" fillId="6" borderId="36" applyAlignment="1" pivotButton="0" quotePrefix="0" xfId="0">
      <alignment horizontal="center" vertical="center"/>
    </xf>
    <xf numFmtId="0" fontId="7" fillId="6" borderId="37" applyAlignment="1" pivotButton="0" quotePrefix="0" xfId="0">
      <alignment horizontal="center" vertical="center"/>
    </xf>
    <xf numFmtId="0" fontId="7" fillId="6" borderId="38" applyAlignment="1" pivotButton="0" quotePrefix="0" xfId="0">
      <alignment horizontal="center" vertical="center"/>
    </xf>
    <xf numFmtId="0" fontId="7" fillId="6" borderId="39" applyAlignment="1" pivotButton="0" quotePrefix="0" xfId="0">
      <alignment horizontal="center" vertical="center"/>
    </xf>
    <xf numFmtId="0" fontId="7" fillId="6" borderId="40" applyAlignment="1" pivotButton="0" quotePrefix="0" xfId="0">
      <alignment horizontal="center" vertical="center"/>
    </xf>
    <xf numFmtId="0" fontId="7" fillId="6" borderId="41" applyAlignment="1" pivotButton="0" quotePrefix="0" xfId="0">
      <alignment horizontal="center" vertical="center"/>
    </xf>
    <xf numFmtId="165" fontId="4" fillId="0" borderId="10" applyAlignment="1" pivotButton="0" quotePrefix="0" xfId="0">
      <alignment vertical="center" wrapText="1"/>
    </xf>
    <xf numFmtId="165" fontId="4" fillId="0" borderId="12" applyAlignment="1" pivotButton="0" quotePrefix="0" xfId="0">
      <alignment vertical="center" wrapText="1"/>
    </xf>
    <xf numFmtId="165" fontId="4" fillId="0" borderId="15" applyAlignment="1" pivotButton="0" quotePrefix="0" xfId="0">
      <alignment vertical="center" wrapText="1"/>
    </xf>
    <xf numFmtId="165" fontId="4" fillId="0" borderId="18" applyAlignment="1" pivotButton="0" quotePrefix="0" xfId="0">
      <alignment vertical="center" wrapText="1"/>
    </xf>
    <xf numFmtId="165" fontId="4" fillId="0" borderId="20" applyAlignment="1" pivotButton="0" quotePrefix="0" xfId="0">
      <alignment vertical="center" wrapText="1"/>
    </xf>
    <xf numFmtId="165" fontId="4" fillId="0" borderId="23" applyAlignment="1" pivotButton="0" quotePrefix="0" xfId="0">
      <alignment vertical="center" wrapText="1"/>
    </xf>
    <xf numFmtId="0" fontId="6" fillId="2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6" fillId="4" borderId="2" applyAlignment="1" pivotButton="0" quotePrefix="0" xfId="0">
      <alignment vertical="center"/>
    </xf>
    <xf numFmtId="0" fontId="6" fillId="4" borderId="3" applyAlignment="1" pivotButton="0" quotePrefix="0" xfId="0">
      <alignment vertical="center"/>
    </xf>
    <xf numFmtId="0" fontId="6" fillId="4" borderId="4" applyAlignment="1" pivotButton="0" quotePrefix="0" xfId="0">
      <alignment vertical="center"/>
    </xf>
    <xf numFmtId="0" fontId="6" fillId="2" borderId="1" applyAlignment="1" pivotButton="0" quotePrefix="0" xfId="0">
      <alignment horizontal="left" vertical="center" wrapText="1"/>
    </xf>
    <xf numFmtId="0" fontId="8" fillId="0" borderId="1" pivotButton="0" quotePrefix="0" xfId="0"/>
    <xf numFmtId="0" fontId="6" fillId="4" borderId="5" applyAlignment="1" pivotButton="0" quotePrefix="0" xfId="0">
      <alignment vertical="center"/>
    </xf>
    <xf numFmtId="0" fontId="6" fillId="4" borderId="6" applyAlignment="1" pivotButton="0" quotePrefix="0" xfId="0">
      <alignment vertical="center"/>
    </xf>
    <xf numFmtId="0" fontId="6" fillId="4" borderId="7" applyAlignment="1" pivotButton="0" quotePrefix="0" xfId="0">
      <alignment vertical="center"/>
    </xf>
    <xf numFmtId="1" fontId="6" fillId="4" borderId="3" applyAlignment="1" pivotButton="0" quotePrefix="0" xfId="0">
      <alignment vertical="center"/>
    </xf>
    <xf numFmtId="1" fontId="6" fillId="4" borderId="2" applyAlignment="1" pivotButton="0" quotePrefix="0" xfId="0">
      <alignment vertical="center"/>
    </xf>
    <xf numFmtId="1" fontId="6" fillId="4" borderId="4" applyAlignment="1" pivotButton="0" quotePrefix="0" xfId="0">
      <alignment vertical="center"/>
    </xf>
    <xf numFmtId="1" fontId="6" fillId="4" borderId="6" applyAlignment="1" pivotButton="0" quotePrefix="0" xfId="0">
      <alignment vertical="center"/>
    </xf>
    <xf numFmtId="1" fontId="6" fillId="4" borderId="5" applyAlignment="1" pivotButton="0" quotePrefix="0" xfId="0">
      <alignment vertical="center"/>
    </xf>
    <xf numFmtId="1" fontId="6" fillId="4" borderId="7" applyAlignment="1" pivotButton="0" quotePrefix="0" xfId="0">
      <alignment vertical="center"/>
    </xf>
    <xf numFmtId="0" fontId="9" fillId="6" borderId="30" applyAlignment="1" pivotButton="0" quotePrefix="0" xfId="0">
      <alignment horizontal="center" vertical="center"/>
    </xf>
    <xf numFmtId="0" fontId="9" fillId="6" borderId="31" applyAlignment="1" pivotButton="0" quotePrefix="0" xfId="0">
      <alignment horizontal="center" vertical="center"/>
    </xf>
    <xf numFmtId="0" fontId="9" fillId="6" borderId="32" applyAlignment="1" pivotButton="0" quotePrefix="0" xfId="0">
      <alignment horizontal="center" vertical="center"/>
    </xf>
    <xf numFmtId="0" fontId="9" fillId="6" borderId="33" applyAlignment="1" pivotButton="0" quotePrefix="0" xfId="0">
      <alignment horizontal="center" vertical="center"/>
    </xf>
    <xf numFmtId="0" fontId="9" fillId="6" borderId="34" applyAlignment="1" pivotButton="0" quotePrefix="0" xfId="0">
      <alignment horizontal="center" vertical="center"/>
    </xf>
    <xf numFmtId="0" fontId="9" fillId="6" borderId="35" applyAlignment="1" pivotButton="0" quotePrefix="0" xfId="0">
      <alignment horizontal="center" vertical="center"/>
    </xf>
    <xf numFmtId="0" fontId="9" fillId="6" borderId="36" applyAlignment="1" pivotButton="0" quotePrefix="0" xfId="0">
      <alignment horizontal="center" vertical="center"/>
    </xf>
    <xf numFmtId="0" fontId="9" fillId="6" borderId="37" applyAlignment="1" pivotButton="0" quotePrefix="0" xfId="0">
      <alignment horizontal="center" vertical="center"/>
    </xf>
    <xf numFmtId="0" fontId="9" fillId="6" borderId="38" applyAlignment="1" pivotButton="0" quotePrefix="0" xfId="0">
      <alignment horizontal="center" vertical="center"/>
    </xf>
    <xf numFmtId="0" fontId="9" fillId="6" borderId="39" applyAlignment="1" pivotButton="0" quotePrefix="0" xfId="0">
      <alignment horizontal="center" vertical="center"/>
    </xf>
    <xf numFmtId="0" fontId="9" fillId="6" borderId="40" applyAlignment="1" pivotButton="0" quotePrefix="0" xfId="0">
      <alignment horizontal="center" vertical="center"/>
    </xf>
    <xf numFmtId="0" fontId="9" fillId="6" borderId="41" applyAlignment="1" pivotButton="0" quotePrefix="0" xfId="0">
      <alignment horizontal="center" vertical="center"/>
    </xf>
    <xf numFmtId="0" fontId="0" fillId="0" borderId="0" pivotButton="0" quotePrefix="0" xfId="0"/>
    <xf numFmtId="0" fontId="8" fillId="7" borderId="0" pivotButton="0" quotePrefix="0" xfId="0"/>
    <xf numFmtId="0" fontId="10" fillId="7" borderId="0" pivotButton="0" quotePrefix="0" xfId="0"/>
    <xf numFmtId="0" fontId="6" fillId="4" borderId="42" applyAlignment="1" pivotButton="0" quotePrefix="0" xfId="0">
      <alignment vertical="center"/>
    </xf>
    <xf numFmtId="0" fontId="0" fillId="0" borderId="6" pivotButton="0" quotePrefix="0" xfId="0"/>
    <xf numFmtId="0" fontId="0" fillId="0" borderId="7" pivotButton="0" quotePrefix="0" xfId="0"/>
    <xf numFmtId="1" fontId="4" fillId="0" borderId="9" applyAlignment="1" pivotButton="0" quotePrefix="0" xfId="0">
      <alignment vertical="center" wrapText="1"/>
    </xf>
    <xf numFmtId="1" fontId="4" fillId="0" borderId="0" applyAlignment="1" pivotButton="0" quotePrefix="0" xfId="0">
      <alignment vertical="center" wrapText="1"/>
    </xf>
    <xf numFmtId="1" fontId="4" fillId="0" borderId="14" applyAlignment="1" pivotButton="0" quotePrefix="0" xfId="0">
      <alignment vertical="center" wrapText="1"/>
    </xf>
    <xf numFmtId="1" fontId="6" fillId="4" borderId="3" applyAlignment="1" pivotButton="0" quotePrefix="0" xfId="0">
      <alignment vertical="center"/>
    </xf>
    <xf numFmtId="1" fontId="4" fillId="0" borderId="8" applyAlignment="1" pivotButton="0" quotePrefix="0" xfId="0">
      <alignment vertical="center" wrapText="1"/>
    </xf>
    <xf numFmtId="1" fontId="4" fillId="0" borderId="10" applyAlignment="1" pivotButton="0" quotePrefix="0" xfId="0">
      <alignment vertical="center" wrapText="1"/>
    </xf>
    <xf numFmtId="1" fontId="4" fillId="0" borderId="11" applyAlignment="1" pivotButton="0" quotePrefix="0" xfId="0">
      <alignment vertical="center" wrapText="1"/>
    </xf>
    <xf numFmtId="1" fontId="4" fillId="0" borderId="12" applyAlignment="1" pivotButton="0" quotePrefix="0" xfId="0">
      <alignment vertical="center" wrapText="1"/>
    </xf>
    <xf numFmtId="1" fontId="4" fillId="0" borderId="13" applyAlignment="1" pivotButton="0" quotePrefix="0" xfId="0">
      <alignment vertical="center" wrapText="1"/>
    </xf>
    <xf numFmtId="1" fontId="4" fillId="0" borderId="15" applyAlignment="1" pivotButton="0" quotePrefix="0" xfId="0">
      <alignment vertical="center" wrapText="1"/>
    </xf>
    <xf numFmtId="1" fontId="6" fillId="4" borderId="2" applyAlignment="1" pivotButton="0" quotePrefix="0" xfId="0">
      <alignment vertical="center"/>
    </xf>
    <xf numFmtId="1" fontId="6" fillId="4" borderId="4" applyAlignment="1" pivotButton="0" quotePrefix="0" xfId="0">
      <alignment vertical="center"/>
    </xf>
    <xf numFmtId="1" fontId="4" fillId="0" borderId="24" applyAlignment="1" pivotButton="0" quotePrefix="0" xfId="0">
      <alignment vertical="center" wrapText="1"/>
    </xf>
    <xf numFmtId="1" fontId="4" fillId="0" borderId="25" applyAlignment="1" pivotButton="0" quotePrefix="0" xfId="0">
      <alignment vertical="center" wrapText="1"/>
    </xf>
    <xf numFmtId="1" fontId="4" fillId="0" borderId="26" applyAlignment="1" pivotButton="0" quotePrefix="0" xfId="0">
      <alignment vertical="center" wrapText="1"/>
    </xf>
    <xf numFmtId="164" fontId="4" fillId="0" borderId="9" applyAlignment="1" pivotButton="0" quotePrefix="0" xfId="0">
      <alignment vertical="center" wrapText="1"/>
    </xf>
    <xf numFmtId="165" fontId="4" fillId="0" borderId="9" applyAlignment="1" pivotButton="0" quotePrefix="0" xfId="0">
      <alignment vertical="center" wrapText="1"/>
    </xf>
    <xf numFmtId="164" fontId="4" fillId="0" borderId="0" applyAlignment="1" pivotButton="0" quotePrefix="0" xfId="0">
      <alignment vertical="center" wrapText="1"/>
    </xf>
    <xf numFmtId="165" fontId="4" fillId="0" borderId="0" applyAlignment="1" pivotButton="0" quotePrefix="0" xfId="0">
      <alignment vertical="center" wrapText="1"/>
    </xf>
    <xf numFmtId="164" fontId="4" fillId="0" borderId="14" applyAlignment="1" pivotButton="0" quotePrefix="0" xfId="0">
      <alignment vertical="center" wrapText="1"/>
    </xf>
    <xf numFmtId="165" fontId="4" fillId="0" borderId="14" applyAlignment="1" pivotButton="0" quotePrefix="0" xfId="0">
      <alignment vertical="center" wrapText="1"/>
    </xf>
    <xf numFmtId="166" fontId="4" fillId="0" borderId="9" applyAlignment="1" pivotButton="0" quotePrefix="0" xfId="0">
      <alignment vertical="center" wrapText="1"/>
    </xf>
    <xf numFmtId="166" fontId="4" fillId="0" borderId="0" applyAlignment="1" pivotButton="0" quotePrefix="0" xfId="0">
      <alignment vertical="center" wrapText="1"/>
    </xf>
    <xf numFmtId="166" fontId="4" fillId="0" borderId="14" applyAlignment="1" pivotButton="0" quotePrefix="0" xfId="0">
      <alignment vertical="center" wrapText="1"/>
    </xf>
    <xf numFmtId="0" fontId="6" fillId="5" borderId="42" applyAlignment="1" pivotButton="0" quotePrefix="0" xfId="0">
      <alignment horizontal="center" vertical="center"/>
    </xf>
    <xf numFmtId="0" fontId="9" fillId="6" borderId="42" applyAlignment="1" pivotButton="0" quotePrefix="0" xfId="0">
      <alignment horizontal="center" vertical="center"/>
    </xf>
    <xf numFmtId="0" fontId="0" fillId="0" borderId="37" pivotButton="0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41" pivotButton="0" quotePrefix="0" xfId="0"/>
    <xf numFmtId="165" fontId="4" fillId="0" borderId="10" applyAlignment="1" pivotButton="0" quotePrefix="0" xfId="0">
      <alignment vertical="center" wrapText="1"/>
    </xf>
    <xf numFmtId="165" fontId="4" fillId="0" borderId="12" applyAlignment="1" pivotButton="0" quotePrefix="0" xfId="0">
      <alignment vertical="center" wrapText="1"/>
    </xf>
    <xf numFmtId="165" fontId="4" fillId="0" borderId="15" applyAlignment="1" pivotButton="0" quotePrefix="0" xfId="0">
      <alignment vertical="center" wrapText="1"/>
    </xf>
  </cellXfs>
  <cellStyles count="1">
    <cellStyle name="Normal" xfId="0"/>
  </cellStyles>
  <dxfs count="25">
    <dxf>
      <font>
        <color rgb="006B7280"/>
      </font>
      <fill>
        <patternFill>
          <bgColor rgb="00E5E7EB"/>
        </patternFill>
      </fill>
    </dxf>
    <dxf>
      <font>
        <b val="1"/>
        <color rgb="00166534"/>
      </font>
      <fill>
        <patternFill>
          <bgColor rgb="00DCFCE7"/>
        </patternFill>
      </fill>
    </dxf>
    <dxf>
      <font>
        <b val="1"/>
        <color rgb="001D4ED8"/>
      </font>
      <fill>
        <patternFill>
          <bgColor rgb="00DBEAFE"/>
        </patternFill>
      </fill>
    </dxf>
    <dxf>
      <font>
        <b val="1"/>
        <color rgb="0092400E"/>
      </font>
      <fill>
        <patternFill>
          <bgColor rgb="00FEF3C7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color rgb="00991B1B"/>
      </font>
      <fill>
        <patternFill patternType="solid">
          <bgColor rgb="00FEE2E2"/>
        </patternFill>
      </fill>
    </dxf>
    <dxf>
      <font>
        <color rgb="0092400E"/>
      </font>
      <fill>
        <patternFill patternType="solid">
          <bgColor rgb="00FEF3C7"/>
        </patternFill>
      </fill>
    </dxf>
    <dxf>
      <font>
        <color rgb="001D4ED8"/>
      </font>
      <fill>
        <patternFill patternType="solid">
          <bgColor rgb="00DBEAFE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color rgb="00991B1B"/>
      </font>
      <fill>
        <patternFill patternType="solid">
          <bgColor rgb="00FEE2E2"/>
        </patternFill>
      </fill>
    </dxf>
    <dxf>
      <font>
        <color rgb="0092400E"/>
      </font>
      <fill>
        <patternFill patternType="solid">
          <bgColor rgb="00FEF3C7"/>
        </patternFill>
      </fill>
    </dxf>
    <dxf>
      <font>
        <color rgb="001D4ED8"/>
      </font>
      <fill>
        <patternFill patternType="solid">
          <bgColor rgb="00DBEAFE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color rgb="00991B1B"/>
      </font>
      <fill>
        <patternFill patternType="solid">
          <bgColor rgb="00FEE2E2"/>
        </patternFill>
      </fill>
    </dxf>
    <dxf>
      <font>
        <color rgb="0092400E"/>
      </font>
      <fill>
        <patternFill patternType="solid">
          <bgColor rgb="00FEF3C7"/>
        </patternFill>
      </fill>
    </dxf>
    <dxf>
      <font>
        <color rgb="001D4ED8"/>
      </font>
      <fill>
        <patternFill patternType="solid">
          <bgColor rgb="00DBEAFE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color rgb="001D4ED8"/>
      </font>
      <fill>
        <patternFill patternType="solid">
          <bgColor rgb="00DBEAFE"/>
        </patternFill>
      </fill>
    </dxf>
    <dxf>
      <font>
        <color rgb="0092400E"/>
      </font>
      <fill>
        <patternFill patternType="solid">
          <bgColor rgb="00FEF3C7"/>
        </patternFill>
      </fill>
    </dxf>
    <dxf>
      <font>
        <color rgb="00991B1B"/>
      </font>
      <fill>
        <patternFill patternType="solid">
          <bgColor rgb="00FEE2E2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color rgb="001D4ED8"/>
      </font>
      <fill>
        <patternFill patternType="solid">
          <bgColor rgb="00DBEAFE"/>
        </patternFill>
      </fill>
    </dxf>
    <dxf>
      <font>
        <color rgb="0092400E"/>
      </font>
      <fill>
        <patternFill patternType="solid">
          <bgColor rgb="00FEF3C7"/>
        </patternFill>
      </fill>
    </dxf>
    <dxf>
      <font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Final Tier Distribution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Supplier Count</v>
          </tx>
          <spPr>
            <a:ln xmlns:a="http://schemas.openxmlformats.org/drawingml/2006/main">
              <a:prstDash val="solid"/>
            </a:ln>
          </spPr>
          <cat>
            <strRef>
              <f>'Dashboard'!$A$10:$A$13</f>
              <strCache>
                <ptCount val="0"/>
              </strCache>
            </strRef>
          </cat>
          <val>
            <numRef>
              <f>'Dashboard'!$B$10:$B$13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Average by Scoring Dimension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Average Score</v>
          </tx>
          <spPr>
            <a:ln xmlns:a="http://schemas.openxmlformats.org/drawingml/2006/main">
              <a:prstDash val="solid"/>
            </a:ln>
          </spPr>
          <cat>
            <strRef>
              <f>'Dashboard'!$J$10:$J$19</f>
              <strCache>
                <ptCount val="0"/>
              </strCache>
            </strRef>
          </cat>
          <val>
            <numRef>
              <f>'Dashboard'!$K$10:$K$19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Open Risk Event Categories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Open Event Count</v>
          </tx>
          <spPr>
            <a:ln xmlns:a="http://schemas.openxmlformats.org/drawingml/2006/main">
              <a:prstDash val="solid"/>
            </a:ln>
          </spPr>
          <cat>
            <strRef>
              <f>'Dashboard'!$A$26:$A$34</f>
              <strCache>
                <ptCount val="0"/>
              </strCache>
            </strRef>
          </cat>
          <val>
            <numRef>
              <f>'Dashboard'!$B$26:$B$34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3</col>
      <colOff>0</colOff>
      <row>8</row>
      <rowOff>0</rowOff>
    </from>
    <to>
      <col>8</col>
      <colOff>0</colOff>
      <row>22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8</row>
      <rowOff>0</rowOff>
    </from>
    <to>
      <col>18</col>
      <colOff>0</colOff>
      <row>22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3</col>
      <colOff>0</colOff>
      <row>24</row>
      <rowOff>0</rowOff>
    </from>
    <to>
      <col>8</col>
      <colOff>0</colOff>
      <row>39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upplierMaster" displayName="SupplierMaster" ref="A5:L105" headerRowCount="1">
  <tableColumns count="12">
    <tableColumn id="1" name="Supplier ID"/>
    <tableColumn id="2" name="Supplier Name"/>
    <tableColumn id="3" name="Supplier Category"/>
    <tableColumn id="4" name="Country / Region"/>
    <tableColumn id="5" name="Criticality"/>
    <tableColumn id="6" name="Annual Spend"/>
    <tableColumn id="7" name="Owner"/>
    <tableColumn id="8" name="Onboarding Date"/>
    <tableColumn id="9" name="Contract End Date"/>
    <tableColumn id="10" name="Status"/>
    <tableColumn id="11" name="Business Scenario"/>
    <tableColumn id="12" name="Notes"/>
  </tableColumns>
  <tableStyleInfo name="TableStyleLight9" showRowStripes="1"/>
</table>
</file>

<file path=xl/tables/table2.xml><?xml version="1.0" encoding="utf-8"?>
<table xmlns="http://schemas.openxmlformats.org/spreadsheetml/2006/main" id="2" name="ScoreInput" displayName="ScoreInput" ref="A5:P105" headerRowCount="1">
  <tableColumns count="16">
    <tableColumn id="1" name="Supplier ID"/>
    <tableColumn id="2" name="Supplier Name"/>
    <tableColumn id="3" name="Assessment Date"/>
    <tableColumn id="4" name="Business Scenario"/>
    <tableColumn id="5" name="Quality"/>
    <tableColumn id="6" name="Delivery"/>
    <tableColumn id="7" name="Cost"/>
    <tableColumn id="8" name="Service"/>
    <tableColumn id="9" name="Capacity Operations"/>
    <tableColumn id="10" name="Finance"/>
    <tableColumn id="11" name="Compliance"/>
    <tableColumn id="12" name="ESG"/>
    <tableColumn id="13" name="Cybersecurity"/>
    <tableColumn id="14" name="Geopolitical External"/>
    <tableColumn id="15" name="360 Weighted Score"/>
    <tableColumn id="16" name="Score Notes"/>
  </tableColumns>
  <tableStyleInfo name="TableStyleLight9" showRowStripes="1"/>
</table>
</file>

<file path=xl/tables/table3.xml><?xml version="1.0" encoding="utf-8"?>
<table xmlns="http://schemas.openxmlformats.org/spreadsheetml/2006/main" id="3" name="RiskEvents" displayName="RiskEvents" ref="A5:M205" headerRowCount="1">
  <tableColumns count="13">
    <tableColumn id="1" name="Supplier ID"/>
    <tableColumn id="2" name="Supplier Name"/>
    <tableColumn id="3" name="Event Date"/>
    <tableColumn id="4" name="Risk Category"/>
    <tableColumn id="5" name="Event Description"/>
    <tableColumn id="6" name="Likelihood 1-5"/>
    <tableColumn id="7" name="Impact 1-5"/>
    <tableColumn id="8" name="Detectability 1-5"/>
    <tableColumn id="9" name="Event Risk Score"/>
    <tableColumn id="10" name="Status"/>
    <tableColumn id="11" name="Owner"/>
    <tableColumn id="12" name="Due Date"/>
    <tableColumn id="13" name="Treatment / Mitigation"/>
  </tableColumns>
  <tableStyleInfo name="TableStyleLight9" showRowStripes="1"/>
</table>
</file>

<file path=xl/tables/table4.xml><?xml version="1.0" encoding="utf-8"?>
<table xmlns="http://schemas.openxmlformats.org/spreadsheetml/2006/main" id="4" name="SupplierSummary" displayName="SupplierSummary" ref="A5:R105" headerRowCount="1">
  <tableColumns count="18">
    <tableColumn id="1" name="Supplier ID"/>
    <tableColumn id="2" name="Supplier Name"/>
    <tableColumn id="3" name="Supplier Category"/>
    <tableColumn id="4" name="Criticality"/>
    <tableColumn id="5" name="Annual Spend"/>
    <tableColumn id="6" name="Average 360 Score"/>
    <tableColumn id="7" name="Open Event Count"/>
    <tableColumn id="8" name="Highest Event Risk"/>
    <tableColumn id="9" name="Criticality Uplift"/>
    <tableColumn id="10" name="Final Risk Score"/>
    <tableColumn id="11" name="Performance Level"/>
    <tableColumn id="12" name="Risk Level"/>
    <tableColumn id="13" name="Final tier / onboarding recommendation"/>
    <tableColumn id="14" name="Recommended Action"/>
    <tableColumn id="15" name="Review Cycle (days)"/>
    <tableColumn id="16" name="Next Review Date"/>
    <tableColumn id="17" name="Latest Score Date"/>
    <tableColumn id="18" name="Notes"/>
  </tableColumns>
  <tableStyleInfo name="TableStyleLight9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4" customWidth="1" style="280" min="1" max="1"/>
    <col width="30" customWidth="1" style="280" min="2" max="2"/>
    <col width="52" customWidth="1" style="280" min="3" max="3"/>
    <col width="18" customWidth="1" style="280" min="4" max="4"/>
    <col width="22" customWidth="1" style="280" min="5" max="5"/>
  </cols>
  <sheetData>
    <row r="1" ht="30" customHeight="1" s="280">
      <c r="A1" s="257" t="inlineStr">
        <is>
          <t>Supplier 360 Scorecard and Risk Tier Template</t>
        </is>
      </c>
      <c r="B1" s="1" t="n"/>
      <c r="C1" s="1" t="n"/>
      <c r="D1" s="1" t="n"/>
      <c r="E1" s="1" t="n"/>
      <c r="F1" s="253" t="n"/>
      <c r="G1" s="253" t="n"/>
      <c r="H1" s="253" t="n"/>
      <c r="I1" s="253" t="n"/>
      <c r="J1" s="253" t="n"/>
      <c r="K1" s="253" t="n"/>
      <c r="L1" s="253" t="n"/>
      <c r="M1" s="253" t="n"/>
      <c r="N1" s="253" t="n"/>
      <c r="O1" s="253" t="n"/>
      <c r="P1" s="253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 ht="30" customHeight="1" s="280">
      <c r="A2" s="19" t="inlineStr">
        <is>
          <t>Designed for supplier onboarding, review, performance evaluation, risk monitoring, and tier governance across industries, companies, and business scenarios.</t>
        </is>
      </c>
      <c r="B2" s="1" t="n"/>
      <c r="C2" s="1" t="n"/>
      <c r="D2" s="1" t="n"/>
      <c r="E2" s="1" t="n"/>
      <c r="F2" s="253" t="n"/>
      <c r="G2" s="253" t="n"/>
      <c r="H2" s="253" t="n"/>
      <c r="I2" s="253" t="n"/>
      <c r="J2" s="253" t="n"/>
      <c r="K2" s="253" t="n"/>
      <c r="L2" s="253" t="n"/>
      <c r="M2" s="253" t="n"/>
      <c r="N2" s="253" t="n"/>
      <c r="O2" s="253" t="n"/>
      <c r="P2" s="253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 ht="34" customHeight="1" s="280">
      <c r="A4" s="31" t="inlineStr">
        <is>
          <t>Module</t>
        </is>
      </c>
      <c r="B4" s="32" t="inlineStr">
        <is>
          <t>How to Use</t>
        </is>
      </c>
      <c r="C4" s="32" t="inlineStr">
        <is>
          <t>Output / Use</t>
        </is>
      </c>
      <c r="D4" s="32" t="inlineStr">
        <is>
          <t>Recommended Frequency</t>
        </is>
      </c>
      <c r="E4" s="33" t="inlineStr">
        <is>
          <t>Use Case</t>
        </is>
      </c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4" customHeight="1" s="280">
      <c r="A5" s="66" t="inlineStr">
        <is>
          <t>Settings</t>
        </is>
      </c>
      <c r="B5" s="67" t="inlineStr">
        <is>
          <t>Select the default business scenario and maintain scenario weights, risk thresholds, and review cycles.</t>
        </is>
      </c>
      <c r="C5" s="67" t="inlineStr">
        <is>
          <t>Determines the scoring model and tiering logic.</t>
        </is>
      </c>
      <c r="D5" s="67" t="inlineStr">
        <is>
          <t>Model launch / annual review</t>
        </is>
      </c>
      <c r="E5" s="68" t="inlineStr">
        <is>
          <t>All Companies</t>
        </is>
      </c>
      <c r="F5" s="253" t="n"/>
      <c r="G5" s="253" t="n"/>
      <c r="H5" s="253" t="n"/>
      <c r="I5" s="253" t="n"/>
      <c r="J5" s="253" t="n"/>
      <c r="K5" s="253" t="n"/>
      <c r="L5" s="253" t="n"/>
      <c r="M5" s="253" t="n"/>
      <c r="N5" s="253" t="n"/>
      <c r="O5" s="25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34" customHeight="1" s="280">
      <c r="A6" s="69" t="inlineStr">
        <is>
          <t>Supplier Register</t>
        </is>
      </c>
      <c r="B6" s="70" t="inlineStr">
        <is>
          <t>Create supplier master data with category, region, criticality, spend, owner, and contract dates.</t>
        </is>
      </c>
      <c r="C6" s="70" t="inlineStr">
        <is>
          <t>Builds the foundation of the 360 profile.</t>
        </is>
      </c>
      <c r="D6" s="70" t="inlineStr">
        <is>
          <t>When a supplier is added or changed</t>
        </is>
      </c>
      <c r="E6" s="71" t="inlineStr">
        <is>
          <t>Onboarding, contracts, sourcing pool</t>
        </is>
      </c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34" customHeight="1" s="280">
      <c r="A7" s="69" t="inlineStr">
        <is>
          <t>360 Score Entry</t>
        </is>
      </c>
      <c r="B7" s="70" t="inlineStr">
        <is>
          <t>Enter 10 dimension scores by supplier and period, with support for different business scenario weights.</t>
        </is>
      </c>
      <c r="C7" s="70" t="inlineStr">
        <is>
          <t>Automatically calculates 360 weighted score.</t>
        </is>
      </c>
      <c r="D7" s="70" t="inlineStr">
        <is>
          <t>Monthly / quarterly / annual</t>
        </is>
      </c>
      <c r="E7" s="71" t="inlineStr">
        <is>
          <t>Performance review and onboarding assessment</t>
        </is>
      </c>
      <c r="F7" s="253" t="n"/>
      <c r="G7" s="253" t="n"/>
      <c r="H7" s="253" t="n"/>
      <c r="I7" s="253" t="n"/>
      <c r="J7" s="253" t="n"/>
      <c r="K7" s="253" t="n"/>
      <c r="L7" s="253" t="n"/>
      <c r="M7" s="253" t="n"/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34" customHeight="1" s="280">
      <c r="A8" s="69" t="inlineStr">
        <is>
          <t>Risk Event Register</t>
        </is>
      </c>
      <c r="B8" s="70" t="inlineStr">
        <is>
          <t>Register risk category, likelihood, impact, detectability, and remediation action.</t>
        </is>
      </c>
      <c r="C8" s="70" t="inlineStr">
        <is>
          <t>Automatically calculates event risk score and feeds final tiering.</t>
        </is>
      </c>
      <c r="D8" s="70" t="inlineStr">
        <is>
          <t>Register when it recurs</t>
        </is>
      </c>
      <c r="E8" s="71" t="inlineStr">
        <is>
          <t>Alerts, remediation, audit</t>
        </is>
      </c>
      <c r="F8" s="253" t="n"/>
      <c r="G8" s="253" t="n"/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34" customHeight="1" s="280">
      <c r="A9" s="69" t="inlineStr">
        <is>
          <t>Final Score and Tiering</t>
        </is>
      </c>
      <c r="B9" s="70" t="inlineStr">
        <is>
          <t>Automatically summarizes register data, scores, and open risk events.</t>
        </is>
      </c>
      <c r="C9" s="70" t="inlineStr">
        <is>
          <t>Outputs A/B/C/D tiers, recommended actions, and review dates.</t>
        </is>
      </c>
      <c r="D9" s="70" t="inlineStr">
        <is>
          <t>Auto Update</t>
        </is>
      </c>
      <c r="E9" s="71" t="inlineStr">
        <is>
          <t>Supplier Portfolio Governance</t>
        </is>
      </c>
      <c r="F9" s="253" t="n"/>
      <c r="G9" s="253" t="n"/>
      <c r="H9" s="253" t="n"/>
      <c r="I9" s="253" t="n"/>
      <c r="J9" s="253" t="n"/>
      <c r="K9" s="253" t="n"/>
      <c r="L9" s="253" t="n"/>
      <c r="M9" s="253" t="n"/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34" customHeight="1" s="280">
      <c r="A10" s="69" t="inlineStr">
        <is>
          <t>Dashboard</t>
        </is>
      </c>
      <c r="B10" s="70" t="inlineStr">
        <is>
          <t>Review KPIs, tier distribution, risk categories, and the high-risk supplier list.</t>
        </is>
      </c>
      <c r="C10" s="70" t="inlineStr">
        <is>
          <t>Management review and procurement decisions.</t>
        </is>
      </c>
      <c r="D10" s="70" t="inlineStr">
        <is>
          <t>Weekly / monthly meeting</t>
        </is>
      </c>
      <c r="E10" s="71" t="inlineStr">
        <is>
          <t>Supply chain, procurement, quality, legal</t>
        </is>
      </c>
      <c r="F10" s="253" t="n"/>
      <c r="G10" s="253" t="n"/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34" customHeight="1" s="280">
      <c r="A11" s="72" t="n"/>
      <c r="B11" s="73" t="n"/>
      <c r="C11" s="73" t="n"/>
      <c r="D11" s="73" t="n"/>
      <c r="E11" s="74" t="n"/>
      <c r="F11" s="253" t="n"/>
      <c r="G11" s="253" t="n"/>
      <c r="H11" s="253" t="n"/>
      <c r="I11" s="253" t="n"/>
      <c r="J11" s="253" t="n"/>
      <c r="K11" s="253" t="n"/>
      <c r="L11" s="253" t="n"/>
      <c r="M11" s="253" t="n"/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34" customHeight="1" s="280">
      <c r="A12" s="253" t="n"/>
      <c r="B12" s="253" t="n"/>
      <c r="C12" s="253" t="n"/>
      <c r="D12" s="253" t="n"/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34" customHeight="1" s="280">
      <c r="A13" s="283" t="inlineStr">
        <is>
          <t>Quick Implementation Tips</t>
        </is>
      </c>
      <c r="B13" s="284" t="n"/>
      <c r="C13" s="284" t="n"/>
      <c r="D13" s="284" t="n"/>
      <c r="E13" s="285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34" customHeight="1" s="280">
      <c r="A14" s="66" t="inlineStr">
        <is>
          <t>1</t>
        </is>
      </c>
      <c r="B14" s="67" t="inlineStr">
        <is>
          <t>Confirm the default business scenario in Settings first.</t>
        </is>
      </c>
      <c r="C14" s="67" t="inlineStr">
        <is>
          <t>Keep common weights, or use the scenario matrix or custom column.</t>
        </is>
      </c>
      <c r="D14" s="67" t="str"/>
      <c r="E14" s="68" t="str"/>
      <c r="F14" s="253" t="n"/>
      <c r="G14" s="253" t="n"/>
      <c r="H14" s="253" t="n"/>
      <c r="I14" s="253" t="n"/>
      <c r="J14" s="253" t="n"/>
      <c r="K14" s="253" t="n"/>
      <c r="L14" s="253" t="n"/>
      <c r="M14" s="253" t="n"/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34" customHeight="1" s="280">
      <c r="A15" s="69" t="inlineStr">
        <is>
          <t>2</t>
        </is>
      </c>
      <c r="B15" s="70" t="inlineStr">
        <is>
          <t>Maintain supplier master data in Supplier Register.</t>
        </is>
      </c>
      <c r="C15" s="70" t="inlineStr">
        <is>
          <t>Use a unique Supplier ID for each supplier.</t>
        </is>
      </c>
      <c r="D15" s="70" t="str"/>
      <c r="E15" s="71" t="str"/>
      <c r="F15" s="253" t="n"/>
      <c r="G15" s="253" t="n"/>
      <c r="H15" s="253" t="n"/>
      <c r="I15" s="253" t="n"/>
      <c r="J15" s="253" t="n"/>
      <c r="K15" s="253" t="n"/>
      <c r="L15" s="253" t="n"/>
      <c r="M15" s="253" t="n"/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34" customHeight="1" s="280">
      <c r="A16" s="69" t="inlineStr">
        <is>
          <t>3</t>
        </is>
      </c>
      <c r="B16" s="70" t="inlineStr">
        <is>
          <t>Score by period in 360 Score Entry.</t>
        </is>
      </c>
      <c r="C16" s="70" t="inlineStr">
        <is>
          <t>If one supplier has multiple scoring periods, the summary page uses the average score by default.</t>
        </is>
      </c>
      <c r="D16" s="70" t="str"/>
      <c r="E16" s="71" t="str"/>
      <c r="F16" s="253" t="n"/>
      <c r="G16" s="253" t="n"/>
      <c r="H16" s="253" t="n"/>
      <c r="I16" s="253" t="n"/>
      <c r="J16" s="253" t="n"/>
      <c r="K16" s="253" t="n"/>
      <c r="L16" s="253" t="n"/>
      <c r="M16" s="253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34" customHeight="1" s="280">
      <c r="A17" s="69" t="inlineStr">
        <is>
          <t>4</t>
        </is>
      </c>
      <c r="B17" s="70" t="inlineStr">
        <is>
          <t>Only open events in Risk Event Register contribute to risk score.</t>
        </is>
      </c>
      <c r="C17" s="70" t="inlineStr">
        <is>
          <t>Closed events are not counted in open event count or highest risk score.</t>
        </is>
      </c>
      <c r="D17" s="70" t="str"/>
      <c r="E17" s="71" t="str"/>
      <c r="F17" s="253" t="n"/>
      <c r="G17" s="253" t="n"/>
      <c r="H17" s="253" t="n"/>
      <c r="I17" s="253" t="n"/>
      <c r="J17" s="253" t="n"/>
      <c r="K17" s="253" t="n"/>
      <c r="L17" s="253" t="n"/>
      <c r="M17" s="253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34" customHeight="1" s="280">
      <c r="A18" s="69" t="inlineStr">
        <is>
          <t>5</t>
        </is>
      </c>
      <c r="B18" s="70" t="inlineStr">
        <is>
          <t>Review recommended actions in Final Score and Tiering.</t>
        </is>
      </c>
      <c r="C18" s="70" t="inlineStr">
        <is>
          <t>A can expand cooperation, B stays under monitoring, C requires time-bound remediation, and D is restricted or paused for new onboarding.</t>
        </is>
      </c>
      <c r="D18" s="70" t="str"/>
      <c r="E18" s="71" t="str"/>
      <c r="F18" s="253" t="n"/>
      <c r="G18" s="253" t="n"/>
      <c r="H18" s="253" t="n"/>
      <c r="I18" s="253" t="n"/>
      <c r="J18" s="253" t="n"/>
      <c r="K18" s="253" t="n"/>
      <c r="L18" s="253" t="n"/>
      <c r="M18" s="253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34" customHeight="1" s="280">
      <c r="A19" s="69" t="inlineStr">
        <is>
          <t>6</t>
        </is>
      </c>
      <c r="B19" s="70" t="inlineStr">
        <is>
          <t>When clearing sample data, keep formula columns and headers.</t>
        </is>
      </c>
      <c r="C19" s="70" t="inlineStr">
        <is>
          <t>Copy row 6 formulas downward to add more suppliers.</t>
        </is>
      </c>
      <c r="D19" s="70" t="str"/>
      <c r="E19" s="71" t="str"/>
      <c r="F19" s="253" t="n"/>
      <c r="G19" s="253" t="n"/>
      <c r="H19" s="253" t="n"/>
      <c r="I19" s="253" t="n"/>
      <c r="J19" s="253" t="n"/>
      <c r="K19" s="253" t="n"/>
      <c r="L19" s="253" t="n"/>
      <c r="M19" s="253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34" customHeight="1" s="280">
      <c r="A20" s="72" t="inlineStr">
        <is>
          <t>7</t>
        </is>
      </c>
      <c r="B20" s="73" t="inlineStr">
        <is>
          <t>High-risk suppliers should add remediation plans and alternatives.</t>
        </is>
      </c>
      <c r="C20" s="73" t="inlineStr">
        <is>
          <t>Procurement, quality, legal, and finance/IT should review jointly.</t>
        </is>
      </c>
      <c r="D20" s="73" t="str"/>
      <c r="E20" s="74" t="str"/>
      <c r="F20" s="253" t="n"/>
      <c r="G20" s="253" t="n"/>
      <c r="H20" s="253" t="n"/>
      <c r="I20" s="253" t="n"/>
      <c r="J20" s="253" t="n"/>
      <c r="K20" s="253" t="n"/>
      <c r="L20" s="253" t="n"/>
      <c r="M20" s="253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>
      <c r="A21" s="253" t="n"/>
      <c r="B21" s="253" t="n"/>
      <c r="C21" s="253" t="n"/>
      <c r="D21" s="253" t="n"/>
      <c r="E21" s="253" t="n"/>
      <c r="F21" s="253" t="n"/>
      <c r="G21" s="253" t="n"/>
      <c r="H21" s="253" t="n"/>
      <c r="I21" s="253" t="n"/>
      <c r="J21" s="253" t="n"/>
      <c r="K21" s="253" t="n"/>
      <c r="L21" s="253" t="n"/>
      <c r="M21" s="253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>
      <c r="A22" s="253" t="n"/>
      <c r="B22" s="253" t="n"/>
      <c r="C22" s="253" t="n"/>
      <c r="D22" s="253" t="n"/>
      <c r="E22" s="253" t="n"/>
      <c r="F22" s="253" t="n"/>
      <c r="G22" s="253" t="n"/>
      <c r="H22" s="253" t="n"/>
      <c r="I22" s="253" t="n"/>
      <c r="J22" s="253" t="n"/>
      <c r="K22" s="253" t="n"/>
      <c r="L22" s="253" t="n"/>
      <c r="M22" s="253" t="n"/>
      <c r="N22" s="253" t="n"/>
      <c r="O22" s="253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>
      <c r="A23" s="253" t="n"/>
      <c r="B23" s="253" t="n"/>
      <c r="C23" s="253" t="n"/>
      <c r="D23" s="253" t="n"/>
      <c r="E23" s="253" t="n"/>
      <c r="F23" s="253" t="n"/>
      <c r="G23" s="253" t="n"/>
      <c r="H23" s="253" t="n"/>
      <c r="I23" s="253" t="n"/>
      <c r="J23" s="253" t="n"/>
      <c r="K23" s="253" t="n"/>
      <c r="L23" s="253" t="n"/>
      <c r="M23" s="253" t="n"/>
      <c r="N23" s="253" t="n"/>
      <c r="O23" s="253" t="n"/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>
      <c r="A24" s="253" t="n"/>
      <c r="B24" s="253" t="n"/>
      <c r="C24" s="253" t="n"/>
      <c r="D24" s="253" t="n"/>
      <c r="E24" s="253" t="n"/>
      <c r="F24" s="253" t="n"/>
      <c r="G24" s="253" t="n"/>
      <c r="H24" s="253" t="n"/>
      <c r="I24" s="253" t="n"/>
      <c r="J24" s="253" t="n"/>
      <c r="K24" s="253" t="n"/>
      <c r="L24" s="253" t="n"/>
      <c r="M24" s="253" t="n"/>
      <c r="N24" s="253" t="n"/>
      <c r="O24" s="253" t="n"/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>
      <c r="A25" s="253" t="n"/>
      <c r="B25" s="253" t="n"/>
      <c r="C25" s="253" t="n"/>
      <c r="D25" s="253" t="n"/>
      <c r="E25" s="253" t="n"/>
      <c r="F25" s="253" t="n"/>
      <c r="G25" s="253" t="n"/>
      <c r="H25" s="253" t="n"/>
      <c r="I25" s="253" t="n"/>
      <c r="J25" s="253" t="n"/>
      <c r="K25" s="253" t="n"/>
      <c r="L25" s="253" t="n"/>
      <c r="M25" s="253" t="n"/>
      <c r="N25" s="253" t="n"/>
      <c r="O25" s="253" t="n"/>
      <c r="P25" s="253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>
      <c r="A26" s="253" t="n"/>
      <c r="B26" s="253" t="n"/>
      <c r="C26" s="253" t="n"/>
      <c r="D26" s="253" t="n"/>
      <c r="E26" s="253" t="n"/>
      <c r="F26" s="253" t="n"/>
      <c r="G26" s="253" t="n"/>
      <c r="H26" s="253" t="n"/>
      <c r="I26" s="253" t="n"/>
      <c r="J26" s="253" t="n"/>
      <c r="K26" s="253" t="n"/>
      <c r="L26" s="253" t="n"/>
      <c r="M26" s="253" t="n"/>
      <c r="N26" s="253" t="n"/>
      <c r="O26" s="253" t="n"/>
      <c r="P26" s="253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>
      <c r="A27" s="253" t="n"/>
      <c r="B27" s="253" t="n"/>
      <c r="C27" s="253" t="n"/>
      <c r="D27" s="253" t="n"/>
      <c r="E27" s="253" t="n"/>
      <c r="F27" s="253" t="n"/>
      <c r="G27" s="253" t="n"/>
      <c r="H27" s="253" t="n"/>
      <c r="I27" s="253" t="n"/>
      <c r="J27" s="253" t="n"/>
      <c r="K27" s="253" t="n"/>
      <c r="L27" s="253" t="n"/>
      <c r="M27" s="253" t="n"/>
      <c r="N27" s="253" t="n"/>
      <c r="O27" s="253" t="n"/>
      <c r="P27" s="253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>
      <c r="A28" s="253" t="n"/>
      <c r="B28" s="253" t="n"/>
      <c r="C28" s="253" t="n"/>
      <c r="D28" s="253" t="n"/>
      <c r="E28" s="253" t="n"/>
      <c r="F28" s="253" t="n"/>
      <c r="G28" s="253" t="n"/>
      <c r="H28" s="253" t="n"/>
      <c r="I28" s="253" t="n"/>
      <c r="J28" s="253" t="n"/>
      <c r="K28" s="253" t="n"/>
      <c r="L28" s="253" t="n"/>
      <c r="M28" s="253" t="n"/>
      <c r="N28" s="253" t="n"/>
      <c r="O28" s="253" t="n"/>
      <c r="P28" s="253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>
      <c r="A29" s="253" t="n"/>
      <c r="B29" s="253" t="n"/>
      <c r="C29" s="253" t="n"/>
      <c r="D29" s="253" t="n"/>
      <c r="E29" s="253" t="n"/>
      <c r="F29" s="253" t="n"/>
      <c r="G29" s="253" t="n"/>
      <c r="H29" s="253" t="n"/>
      <c r="I29" s="253" t="n"/>
      <c r="J29" s="253" t="n"/>
      <c r="K29" s="253" t="n"/>
      <c r="L29" s="253" t="n"/>
      <c r="M29" s="253" t="n"/>
      <c r="N29" s="253" t="n"/>
      <c r="O29" s="253" t="n"/>
      <c r="P29" s="253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>
      <c r="A30" s="253" t="n"/>
      <c r="B30" s="253" t="n"/>
      <c r="C30" s="253" t="n"/>
      <c r="D30" s="253" t="n"/>
      <c r="E30" s="253" t="n"/>
      <c r="F30" s="253" t="n"/>
      <c r="G30" s="253" t="n"/>
      <c r="H30" s="253" t="n"/>
      <c r="I30" s="253" t="n"/>
      <c r="J30" s="253" t="n"/>
      <c r="K30" s="253" t="n"/>
      <c r="L30" s="253" t="n"/>
      <c r="M30" s="253" t="n"/>
      <c r="N30" s="253" t="n"/>
      <c r="O30" s="253" t="n"/>
      <c r="P30" s="253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>
      <c r="A31" s="253" t="n"/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>
      <c r="A32" s="253" t="n"/>
      <c r="B32" s="253" t="n"/>
      <c r="C32" s="253" t="n"/>
      <c r="D32" s="253" t="n"/>
      <c r="E32" s="253" t="n"/>
      <c r="F32" s="253" t="n"/>
      <c r="G32" s="253" t="n"/>
      <c r="H32" s="253" t="n"/>
      <c r="I32" s="253" t="n"/>
      <c r="J32" s="253" t="n"/>
      <c r="K32" s="253" t="n"/>
      <c r="L32" s="253" t="n"/>
      <c r="M32" s="253" t="n"/>
      <c r="N32" s="253" t="n"/>
      <c r="O32" s="253" t="n"/>
      <c r="P32" s="253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>
      <c r="A33" s="253" t="n"/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>
      <c r="A34" s="253" t="n"/>
      <c r="B34" s="253" t="n"/>
      <c r="C34" s="253" t="n"/>
      <c r="D34" s="253" t="n"/>
      <c r="E34" s="253" t="n"/>
      <c r="F34" s="253" t="n"/>
      <c r="G34" s="253" t="n"/>
      <c r="H34" s="253" t="n"/>
      <c r="I34" s="253" t="n"/>
      <c r="J34" s="253" t="n"/>
      <c r="K34" s="253" t="n"/>
      <c r="L34" s="253" t="n"/>
      <c r="M34" s="253" t="n"/>
      <c r="N34" s="253" t="n"/>
      <c r="O34" s="253" t="n"/>
      <c r="P34" s="253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>
      <c r="A35" s="253" t="n"/>
      <c r="B35" s="253" t="n"/>
      <c r="C35" s="253" t="n"/>
      <c r="D35" s="253" t="n"/>
      <c r="E35" s="253" t="n"/>
      <c r="F35" s="253" t="n"/>
      <c r="G35" s="253" t="n"/>
      <c r="H35" s="253" t="n"/>
      <c r="I35" s="253" t="n"/>
      <c r="J35" s="253" t="n"/>
      <c r="K35" s="253" t="n"/>
      <c r="L35" s="253" t="n"/>
      <c r="M35" s="253" t="n"/>
      <c r="N35" s="253" t="n"/>
      <c r="O35" s="253" t="n"/>
      <c r="P35" s="253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>
      <c r="A36" s="253" t="n"/>
      <c r="B36" s="253" t="n"/>
      <c r="C36" s="253" t="n"/>
      <c r="D36" s="253" t="n"/>
      <c r="E36" s="253" t="n"/>
      <c r="F36" s="253" t="n"/>
      <c r="G36" s="253" t="n"/>
      <c r="H36" s="253" t="n"/>
      <c r="I36" s="253" t="n"/>
      <c r="J36" s="253" t="n"/>
      <c r="K36" s="253" t="n"/>
      <c r="L36" s="253" t="n"/>
      <c r="M36" s="253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>
      <c r="A37" s="253" t="n"/>
      <c r="B37" s="253" t="n"/>
      <c r="C37" s="253" t="n"/>
      <c r="D37" s="253" t="n"/>
      <c r="E37" s="253" t="n"/>
      <c r="F37" s="253" t="n"/>
      <c r="G37" s="253" t="n"/>
      <c r="H37" s="253" t="n"/>
      <c r="I37" s="253" t="n"/>
      <c r="J37" s="253" t="n"/>
      <c r="K37" s="253" t="n"/>
      <c r="L37" s="253" t="n"/>
      <c r="M37" s="253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>
      <c r="A38" s="253" t="n"/>
      <c r="B38" s="253" t="n"/>
      <c r="C38" s="253" t="n"/>
      <c r="D38" s="253" t="n"/>
      <c r="E38" s="253" t="n"/>
      <c r="F38" s="253" t="n"/>
      <c r="G38" s="253" t="n"/>
      <c r="H38" s="253" t="n"/>
      <c r="I38" s="253" t="n"/>
      <c r="J38" s="253" t="n"/>
      <c r="K38" s="253" t="n"/>
      <c r="L38" s="253" t="n"/>
      <c r="M38" s="253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>
      <c r="A39" s="253" t="n"/>
      <c r="B39" s="253" t="n"/>
      <c r="C39" s="253" t="n"/>
      <c r="D39" s="253" t="n"/>
      <c r="E39" s="253" t="n"/>
      <c r="F39" s="253" t="n"/>
      <c r="G39" s="253" t="n"/>
      <c r="H39" s="253" t="n"/>
      <c r="I39" s="253" t="n"/>
      <c r="J39" s="253" t="n"/>
      <c r="K39" s="253" t="n"/>
      <c r="L39" s="253" t="n"/>
      <c r="M39" s="253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>
      <c r="A40" s="253" t="n"/>
      <c r="B40" s="253" t="n"/>
      <c r="C40" s="253" t="n"/>
      <c r="D40" s="253" t="n"/>
      <c r="E40" s="253" t="n"/>
      <c r="F40" s="253" t="n"/>
      <c r="G40" s="253" t="n"/>
      <c r="H40" s="253" t="n"/>
      <c r="I40" s="253" t="n"/>
      <c r="J40" s="253" t="n"/>
      <c r="K40" s="253" t="n"/>
      <c r="L40" s="253" t="n"/>
      <c r="M40" s="253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>
      <c r="A41" s="253" t="n"/>
      <c r="B41" s="253" t="n"/>
      <c r="C41" s="253" t="n"/>
      <c r="D41" s="253" t="n"/>
      <c r="E41" s="253" t="n"/>
      <c r="F41" s="253" t="n"/>
      <c r="G41" s="253" t="n"/>
      <c r="H41" s="253" t="n"/>
      <c r="I41" s="253" t="n"/>
      <c r="J41" s="253" t="n"/>
      <c r="K41" s="253" t="n"/>
      <c r="L41" s="253" t="n"/>
      <c r="M41" s="253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>
      <c r="A42" s="253" t="n"/>
      <c r="B42" s="253" t="n"/>
      <c r="C42" s="253" t="n"/>
      <c r="D42" s="253" t="n"/>
      <c r="E42" s="253" t="n"/>
      <c r="F42" s="253" t="n"/>
      <c r="G42" s="253" t="n"/>
      <c r="H42" s="253" t="n"/>
      <c r="I42" s="253" t="n"/>
      <c r="J42" s="253" t="n"/>
      <c r="K42" s="253" t="n"/>
      <c r="L42" s="253" t="n"/>
      <c r="M42" s="253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>
      <c r="A43" s="253" t="n"/>
      <c r="B43" s="253" t="n"/>
      <c r="C43" s="253" t="n"/>
      <c r="D43" s="253" t="n"/>
      <c r="E43" s="253" t="n"/>
      <c r="F43" s="253" t="n"/>
      <c r="G43" s="253" t="n"/>
      <c r="H43" s="253" t="n"/>
      <c r="I43" s="253" t="n"/>
      <c r="J43" s="253" t="n"/>
      <c r="K43" s="253" t="n"/>
      <c r="L43" s="253" t="n"/>
      <c r="M43" s="253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>
      <c r="A44" s="253" t="n"/>
      <c r="B44" s="253" t="n"/>
      <c r="C44" s="253" t="n"/>
      <c r="D44" s="253" t="n"/>
      <c r="E44" s="253" t="n"/>
      <c r="F44" s="253" t="n"/>
      <c r="G44" s="253" t="n"/>
      <c r="H44" s="253" t="n"/>
      <c r="I44" s="253" t="n"/>
      <c r="J44" s="253" t="n"/>
      <c r="K44" s="253" t="n"/>
      <c r="L44" s="253" t="n"/>
      <c r="M44" s="253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>
      <c r="A45" s="253" t="n"/>
      <c r="B45" s="253" t="n"/>
      <c r="C45" s="253" t="n"/>
      <c r="D45" s="253" t="n"/>
      <c r="E45" s="253" t="n"/>
      <c r="F45" s="253" t="n"/>
      <c r="G45" s="253" t="n"/>
      <c r="H45" s="253" t="n"/>
      <c r="I45" s="253" t="n"/>
      <c r="J45" s="253" t="n"/>
      <c r="K45" s="253" t="n"/>
      <c r="L45" s="253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>
      <c r="A46" s="253" t="n"/>
      <c r="B46" s="253" t="n"/>
      <c r="C46" s="253" t="n"/>
      <c r="D46" s="253" t="n"/>
      <c r="E46" s="253" t="n"/>
      <c r="F46" s="253" t="n"/>
      <c r="G46" s="253" t="n"/>
      <c r="H46" s="253" t="n"/>
      <c r="I46" s="253" t="n"/>
      <c r="J46" s="253" t="n"/>
      <c r="K46" s="253" t="n"/>
      <c r="L46" s="253" t="n"/>
      <c r="M46" s="253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>
      <c r="A47" s="253" t="n"/>
      <c r="B47" s="253" t="n"/>
      <c r="C47" s="253" t="n"/>
      <c r="D47" s="253" t="n"/>
      <c r="E47" s="253" t="n"/>
      <c r="F47" s="253" t="n"/>
      <c r="G47" s="253" t="n"/>
      <c r="H47" s="253" t="n"/>
      <c r="I47" s="253" t="n"/>
      <c r="J47" s="253" t="n"/>
      <c r="K47" s="253" t="n"/>
      <c r="L47" s="253" t="n"/>
      <c r="M47" s="253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>
      <c r="A48" s="253" t="n"/>
      <c r="B48" s="253" t="n"/>
      <c r="C48" s="253" t="n"/>
      <c r="D48" s="253" t="n"/>
      <c r="E48" s="253" t="n"/>
      <c r="F48" s="253" t="n"/>
      <c r="G48" s="253" t="n"/>
      <c r="H48" s="253" t="n"/>
      <c r="I48" s="253" t="n"/>
      <c r="J48" s="253" t="n"/>
      <c r="K48" s="253" t="n"/>
      <c r="L48" s="253" t="n"/>
      <c r="M48" s="253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>
      <c r="A49" s="253" t="n"/>
      <c r="B49" s="253" t="n"/>
      <c r="C49" s="253" t="n"/>
      <c r="D49" s="253" t="n"/>
      <c r="E49" s="253" t="n"/>
      <c r="F49" s="253" t="n"/>
      <c r="G49" s="253" t="n"/>
      <c r="H49" s="253" t="n"/>
      <c r="I49" s="253" t="n"/>
      <c r="J49" s="253" t="n"/>
      <c r="K49" s="253" t="n"/>
      <c r="L49" s="253" t="n"/>
      <c r="M49" s="253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>
      <c r="A50" s="253" t="n"/>
      <c r="B50" s="253" t="n"/>
      <c r="C50" s="253" t="n"/>
      <c r="D50" s="253" t="n"/>
      <c r="E50" s="253" t="n"/>
      <c r="F50" s="253" t="n"/>
      <c r="G50" s="253" t="n"/>
      <c r="H50" s="253" t="n"/>
      <c r="I50" s="253" t="n"/>
      <c r="J50" s="253" t="n"/>
      <c r="K50" s="253" t="n"/>
      <c r="L50" s="253" t="n"/>
      <c r="M50" s="253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>
      <c r="A51" s="253" t="n"/>
      <c r="B51" s="253" t="n"/>
      <c r="C51" s="253" t="n"/>
      <c r="D51" s="253" t="n"/>
      <c r="E51" s="253" t="n"/>
      <c r="F51" s="253" t="n"/>
      <c r="G51" s="253" t="n"/>
      <c r="H51" s="253" t="n"/>
      <c r="I51" s="253" t="n"/>
      <c r="J51" s="253" t="n"/>
      <c r="K51" s="253" t="n"/>
      <c r="L51" s="253" t="n"/>
      <c r="M51" s="253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>
      <c r="A52" s="253" t="n"/>
      <c r="B52" s="253" t="n"/>
      <c r="C52" s="253" t="n"/>
      <c r="D52" s="253" t="n"/>
      <c r="E52" s="253" t="n"/>
      <c r="F52" s="253" t="n"/>
      <c r="G52" s="253" t="n"/>
      <c r="H52" s="253" t="n"/>
      <c r="I52" s="253" t="n"/>
      <c r="J52" s="253" t="n"/>
      <c r="K52" s="253" t="n"/>
      <c r="L52" s="253" t="n"/>
      <c r="M52" s="253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>
      <c r="A53" s="253" t="n"/>
      <c r="B53" s="253" t="n"/>
      <c r="C53" s="253" t="n"/>
      <c r="D53" s="253" t="n"/>
      <c r="E53" s="253" t="n"/>
      <c r="F53" s="253" t="n"/>
      <c r="G53" s="253" t="n"/>
      <c r="H53" s="253" t="n"/>
      <c r="I53" s="253" t="n"/>
      <c r="J53" s="253" t="n"/>
      <c r="K53" s="253" t="n"/>
      <c r="L53" s="253" t="n"/>
      <c r="M53" s="253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>
      <c r="A54" s="253" t="n"/>
      <c r="B54" s="253" t="n"/>
      <c r="C54" s="253" t="n"/>
      <c r="D54" s="253" t="n"/>
      <c r="E54" s="253" t="n"/>
      <c r="F54" s="253" t="n"/>
      <c r="G54" s="253" t="n"/>
      <c r="H54" s="253" t="n"/>
      <c r="I54" s="253" t="n"/>
      <c r="J54" s="253" t="n"/>
      <c r="K54" s="253" t="n"/>
      <c r="L54" s="253" t="n"/>
      <c r="M54" s="253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>
      <c r="A55" s="253" t="n"/>
      <c r="B55" s="253" t="n"/>
      <c r="C55" s="253" t="n"/>
      <c r="D55" s="253" t="n"/>
      <c r="E55" s="253" t="n"/>
      <c r="F55" s="253" t="n"/>
      <c r="G55" s="253" t="n"/>
      <c r="H55" s="253" t="n"/>
      <c r="I55" s="253" t="n"/>
      <c r="J55" s="253" t="n"/>
      <c r="K55" s="253" t="n"/>
      <c r="L55" s="253" t="n"/>
      <c r="M55" s="253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>
      <c r="A56" s="253" t="n"/>
      <c r="B56" s="253" t="n"/>
      <c r="C56" s="253" t="n"/>
      <c r="D56" s="253" t="n"/>
      <c r="E56" s="253" t="n"/>
      <c r="F56" s="253" t="n"/>
      <c r="G56" s="253" t="n"/>
      <c r="H56" s="253" t="n"/>
      <c r="I56" s="253" t="n"/>
      <c r="J56" s="253" t="n"/>
      <c r="K56" s="253" t="n"/>
      <c r="L56" s="253" t="n"/>
      <c r="M56" s="253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>
      <c r="A57" s="253" t="n"/>
      <c r="B57" s="253" t="n"/>
      <c r="C57" s="253" t="n"/>
      <c r="D57" s="253" t="n"/>
      <c r="E57" s="253" t="n"/>
      <c r="F57" s="253" t="n"/>
      <c r="G57" s="253" t="n"/>
      <c r="H57" s="253" t="n"/>
      <c r="I57" s="253" t="n"/>
      <c r="J57" s="253" t="n"/>
      <c r="K57" s="253" t="n"/>
      <c r="L57" s="253" t="n"/>
      <c r="M57" s="253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>
      <c r="A58" s="253" t="n"/>
      <c r="B58" s="253" t="n"/>
      <c r="C58" s="253" t="n"/>
      <c r="D58" s="253" t="n"/>
      <c r="E58" s="253" t="n"/>
      <c r="F58" s="253" t="n"/>
      <c r="G58" s="253" t="n"/>
      <c r="H58" s="253" t="n"/>
      <c r="I58" s="253" t="n"/>
      <c r="J58" s="253" t="n"/>
      <c r="K58" s="253" t="n"/>
      <c r="L58" s="253" t="n"/>
      <c r="M58" s="253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>
      <c r="A59" s="253" t="n"/>
      <c r="B59" s="253" t="n"/>
      <c r="C59" s="253" t="n"/>
      <c r="D59" s="253" t="n"/>
      <c r="E59" s="253" t="n"/>
      <c r="F59" s="253" t="n"/>
      <c r="G59" s="253" t="n"/>
      <c r="H59" s="253" t="n"/>
      <c r="I59" s="253" t="n"/>
      <c r="J59" s="253" t="n"/>
      <c r="K59" s="253" t="n"/>
      <c r="L59" s="253" t="n"/>
      <c r="M59" s="253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>
      <c r="A60" s="253" t="n"/>
      <c r="B60" s="253" t="n"/>
      <c r="C60" s="253" t="n"/>
      <c r="D60" s="253" t="n"/>
      <c r="E60" s="253" t="n"/>
      <c r="F60" s="253" t="n"/>
      <c r="G60" s="253" t="n"/>
      <c r="H60" s="253" t="n"/>
      <c r="I60" s="253" t="n"/>
      <c r="J60" s="253" t="n"/>
      <c r="K60" s="253" t="n"/>
      <c r="L60" s="253" t="n"/>
      <c r="M60" s="253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>
      <c r="A61" s="253" t="n"/>
      <c r="B61" s="253" t="n"/>
      <c r="C61" s="253" t="n"/>
      <c r="D61" s="253" t="n"/>
      <c r="E61" s="253" t="n"/>
      <c r="F61" s="253" t="n"/>
      <c r="G61" s="253" t="n"/>
      <c r="H61" s="253" t="n"/>
      <c r="I61" s="253" t="n"/>
      <c r="J61" s="253" t="n"/>
      <c r="K61" s="253" t="n"/>
      <c r="L61" s="253" t="n"/>
      <c r="M61" s="253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>
      <c r="A62" s="253" t="n"/>
      <c r="B62" s="253" t="n"/>
      <c r="C62" s="253" t="n"/>
      <c r="D62" s="253" t="n"/>
      <c r="E62" s="253" t="n"/>
      <c r="F62" s="253" t="n"/>
      <c r="G62" s="253" t="n"/>
      <c r="H62" s="253" t="n"/>
      <c r="I62" s="253" t="n"/>
      <c r="J62" s="253" t="n"/>
      <c r="K62" s="253" t="n"/>
      <c r="L62" s="253" t="n"/>
      <c r="M62" s="253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>
      <c r="A63" s="253" t="n"/>
      <c r="B63" s="253" t="n"/>
      <c r="C63" s="253" t="n"/>
      <c r="D63" s="253" t="n"/>
      <c r="E63" s="253" t="n"/>
      <c r="F63" s="253" t="n"/>
      <c r="G63" s="253" t="n"/>
      <c r="H63" s="253" t="n"/>
      <c r="I63" s="253" t="n"/>
      <c r="J63" s="253" t="n"/>
      <c r="K63" s="253" t="n"/>
      <c r="L63" s="253" t="n"/>
      <c r="M63" s="253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>
      <c r="A64" s="253" t="n"/>
      <c r="B64" s="253" t="n"/>
      <c r="C64" s="253" t="n"/>
      <c r="D64" s="253" t="n"/>
      <c r="E64" s="253" t="n"/>
      <c r="F64" s="253" t="n"/>
      <c r="G64" s="253" t="n"/>
      <c r="H64" s="253" t="n"/>
      <c r="I64" s="253" t="n"/>
      <c r="J64" s="253" t="n"/>
      <c r="K64" s="253" t="n"/>
      <c r="L64" s="253" t="n"/>
      <c r="M64" s="253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>
      <c r="A65" s="253" t="n"/>
      <c r="B65" s="253" t="n"/>
      <c r="C65" s="253" t="n"/>
      <c r="D65" s="253" t="n"/>
      <c r="E65" s="253" t="n"/>
      <c r="F65" s="253" t="n"/>
      <c r="G65" s="253" t="n"/>
      <c r="H65" s="253" t="n"/>
      <c r="I65" s="253" t="n"/>
      <c r="J65" s="253" t="n"/>
      <c r="K65" s="253" t="n"/>
      <c r="L65" s="253" t="n"/>
      <c r="M65" s="253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>
      <c r="A66" s="253" t="n"/>
      <c r="B66" s="253" t="n"/>
      <c r="C66" s="253" t="n"/>
      <c r="D66" s="253" t="n"/>
      <c r="E66" s="253" t="n"/>
      <c r="F66" s="253" t="n"/>
      <c r="G66" s="253" t="n"/>
      <c r="H66" s="253" t="n"/>
      <c r="I66" s="253" t="n"/>
      <c r="J66" s="253" t="n"/>
      <c r="K66" s="253" t="n"/>
      <c r="L66" s="253" t="n"/>
      <c r="M66" s="253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>
      <c r="A67" s="253" t="n"/>
      <c r="B67" s="253" t="n"/>
      <c r="C67" s="253" t="n"/>
      <c r="D67" s="253" t="n"/>
      <c r="E67" s="253" t="n"/>
      <c r="F67" s="253" t="n"/>
      <c r="G67" s="253" t="n"/>
      <c r="H67" s="253" t="n"/>
      <c r="I67" s="253" t="n"/>
      <c r="J67" s="253" t="n"/>
      <c r="K67" s="253" t="n"/>
      <c r="L67" s="253" t="n"/>
      <c r="M67" s="253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>
      <c r="A68" s="253" t="n"/>
      <c r="B68" s="253" t="n"/>
      <c r="C68" s="253" t="n"/>
      <c r="D68" s="253" t="n"/>
      <c r="E68" s="253" t="n"/>
      <c r="F68" s="253" t="n"/>
      <c r="G68" s="253" t="n"/>
      <c r="H68" s="253" t="n"/>
      <c r="I68" s="253" t="n"/>
      <c r="J68" s="253" t="n"/>
      <c r="K68" s="253" t="n"/>
      <c r="L68" s="253" t="n"/>
      <c r="M68" s="253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>
      <c r="A69" s="253" t="n"/>
      <c r="B69" s="253" t="n"/>
      <c r="C69" s="253" t="n"/>
      <c r="D69" s="253" t="n"/>
      <c r="E69" s="253" t="n"/>
      <c r="F69" s="253" t="n"/>
      <c r="G69" s="253" t="n"/>
      <c r="H69" s="253" t="n"/>
      <c r="I69" s="253" t="n"/>
      <c r="J69" s="253" t="n"/>
      <c r="K69" s="253" t="n"/>
      <c r="L69" s="253" t="n"/>
      <c r="M69" s="253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>
      <c r="A70" s="253" t="n"/>
      <c r="B70" s="253" t="n"/>
      <c r="C70" s="253" t="n"/>
      <c r="D70" s="253" t="n"/>
      <c r="E70" s="253" t="n"/>
      <c r="F70" s="253" t="n"/>
      <c r="G70" s="253" t="n"/>
      <c r="H70" s="253" t="n"/>
      <c r="I70" s="253" t="n"/>
      <c r="J70" s="253" t="n"/>
      <c r="K70" s="253" t="n"/>
      <c r="L70" s="253" t="n"/>
      <c r="M70" s="253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>
      <c r="A71" s="253" t="n"/>
      <c r="B71" s="253" t="n"/>
      <c r="C71" s="253" t="n"/>
      <c r="D71" s="253" t="n"/>
      <c r="E71" s="253" t="n"/>
      <c r="F71" s="253" t="n"/>
      <c r="G71" s="253" t="n"/>
      <c r="H71" s="253" t="n"/>
      <c r="I71" s="253" t="n"/>
      <c r="J71" s="253" t="n"/>
      <c r="K71" s="253" t="n"/>
      <c r="L71" s="253" t="n"/>
      <c r="M71" s="253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>
      <c r="A72" s="253" t="n"/>
      <c r="B72" s="253" t="n"/>
      <c r="C72" s="253" t="n"/>
      <c r="D72" s="253" t="n"/>
      <c r="E72" s="253" t="n"/>
      <c r="F72" s="253" t="n"/>
      <c r="G72" s="253" t="n"/>
      <c r="H72" s="253" t="n"/>
      <c r="I72" s="253" t="n"/>
      <c r="J72" s="253" t="n"/>
      <c r="K72" s="253" t="n"/>
      <c r="L72" s="253" t="n"/>
      <c r="M72" s="253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>
      <c r="A73" s="253" t="n"/>
      <c r="B73" s="253" t="n"/>
      <c r="C73" s="253" t="n"/>
      <c r="D73" s="253" t="n"/>
      <c r="E73" s="253" t="n"/>
      <c r="F73" s="253" t="n"/>
      <c r="G73" s="253" t="n"/>
      <c r="H73" s="253" t="n"/>
      <c r="I73" s="253" t="n"/>
      <c r="J73" s="253" t="n"/>
      <c r="K73" s="253" t="n"/>
      <c r="L73" s="253" t="n"/>
      <c r="M73" s="253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>
      <c r="A74" s="253" t="n"/>
      <c r="B74" s="253" t="n"/>
      <c r="C74" s="253" t="n"/>
      <c r="D74" s="253" t="n"/>
      <c r="E74" s="253" t="n"/>
      <c r="F74" s="253" t="n"/>
      <c r="G74" s="253" t="n"/>
      <c r="H74" s="253" t="n"/>
      <c r="I74" s="253" t="n"/>
      <c r="J74" s="253" t="n"/>
      <c r="K74" s="253" t="n"/>
      <c r="L74" s="253" t="n"/>
      <c r="M74" s="253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>
      <c r="A75" s="253" t="n"/>
      <c r="B75" s="253" t="n"/>
      <c r="C75" s="253" t="n"/>
      <c r="D75" s="253" t="n"/>
      <c r="E75" s="253" t="n"/>
      <c r="F75" s="253" t="n"/>
      <c r="G75" s="253" t="n"/>
      <c r="H75" s="253" t="n"/>
      <c r="I75" s="253" t="n"/>
      <c r="J75" s="253" t="n"/>
      <c r="K75" s="253" t="n"/>
      <c r="L75" s="253" t="n"/>
      <c r="M75" s="253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>
      <c r="A76" s="253" t="n"/>
      <c r="B76" s="253" t="n"/>
      <c r="C76" s="253" t="n"/>
      <c r="D76" s="253" t="n"/>
      <c r="E76" s="253" t="n"/>
      <c r="F76" s="253" t="n"/>
      <c r="G76" s="253" t="n"/>
      <c r="H76" s="253" t="n"/>
      <c r="I76" s="253" t="n"/>
      <c r="J76" s="253" t="n"/>
      <c r="K76" s="253" t="n"/>
      <c r="L76" s="253" t="n"/>
      <c r="M76" s="253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>
      <c r="A77" s="253" t="n"/>
      <c r="B77" s="253" t="n"/>
      <c r="C77" s="253" t="n"/>
      <c r="D77" s="253" t="n"/>
      <c r="E77" s="253" t="n"/>
      <c r="F77" s="253" t="n"/>
      <c r="G77" s="253" t="n"/>
      <c r="H77" s="253" t="n"/>
      <c r="I77" s="253" t="n"/>
      <c r="J77" s="253" t="n"/>
      <c r="K77" s="253" t="n"/>
      <c r="L77" s="253" t="n"/>
      <c r="M77" s="253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>
      <c r="A78" s="253" t="n"/>
      <c r="B78" s="253" t="n"/>
      <c r="C78" s="253" t="n"/>
      <c r="D78" s="253" t="n"/>
      <c r="E78" s="253" t="n"/>
      <c r="F78" s="253" t="n"/>
      <c r="G78" s="253" t="n"/>
      <c r="H78" s="253" t="n"/>
      <c r="I78" s="253" t="n"/>
      <c r="J78" s="253" t="n"/>
      <c r="K78" s="253" t="n"/>
      <c r="L78" s="253" t="n"/>
      <c r="M78" s="253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>
      <c r="A79" s="253" t="n"/>
      <c r="B79" s="253" t="n"/>
      <c r="C79" s="253" t="n"/>
      <c r="D79" s="253" t="n"/>
      <c r="E79" s="253" t="n"/>
      <c r="F79" s="253" t="n"/>
      <c r="G79" s="253" t="n"/>
      <c r="H79" s="253" t="n"/>
      <c r="I79" s="253" t="n"/>
      <c r="J79" s="253" t="n"/>
      <c r="K79" s="253" t="n"/>
      <c r="L79" s="253" t="n"/>
      <c r="M79" s="253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>
      <c r="A80" s="253" t="n"/>
      <c r="B80" s="253" t="n"/>
      <c r="C80" s="253" t="n"/>
      <c r="D80" s="253" t="n"/>
      <c r="E80" s="253" t="n"/>
      <c r="F80" s="253" t="n"/>
      <c r="G80" s="253" t="n"/>
      <c r="H80" s="253" t="n"/>
      <c r="I80" s="253" t="n"/>
      <c r="J80" s="253" t="n"/>
      <c r="K80" s="253" t="n"/>
      <c r="L80" s="253" t="n"/>
      <c r="M80" s="253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>
      <c r="A81" s="253" t="n"/>
      <c r="B81" s="253" t="n"/>
      <c r="C81" s="253" t="n"/>
      <c r="D81" s="253" t="n"/>
      <c r="E81" s="253" t="n"/>
      <c r="F81" s="253" t="n"/>
      <c r="G81" s="253" t="n"/>
      <c r="H81" s="253" t="n"/>
      <c r="I81" s="253" t="n"/>
      <c r="J81" s="253" t="n"/>
      <c r="K81" s="253" t="n"/>
      <c r="L81" s="253" t="n"/>
      <c r="M81" s="253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>
      <c r="A82" s="253" t="n"/>
      <c r="B82" s="253" t="n"/>
      <c r="C82" s="253" t="n"/>
      <c r="D82" s="253" t="n"/>
      <c r="E82" s="253" t="n"/>
      <c r="F82" s="253" t="n"/>
      <c r="G82" s="253" t="n"/>
      <c r="H82" s="253" t="n"/>
      <c r="I82" s="253" t="n"/>
      <c r="J82" s="253" t="n"/>
      <c r="K82" s="253" t="n"/>
      <c r="L82" s="253" t="n"/>
      <c r="M82" s="253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>
      <c r="A83" s="253" t="n"/>
      <c r="B83" s="253" t="n"/>
      <c r="C83" s="253" t="n"/>
      <c r="D83" s="253" t="n"/>
      <c r="E83" s="253" t="n"/>
      <c r="F83" s="253" t="n"/>
      <c r="G83" s="253" t="n"/>
      <c r="H83" s="253" t="n"/>
      <c r="I83" s="253" t="n"/>
      <c r="J83" s="253" t="n"/>
      <c r="K83" s="253" t="n"/>
      <c r="L83" s="253" t="n"/>
      <c r="M83" s="253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>
      <c r="A84" s="253" t="n"/>
      <c r="B84" s="253" t="n"/>
      <c r="C84" s="253" t="n"/>
      <c r="D84" s="253" t="n"/>
      <c r="E84" s="253" t="n"/>
      <c r="F84" s="253" t="n"/>
      <c r="G84" s="253" t="n"/>
      <c r="H84" s="253" t="n"/>
      <c r="I84" s="253" t="n"/>
      <c r="J84" s="253" t="n"/>
      <c r="K84" s="253" t="n"/>
      <c r="L84" s="253" t="n"/>
      <c r="M84" s="253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>
      <c r="A85" s="253" t="n"/>
      <c r="B85" s="253" t="n"/>
      <c r="C85" s="253" t="n"/>
      <c r="D85" s="253" t="n"/>
      <c r="E85" s="253" t="n"/>
      <c r="F85" s="253" t="n"/>
      <c r="G85" s="253" t="n"/>
      <c r="H85" s="253" t="n"/>
      <c r="I85" s="253" t="n"/>
      <c r="J85" s="253" t="n"/>
      <c r="K85" s="253" t="n"/>
      <c r="L85" s="253" t="n"/>
      <c r="M85" s="253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>
      <c r="A86" s="253" t="n"/>
      <c r="B86" s="253" t="n"/>
      <c r="C86" s="253" t="n"/>
      <c r="D86" s="253" t="n"/>
      <c r="E86" s="253" t="n"/>
      <c r="F86" s="253" t="n"/>
      <c r="G86" s="253" t="n"/>
      <c r="H86" s="253" t="n"/>
      <c r="I86" s="253" t="n"/>
      <c r="J86" s="253" t="n"/>
      <c r="K86" s="253" t="n"/>
      <c r="L86" s="253" t="n"/>
      <c r="M86" s="253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>
      <c r="A87" s="253" t="n"/>
      <c r="B87" s="253" t="n"/>
      <c r="C87" s="253" t="n"/>
      <c r="D87" s="253" t="n"/>
      <c r="E87" s="253" t="n"/>
      <c r="F87" s="253" t="n"/>
      <c r="G87" s="253" t="n"/>
      <c r="H87" s="253" t="n"/>
      <c r="I87" s="253" t="n"/>
      <c r="J87" s="253" t="n"/>
      <c r="K87" s="253" t="n"/>
      <c r="L87" s="253" t="n"/>
      <c r="M87" s="253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>
      <c r="A88" s="253" t="n"/>
      <c r="B88" s="253" t="n"/>
      <c r="C88" s="253" t="n"/>
      <c r="D88" s="253" t="n"/>
      <c r="E88" s="253" t="n"/>
      <c r="F88" s="253" t="n"/>
      <c r="G88" s="253" t="n"/>
      <c r="H88" s="253" t="n"/>
      <c r="I88" s="253" t="n"/>
      <c r="J88" s="253" t="n"/>
      <c r="K88" s="253" t="n"/>
      <c r="L88" s="253" t="n"/>
      <c r="M88" s="253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>
      <c r="A89" s="253" t="n"/>
      <c r="B89" s="253" t="n"/>
      <c r="C89" s="253" t="n"/>
      <c r="D89" s="253" t="n"/>
      <c r="E89" s="253" t="n"/>
      <c r="F89" s="253" t="n"/>
      <c r="G89" s="253" t="n"/>
      <c r="H89" s="253" t="n"/>
      <c r="I89" s="253" t="n"/>
      <c r="J89" s="253" t="n"/>
      <c r="K89" s="253" t="n"/>
      <c r="L89" s="253" t="n"/>
      <c r="M89" s="253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>
      <c r="A90" s="253" t="n"/>
      <c r="B90" s="253" t="n"/>
      <c r="C90" s="253" t="n"/>
      <c r="D90" s="253" t="n"/>
      <c r="E90" s="253" t="n"/>
      <c r="F90" s="253" t="n"/>
      <c r="G90" s="253" t="n"/>
      <c r="H90" s="253" t="n"/>
      <c r="I90" s="253" t="n"/>
      <c r="J90" s="253" t="n"/>
      <c r="K90" s="253" t="n"/>
      <c r="L90" s="253" t="n"/>
      <c r="M90" s="253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>
      <c r="A91" s="253" t="n"/>
      <c r="B91" s="253" t="n"/>
      <c r="C91" s="253" t="n"/>
      <c r="D91" s="253" t="n"/>
      <c r="E91" s="253" t="n"/>
      <c r="F91" s="253" t="n"/>
      <c r="G91" s="253" t="n"/>
      <c r="H91" s="253" t="n"/>
      <c r="I91" s="253" t="n"/>
      <c r="J91" s="253" t="n"/>
      <c r="K91" s="253" t="n"/>
      <c r="L91" s="253" t="n"/>
      <c r="M91" s="253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>
      <c r="A92" s="253" t="n"/>
      <c r="B92" s="253" t="n"/>
      <c r="C92" s="253" t="n"/>
      <c r="D92" s="253" t="n"/>
      <c r="E92" s="253" t="n"/>
      <c r="F92" s="253" t="n"/>
      <c r="G92" s="253" t="n"/>
      <c r="H92" s="253" t="n"/>
      <c r="I92" s="253" t="n"/>
      <c r="J92" s="253" t="n"/>
      <c r="K92" s="253" t="n"/>
      <c r="L92" s="253" t="n"/>
      <c r="M92" s="253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>
      <c r="A93" s="253" t="n"/>
      <c r="B93" s="253" t="n"/>
      <c r="C93" s="253" t="n"/>
      <c r="D93" s="253" t="n"/>
      <c r="E93" s="253" t="n"/>
      <c r="F93" s="253" t="n"/>
      <c r="G93" s="253" t="n"/>
      <c r="H93" s="253" t="n"/>
      <c r="I93" s="253" t="n"/>
      <c r="J93" s="253" t="n"/>
      <c r="K93" s="253" t="n"/>
      <c r="L93" s="253" t="n"/>
      <c r="M93" s="253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>
      <c r="A94" s="253" t="n"/>
      <c r="B94" s="253" t="n"/>
      <c r="C94" s="253" t="n"/>
      <c r="D94" s="253" t="n"/>
      <c r="E94" s="253" t="n"/>
      <c r="F94" s="253" t="n"/>
      <c r="G94" s="253" t="n"/>
      <c r="H94" s="253" t="n"/>
      <c r="I94" s="253" t="n"/>
      <c r="J94" s="253" t="n"/>
      <c r="K94" s="253" t="n"/>
      <c r="L94" s="253" t="n"/>
      <c r="M94" s="253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>
      <c r="A95" s="253" t="n"/>
      <c r="B95" s="253" t="n"/>
      <c r="C95" s="253" t="n"/>
      <c r="D95" s="253" t="n"/>
      <c r="E95" s="253" t="n"/>
      <c r="F95" s="253" t="n"/>
      <c r="G95" s="253" t="n"/>
      <c r="H95" s="253" t="n"/>
      <c r="I95" s="253" t="n"/>
      <c r="J95" s="253" t="n"/>
      <c r="K95" s="253" t="n"/>
      <c r="L95" s="253" t="n"/>
      <c r="M95" s="253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>
      <c r="A96" s="253" t="n"/>
      <c r="B96" s="253" t="n"/>
      <c r="C96" s="253" t="n"/>
      <c r="D96" s="253" t="n"/>
      <c r="E96" s="253" t="n"/>
      <c r="F96" s="253" t="n"/>
      <c r="G96" s="253" t="n"/>
      <c r="H96" s="253" t="n"/>
      <c r="I96" s="253" t="n"/>
      <c r="J96" s="253" t="n"/>
      <c r="K96" s="253" t="n"/>
      <c r="L96" s="253" t="n"/>
      <c r="M96" s="253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>
      <c r="A97" s="253" t="n"/>
      <c r="B97" s="253" t="n"/>
      <c r="C97" s="253" t="n"/>
      <c r="D97" s="253" t="n"/>
      <c r="E97" s="253" t="n"/>
      <c r="F97" s="253" t="n"/>
      <c r="G97" s="253" t="n"/>
      <c r="H97" s="253" t="n"/>
      <c r="I97" s="253" t="n"/>
      <c r="J97" s="253" t="n"/>
      <c r="K97" s="253" t="n"/>
      <c r="L97" s="253" t="n"/>
      <c r="M97" s="253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>
      <c r="A98" s="253" t="n"/>
      <c r="B98" s="253" t="n"/>
      <c r="C98" s="253" t="n"/>
      <c r="D98" s="253" t="n"/>
      <c r="E98" s="253" t="n"/>
      <c r="F98" s="253" t="n"/>
      <c r="G98" s="253" t="n"/>
      <c r="H98" s="253" t="n"/>
      <c r="I98" s="253" t="n"/>
      <c r="J98" s="253" t="n"/>
      <c r="K98" s="253" t="n"/>
      <c r="L98" s="253" t="n"/>
      <c r="M98" s="253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>
      <c r="A99" s="253" t="n"/>
      <c r="B99" s="253" t="n"/>
      <c r="C99" s="253" t="n"/>
      <c r="D99" s="253" t="n"/>
      <c r="E99" s="253" t="n"/>
      <c r="F99" s="253" t="n"/>
      <c r="G99" s="253" t="n"/>
      <c r="H99" s="253" t="n"/>
      <c r="I99" s="253" t="n"/>
      <c r="J99" s="253" t="n"/>
      <c r="K99" s="253" t="n"/>
      <c r="L99" s="253" t="n"/>
      <c r="M99" s="253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>
      <c r="A100" s="253" t="n"/>
      <c r="B100" s="253" t="n"/>
      <c r="C100" s="253" t="n"/>
      <c r="D100" s="253" t="n"/>
      <c r="E100" s="253" t="n"/>
      <c r="F100" s="253" t="n"/>
      <c r="G100" s="253" t="n"/>
      <c r="H100" s="253" t="n"/>
      <c r="I100" s="253" t="n"/>
      <c r="J100" s="253" t="n"/>
      <c r="K100" s="253" t="n"/>
      <c r="L100" s="253" t="n"/>
      <c r="M100" s="253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>
      <c r="A101" s="253" t="n"/>
      <c r="B101" s="253" t="n"/>
      <c r="C101" s="253" t="n"/>
      <c r="D101" s="253" t="n"/>
      <c r="E101" s="253" t="n"/>
      <c r="F101" s="253" t="n"/>
      <c r="G101" s="253" t="n"/>
      <c r="H101" s="253" t="n"/>
      <c r="I101" s="253" t="n"/>
      <c r="J101" s="253" t="n"/>
      <c r="K101" s="253" t="n"/>
      <c r="L101" s="253" t="n"/>
      <c r="M101" s="253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>
      <c r="A102" s="253" t="n"/>
      <c r="B102" s="253" t="n"/>
      <c r="C102" s="253" t="n"/>
      <c r="D102" s="253" t="n"/>
      <c r="E102" s="253" t="n"/>
      <c r="F102" s="253" t="n"/>
      <c r="G102" s="253" t="n"/>
      <c r="H102" s="253" t="n"/>
      <c r="I102" s="253" t="n"/>
      <c r="J102" s="253" t="n"/>
      <c r="K102" s="253" t="n"/>
      <c r="L102" s="253" t="n"/>
      <c r="M102" s="253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>
      <c r="A103" s="253" t="n"/>
      <c r="B103" s="253" t="n"/>
      <c r="C103" s="253" t="n"/>
      <c r="D103" s="253" t="n"/>
      <c r="E103" s="253" t="n"/>
      <c r="F103" s="253" t="n"/>
      <c r="G103" s="253" t="n"/>
      <c r="H103" s="253" t="n"/>
      <c r="I103" s="253" t="n"/>
      <c r="J103" s="253" t="n"/>
      <c r="K103" s="253" t="n"/>
      <c r="L103" s="253" t="n"/>
      <c r="M103" s="253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>
      <c r="A104" s="253" t="n"/>
      <c r="B104" s="253" t="n"/>
      <c r="C104" s="253" t="n"/>
      <c r="D104" s="253" t="n"/>
      <c r="E104" s="253" t="n"/>
      <c r="F104" s="253" t="n"/>
      <c r="G104" s="253" t="n"/>
      <c r="H104" s="253" t="n"/>
      <c r="I104" s="253" t="n"/>
      <c r="J104" s="253" t="n"/>
      <c r="K104" s="253" t="n"/>
      <c r="L104" s="253" t="n"/>
      <c r="M104" s="253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>
      <c r="A105" s="253" t="n"/>
      <c r="B105" s="253" t="n"/>
      <c r="C105" s="253" t="n"/>
      <c r="D105" s="253" t="n"/>
      <c r="E105" s="253" t="n"/>
      <c r="F105" s="253" t="n"/>
      <c r="G105" s="253" t="n"/>
      <c r="H105" s="253" t="n"/>
      <c r="I105" s="253" t="n"/>
      <c r="J105" s="253" t="n"/>
      <c r="K105" s="253" t="n"/>
      <c r="L105" s="253" t="n"/>
      <c r="M105" s="253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3">
    <mergeCell ref="A2:E2"/>
    <mergeCell ref="A1:E1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8" customWidth="1" style="280" min="1" max="1"/>
    <col width="24" customWidth="1" style="280" min="2" max="2"/>
    <col width="12" customWidth="1" style="280" min="3" max="3"/>
    <col width="46" customWidth="1" style="280" min="4" max="4"/>
    <col width="34" customWidth="1" style="280" min="5" max="5"/>
    <col width="18" customWidth="1" style="280" min="7" max="7"/>
    <col width="24" customWidth="1" style="280" min="8" max="8"/>
    <col width="12" customWidth="1" style="280" min="9" max="9"/>
    <col width="14" customWidth="1" style="280" min="10" max="10"/>
    <col width="12" customWidth="1" style="280" min="11" max="11"/>
    <col width="12" customWidth="1" style="280" min="12" max="12"/>
    <col width="16" customWidth="1" style="280" min="13" max="13"/>
    <col width="12" customWidth="1" style="280" min="14" max="14"/>
    <col width="12" customWidth="1" style="280" min="15" max="15"/>
  </cols>
  <sheetData>
    <row r="1">
      <c r="A1" s="257" t="inlineStr">
        <is>
          <t>Settings: weights, scenarios, and risk thresholds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253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Use it as a unified model, or automatically apply different weights by business scenario.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253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9" t="inlineStr">
        <is>
          <t>Default Business Scenario</t>
        </is>
      </c>
      <c r="B3" s="284" t="n"/>
      <c r="C3" s="256" t="inlineStr">
        <is>
          <t>General</t>
        </is>
      </c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>
      <c r="A4" s="253" t="n"/>
      <c r="B4" s="253" t="n"/>
      <c r="C4" s="253" t="n"/>
      <c r="D4" s="253" t="n"/>
      <c r="E4" s="253" t="n"/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>
      <c r="A5" s="253" t="n"/>
      <c r="B5" s="253" t="n"/>
      <c r="C5" s="253" t="n"/>
      <c r="D5" s="253" t="n"/>
      <c r="E5" s="253" t="n"/>
      <c r="F5" s="253" t="n"/>
      <c r="G5" s="253" t="n"/>
      <c r="H5" s="253" t="n"/>
      <c r="I5" s="253" t="n"/>
      <c r="J5" s="253" t="n"/>
      <c r="K5" s="253" t="n"/>
      <c r="L5" s="253" t="n"/>
      <c r="M5" s="253" t="n"/>
      <c r="N5" s="253" t="n"/>
      <c r="O5" s="25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28" customHeight="1" s="280">
      <c r="A6" s="31" t="inlineStr">
        <is>
          <t>No.</t>
        </is>
      </c>
      <c r="B6" s="32" t="inlineStr">
        <is>
          <t>Scoring Dimension</t>
        </is>
      </c>
      <c r="C6" s="32" t="inlineStr">
        <is>
          <t>Current Weight %</t>
        </is>
      </c>
      <c r="D6" s="32" t="inlineStr">
        <is>
          <t>Metric Notes</t>
        </is>
      </c>
      <c r="E6" s="33" t="inlineStr">
        <is>
          <t>Usage Notes</t>
        </is>
      </c>
      <c r="F6" s="253" t="n"/>
      <c r="G6" s="31" t="inlineStr">
        <is>
          <t>Tier</t>
        </is>
      </c>
      <c r="H6" s="32" t="inlineStr">
        <is>
          <t>Performance Floor</t>
        </is>
      </c>
      <c r="I6" s="32" t="inlineStr">
        <is>
          <t>Risk Ceiling</t>
        </is>
      </c>
      <c r="J6" s="32" t="inlineStr">
        <is>
          <t>Default Recommended Action</t>
        </is>
      </c>
      <c r="K6" s="33" t="inlineStr">
        <is>
          <t>Review Cycle (days)</t>
        </is>
      </c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28" customHeight="1" s="280">
      <c r="A7" s="66" t="n">
        <v>1</v>
      </c>
      <c r="B7" s="67" t="inlineStr">
        <is>
          <t>Quality and Consistency</t>
        </is>
      </c>
      <c r="C7" s="286">
        <f>INDEX($I$24:$O$33,MATCH(B7,$H$24:$H$33,0),MATCH($C$3,$I$23:$O$23,0))</f>
        <v/>
      </c>
      <c r="D7" s="67" t="inlineStr">
        <is>
          <t>Incoming or service quality, returns and rework, specification consistency, and complaint closure</t>
        </is>
      </c>
      <c r="E7" s="68" t="inlineStr">
        <is>
          <t>Can switch automatically by supplier business scenario; higher scores are better.</t>
        </is>
      </c>
      <c r="F7" s="253" t="n"/>
      <c r="G7" s="66" t="inlineStr">
        <is>
          <t>A Preferred / Low Risk</t>
        </is>
      </c>
      <c r="H7" s="67" t="n">
        <v>85</v>
      </c>
      <c r="I7" s="67" t="n">
        <v>30</v>
      </c>
      <c r="J7" s="67" t="inlineStr">
        <is>
          <t>Expand cooperation / strategic partnership</t>
        </is>
      </c>
      <c r="K7" s="68" t="n">
        <v>365</v>
      </c>
      <c r="L7" s="253" t="n"/>
      <c r="M7" s="253" t="n"/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28" customHeight="1" s="280">
      <c r="A8" s="69" t="n">
        <v>2</v>
      </c>
      <c r="B8" s="70" t="inlineStr">
        <is>
          <t>Delivery and Fulfillment</t>
        </is>
      </c>
      <c r="C8" s="287">
        <f>INDEX($I$24:$O$33,MATCH(B8,$H$24:$H$33,0),MATCH($C$3,$I$23:$O$23,0))</f>
        <v/>
      </c>
      <c r="D8" s="70" t="inlineStr">
        <is>
          <t>On-time delivery, delivery completeness, planning response, and contract fulfillment</t>
        </is>
      </c>
      <c r="E8" s="71" t="inlineStr">
        <is>
          <t>Can switch automatically by supplier business scenario; higher scores are better.</t>
        </is>
      </c>
      <c r="F8" s="253" t="n"/>
      <c r="G8" s="69" t="inlineStr">
        <is>
          <t>B Qualified / Medium-Low Risk</t>
        </is>
      </c>
      <c r="H8" s="70" t="n">
        <v>70</v>
      </c>
      <c r="I8" s="70" t="n">
        <v>50</v>
      </c>
      <c r="J8" s="70" t="inlineStr">
        <is>
          <t>Maintain cooperation / continuous monitoring</t>
        </is>
      </c>
      <c r="K8" s="71" t="n">
        <v>180</v>
      </c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28" customHeight="1" s="280">
      <c r="A9" s="69" t="n">
        <v>3</v>
      </c>
      <c r="B9" s="70" t="inlineStr">
        <is>
          <t>Cost and Commercials</t>
        </is>
      </c>
      <c r="C9" s="287">
        <f>INDEX($I$24:$O$33,MATCH(B9,$H$24:$H$33,0),MATCH($C$3,$I$23:$O$23,0))</f>
        <v/>
      </c>
      <c r="D9" s="70" t="inlineStr">
        <is>
          <t>Price competitiveness, payment terms, cost-down collaboration, and quote transparency</t>
        </is>
      </c>
      <c r="E9" s="71" t="inlineStr">
        <is>
          <t>Can switch automatically by supplier business scenario; higher scores are better.</t>
        </is>
      </c>
      <c r="F9" s="253" t="n"/>
      <c r="G9" s="69" t="inlineStr">
        <is>
          <t>C Watch / High Risk</t>
        </is>
      </c>
      <c r="H9" s="70" t="n">
        <v>55</v>
      </c>
      <c r="I9" s="70" t="n">
        <v>70</v>
      </c>
      <c r="J9" s="70" t="inlineStr">
        <is>
          <t>Time-bound remediation / enhanced approval</t>
        </is>
      </c>
      <c r="K9" s="71" t="n">
        <v>90</v>
      </c>
      <c r="L9" s="253" t="n"/>
      <c r="M9" s="253" t="n"/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28" customHeight="1" s="280">
      <c r="A10" s="69" t="n">
        <v>4</v>
      </c>
      <c r="B10" s="70" t="inlineStr">
        <is>
          <t>Service and Collaboration</t>
        </is>
      </c>
      <c r="C10" s="287">
        <f>INDEX($I$24:$O$33,MATCH(B10,$H$24:$H$33,0),MATCH($C$3,$I$23:$O$23,0))</f>
        <v/>
      </c>
      <c r="D10" s="70" t="inlineStr">
        <is>
          <t>Response speed, issue handling, collaboration experience, and customer support</t>
        </is>
      </c>
      <c r="E10" s="71" t="inlineStr">
        <is>
          <t>Can switch automatically by supplier business scenario; higher scores are better.</t>
        </is>
      </c>
      <c r="F10" s="253" t="n"/>
      <c r="G10" s="72" t="inlineStr">
        <is>
          <t>D Restricted / Critical Risk</t>
        </is>
      </c>
      <c r="H10" s="73" t="n">
        <v>0</v>
      </c>
      <c r="I10" s="73" t="n">
        <v>100</v>
      </c>
      <c r="J10" s="73" t="inlineStr">
        <is>
          <t>Pause onboarding / alternative plan</t>
        </is>
      </c>
      <c r="K10" s="74" t="n">
        <v>30</v>
      </c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28" customHeight="1" s="280">
      <c r="A11" s="69" t="n">
        <v>5</v>
      </c>
      <c r="B11" s="70" t="inlineStr">
        <is>
          <t>Capacity and Operating Stability</t>
        </is>
      </c>
      <c r="C11" s="287">
        <f>INDEX($I$24:$O$33,MATCH(B11,$H$24:$H$33,0),MATCH($C$3,$I$23:$O$23,0))</f>
        <v/>
      </c>
      <c r="D11" s="70" t="inlineStr">
        <is>
          <t>Capacity flexibility, backup lines, inventory resilience, and continuity planning</t>
        </is>
      </c>
      <c r="E11" s="71" t="inlineStr">
        <is>
          <t>Can switch automatically by supplier business scenario; higher scores are better.</t>
        </is>
      </c>
      <c r="F11" s="253" t="n"/>
      <c r="G11" s="253" t="n"/>
      <c r="H11" s="253" t="n"/>
      <c r="I11" s="253" t="n"/>
      <c r="J11" s="253" t="n"/>
      <c r="K11" s="253" t="n"/>
      <c r="L11" s="253" t="n"/>
      <c r="M11" s="253" t="n"/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28" customHeight="1" s="280">
      <c r="A12" s="69" t="n">
        <v>6</v>
      </c>
      <c r="B12" s="70" t="inlineStr">
        <is>
          <t>Financial Health</t>
        </is>
      </c>
      <c r="C12" s="287">
        <f>INDEX($I$24:$O$33,MATCH(B12,$H$24:$H$33,0),MATCH($C$3,$I$23:$O$23,0))</f>
        <v/>
      </c>
      <c r="D12" s="70" t="inlineStr">
        <is>
          <t>Cash flow, credit, debt service ability, and operating stability</t>
        </is>
      </c>
      <c r="E12" s="71" t="inlineStr">
        <is>
          <t>Can switch automatically by supplier business scenario; higher scores are better.</t>
        </is>
      </c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28" customHeight="1" s="280">
      <c r="A13" s="69" t="n">
        <v>7</v>
      </c>
      <c r="B13" s="70" t="inlineStr">
        <is>
          <t>Compliance / Legal / Sanctions</t>
        </is>
      </c>
      <c r="C13" s="287">
        <f>INDEX($I$24:$O$33,MATCH(B13,$H$24:$H$33,0),MATCH($C$3,$I$23:$O$23,0))</f>
        <v/>
      </c>
      <c r="D13" s="70" t="inlineStr">
        <is>
          <t>Qualifications, permits, contract compliance, litigation, and sanctions screening</t>
        </is>
      </c>
      <c r="E13" s="71" t="inlineStr">
        <is>
          <t>Can switch automatically by supplier business scenario; higher scores are better.</t>
        </is>
      </c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28" customHeight="1" s="280">
      <c r="A14" s="69" t="n">
        <v>8</v>
      </c>
      <c r="B14" s="70" t="inlineStr">
        <is>
          <t>ESG / Sustainability</t>
        </is>
      </c>
      <c r="C14" s="287">
        <f>INDEX($I$24:$O$33,MATCH(B14,$H$24:$H$33,0),MATCH($C$3,$I$23:$O$23,0))</f>
        <v/>
      </c>
      <c r="D14" s="70" t="inlineStr">
        <is>
          <t>Environment, labor, human rights, carbon, and supply chain sustainability</t>
        </is>
      </c>
      <c r="E14" s="71" t="inlineStr">
        <is>
          <t>Can switch automatically by supplier business scenario; higher scores are better.</t>
        </is>
      </c>
      <c r="F14" s="253" t="n"/>
      <c r="G14" s="253" t="n"/>
      <c r="H14" s="253" t="n"/>
      <c r="I14" s="253" t="n"/>
      <c r="J14" s="253" t="n"/>
      <c r="K14" s="253" t="n"/>
      <c r="L14" s="253" t="n"/>
      <c r="M14" s="253" t="n"/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28" customHeight="1" s="280">
      <c r="A15" s="69" t="n">
        <v>9</v>
      </c>
      <c r="B15" s="70" t="inlineStr">
        <is>
          <t>Cybersecurity / Data Protection</t>
        </is>
      </c>
      <c r="C15" s="287">
        <f>INDEX($I$24:$O$33,MATCH(B15,$H$24:$H$33,0),MATCH($C$3,$I$23:$O$23,0))</f>
        <v/>
      </c>
      <c r="D15" s="70" t="inlineStr">
        <is>
          <t>Data security, system availability, privacy, and third-party access</t>
        </is>
      </c>
      <c r="E15" s="71" t="inlineStr">
        <is>
          <t>Can switch automatically by supplier business scenario; higher scores are better.</t>
        </is>
      </c>
      <c r="F15" s="253" t="n"/>
      <c r="G15" s="253" t="n"/>
      <c r="H15" s="253" t="n"/>
      <c r="I15" s="253" t="n"/>
      <c r="J15" s="253" t="n"/>
      <c r="K15" s="253" t="n"/>
      <c r="L15" s="253" t="n"/>
      <c r="M15" s="253" t="n"/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28" customHeight="1" s="280">
      <c r="A16" s="72" t="n">
        <v>10</v>
      </c>
      <c r="B16" s="73" t="inlineStr">
        <is>
          <t>Geopolitical and External Environment</t>
        </is>
      </c>
      <c r="C16" s="288">
        <f>INDEX($I$24:$O$33,MATCH(B16,$H$24:$H$33,0),MATCH($C$3,$I$23:$O$23,0))</f>
        <v/>
      </c>
      <c r="D16" s="73" t="inlineStr">
        <is>
          <t>Country or regional risk, natural disasters, trade policy, and public sentiment</t>
        </is>
      </c>
      <c r="E16" s="74" t="inlineStr">
        <is>
          <t>Can switch automatically by supplier business scenario; higher scores are better.</t>
        </is>
      </c>
      <c r="F16" s="253" t="n"/>
      <c r="G16" s="253" t="n"/>
      <c r="H16" s="253" t="n"/>
      <c r="I16" s="253" t="n"/>
      <c r="J16" s="253" t="n"/>
      <c r="K16" s="253" t="n"/>
      <c r="L16" s="253" t="n"/>
      <c r="M16" s="253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28" customHeight="1" s="280">
      <c r="A17" s="259" t="inlineStr">
        <is>
          <t>Current Weight Total</t>
        </is>
      </c>
      <c r="B17" s="284" t="n"/>
      <c r="C17" s="289">
        <f>SUM(C7:C16)</f>
        <v/>
      </c>
      <c r="D17" s="261">
        <f>IF(C17=100,"Weight total = 100, ready","Adjust to 100")</f>
        <v/>
      </c>
      <c r="E17" s="285" t="n"/>
      <c r="F17" s="253" t="n"/>
      <c r="G17" s="253" t="n"/>
      <c r="H17" s="253" t="n"/>
      <c r="I17" s="253" t="n"/>
      <c r="J17" s="253" t="n"/>
      <c r="K17" s="253" t="n"/>
      <c r="L17" s="253" t="n"/>
      <c r="M17" s="253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28" customHeight="1" s="280">
      <c r="A18" s="253" t="n"/>
      <c r="B18" s="253" t="n"/>
      <c r="C18" s="253" t="n"/>
      <c r="D18" s="253" t="n"/>
      <c r="E18" s="253" t="n"/>
      <c r="F18" s="253" t="n"/>
      <c r="G18" s="253" t="n"/>
      <c r="H18" s="253" t="n"/>
      <c r="I18" s="253" t="n"/>
      <c r="J18" s="253" t="n"/>
      <c r="K18" s="253" t="n"/>
      <c r="L18" s="253" t="n"/>
      <c r="M18" s="253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28" customHeight="1" s="280">
      <c r="A19" s="253" t="n"/>
      <c r="B19" s="253" t="n"/>
      <c r="C19" s="253" t="n"/>
      <c r="D19" s="253" t="n"/>
      <c r="E19" s="253" t="n"/>
      <c r="F19" s="253" t="n"/>
      <c r="G19" s="253" t="n"/>
      <c r="H19" s="253" t="n"/>
      <c r="I19" s="253" t="n"/>
      <c r="J19" s="253" t="n"/>
      <c r="K19" s="253" t="n"/>
      <c r="L19" s="253" t="n"/>
      <c r="M19" s="253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28" customHeight="1" s="280">
      <c r="A20" s="253" t="n"/>
      <c r="B20" s="253" t="n"/>
      <c r="C20" s="253" t="n"/>
      <c r="D20" s="253" t="n"/>
      <c r="E20" s="253" t="n"/>
      <c r="F20" s="253" t="n"/>
      <c r="G20" s="253" t="n"/>
      <c r="H20" s="253" t="n"/>
      <c r="I20" s="253" t="n"/>
      <c r="J20" s="253" t="n"/>
      <c r="K20" s="253" t="n"/>
      <c r="L20" s="253" t="n"/>
      <c r="M20" s="253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 ht="28" customHeight="1" s="280">
      <c r="A21" s="253" t="n"/>
      <c r="B21" s="253" t="n"/>
      <c r="C21" s="253" t="n"/>
      <c r="D21" s="253" t="n"/>
      <c r="E21" s="253" t="n"/>
      <c r="F21" s="253" t="n"/>
      <c r="G21" s="253" t="n"/>
      <c r="H21" s="253" t="n"/>
      <c r="I21" s="253" t="n"/>
      <c r="J21" s="253" t="n"/>
      <c r="K21" s="253" t="n"/>
      <c r="L21" s="253" t="n"/>
      <c r="M21" s="253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 ht="28" customHeight="1" s="280">
      <c r="A22" s="283" t="inlineStr">
        <is>
          <t>Scenario weight matrix: each column should total 100. To use a company-specific model, edit the Custom column and choose Custom as the business scenario.</t>
        </is>
      </c>
      <c r="B22" s="284" t="n"/>
      <c r="C22" s="284" t="n"/>
      <c r="D22" s="284" t="n"/>
      <c r="E22" s="284" t="n"/>
      <c r="F22" s="284" t="n"/>
      <c r="G22" s="284" t="n"/>
      <c r="H22" s="284" t="n"/>
      <c r="I22" s="284" t="n"/>
      <c r="J22" s="284" t="n"/>
      <c r="K22" s="284" t="n"/>
      <c r="L22" s="284" t="n"/>
      <c r="M22" s="284" t="n"/>
      <c r="N22" s="284" t="n"/>
      <c r="O22" s="285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 ht="28" customHeight="1" s="280">
      <c r="A23" s="253" t="n"/>
      <c r="B23" s="253" t="n"/>
      <c r="C23" s="253" t="n"/>
      <c r="D23" s="253" t="n"/>
      <c r="E23" s="253" t="n"/>
      <c r="F23" s="253" t="n"/>
      <c r="G23" s="253" t="n"/>
      <c r="H23" s="31" t="inlineStr">
        <is>
          <t>Scoring Dimension</t>
        </is>
      </c>
      <c r="I23" s="32" t="inlineStr">
        <is>
          <t>General</t>
        </is>
      </c>
      <c r="J23" s="32" t="inlineStr">
        <is>
          <t>Production / Raw Materials</t>
        </is>
      </c>
      <c r="K23" s="32" t="inlineStr">
        <is>
          <t>Logistics</t>
        </is>
      </c>
      <c r="L23" s="32" t="inlineStr">
        <is>
          <t>IT/SaaS</t>
        </is>
      </c>
      <c r="M23" s="32" t="inlineStr">
        <is>
          <t>Engineering / Service Outsourcing</t>
        </is>
      </c>
      <c r="N23" s="32" t="inlineStr">
        <is>
          <t>Indirect Procurement</t>
        </is>
      </c>
      <c r="O23" s="33" t="inlineStr">
        <is>
          <t>Custom</t>
        </is>
      </c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 ht="28" customHeight="1" s="280">
      <c r="A24" s="253" t="n"/>
      <c r="B24" s="253" t="n"/>
      <c r="C24" s="253" t="n"/>
      <c r="D24" s="253" t="n"/>
      <c r="E24" s="253" t="n"/>
      <c r="F24" s="253" t="n"/>
      <c r="G24" s="253" t="n"/>
      <c r="H24" s="290" t="inlineStr">
        <is>
          <t>Quality and Consistency</t>
        </is>
      </c>
      <c r="I24" s="286" t="n">
        <v>15</v>
      </c>
      <c r="J24" s="286" t="n">
        <v>20</v>
      </c>
      <c r="K24" s="286" t="n">
        <v>8</v>
      </c>
      <c r="L24" s="286" t="n">
        <v>8</v>
      </c>
      <c r="M24" s="286" t="n">
        <v>12</v>
      </c>
      <c r="N24" s="286" t="n">
        <v>10</v>
      </c>
      <c r="O24" s="291" t="n">
        <v>15</v>
      </c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 ht="28" customHeight="1" s="280">
      <c r="A25" s="253" t="n"/>
      <c r="B25" s="253" t="n"/>
      <c r="C25" s="253" t="n"/>
      <c r="D25" s="253" t="n"/>
      <c r="E25" s="253" t="n"/>
      <c r="F25" s="253" t="n"/>
      <c r="G25" s="253" t="n"/>
      <c r="H25" s="292" t="inlineStr">
        <is>
          <t>Delivery and Fulfillment</t>
        </is>
      </c>
      <c r="I25" s="287" t="n">
        <v>15</v>
      </c>
      <c r="J25" s="287" t="n">
        <v>18</v>
      </c>
      <c r="K25" s="287" t="n">
        <v>25</v>
      </c>
      <c r="L25" s="287" t="n">
        <v>10</v>
      </c>
      <c r="M25" s="287" t="n">
        <v>15</v>
      </c>
      <c r="N25" s="287" t="n">
        <v>12</v>
      </c>
      <c r="O25" s="293" t="n">
        <v>15</v>
      </c>
      <c r="P25" s="253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 ht="28" customHeight="1" s="280">
      <c r="A26" s="253" t="n"/>
      <c r="B26" s="253" t="n"/>
      <c r="C26" s="253" t="n"/>
      <c r="D26" s="253" t="n"/>
      <c r="E26" s="253" t="n"/>
      <c r="F26" s="253" t="n"/>
      <c r="G26" s="253" t="n"/>
      <c r="H26" s="292" t="inlineStr">
        <is>
          <t>Cost and Commercials</t>
        </is>
      </c>
      <c r="I26" s="287" t="n">
        <v>10</v>
      </c>
      <c r="J26" s="287" t="n">
        <v>10</v>
      </c>
      <c r="K26" s="287" t="n">
        <v>10</v>
      </c>
      <c r="L26" s="287" t="n">
        <v>8</v>
      </c>
      <c r="M26" s="287" t="n">
        <v>10</v>
      </c>
      <c r="N26" s="287" t="n">
        <v>18</v>
      </c>
      <c r="O26" s="293" t="n">
        <v>10</v>
      </c>
      <c r="P26" s="253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 ht="28" customHeight="1" s="280">
      <c r="A27" s="253" t="n"/>
      <c r="B27" s="253" t="n"/>
      <c r="C27" s="253" t="n"/>
      <c r="D27" s="253" t="n"/>
      <c r="E27" s="253" t="n"/>
      <c r="F27" s="253" t="n"/>
      <c r="G27" s="253" t="n"/>
      <c r="H27" s="292" t="inlineStr">
        <is>
          <t>Service and Collaboration</t>
        </is>
      </c>
      <c r="I27" s="287" t="n">
        <v>10</v>
      </c>
      <c r="J27" s="287" t="n">
        <v>8</v>
      </c>
      <c r="K27" s="287" t="n">
        <v>12</v>
      </c>
      <c r="L27" s="287" t="n">
        <v>12</v>
      </c>
      <c r="M27" s="287" t="n">
        <v>13</v>
      </c>
      <c r="N27" s="287" t="n">
        <v>15</v>
      </c>
      <c r="O27" s="293" t="n">
        <v>10</v>
      </c>
      <c r="P27" s="253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 ht="28" customHeight="1" s="280">
      <c r="A28" s="253" t="n"/>
      <c r="B28" s="253" t="n"/>
      <c r="C28" s="253" t="n"/>
      <c r="D28" s="253" t="n"/>
      <c r="E28" s="253" t="n"/>
      <c r="F28" s="253" t="n"/>
      <c r="G28" s="253" t="n"/>
      <c r="H28" s="292" t="inlineStr">
        <is>
          <t>Capacity and Operating Stability</t>
        </is>
      </c>
      <c r="I28" s="287" t="n">
        <v>10</v>
      </c>
      <c r="J28" s="287" t="n">
        <v>15</v>
      </c>
      <c r="K28" s="287" t="n">
        <v>14</v>
      </c>
      <c r="L28" s="287" t="n">
        <v>8</v>
      </c>
      <c r="M28" s="287" t="n">
        <v>12</v>
      </c>
      <c r="N28" s="287" t="n">
        <v>8</v>
      </c>
      <c r="O28" s="293" t="n">
        <v>10</v>
      </c>
      <c r="P28" s="253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 ht="28" customHeight="1" s="280">
      <c r="A29" s="253" t="n"/>
      <c r="B29" s="253" t="n"/>
      <c r="C29" s="253" t="n"/>
      <c r="D29" s="253" t="n"/>
      <c r="E29" s="253" t="n"/>
      <c r="F29" s="253" t="n"/>
      <c r="G29" s="253" t="n"/>
      <c r="H29" s="292" t="inlineStr">
        <is>
          <t>Financial Health</t>
        </is>
      </c>
      <c r="I29" s="287" t="n">
        <v>10</v>
      </c>
      <c r="J29" s="287" t="n">
        <v>8</v>
      </c>
      <c r="K29" s="287" t="n">
        <v>8</v>
      </c>
      <c r="L29" s="287" t="n">
        <v>10</v>
      </c>
      <c r="M29" s="287" t="n">
        <v>8</v>
      </c>
      <c r="N29" s="287" t="n">
        <v>10</v>
      </c>
      <c r="O29" s="293" t="n">
        <v>10</v>
      </c>
      <c r="P29" s="253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 ht="28" customHeight="1" s="280">
      <c r="A30" s="253" t="n"/>
      <c r="B30" s="253" t="n"/>
      <c r="C30" s="253" t="n"/>
      <c r="D30" s="253" t="n"/>
      <c r="E30" s="253" t="n"/>
      <c r="F30" s="253" t="n"/>
      <c r="G30" s="253" t="n"/>
      <c r="H30" s="292" t="inlineStr">
        <is>
          <t>Compliance / Legal / Sanctions</t>
        </is>
      </c>
      <c r="I30" s="287" t="n">
        <v>10</v>
      </c>
      <c r="J30" s="287" t="n">
        <v>8</v>
      </c>
      <c r="K30" s="287" t="n">
        <v>8</v>
      </c>
      <c r="L30" s="287" t="n">
        <v>12</v>
      </c>
      <c r="M30" s="287" t="n">
        <v>12</v>
      </c>
      <c r="N30" s="287" t="n">
        <v>10</v>
      </c>
      <c r="O30" s="293" t="n">
        <v>10</v>
      </c>
      <c r="P30" s="253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 ht="28" customHeight="1" s="280">
      <c r="A31" s="253" t="n"/>
      <c r="B31" s="253" t="n"/>
      <c r="C31" s="253" t="n"/>
      <c r="D31" s="253" t="n"/>
      <c r="E31" s="253" t="n"/>
      <c r="F31" s="253" t="n"/>
      <c r="G31" s="253" t="n"/>
      <c r="H31" s="292" t="inlineStr">
        <is>
          <t>ESG / Sustainability</t>
        </is>
      </c>
      <c r="I31" s="287" t="n">
        <v>8</v>
      </c>
      <c r="J31" s="287" t="n">
        <v>7</v>
      </c>
      <c r="K31" s="287" t="n">
        <v>5</v>
      </c>
      <c r="L31" s="287" t="n">
        <v>5</v>
      </c>
      <c r="M31" s="287" t="n">
        <v>8</v>
      </c>
      <c r="N31" s="287" t="n">
        <v>7</v>
      </c>
      <c r="O31" s="293" t="n">
        <v>8</v>
      </c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 ht="28" customHeight="1" s="280">
      <c r="A32" s="253" t="n"/>
      <c r="B32" s="253" t="n"/>
      <c r="C32" s="253" t="n"/>
      <c r="D32" s="253" t="n"/>
      <c r="E32" s="253" t="n"/>
      <c r="F32" s="253" t="n"/>
      <c r="G32" s="253" t="n"/>
      <c r="H32" s="292" t="inlineStr">
        <is>
          <t>Cybersecurity / Data Protection</t>
        </is>
      </c>
      <c r="I32" s="287" t="n">
        <v>7</v>
      </c>
      <c r="J32" s="287" t="n">
        <v>2</v>
      </c>
      <c r="K32" s="287" t="n">
        <v>2</v>
      </c>
      <c r="L32" s="287" t="n">
        <v>22</v>
      </c>
      <c r="M32" s="287" t="n">
        <v>3</v>
      </c>
      <c r="N32" s="287" t="n">
        <v>5</v>
      </c>
      <c r="O32" s="293" t="n">
        <v>7</v>
      </c>
      <c r="P32" s="253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 ht="28" customHeight="1" s="280">
      <c r="A33" s="253" t="n"/>
      <c r="B33" s="253" t="n"/>
      <c r="C33" s="253" t="n"/>
      <c r="D33" s="253" t="n"/>
      <c r="E33" s="253" t="n"/>
      <c r="F33" s="253" t="n"/>
      <c r="G33" s="253" t="n"/>
      <c r="H33" s="294" t="inlineStr">
        <is>
          <t>Geopolitical and External Environment</t>
        </is>
      </c>
      <c r="I33" s="288" t="n">
        <v>5</v>
      </c>
      <c r="J33" s="288" t="n">
        <v>4</v>
      </c>
      <c r="K33" s="288" t="n">
        <v>8</v>
      </c>
      <c r="L33" s="288" t="n">
        <v>5</v>
      </c>
      <c r="M33" s="288" t="n">
        <v>7</v>
      </c>
      <c r="N33" s="288" t="n">
        <v>5</v>
      </c>
      <c r="O33" s="295" t="n">
        <v>5</v>
      </c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 ht="28" customHeight="1" s="280">
      <c r="A34" s="253" t="n"/>
      <c r="B34" s="253" t="n"/>
      <c r="C34" s="253" t="n"/>
      <c r="D34" s="253" t="n"/>
      <c r="E34" s="253" t="n"/>
      <c r="F34" s="253" t="n"/>
      <c r="G34" s="253" t="n"/>
      <c r="H34" s="296" t="inlineStr">
        <is>
          <t>Total</t>
        </is>
      </c>
      <c r="I34" s="289">
        <f>SUM(I24:I33)</f>
        <v/>
      </c>
      <c r="J34" s="289">
        <f>SUM(J24:J33)</f>
        <v/>
      </c>
      <c r="K34" s="289">
        <f>SUM(K24:K33)</f>
        <v/>
      </c>
      <c r="L34" s="289">
        <f>SUM(L24:L33)</f>
        <v/>
      </c>
      <c r="M34" s="289">
        <f>SUM(M24:M33)</f>
        <v/>
      </c>
      <c r="N34" s="289">
        <f>SUM(N24:N33)</f>
        <v/>
      </c>
      <c r="O34" s="297">
        <f>SUM(O24:O33)</f>
        <v/>
      </c>
      <c r="P34" s="253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 ht="28" customHeight="1" s="280">
      <c r="A35" s="253" t="n"/>
      <c r="B35" s="253" t="n"/>
      <c r="C35" s="253" t="n"/>
      <c r="D35" s="253" t="n"/>
      <c r="E35" s="253" t="n"/>
      <c r="F35" s="253" t="n"/>
      <c r="G35" s="253" t="n"/>
      <c r="H35" s="298" t="inlineStr">
        <is>
          <t>Validation</t>
        </is>
      </c>
      <c r="I35" s="299">
        <f>IF(I34=100,"OK","Needs adjustment")</f>
        <v/>
      </c>
      <c r="J35" s="299">
        <f>IF(J34=100,"OK","Needs adjustment")</f>
        <v/>
      </c>
      <c r="K35" s="299">
        <f>IF(K34=100,"OK","Needs adjustment")</f>
        <v/>
      </c>
      <c r="L35" s="299">
        <f>IF(L34=100,"OK","Needs adjustment")</f>
        <v/>
      </c>
      <c r="M35" s="299">
        <f>IF(M34=100,"OK","Needs adjustment")</f>
        <v/>
      </c>
      <c r="N35" s="299">
        <f>IF(N34=100,"OK","Needs adjustment")</f>
        <v/>
      </c>
      <c r="O35" s="300">
        <f>IF(O34=100,"OK","Needs adjustment")</f>
        <v/>
      </c>
      <c r="P35" s="253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>
      <c r="A36" s="253" t="n"/>
      <c r="B36" s="253" t="n"/>
      <c r="C36" s="253" t="n"/>
      <c r="D36" s="253" t="n"/>
      <c r="E36" s="253" t="n"/>
      <c r="F36" s="253" t="n"/>
      <c r="G36" s="253" t="n"/>
      <c r="H36" s="253" t="n"/>
      <c r="I36" s="253" t="n"/>
      <c r="J36" s="253" t="n"/>
      <c r="K36" s="253" t="n"/>
      <c r="L36" s="253" t="n"/>
      <c r="M36" s="253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>
      <c r="A37" s="253" t="n"/>
      <c r="B37" s="253" t="n"/>
      <c r="C37" s="253" t="n"/>
      <c r="D37" s="253" t="n"/>
      <c r="E37" s="253" t="n"/>
      <c r="F37" s="253" t="n"/>
      <c r="G37" s="253" t="n"/>
      <c r="H37" s="253" t="n"/>
      <c r="I37" s="253" t="n"/>
      <c r="J37" s="253" t="n"/>
      <c r="K37" s="253" t="n"/>
      <c r="L37" s="253" t="n"/>
      <c r="M37" s="253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>
      <c r="A38" s="253" t="n"/>
      <c r="B38" s="253" t="n"/>
      <c r="C38" s="253" t="n"/>
      <c r="D38" s="253" t="n"/>
      <c r="E38" s="253" t="n"/>
      <c r="F38" s="253" t="n"/>
      <c r="G38" s="253" t="n"/>
      <c r="H38" s="253" t="n"/>
      <c r="I38" s="253" t="n"/>
      <c r="J38" s="253" t="n"/>
      <c r="K38" s="253" t="n"/>
      <c r="L38" s="253" t="n"/>
      <c r="M38" s="253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>
      <c r="A39" s="253" t="n"/>
      <c r="B39" s="253" t="n"/>
      <c r="C39" s="253" t="n"/>
      <c r="D39" s="253" t="n"/>
      <c r="E39" s="253" t="n"/>
      <c r="F39" s="253" t="n"/>
      <c r="G39" s="253" t="n"/>
      <c r="H39" s="253" t="n"/>
      <c r="I39" s="253" t="n"/>
      <c r="J39" s="253" t="n"/>
      <c r="K39" s="253" t="n"/>
      <c r="L39" s="253" t="n"/>
      <c r="M39" s="253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>
      <c r="A40" s="253" t="n"/>
      <c r="B40" s="253" t="n"/>
      <c r="C40" s="253" t="n"/>
      <c r="D40" s="253" t="n"/>
      <c r="E40" s="253" t="n"/>
      <c r="F40" s="253" t="n"/>
      <c r="G40" s="253" t="n"/>
      <c r="H40" s="253" t="n"/>
      <c r="I40" s="253" t="n"/>
      <c r="J40" s="253" t="n"/>
      <c r="K40" s="253" t="n"/>
      <c r="L40" s="253" t="n"/>
      <c r="M40" s="253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>
      <c r="A41" s="253" t="n"/>
      <c r="B41" s="253" t="n"/>
      <c r="C41" s="253" t="n"/>
      <c r="D41" s="253" t="n"/>
      <c r="E41" s="253" t="n"/>
      <c r="F41" s="253" t="n"/>
      <c r="G41" s="253" t="n"/>
      <c r="H41" s="253" t="n"/>
      <c r="I41" s="253" t="n"/>
      <c r="J41" s="253" t="n"/>
      <c r="K41" s="253" t="n"/>
      <c r="L41" s="253" t="n"/>
      <c r="M41" s="253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>
      <c r="A42" s="253" t="n"/>
      <c r="B42" s="253" t="n"/>
      <c r="C42" s="253" t="n"/>
      <c r="D42" s="253" t="n"/>
      <c r="E42" s="253" t="n"/>
      <c r="F42" s="253" t="n"/>
      <c r="G42" s="253" t="n"/>
      <c r="H42" s="253" t="n"/>
      <c r="I42" s="253" t="n"/>
      <c r="J42" s="253" t="n"/>
      <c r="K42" s="253" t="n"/>
      <c r="L42" s="253" t="n"/>
      <c r="M42" s="253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>
      <c r="A43" s="253" t="n"/>
      <c r="B43" s="253" t="n"/>
      <c r="C43" s="253" t="n"/>
      <c r="D43" s="253" t="n"/>
      <c r="E43" s="253" t="n"/>
      <c r="F43" s="253" t="n"/>
      <c r="G43" s="253" t="n"/>
      <c r="H43" s="253" t="n"/>
      <c r="I43" s="253" t="n"/>
      <c r="J43" s="253" t="n"/>
      <c r="K43" s="253" t="n"/>
      <c r="L43" s="253" t="n"/>
      <c r="M43" s="253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>
      <c r="A44" s="253" t="n"/>
      <c r="B44" s="253" t="n"/>
      <c r="C44" s="253" t="n"/>
      <c r="D44" s="253" t="n"/>
      <c r="E44" s="253" t="n"/>
      <c r="F44" s="253" t="n"/>
      <c r="G44" s="253" t="n"/>
      <c r="H44" s="253" t="n"/>
      <c r="I44" s="253" t="n"/>
      <c r="J44" s="253" t="n"/>
      <c r="K44" s="253" t="n"/>
      <c r="L44" s="253" t="n"/>
      <c r="M44" s="253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>
      <c r="A45" s="253" t="n"/>
      <c r="B45" s="253" t="n"/>
      <c r="C45" s="253" t="n"/>
      <c r="D45" s="253" t="n"/>
      <c r="E45" s="253" t="n"/>
      <c r="F45" s="253" t="n"/>
      <c r="G45" s="253" t="n"/>
      <c r="H45" s="253" t="n"/>
      <c r="I45" s="253" t="n"/>
      <c r="J45" s="253" t="n"/>
      <c r="K45" s="253" t="n"/>
      <c r="L45" s="253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>
      <c r="A46" s="253" t="n"/>
      <c r="B46" s="253" t="n"/>
      <c r="C46" s="253" t="n"/>
      <c r="D46" s="253" t="n"/>
      <c r="E46" s="253" t="n"/>
      <c r="F46" s="253" t="n"/>
      <c r="G46" s="253" t="n"/>
      <c r="H46" s="253" t="n"/>
      <c r="I46" s="253" t="n"/>
      <c r="J46" s="253" t="n"/>
      <c r="K46" s="253" t="n"/>
      <c r="L46" s="253" t="n"/>
      <c r="M46" s="253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>
      <c r="A47" s="253" t="n"/>
      <c r="B47" s="253" t="n"/>
      <c r="C47" s="253" t="n"/>
      <c r="D47" s="253" t="n"/>
      <c r="E47" s="253" t="n"/>
      <c r="F47" s="253" t="n"/>
      <c r="G47" s="253" t="n"/>
      <c r="H47" s="253" t="n"/>
      <c r="I47" s="253" t="n"/>
      <c r="J47" s="253" t="n"/>
      <c r="K47" s="253" t="n"/>
      <c r="L47" s="253" t="n"/>
      <c r="M47" s="253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>
      <c r="A48" s="253" t="n"/>
      <c r="B48" s="253" t="n"/>
      <c r="C48" s="253" t="n"/>
      <c r="D48" s="253" t="n"/>
      <c r="E48" s="253" t="n"/>
      <c r="F48" s="253" t="n"/>
      <c r="G48" s="253" t="n"/>
      <c r="H48" s="253" t="n"/>
      <c r="I48" s="253" t="n"/>
      <c r="J48" s="253" t="n"/>
      <c r="K48" s="253" t="n"/>
      <c r="L48" s="253" t="n"/>
      <c r="M48" s="253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>
      <c r="A49" s="253" t="n"/>
      <c r="B49" s="253" t="n"/>
      <c r="C49" s="253" t="n"/>
      <c r="D49" s="253" t="n"/>
      <c r="E49" s="253" t="n"/>
      <c r="F49" s="253" t="n"/>
      <c r="G49" s="253" t="n"/>
      <c r="H49" s="253" t="n"/>
      <c r="I49" s="253" t="n"/>
      <c r="J49" s="253" t="n"/>
      <c r="K49" s="253" t="n"/>
      <c r="L49" s="253" t="n"/>
      <c r="M49" s="253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>
      <c r="A50" s="253" t="n"/>
      <c r="B50" s="253" t="n"/>
      <c r="C50" s="253" t="n"/>
      <c r="D50" s="253" t="n"/>
      <c r="E50" s="253" t="n"/>
      <c r="F50" s="253" t="n"/>
      <c r="G50" s="253" t="n"/>
      <c r="H50" s="253" t="n"/>
      <c r="I50" s="253" t="n"/>
      <c r="J50" s="253" t="n"/>
      <c r="K50" s="253" t="n"/>
      <c r="L50" s="253" t="n"/>
      <c r="M50" s="253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>
      <c r="A51" s="253" t="n"/>
      <c r="B51" s="253" t="n"/>
      <c r="C51" s="253" t="n"/>
      <c r="D51" s="253" t="n"/>
      <c r="E51" s="253" t="n"/>
      <c r="F51" s="253" t="n"/>
      <c r="G51" s="253" t="n"/>
      <c r="H51" s="253" t="n"/>
      <c r="I51" s="253" t="n"/>
      <c r="J51" s="253" t="n"/>
      <c r="K51" s="253" t="n"/>
      <c r="L51" s="253" t="n"/>
      <c r="M51" s="253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>
      <c r="A52" s="253" t="n"/>
      <c r="B52" s="253" t="n"/>
      <c r="C52" s="253" t="n"/>
      <c r="D52" s="253" t="n"/>
      <c r="E52" s="253" t="n"/>
      <c r="F52" s="253" t="n"/>
      <c r="G52" s="253" t="n"/>
      <c r="H52" s="253" t="n"/>
      <c r="I52" s="253" t="n"/>
      <c r="J52" s="253" t="n"/>
      <c r="K52" s="253" t="n"/>
      <c r="L52" s="253" t="n"/>
      <c r="M52" s="253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>
      <c r="A53" s="253" t="n"/>
      <c r="B53" s="253" t="n"/>
      <c r="C53" s="253" t="n"/>
      <c r="D53" s="253" t="n"/>
      <c r="E53" s="253" t="n"/>
      <c r="F53" s="253" t="n"/>
      <c r="G53" s="253" t="n"/>
      <c r="H53" s="253" t="n"/>
      <c r="I53" s="253" t="n"/>
      <c r="J53" s="253" t="n"/>
      <c r="K53" s="253" t="n"/>
      <c r="L53" s="253" t="n"/>
      <c r="M53" s="253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>
      <c r="A54" s="253" t="n"/>
      <c r="B54" s="253" t="n"/>
      <c r="C54" s="253" t="n"/>
      <c r="D54" s="253" t="n"/>
      <c r="E54" s="253" t="n"/>
      <c r="F54" s="253" t="n"/>
      <c r="G54" s="253" t="n"/>
      <c r="H54" s="253" t="n"/>
      <c r="I54" s="253" t="n"/>
      <c r="J54" s="253" t="n"/>
      <c r="K54" s="253" t="n"/>
      <c r="L54" s="253" t="n"/>
      <c r="M54" s="253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>
      <c r="A55" s="253" t="n"/>
      <c r="B55" s="253" t="n"/>
      <c r="C55" s="253" t="n"/>
      <c r="D55" s="253" t="n"/>
      <c r="E55" s="253" t="n"/>
      <c r="F55" s="253" t="n"/>
      <c r="G55" s="253" t="n"/>
      <c r="H55" s="253" t="n"/>
      <c r="I55" s="253" t="n"/>
      <c r="J55" s="253" t="n"/>
      <c r="K55" s="253" t="n"/>
      <c r="L55" s="253" t="n"/>
      <c r="M55" s="253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>
      <c r="A56" s="253" t="n"/>
      <c r="B56" s="253" t="n"/>
      <c r="C56" s="253" t="n"/>
      <c r="D56" s="253" t="n"/>
      <c r="E56" s="253" t="n"/>
      <c r="F56" s="253" t="n"/>
      <c r="G56" s="253" t="n"/>
      <c r="H56" s="253" t="n"/>
      <c r="I56" s="253" t="n"/>
      <c r="J56" s="253" t="n"/>
      <c r="K56" s="253" t="n"/>
      <c r="L56" s="253" t="n"/>
      <c r="M56" s="253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>
      <c r="A57" s="253" t="n"/>
      <c r="B57" s="253" t="n"/>
      <c r="C57" s="253" t="n"/>
      <c r="D57" s="253" t="n"/>
      <c r="E57" s="253" t="n"/>
      <c r="F57" s="253" t="n"/>
      <c r="G57" s="253" t="n"/>
      <c r="H57" s="253" t="n"/>
      <c r="I57" s="253" t="n"/>
      <c r="J57" s="253" t="n"/>
      <c r="K57" s="253" t="n"/>
      <c r="L57" s="253" t="n"/>
      <c r="M57" s="253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>
      <c r="A58" s="253" t="n"/>
      <c r="B58" s="253" t="n"/>
      <c r="C58" s="253" t="n"/>
      <c r="D58" s="253" t="n"/>
      <c r="E58" s="253" t="n"/>
      <c r="F58" s="253" t="n"/>
      <c r="G58" s="253" t="n"/>
      <c r="H58" s="253" t="n"/>
      <c r="I58" s="253" t="n"/>
      <c r="J58" s="253" t="n"/>
      <c r="K58" s="253" t="n"/>
      <c r="L58" s="253" t="n"/>
      <c r="M58" s="253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>
      <c r="A59" s="253" t="n"/>
      <c r="B59" s="253" t="n"/>
      <c r="C59" s="253" t="n"/>
      <c r="D59" s="253" t="n"/>
      <c r="E59" s="253" t="n"/>
      <c r="F59" s="253" t="n"/>
      <c r="G59" s="253" t="n"/>
      <c r="H59" s="253" t="n"/>
      <c r="I59" s="253" t="n"/>
      <c r="J59" s="253" t="n"/>
      <c r="K59" s="253" t="n"/>
      <c r="L59" s="253" t="n"/>
      <c r="M59" s="253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>
      <c r="A60" s="253" t="n"/>
      <c r="B60" s="253" t="n"/>
      <c r="C60" s="253" t="n"/>
      <c r="D60" s="253" t="n"/>
      <c r="E60" s="253" t="n"/>
      <c r="F60" s="253" t="n"/>
      <c r="G60" s="253" t="n"/>
      <c r="H60" s="253" t="n"/>
      <c r="I60" s="253" t="n"/>
      <c r="J60" s="253" t="n"/>
      <c r="K60" s="253" t="n"/>
      <c r="L60" s="253" t="n"/>
      <c r="M60" s="253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>
      <c r="A61" s="253" t="n"/>
      <c r="B61" s="253" t="n"/>
      <c r="C61" s="253" t="n"/>
      <c r="D61" s="253" t="n"/>
      <c r="E61" s="253" t="n"/>
      <c r="F61" s="253" t="n"/>
      <c r="G61" s="253" t="n"/>
      <c r="H61" s="253" t="n"/>
      <c r="I61" s="253" t="n"/>
      <c r="J61" s="253" t="n"/>
      <c r="K61" s="253" t="n"/>
      <c r="L61" s="253" t="n"/>
      <c r="M61" s="253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>
      <c r="A62" s="253" t="n"/>
      <c r="B62" s="253" t="n"/>
      <c r="C62" s="253" t="n"/>
      <c r="D62" s="253" t="n"/>
      <c r="E62" s="253" t="n"/>
      <c r="F62" s="253" t="n"/>
      <c r="G62" s="253" t="n"/>
      <c r="H62" s="253" t="n"/>
      <c r="I62" s="253" t="n"/>
      <c r="J62" s="253" t="n"/>
      <c r="K62" s="253" t="n"/>
      <c r="L62" s="253" t="n"/>
      <c r="M62" s="253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>
      <c r="A63" s="253" t="n"/>
      <c r="B63" s="253" t="n"/>
      <c r="C63" s="253" t="n"/>
      <c r="D63" s="253" t="n"/>
      <c r="E63" s="253" t="n"/>
      <c r="F63" s="253" t="n"/>
      <c r="G63" s="253" t="n"/>
      <c r="H63" s="253" t="n"/>
      <c r="I63" s="253" t="n"/>
      <c r="J63" s="253" t="n"/>
      <c r="K63" s="253" t="n"/>
      <c r="L63" s="253" t="n"/>
      <c r="M63" s="253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>
      <c r="A64" s="253" t="n"/>
      <c r="B64" s="253" t="n"/>
      <c r="C64" s="253" t="n"/>
      <c r="D64" s="253" t="n"/>
      <c r="E64" s="253" t="n"/>
      <c r="F64" s="253" t="n"/>
      <c r="G64" s="253" t="n"/>
      <c r="H64" s="253" t="n"/>
      <c r="I64" s="253" t="n"/>
      <c r="J64" s="253" t="n"/>
      <c r="K64" s="253" t="n"/>
      <c r="L64" s="253" t="n"/>
      <c r="M64" s="253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>
      <c r="A65" s="253" t="n"/>
      <c r="B65" s="253" t="n"/>
      <c r="C65" s="253" t="n"/>
      <c r="D65" s="253" t="n"/>
      <c r="E65" s="253" t="n"/>
      <c r="F65" s="253" t="n"/>
      <c r="G65" s="253" t="n"/>
      <c r="H65" s="253" t="n"/>
      <c r="I65" s="253" t="n"/>
      <c r="J65" s="253" t="n"/>
      <c r="K65" s="253" t="n"/>
      <c r="L65" s="253" t="n"/>
      <c r="M65" s="253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>
      <c r="A66" s="253" t="n"/>
      <c r="B66" s="253" t="n"/>
      <c r="C66" s="253" t="n"/>
      <c r="D66" s="253" t="n"/>
      <c r="E66" s="253" t="n"/>
      <c r="F66" s="253" t="n"/>
      <c r="G66" s="253" t="n"/>
      <c r="H66" s="253" t="n"/>
      <c r="I66" s="253" t="n"/>
      <c r="J66" s="253" t="n"/>
      <c r="K66" s="253" t="n"/>
      <c r="L66" s="253" t="n"/>
      <c r="M66" s="253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>
      <c r="A67" s="253" t="n"/>
      <c r="B67" s="253" t="n"/>
      <c r="C67" s="253" t="n"/>
      <c r="D67" s="253" t="n"/>
      <c r="E67" s="253" t="n"/>
      <c r="F67" s="253" t="n"/>
      <c r="G67" s="253" t="n"/>
      <c r="H67" s="253" t="n"/>
      <c r="I67" s="253" t="n"/>
      <c r="J67" s="253" t="n"/>
      <c r="K67" s="253" t="n"/>
      <c r="L67" s="253" t="n"/>
      <c r="M67" s="253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>
      <c r="A68" s="253" t="n"/>
      <c r="B68" s="253" t="n"/>
      <c r="C68" s="253" t="n"/>
      <c r="D68" s="253" t="n"/>
      <c r="E68" s="253" t="n"/>
      <c r="F68" s="253" t="n"/>
      <c r="G68" s="253" t="n"/>
      <c r="H68" s="253" t="n"/>
      <c r="I68" s="253" t="n"/>
      <c r="J68" s="253" t="n"/>
      <c r="K68" s="253" t="n"/>
      <c r="L68" s="253" t="n"/>
      <c r="M68" s="253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>
      <c r="A69" s="253" t="n"/>
      <c r="B69" s="253" t="n"/>
      <c r="C69" s="253" t="n"/>
      <c r="D69" s="253" t="n"/>
      <c r="E69" s="253" t="n"/>
      <c r="F69" s="253" t="n"/>
      <c r="G69" s="253" t="n"/>
      <c r="H69" s="253" t="n"/>
      <c r="I69" s="253" t="n"/>
      <c r="J69" s="253" t="n"/>
      <c r="K69" s="253" t="n"/>
      <c r="L69" s="253" t="n"/>
      <c r="M69" s="253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>
      <c r="A70" s="253" t="n"/>
      <c r="B70" s="253" t="n"/>
      <c r="C70" s="253" t="n"/>
      <c r="D70" s="253" t="n"/>
      <c r="E70" s="253" t="n"/>
      <c r="F70" s="253" t="n"/>
      <c r="G70" s="253" t="n"/>
      <c r="H70" s="253" t="n"/>
      <c r="I70" s="253" t="n"/>
      <c r="J70" s="253" t="n"/>
      <c r="K70" s="253" t="n"/>
      <c r="L70" s="253" t="n"/>
      <c r="M70" s="253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>
      <c r="A71" s="253" t="n"/>
      <c r="B71" s="253" t="n"/>
      <c r="C71" s="253" t="n"/>
      <c r="D71" s="253" t="n"/>
      <c r="E71" s="253" t="n"/>
      <c r="F71" s="253" t="n"/>
      <c r="G71" s="253" t="n"/>
      <c r="H71" s="253" t="n"/>
      <c r="I71" s="253" t="n"/>
      <c r="J71" s="253" t="n"/>
      <c r="K71" s="253" t="n"/>
      <c r="L71" s="253" t="n"/>
      <c r="M71" s="253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>
      <c r="A72" s="253" t="n"/>
      <c r="B72" s="253" t="n"/>
      <c r="C72" s="253" t="n"/>
      <c r="D72" s="253" t="n"/>
      <c r="E72" s="253" t="n"/>
      <c r="F72" s="253" t="n"/>
      <c r="G72" s="253" t="n"/>
      <c r="H72" s="253" t="n"/>
      <c r="I72" s="253" t="n"/>
      <c r="J72" s="253" t="n"/>
      <c r="K72" s="253" t="n"/>
      <c r="L72" s="253" t="n"/>
      <c r="M72" s="253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>
      <c r="A73" s="253" t="n"/>
      <c r="B73" s="253" t="n"/>
      <c r="C73" s="253" t="n"/>
      <c r="D73" s="253" t="n"/>
      <c r="E73" s="253" t="n"/>
      <c r="F73" s="253" t="n"/>
      <c r="G73" s="253" t="n"/>
      <c r="H73" s="253" t="n"/>
      <c r="I73" s="253" t="n"/>
      <c r="J73" s="253" t="n"/>
      <c r="K73" s="253" t="n"/>
      <c r="L73" s="253" t="n"/>
      <c r="M73" s="253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>
      <c r="A74" s="253" t="n"/>
      <c r="B74" s="253" t="n"/>
      <c r="C74" s="253" t="n"/>
      <c r="D74" s="253" t="n"/>
      <c r="E74" s="253" t="n"/>
      <c r="F74" s="253" t="n"/>
      <c r="G74" s="253" t="n"/>
      <c r="H74" s="253" t="n"/>
      <c r="I74" s="253" t="n"/>
      <c r="J74" s="253" t="n"/>
      <c r="K74" s="253" t="n"/>
      <c r="L74" s="253" t="n"/>
      <c r="M74" s="253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>
      <c r="A75" s="253" t="n"/>
      <c r="B75" s="253" t="n"/>
      <c r="C75" s="253" t="n"/>
      <c r="D75" s="253" t="n"/>
      <c r="E75" s="253" t="n"/>
      <c r="F75" s="253" t="n"/>
      <c r="G75" s="253" t="n"/>
      <c r="H75" s="253" t="n"/>
      <c r="I75" s="253" t="n"/>
      <c r="J75" s="253" t="n"/>
      <c r="K75" s="253" t="n"/>
      <c r="L75" s="253" t="n"/>
      <c r="M75" s="253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>
      <c r="A76" s="253" t="n"/>
      <c r="B76" s="253" t="n"/>
      <c r="C76" s="253" t="n"/>
      <c r="D76" s="253" t="n"/>
      <c r="E76" s="253" t="n"/>
      <c r="F76" s="253" t="n"/>
      <c r="G76" s="253" t="n"/>
      <c r="H76" s="253" t="n"/>
      <c r="I76" s="253" t="n"/>
      <c r="J76" s="253" t="n"/>
      <c r="K76" s="253" t="n"/>
      <c r="L76" s="253" t="n"/>
      <c r="M76" s="253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>
      <c r="A77" s="253" t="n"/>
      <c r="B77" s="253" t="n"/>
      <c r="C77" s="253" t="n"/>
      <c r="D77" s="253" t="n"/>
      <c r="E77" s="253" t="n"/>
      <c r="F77" s="253" t="n"/>
      <c r="G77" s="253" t="n"/>
      <c r="H77" s="253" t="n"/>
      <c r="I77" s="253" t="n"/>
      <c r="J77" s="253" t="n"/>
      <c r="K77" s="253" t="n"/>
      <c r="L77" s="253" t="n"/>
      <c r="M77" s="253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>
      <c r="A78" s="253" t="n"/>
      <c r="B78" s="253" t="n"/>
      <c r="C78" s="253" t="n"/>
      <c r="D78" s="253" t="n"/>
      <c r="E78" s="253" t="n"/>
      <c r="F78" s="253" t="n"/>
      <c r="G78" s="253" t="n"/>
      <c r="H78" s="253" t="n"/>
      <c r="I78" s="253" t="n"/>
      <c r="J78" s="253" t="n"/>
      <c r="K78" s="253" t="n"/>
      <c r="L78" s="253" t="n"/>
      <c r="M78" s="253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>
      <c r="A79" s="253" t="n"/>
      <c r="B79" s="253" t="n"/>
      <c r="C79" s="253" t="n"/>
      <c r="D79" s="253" t="n"/>
      <c r="E79" s="253" t="n"/>
      <c r="F79" s="253" t="n"/>
      <c r="G79" s="253" t="n"/>
      <c r="H79" s="253" t="n"/>
      <c r="I79" s="253" t="n"/>
      <c r="J79" s="253" t="n"/>
      <c r="K79" s="253" t="n"/>
      <c r="L79" s="253" t="n"/>
      <c r="M79" s="253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>
      <c r="A80" s="253" t="n"/>
      <c r="B80" s="253" t="n"/>
      <c r="C80" s="253" t="n"/>
      <c r="D80" s="253" t="n"/>
      <c r="E80" s="253" t="n"/>
      <c r="F80" s="253" t="n"/>
      <c r="G80" s="253" t="n"/>
      <c r="H80" s="253" t="n"/>
      <c r="I80" s="253" t="n"/>
      <c r="J80" s="253" t="n"/>
      <c r="K80" s="253" t="n"/>
      <c r="L80" s="253" t="n"/>
      <c r="M80" s="253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>
      <c r="A81" s="253" t="n"/>
      <c r="B81" s="253" t="n"/>
      <c r="C81" s="253" t="n"/>
      <c r="D81" s="253" t="n"/>
      <c r="E81" s="253" t="n"/>
      <c r="F81" s="253" t="n"/>
      <c r="G81" s="253" t="n"/>
      <c r="H81" s="253" t="n"/>
      <c r="I81" s="253" t="n"/>
      <c r="J81" s="253" t="n"/>
      <c r="K81" s="253" t="n"/>
      <c r="L81" s="253" t="n"/>
      <c r="M81" s="253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>
      <c r="A82" s="253" t="n"/>
      <c r="B82" s="253" t="n"/>
      <c r="C82" s="253" t="n"/>
      <c r="D82" s="253" t="n"/>
      <c r="E82" s="253" t="n"/>
      <c r="F82" s="253" t="n"/>
      <c r="G82" s="253" t="n"/>
      <c r="H82" s="253" t="n"/>
      <c r="I82" s="253" t="n"/>
      <c r="J82" s="253" t="n"/>
      <c r="K82" s="253" t="n"/>
      <c r="L82" s="253" t="n"/>
      <c r="M82" s="253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>
      <c r="A83" s="253" t="n"/>
      <c r="B83" s="253" t="n"/>
      <c r="C83" s="253" t="n"/>
      <c r="D83" s="253" t="n"/>
      <c r="E83" s="253" t="n"/>
      <c r="F83" s="253" t="n"/>
      <c r="G83" s="253" t="n"/>
      <c r="H83" s="253" t="n"/>
      <c r="I83" s="253" t="n"/>
      <c r="J83" s="253" t="n"/>
      <c r="K83" s="253" t="n"/>
      <c r="L83" s="253" t="n"/>
      <c r="M83" s="253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>
      <c r="A84" s="253" t="n"/>
      <c r="B84" s="253" t="n"/>
      <c r="C84" s="253" t="n"/>
      <c r="D84" s="253" t="n"/>
      <c r="E84" s="253" t="n"/>
      <c r="F84" s="253" t="n"/>
      <c r="G84" s="253" t="n"/>
      <c r="H84" s="253" t="n"/>
      <c r="I84" s="253" t="n"/>
      <c r="J84" s="253" t="n"/>
      <c r="K84" s="253" t="n"/>
      <c r="L84" s="253" t="n"/>
      <c r="M84" s="253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>
      <c r="A85" s="253" t="n"/>
      <c r="B85" s="253" t="n"/>
      <c r="C85" s="253" t="n"/>
      <c r="D85" s="253" t="n"/>
      <c r="E85" s="253" t="n"/>
      <c r="F85" s="253" t="n"/>
      <c r="G85" s="253" t="n"/>
      <c r="H85" s="253" t="n"/>
      <c r="I85" s="253" t="n"/>
      <c r="J85" s="253" t="n"/>
      <c r="K85" s="253" t="n"/>
      <c r="L85" s="253" t="n"/>
      <c r="M85" s="253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>
      <c r="A86" s="253" t="n"/>
      <c r="B86" s="253" t="n"/>
      <c r="C86" s="253" t="n"/>
      <c r="D86" s="253" t="n"/>
      <c r="E86" s="253" t="n"/>
      <c r="F86" s="253" t="n"/>
      <c r="G86" s="253" t="n"/>
      <c r="H86" s="253" t="n"/>
      <c r="I86" s="253" t="n"/>
      <c r="J86" s="253" t="n"/>
      <c r="K86" s="253" t="n"/>
      <c r="L86" s="253" t="n"/>
      <c r="M86" s="253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>
      <c r="A87" s="253" t="n"/>
      <c r="B87" s="253" t="n"/>
      <c r="C87" s="253" t="n"/>
      <c r="D87" s="253" t="n"/>
      <c r="E87" s="253" t="n"/>
      <c r="F87" s="253" t="n"/>
      <c r="G87" s="253" t="n"/>
      <c r="H87" s="253" t="n"/>
      <c r="I87" s="253" t="n"/>
      <c r="J87" s="253" t="n"/>
      <c r="K87" s="253" t="n"/>
      <c r="L87" s="253" t="n"/>
      <c r="M87" s="253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>
      <c r="A88" s="253" t="n"/>
      <c r="B88" s="253" t="n"/>
      <c r="C88" s="253" t="n"/>
      <c r="D88" s="253" t="n"/>
      <c r="E88" s="253" t="n"/>
      <c r="F88" s="253" t="n"/>
      <c r="G88" s="253" t="n"/>
      <c r="H88" s="253" t="n"/>
      <c r="I88" s="253" t="n"/>
      <c r="J88" s="253" t="n"/>
      <c r="K88" s="253" t="n"/>
      <c r="L88" s="253" t="n"/>
      <c r="M88" s="253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>
      <c r="A89" s="253" t="n"/>
      <c r="B89" s="253" t="n"/>
      <c r="C89" s="253" t="n"/>
      <c r="D89" s="253" t="n"/>
      <c r="E89" s="253" t="n"/>
      <c r="F89" s="253" t="n"/>
      <c r="G89" s="253" t="n"/>
      <c r="H89" s="253" t="n"/>
      <c r="I89" s="253" t="n"/>
      <c r="J89" s="253" t="n"/>
      <c r="K89" s="253" t="n"/>
      <c r="L89" s="253" t="n"/>
      <c r="M89" s="253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>
      <c r="A90" s="253" t="n"/>
      <c r="B90" s="253" t="n"/>
      <c r="C90" s="253" t="n"/>
      <c r="D90" s="253" t="n"/>
      <c r="E90" s="253" t="n"/>
      <c r="F90" s="253" t="n"/>
      <c r="G90" s="253" t="n"/>
      <c r="H90" s="253" t="n"/>
      <c r="I90" s="253" t="n"/>
      <c r="J90" s="253" t="n"/>
      <c r="K90" s="253" t="n"/>
      <c r="L90" s="253" t="n"/>
      <c r="M90" s="253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>
      <c r="A91" s="253" t="n"/>
      <c r="B91" s="253" t="n"/>
      <c r="C91" s="253" t="n"/>
      <c r="D91" s="253" t="n"/>
      <c r="E91" s="253" t="n"/>
      <c r="F91" s="253" t="n"/>
      <c r="G91" s="253" t="n"/>
      <c r="H91" s="253" t="n"/>
      <c r="I91" s="253" t="n"/>
      <c r="J91" s="253" t="n"/>
      <c r="K91" s="253" t="n"/>
      <c r="L91" s="253" t="n"/>
      <c r="M91" s="253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>
      <c r="A92" s="253" t="n"/>
      <c r="B92" s="253" t="n"/>
      <c r="C92" s="253" t="n"/>
      <c r="D92" s="253" t="n"/>
      <c r="E92" s="253" t="n"/>
      <c r="F92" s="253" t="n"/>
      <c r="G92" s="253" t="n"/>
      <c r="H92" s="253" t="n"/>
      <c r="I92" s="253" t="n"/>
      <c r="J92" s="253" t="n"/>
      <c r="K92" s="253" t="n"/>
      <c r="L92" s="253" t="n"/>
      <c r="M92" s="253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>
      <c r="A93" s="253" t="n"/>
      <c r="B93" s="253" t="n"/>
      <c r="C93" s="253" t="n"/>
      <c r="D93" s="253" t="n"/>
      <c r="E93" s="253" t="n"/>
      <c r="F93" s="253" t="n"/>
      <c r="G93" s="253" t="n"/>
      <c r="H93" s="253" t="n"/>
      <c r="I93" s="253" t="n"/>
      <c r="J93" s="253" t="n"/>
      <c r="K93" s="253" t="n"/>
      <c r="L93" s="253" t="n"/>
      <c r="M93" s="253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>
      <c r="A94" s="253" t="n"/>
      <c r="B94" s="253" t="n"/>
      <c r="C94" s="253" t="n"/>
      <c r="D94" s="253" t="n"/>
      <c r="E94" s="253" t="n"/>
      <c r="F94" s="253" t="n"/>
      <c r="G94" s="253" t="n"/>
      <c r="H94" s="253" t="n"/>
      <c r="I94" s="253" t="n"/>
      <c r="J94" s="253" t="n"/>
      <c r="K94" s="253" t="n"/>
      <c r="L94" s="253" t="n"/>
      <c r="M94" s="253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>
      <c r="A95" s="253" t="n"/>
      <c r="B95" s="253" t="n"/>
      <c r="C95" s="253" t="n"/>
      <c r="D95" s="253" t="n"/>
      <c r="E95" s="253" t="n"/>
      <c r="F95" s="253" t="n"/>
      <c r="G95" s="253" t="n"/>
      <c r="H95" s="253" t="n"/>
      <c r="I95" s="253" t="n"/>
      <c r="J95" s="253" t="n"/>
      <c r="K95" s="253" t="n"/>
      <c r="L95" s="253" t="n"/>
      <c r="M95" s="253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>
      <c r="A96" s="253" t="n"/>
      <c r="B96" s="253" t="n"/>
      <c r="C96" s="253" t="n"/>
      <c r="D96" s="253" t="n"/>
      <c r="E96" s="253" t="n"/>
      <c r="F96" s="253" t="n"/>
      <c r="G96" s="253" t="n"/>
      <c r="H96" s="253" t="n"/>
      <c r="I96" s="253" t="n"/>
      <c r="J96" s="253" t="n"/>
      <c r="K96" s="253" t="n"/>
      <c r="L96" s="253" t="n"/>
      <c r="M96" s="253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>
      <c r="A97" s="253" t="n"/>
      <c r="B97" s="253" t="n"/>
      <c r="C97" s="253" t="n"/>
      <c r="D97" s="253" t="n"/>
      <c r="E97" s="253" t="n"/>
      <c r="F97" s="253" t="n"/>
      <c r="G97" s="253" t="n"/>
      <c r="H97" s="253" t="n"/>
      <c r="I97" s="253" t="n"/>
      <c r="J97" s="253" t="n"/>
      <c r="K97" s="253" t="n"/>
      <c r="L97" s="253" t="n"/>
      <c r="M97" s="253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>
      <c r="A98" s="253" t="n"/>
      <c r="B98" s="253" t="n"/>
      <c r="C98" s="253" t="n"/>
      <c r="D98" s="253" t="n"/>
      <c r="E98" s="253" t="n"/>
      <c r="F98" s="253" t="n"/>
      <c r="G98" s="253" t="n"/>
      <c r="H98" s="253" t="n"/>
      <c r="I98" s="253" t="n"/>
      <c r="J98" s="253" t="n"/>
      <c r="K98" s="253" t="n"/>
      <c r="L98" s="253" t="n"/>
      <c r="M98" s="253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>
      <c r="A99" s="253" t="n"/>
      <c r="B99" s="253" t="n"/>
      <c r="C99" s="253" t="n"/>
      <c r="D99" s="253" t="n"/>
      <c r="E99" s="253" t="n"/>
      <c r="F99" s="253" t="n"/>
      <c r="G99" s="253" t="n"/>
      <c r="H99" s="253" t="n"/>
      <c r="I99" s="253" t="n"/>
      <c r="J99" s="253" t="n"/>
      <c r="K99" s="253" t="n"/>
      <c r="L99" s="253" t="n"/>
      <c r="M99" s="253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>
      <c r="A100" s="253" t="n"/>
      <c r="B100" s="253" t="n"/>
      <c r="C100" s="253" t="n"/>
      <c r="D100" s="253" t="n"/>
      <c r="E100" s="253" t="n"/>
      <c r="F100" s="253" t="n"/>
      <c r="G100" s="253" t="n"/>
      <c r="H100" s="253" t="n"/>
      <c r="I100" s="253" t="n"/>
      <c r="J100" s="253" t="n"/>
      <c r="K100" s="253" t="n"/>
      <c r="L100" s="253" t="n"/>
      <c r="M100" s="253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>
      <c r="A101" s="253" t="n"/>
      <c r="B101" s="253" t="n"/>
      <c r="C101" s="253" t="n"/>
      <c r="D101" s="253" t="n"/>
      <c r="E101" s="253" t="n"/>
      <c r="F101" s="253" t="n"/>
      <c r="G101" s="253" t="n"/>
      <c r="H101" s="253" t="n"/>
      <c r="I101" s="253" t="n"/>
      <c r="J101" s="253" t="n"/>
      <c r="K101" s="253" t="n"/>
      <c r="L101" s="253" t="n"/>
      <c r="M101" s="253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>
      <c r="A102" s="253" t="n"/>
      <c r="B102" s="253" t="n"/>
      <c r="C102" s="253" t="n"/>
      <c r="D102" s="253" t="n"/>
      <c r="E102" s="253" t="n"/>
      <c r="F102" s="253" t="n"/>
      <c r="G102" s="253" t="n"/>
      <c r="H102" s="253" t="n"/>
      <c r="I102" s="253" t="n"/>
      <c r="J102" s="253" t="n"/>
      <c r="K102" s="253" t="n"/>
      <c r="L102" s="253" t="n"/>
      <c r="M102" s="253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>
      <c r="A103" s="253" t="n"/>
      <c r="B103" s="253" t="n"/>
      <c r="C103" s="253" t="n"/>
      <c r="D103" s="253" t="n"/>
      <c r="E103" s="253" t="n"/>
      <c r="F103" s="253" t="n"/>
      <c r="G103" s="253" t="n"/>
      <c r="H103" s="253" t="n"/>
      <c r="I103" s="253" t="n"/>
      <c r="J103" s="253" t="n"/>
      <c r="K103" s="253" t="n"/>
      <c r="L103" s="253" t="n"/>
      <c r="M103" s="253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>
      <c r="A104" s="253" t="n"/>
      <c r="B104" s="253" t="n"/>
      <c r="C104" s="253" t="n"/>
      <c r="D104" s="253" t="n"/>
      <c r="E104" s="253" t="n"/>
      <c r="F104" s="253" t="n"/>
      <c r="G104" s="253" t="n"/>
      <c r="H104" s="253" t="n"/>
      <c r="I104" s="253" t="n"/>
      <c r="J104" s="253" t="n"/>
      <c r="K104" s="253" t="n"/>
      <c r="L104" s="253" t="n"/>
      <c r="M104" s="253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>
      <c r="A105" s="253" t="n"/>
      <c r="B105" s="253" t="n"/>
      <c r="C105" s="253" t="n"/>
      <c r="D105" s="253" t="n"/>
      <c r="E105" s="253" t="n"/>
      <c r="F105" s="253" t="n"/>
      <c r="G105" s="253" t="n"/>
      <c r="H105" s="253" t="n"/>
      <c r="I105" s="253" t="n"/>
      <c r="J105" s="253" t="n"/>
      <c r="K105" s="253" t="n"/>
      <c r="L105" s="253" t="n"/>
      <c r="M105" s="253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6">
    <mergeCell ref="A2:O2"/>
    <mergeCell ref="A1:O1"/>
    <mergeCell ref="A17:B17"/>
    <mergeCell ref="A22:O22"/>
    <mergeCell ref="D17:E17"/>
    <mergeCell ref="A3:B3"/>
  </mergeCells>
  <dataValidations count="1">
    <dataValidation sqref="C3" showDropDown="0" showInputMessage="0" showErrorMessage="0" allowBlank="0" type="list">
      <formula1>"General,Production / Raw Materials,Logistics,IT/SaaS,Engineering / Service Outsourcing,Indirect Procurement,Custom"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3" customWidth="1" style="280" min="1" max="1"/>
    <col width="26" customWidth="1" style="280" min="2" max="2"/>
    <col width="14" customWidth="1" style="280" min="3" max="3"/>
    <col width="14" customWidth="1" style="280" min="4" max="4"/>
    <col width="10" customWidth="1" style="280" min="5" max="5"/>
    <col width="14" customWidth="1" style="280" min="6" max="6"/>
    <col width="12" customWidth="1" style="280" min="7" max="7"/>
    <col width="13" customWidth="1" style="280" min="8" max="8"/>
    <col width="13" customWidth="1" style="280" min="9" max="9"/>
    <col width="10" customWidth="1" style="280" min="10" max="10"/>
    <col width="16" customWidth="1" style="280" min="11" max="11"/>
    <col width="32" customWidth="1" style="280" min="12" max="12"/>
  </cols>
  <sheetData>
    <row r="1">
      <c r="A1" s="257" t="inlineStr">
        <is>
          <t>Supplier Register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253" t="n"/>
      <c r="N1" s="253" t="n"/>
      <c r="O1" s="253" t="n"/>
      <c r="P1" s="253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Maintain supplier master data; Supplier ID is the link key for all scores and risk events.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253" t="n"/>
      <c r="N2" s="253" t="n"/>
      <c r="O2" s="253" t="n"/>
      <c r="P2" s="253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>
      <c r="A4" s="253" t="n"/>
      <c r="B4" s="253" t="n"/>
      <c r="C4" s="253" t="n"/>
      <c r="D4" s="253" t="n"/>
      <c r="E4" s="253" t="n"/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2" customHeight="1" s="280">
      <c r="A5" s="31" t="inlineStr">
        <is>
          <t>Supplier ID</t>
        </is>
      </c>
      <c r="B5" s="32" t="inlineStr">
        <is>
          <t>Supplier Name</t>
        </is>
      </c>
      <c r="C5" s="32" t="inlineStr">
        <is>
          <t>Supplier Category</t>
        </is>
      </c>
      <c r="D5" s="32" t="inlineStr">
        <is>
          <t>Country / Region</t>
        </is>
      </c>
      <c r="E5" s="32" t="inlineStr">
        <is>
          <t>Criticality</t>
        </is>
      </c>
      <c r="F5" s="32" t="inlineStr">
        <is>
          <t>Annual Spend</t>
        </is>
      </c>
      <c r="G5" s="32" t="inlineStr">
        <is>
          <t>Owner</t>
        </is>
      </c>
      <c r="H5" s="32" t="inlineStr">
        <is>
          <t>Onboarding Date</t>
        </is>
      </c>
      <c r="I5" s="32" t="inlineStr">
        <is>
          <t>Contract End Date</t>
        </is>
      </c>
      <c r="J5" s="32" t="inlineStr">
        <is>
          <t>Status</t>
        </is>
      </c>
      <c r="K5" s="32" t="inlineStr">
        <is>
          <t>Business Scenario</t>
        </is>
      </c>
      <c r="L5" s="33" t="inlineStr">
        <is>
          <t>Notes</t>
        </is>
      </c>
      <c r="M5" s="253" t="n"/>
      <c r="N5" s="253" t="n"/>
      <c r="O5" s="25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22" customHeight="1" s="280">
      <c r="A6" s="66" t="inlineStr">
        <is>
          <t>SUP-0001</t>
        </is>
      </c>
      <c r="B6" s="67" t="inlineStr">
        <is>
          <t>Eastbridge Precision Manufacturing</t>
        </is>
      </c>
      <c r="C6" s="67" t="inlineStr">
        <is>
          <t>Raw Materials</t>
        </is>
      </c>
      <c r="D6" s="67" t="inlineStr">
        <is>
          <t>United States / East Coast</t>
        </is>
      </c>
      <c r="E6" s="67" t="inlineStr">
        <is>
          <t>Critical</t>
        </is>
      </c>
      <c r="F6" s="301" t="n">
        <v>8500000</v>
      </c>
      <c r="G6" s="67" t="inlineStr">
        <is>
          <t>John Miller</t>
        </is>
      </c>
      <c r="H6" s="302" t="n">
        <v>44576</v>
      </c>
      <c r="I6" s="302" t="n">
        <v>46387</v>
      </c>
      <c r="J6" s="67" t="inlineStr">
        <is>
          <t>Active</t>
        </is>
      </c>
      <c r="K6" s="67" t="inlineStr">
        <is>
          <t>Production / Raw Materials</t>
        </is>
      </c>
      <c r="L6" s="68" t="inlineStr">
        <is>
          <t>Core machining supplier</t>
        </is>
      </c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22" customHeight="1" s="280">
      <c r="A7" s="69" t="inlineStr">
        <is>
          <t>SUP-0002</t>
        </is>
      </c>
      <c r="B7" s="70" t="inlineStr">
        <is>
          <t>Northstar Logistics Group</t>
        </is>
      </c>
      <c r="C7" s="70" t="inlineStr">
        <is>
          <t>Logistics</t>
        </is>
      </c>
      <c r="D7" s="70" t="inlineStr">
        <is>
          <t>United States / Midwest</t>
        </is>
      </c>
      <c r="E7" s="70" t="inlineStr">
        <is>
          <t>Important</t>
        </is>
      </c>
      <c r="F7" s="303" t="n">
        <v>3200000</v>
      </c>
      <c r="G7" s="70" t="inlineStr">
        <is>
          <t>Emily Carter</t>
        </is>
      </c>
      <c r="H7" s="304" t="n">
        <v>45078</v>
      </c>
      <c r="I7" s="304" t="n">
        <v>46203</v>
      </c>
      <c r="J7" s="70" t="inlineStr">
        <is>
          <t>Active</t>
        </is>
      </c>
      <c r="K7" s="70" t="inlineStr">
        <is>
          <t>Logistics</t>
        </is>
      </c>
      <c r="L7" s="71" t="inlineStr">
        <is>
          <t>Line-haul transport and warehousing</t>
        </is>
      </c>
      <c r="M7" s="253" t="n"/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22" customHeight="1" s="280">
      <c r="A8" s="69" t="inlineStr">
        <is>
          <t>SUP-0003</t>
        </is>
      </c>
      <c r="B8" s="70" t="inlineStr">
        <is>
          <t>Cloudway SaaS Services</t>
        </is>
      </c>
      <c r="C8" s="70" t="inlineStr">
        <is>
          <t>IT/SaaS</t>
        </is>
      </c>
      <c r="D8" s="70" t="inlineStr">
        <is>
          <t>United States / Southeast</t>
        </is>
      </c>
      <c r="E8" s="70" t="inlineStr">
        <is>
          <t>Important</t>
        </is>
      </c>
      <c r="F8" s="303" t="n">
        <v>1100000</v>
      </c>
      <c r="G8" s="70" t="inlineStr">
        <is>
          <t>Michael Brooks</t>
        </is>
      </c>
      <c r="H8" s="304" t="n">
        <v>45352</v>
      </c>
      <c r="I8" s="304" t="n">
        <v>46112</v>
      </c>
      <c r="J8" s="70" t="inlineStr">
        <is>
          <t>Active</t>
        </is>
      </c>
      <c r="K8" s="70" t="inlineStr">
        <is>
          <t>IT/SaaS</t>
        </is>
      </c>
      <c r="L8" s="71" t="inlineStr">
        <is>
          <t>Procurement collaboration system</t>
        </is>
      </c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22" customHeight="1" s="280">
      <c r="A9" s="69" t="inlineStr">
        <is>
          <t>SUP-0004</t>
        </is>
      </c>
      <c r="B9" s="70" t="inlineStr">
        <is>
          <t>EuroTech Electronic Components</t>
        </is>
      </c>
      <c r="C9" s="70" t="inlineStr">
        <is>
          <t>Electronic Components</t>
        </is>
      </c>
      <c r="D9" s="70" t="inlineStr">
        <is>
          <t>Germany</t>
        </is>
      </c>
      <c r="E9" s="70" t="inlineStr">
        <is>
          <t>Critical</t>
        </is>
      </c>
      <c r="F9" s="303" t="n">
        <v>6800000</v>
      </c>
      <c r="G9" s="70" t="inlineStr">
        <is>
          <t>Sarah Wilson</t>
        </is>
      </c>
      <c r="H9" s="304" t="n">
        <v>44449</v>
      </c>
      <c r="I9" s="304" t="n">
        <v>46295</v>
      </c>
      <c r="J9" s="70" t="inlineStr">
        <is>
          <t>Active</t>
        </is>
      </c>
      <c r="K9" s="70" t="inlineStr">
        <is>
          <t>Production / Raw Materials</t>
        </is>
      </c>
      <c r="L9" s="71" t="inlineStr">
        <is>
          <t>Critical imported component</t>
        </is>
      </c>
      <c r="M9" s="253" t="n"/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22" customHeight="1" s="280">
      <c r="A10" s="69" t="inlineStr">
        <is>
          <t>SUP-0005</t>
        </is>
      </c>
      <c r="B10" s="70" t="inlineStr">
        <is>
          <t>GreenPack Technologies</t>
        </is>
      </c>
      <c r="C10" s="70" t="inlineStr">
        <is>
          <t>Packaging Materials</t>
        </is>
      </c>
      <c r="D10" s="70" t="inlineStr">
        <is>
          <t>United States / East Coast</t>
        </is>
      </c>
      <c r="E10" s="70" t="inlineStr">
        <is>
          <t>General</t>
        </is>
      </c>
      <c r="F10" s="303" t="n">
        <v>900000</v>
      </c>
      <c r="G10" s="70" t="inlineStr">
        <is>
          <t>Laura Davis</t>
        </is>
      </c>
      <c r="H10" s="304" t="n">
        <v>45250</v>
      </c>
      <c r="I10" s="304" t="n">
        <v>46345</v>
      </c>
      <c r="J10" s="70" t="inlineStr">
        <is>
          <t>Active</t>
        </is>
      </c>
      <c r="K10" s="70" t="inlineStr">
        <is>
          <t>Indirect Procurement</t>
        </is>
      </c>
      <c r="L10" s="71" t="inlineStr">
        <is>
          <t>Eco packaging materials</t>
        </is>
      </c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22" customHeight="1" s="280">
      <c r="A11" s="69" t="inlineStr">
        <is>
          <t>SUP-0006</t>
        </is>
      </c>
      <c r="B11" s="70" t="inlineStr">
        <is>
          <t>Bluewater Engineering Services</t>
        </is>
      </c>
      <c r="C11" s="70" t="inlineStr">
        <is>
          <t>Engineering Contracting</t>
        </is>
      </c>
      <c r="D11" s="70" t="inlineStr">
        <is>
          <t>United States / Southeast</t>
        </is>
      </c>
      <c r="E11" s="70" t="inlineStr">
        <is>
          <t>Important</t>
        </is>
      </c>
      <c r="F11" s="303" t="n">
        <v>2400000</v>
      </c>
      <c r="G11" s="70" t="inlineStr">
        <is>
          <t>Robert Evans</t>
        </is>
      </c>
      <c r="H11" s="304" t="n">
        <v>45424</v>
      </c>
      <c r="I11" s="304" t="n">
        <v>46153</v>
      </c>
      <c r="J11" s="70" t="inlineStr">
        <is>
          <t>Under Review</t>
        </is>
      </c>
      <c r="K11" s="70" t="inlineStr">
        <is>
          <t>Engineering / Service Outsourcing</t>
        </is>
      </c>
      <c r="L11" s="71" t="inlineStr">
        <is>
          <t>Equipment installation and commissioning</t>
        </is>
      </c>
      <c r="M11" s="253" t="n"/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22" customHeight="1" s="280">
      <c r="A12" s="69" t="inlineStr">
        <is>
          <t>SUP-0007</t>
        </is>
      </c>
      <c r="B12" s="70" t="inlineStr">
        <is>
          <t>Frontier Energy Materials</t>
        </is>
      </c>
      <c r="C12" s="70" t="inlineStr">
        <is>
          <t>Raw Materials</t>
        </is>
      </c>
      <c r="D12" s="70" t="inlineStr">
        <is>
          <t>United States / Pacific Northwest</t>
        </is>
      </c>
      <c r="E12" s="70" t="inlineStr">
        <is>
          <t>Critical</t>
        </is>
      </c>
      <c r="F12" s="303" t="n">
        <v>7200000</v>
      </c>
      <c r="G12" s="70" t="inlineStr">
        <is>
          <t>Daniel Harris</t>
        </is>
      </c>
      <c r="H12" s="304" t="n">
        <v>44774</v>
      </c>
      <c r="I12" s="304" t="n">
        <v>46265</v>
      </c>
      <c r="J12" s="70" t="inlineStr">
        <is>
          <t>Active</t>
        </is>
      </c>
      <c r="K12" s="70" t="inlineStr">
        <is>
          <t>Production / Raw Materials</t>
        </is>
      </c>
      <c r="L12" s="71" t="inlineStr">
        <is>
          <t>Energy materials supply</t>
        </is>
      </c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22" customHeight="1" s="280">
      <c r="A13" s="69" t="inlineStr">
        <is>
          <t>SUP-0008</t>
        </is>
      </c>
      <c r="B13" s="70" t="inlineStr">
        <is>
          <t>Mekong Critical Parts Supply</t>
        </is>
      </c>
      <c r="C13" s="70" t="inlineStr">
        <is>
          <t>Critical Parts</t>
        </is>
      </c>
      <c r="D13" s="70" t="inlineStr">
        <is>
          <t>Vietnam</t>
        </is>
      </c>
      <c r="E13" s="70" t="inlineStr">
        <is>
          <t>Critical</t>
        </is>
      </c>
      <c r="F13" s="303" t="n">
        <v>5600000</v>
      </c>
      <c r="G13" s="70" t="inlineStr">
        <is>
          <t>Kevin Moore</t>
        </is>
      </c>
      <c r="H13" s="304" t="n">
        <v>44975</v>
      </c>
      <c r="I13" s="304" t="n">
        <v>46070</v>
      </c>
      <c r="J13" s="70" t="inlineStr">
        <is>
          <t>Active</t>
        </is>
      </c>
      <c r="K13" s="70" t="inlineStr">
        <is>
          <t>Production / Raw Materials</t>
        </is>
      </c>
      <c r="L13" s="71" t="inlineStr">
        <is>
          <t>Customs clearance and geopolitical risk need attention</t>
        </is>
      </c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22" customHeight="1" s="280">
      <c r="A14" s="69" t="inlineStr">
        <is>
          <t>SUP-0009</t>
        </is>
      </c>
      <c r="B14" s="70" t="inlineStr">
        <is>
          <t>SecureLink Cyber Services</t>
        </is>
      </c>
      <c r="C14" s="70" t="inlineStr">
        <is>
          <t>Professional Services</t>
        </is>
      </c>
      <c r="D14" s="70" t="inlineStr">
        <is>
          <t>United States / East Coast</t>
        </is>
      </c>
      <c r="E14" s="70" t="inlineStr">
        <is>
          <t>Important</t>
        </is>
      </c>
      <c r="F14" s="303" t="n">
        <v>1500000</v>
      </c>
      <c r="G14" s="70" t="inlineStr">
        <is>
          <t>Andrew Clark</t>
        </is>
      </c>
      <c r="H14" s="304" t="n">
        <v>45566</v>
      </c>
      <c r="I14" s="304" t="n">
        <v>46296</v>
      </c>
      <c r="J14" s="70" t="inlineStr">
        <is>
          <t>Active</t>
        </is>
      </c>
      <c r="K14" s="70" t="inlineStr">
        <is>
          <t>IT/SaaS</t>
        </is>
      </c>
      <c r="L14" s="71" t="inlineStr">
        <is>
          <t>Security testing and operations</t>
        </is>
      </c>
      <c r="M14" s="253" t="n"/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22" customHeight="1" s="280">
      <c r="A15" s="69" t="inlineStr">
        <is>
          <t>SUP-0010</t>
        </is>
      </c>
      <c r="B15" s="70" t="inlineStr">
        <is>
          <t>Metro Facility Maintenance</t>
        </is>
      </c>
      <c r="C15" s="70" t="inlineStr">
        <is>
          <t>Outsourced Services</t>
        </is>
      </c>
      <c r="D15" s="70" t="inlineStr">
        <is>
          <t>United States / Midwest</t>
        </is>
      </c>
      <c r="E15" s="70" t="inlineStr">
        <is>
          <t>General</t>
        </is>
      </c>
      <c r="F15" s="303" t="n">
        <v>650000</v>
      </c>
      <c r="G15" s="70" t="inlineStr">
        <is>
          <t>Rachel Adams</t>
        </is>
      </c>
      <c r="H15" s="304" t="n">
        <v>45662</v>
      </c>
      <c r="I15" s="304" t="n">
        <v>46391</v>
      </c>
      <c r="J15" s="70" t="inlineStr">
        <is>
          <t>Active</t>
        </is>
      </c>
      <c r="K15" s="70" t="inlineStr">
        <is>
          <t>Engineering / Service Outsourcing</t>
        </is>
      </c>
      <c r="L15" s="71" t="inlineStr">
        <is>
          <t>Facility maintenance</t>
        </is>
      </c>
      <c r="M15" s="253" t="n"/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22" customHeight="1" s="280">
      <c r="A16" s="69" t="n"/>
      <c r="B16" s="70" t="n"/>
      <c r="C16" s="70" t="n"/>
      <c r="D16" s="70" t="n"/>
      <c r="E16" s="70" t="n"/>
      <c r="F16" s="303" t="n"/>
      <c r="G16" s="70" t="n"/>
      <c r="H16" s="304" t="n"/>
      <c r="I16" s="304" t="n"/>
      <c r="J16" s="70" t="n"/>
      <c r="K16" s="70" t="n"/>
      <c r="L16" s="71" t="n"/>
      <c r="M16" s="253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22" customHeight="1" s="280">
      <c r="A17" s="69" t="n"/>
      <c r="B17" s="70" t="n"/>
      <c r="C17" s="70" t="n"/>
      <c r="D17" s="70" t="n"/>
      <c r="E17" s="70" t="n"/>
      <c r="F17" s="303" t="n"/>
      <c r="G17" s="70" t="n"/>
      <c r="H17" s="304" t="n"/>
      <c r="I17" s="304" t="n"/>
      <c r="J17" s="70" t="n"/>
      <c r="K17" s="70" t="n"/>
      <c r="L17" s="71" t="n"/>
      <c r="M17" s="253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22" customHeight="1" s="280">
      <c r="A18" s="69" t="n"/>
      <c r="B18" s="70" t="n"/>
      <c r="C18" s="70" t="n"/>
      <c r="D18" s="70" t="n"/>
      <c r="E18" s="70" t="n"/>
      <c r="F18" s="303" t="n"/>
      <c r="G18" s="70" t="n"/>
      <c r="H18" s="304" t="n"/>
      <c r="I18" s="304" t="n"/>
      <c r="J18" s="70" t="n"/>
      <c r="K18" s="70" t="n"/>
      <c r="L18" s="71" t="n"/>
      <c r="M18" s="253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22" customHeight="1" s="280">
      <c r="A19" s="69" t="n"/>
      <c r="B19" s="70" t="n"/>
      <c r="C19" s="70" t="n"/>
      <c r="D19" s="70" t="n"/>
      <c r="E19" s="70" t="n"/>
      <c r="F19" s="303" t="n"/>
      <c r="G19" s="70" t="n"/>
      <c r="H19" s="304" t="n"/>
      <c r="I19" s="304" t="n"/>
      <c r="J19" s="70" t="n"/>
      <c r="K19" s="70" t="n"/>
      <c r="L19" s="71" t="n"/>
      <c r="M19" s="253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22" customHeight="1" s="280">
      <c r="A20" s="69" t="n"/>
      <c r="B20" s="70" t="n"/>
      <c r="C20" s="70" t="n"/>
      <c r="D20" s="70" t="n"/>
      <c r="E20" s="70" t="n"/>
      <c r="F20" s="303" t="n"/>
      <c r="G20" s="70" t="n"/>
      <c r="H20" s="304" t="n"/>
      <c r="I20" s="304" t="n"/>
      <c r="J20" s="70" t="n"/>
      <c r="K20" s="70" t="n"/>
      <c r="L20" s="71" t="n"/>
      <c r="M20" s="253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 ht="22" customHeight="1" s="280">
      <c r="A21" s="69" t="n"/>
      <c r="B21" s="70" t="n"/>
      <c r="C21" s="70" t="n"/>
      <c r="D21" s="70" t="n"/>
      <c r="E21" s="70" t="n"/>
      <c r="F21" s="303" t="n"/>
      <c r="G21" s="70" t="n"/>
      <c r="H21" s="304" t="n"/>
      <c r="I21" s="304" t="n"/>
      <c r="J21" s="70" t="n"/>
      <c r="K21" s="70" t="n"/>
      <c r="L21" s="71" t="n"/>
      <c r="M21" s="253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 ht="22" customHeight="1" s="280">
      <c r="A22" s="69" t="n"/>
      <c r="B22" s="70" t="n"/>
      <c r="C22" s="70" t="n"/>
      <c r="D22" s="70" t="n"/>
      <c r="E22" s="70" t="n"/>
      <c r="F22" s="303" t="n"/>
      <c r="G22" s="70" t="n"/>
      <c r="H22" s="304" t="n"/>
      <c r="I22" s="304" t="n"/>
      <c r="J22" s="70" t="n"/>
      <c r="K22" s="70" t="n"/>
      <c r="L22" s="71" t="n"/>
      <c r="M22" s="253" t="n"/>
      <c r="N22" s="253" t="n"/>
      <c r="O22" s="253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 ht="22" customHeight="1" s="280">
      <c r="A23" s="69" t="n"/>
      <c r="B23" s="70" t="n"/>
      <c r="C23" s="70" t="n"/>
      <c r="D23" s="70" t="n"/>
      <c r="E23" s="70" t="n"/>
      <c r="F23" s="303" t="n"/>
      <c r="G23" s="70" t="n"/>
      <c r="H23" s="304" t="n"/>
      <c r="I23" s="304" t="n"/>
      <c r="J23" s="70" t="n"/>
      <c r="K23" s="70" t="n"/>
      <c r="L23" s="71" t="n"/>
      <c r="M23" s="253" t="n"/>
      <c r="N23" s="253" t="n"/>
      <c r="O23" s="253" t="n"/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 ht="22" customHeight="1" s="280">
      <c r="A24" s="69" t="n"/>
      <c r="B24" s="70" t="n"/>
      <c r="C24" s="70" t="n"/>
      <c r="D24" s="70" t="n"/>
      <c r="E24" s="70" t="n"/>
      <c r="F24" s="303" t="n"/>
      <c r="G24" s="70" t="n"/>
      <c r="H24" s="304" t="n"/>
      <c r="I24" s="304" t="n"/>
      <c r="J24" s="70" t="n"/>
      <c r="K24" s="70" t="n"/>
      <c r="L24" s="71" t="n"/>
      <c r="M24" s="253" t="n"/>
      <c r="N24" s="253" t="n"/>
      <c r="O24" s="253" t="n"/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 ht="22" customHeight="1" s="280">
      <c r="A25" s="69" t="n"/>
      <c r="B25" s="70" t="n"/>
      <c r="C25" s="70" t="n"/>
      <c r="D25" s="70" t="n"/>
      <c r="E25" s="70" t="n"/>
      <c r="F25" s="303" t="n"/>
      <c r="G25" s="70" t="n"/>
      <c r="H25" s="304" t="n"/>
      <c r="I25" s="304" t="n"/>
      <c r="J25" s="70" t="n"/>
      <c r="K25" s="70" t="n"/>
      <c r="L25" s="71" t="n"/>
      <c r="M25" s="253" t="n"/>
      <c r="N25" s="253" t="n"/>
      <c r="O25" s="253" t="n"/>
      <c r="P25" s="253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 ht="22" customHeight="1" s="280">
      <c r="A26" s="69" t="n"/>
      <c r="B26" s="70" t="n"/>
      <c r="C26" s="70" t="n"/>
      <c r="D26" s="70" t="n"/>
      <c r="E26" s="70" t="n"/>
      <c r="F26" s="303" t="n"/>
      <c r="G26" s="70" t="n"/>
      <c r="H26" s="304" t="n"/>
      <c r="I26" s="304" t="n"/>
      <c r="J26" s="70" t="n"/>
      <c r="K26" s="70" t="n"/>
      <c r="L26" s="71" t="n"/>
      <c r="M26" s="253" t="n"/>
      <c r="N26" s="253" t="n"/>
      <c r="O26" s="253" t="n"/>
      <c r="P26" s="253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 ht="22" customHeight="1" s="280">
      <c r="A27" s="69" t="n"/>
      <c r="B27" s="70" t="n"/>
      <c r="C27" s="70" t="n"/>
      <c r="D27" s="70" t="n"/>
      <c r="E27" s="70" t="n"/>
      <c r="F27" s="303" t="n"/>
      <c r="G27" s="70" t="n"/>
      <c r="H27" s="304" t="n"/>
      <c r="I27" s="304" t="n"/>
      <c r="J27" s="70" t="n"/>
      <c r="K27" s="70" t="n"/>
      <c r="L27" s="71" t="n"/>
      <c r="M27" s="253" t="n"/>
      <c r="N27" s="253" t="n"/>
      <c r="O27" s="253" t="n"/>
      <c r="P27" s="253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 ht="22" customHeight="1" s="280">
      <c r="A28" s="69" t="n"/>
      <c r="B28" s="70" t="n"/>
      <c r="C28" s="70" t="n"/>
      <c r="D28" s="70" t="n"/>
      <c r="E28" s="70" t="n"/>
      <c r="F28" s="303" t="n"/>
      <c r="G28" s="70" t="n"/>
      <c r="H28" s="304" t="n"/>
      <c r="I28" s="304" t="n"/>
      <c r="J28" s="70" t="n"/>
      <c r="K28" s="70" t="n"/>
      <c r="L28" s="71" t="n"/>
      <c r="M28" s="253" t="n"/>
      <c r="N28" s="253" t="n"/>
      <c r="O28" s="253" t="n"/>
      <c r="P28" s="253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 ht="22" customHeight="1" s="280">
      <c r="A29" s="69" t="n"/>
      <c r="B29" s="70" t="n"/>
      <c r="C29" s="70" t="n"/>
      <c r="D29" s="70" t="n"/>
      <c r="E29" s="70" t="n"/>
      <c r="F29" s="303" t="n"/>
      <c r="G29" s="70" t="n"/>
      <c r="H29" s="304" t="n"/>
      <c r="I29" s="304" t="n"/>
      <c r="J29" s="70" t="n"/>
      <c r="K29" s="70" t="n"/>
      <c r="L29" s="71" t="n"/>
      <c r="M29" s="253" t="n"/>
      <c r="N29" s="253" t="n"/>
      <c r="O29" s="253" t="n"/>
      <c r="P29" s="253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 ht="22" customHeight="1" s="280">
      <c r="A30" s="69" t="n"/>
      <c r="B30" s="70" t="n"/>
      <c r="C30" s="70" t="n"/>
      <c r="D30" s="70" t="n"/>
      <c r="E30" s="70" t="n"/>
      <c r="F30" s="303" t="n"/>
      <c r="G30" s="70" t="n"/>
      <c r="H30" s="304" t="n"/>
      <c r="I30" s="304" t="n"/>
      <c r="J30" s="70" t="n"/>
      <c r="K30" s="70" t="n"/>
      <c r="L30" s="71" t="n"/>
      <c r="M30" s="253" t="n"/>
      <c r="N30" s="253" t="n"/>
      <c r="O30" s="253" t="n"/>
      <c r="P30" s="253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 ht="22" customHeight="1" s="280">
      <c r="A31" s="69" t="n"/>
      <c r="B31" s="70" t="n"/>
      <c r="C31" s="70" t="n"/>
      <c r="D31" s="70" t="n"/>
      <c r="E31" s="70" t="n"/>
      <c r="F31" s="303" t="n"/>
      <c r="G31" s="70" t="n"/>
      <c r="H31" s="304" t="n"/>
      <c r="I31" s="304" t="n"/>
      <c r="J31" s="70" t="n"/>
      <c r="K31" s="70" t="n"/>
      <c r="L31" s="71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 ht="22" customHeight="1" s="280">
      <c r="A32" s="69" t="n"/>
      <c r="B32" s="70" t="n"/>
      <c r="C32" s="70" t="n"/>
      <c r="D32" s="70" t="n"/>
      <c r="E32" s="70" t="n"/>
      <c r="F32" s="303" t="n"/>
      <c r="G32" s="70" t="n"/>
      <c r="H32" s="304" t="n"/>
      <c r="I32" s="304" t="n"/>
      <c r="J32" s="70" t="n"/>
      <c r="K32" s="70" t="n"/>
      <c r="L32" s="71" t="n"/>
      <c r="M32" s="253" t="n"/>
      <c r="N32" s="253" t="n"/>
      <c r="O32" s="253" t="n"/>
      <c r="P32" s="253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 ht="22" customHeight="1" s="280">
      <c r="A33" s="69" t="n"/>
      <c r="B33" s="70" t="n"/>
      <c r="C33" s="70" t="n"/>
      <c r="D33" s="70" t="n"/>
      <c r="E33" s="70" t="n"/>
      <c r="F33" s="303" t="n"/>
      <c r="G33" s="70" t="n"/>
      <c r="H33" s="304" t="n"/>
      <c r="I33" s="304" t="n"/>
      <c r="J33" s="70" t="n"/>
      <c r="K33" s="70" t="n"/>
      <c r="L33" s="71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 ht="22" customHeight="1" s="280">
      <c r="A34" s="69" t="n"/>
      <c r="B34" s="70" t="n"/>
      <c r="C34" s="70" t="n"/>
      <c r="D34" s="70" t="n"/>
      <c r="E34" s="70" t="n"/>
      <c r="F34" s="303" t="n"/>
      <c r="G34" s="70" t="n"/>
      <c r="H34" s="304" t="n"/>
      <c r="I34" s="304" t="n"/>
      <c r="J34" s="70" t="n"/>
      <c r="K34" s="70" t="n"/>
      <c r="L34" s="71" t="n"/>
      <c r="M34" s="253" t="n"/>
      <c r="N34" s="253" t="n"/>
      <c r="O34" s="253" t="n"/>
      <c r="P34" s="253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 ht="22" customHeight="1" s="280">
      <c r="A35" s="69" t="n"/>
      <c r="B35" s="70" t="n"/>
      <c r="C35" s="70" t="n"/>
      <c r="D35" s="70" t="n"/>
      <c r="E35" s="70" t="n"/>
      <c r="F35" s="303" t="n"/>
      <c r="G35" s="70" t="n"/>
      <c r="H35" s="304" t="n"/>
      <c r="I35" s="304" t="n"/>
      <c r="J35" s="70" t="n"/>
      <c r="K35" s="70" t="n"/>
      <c r="L35" s="71" t="n"/>
      <c r="M35" s="253" t="n"/>
      <c r="N35" s="253" t="n"/>
      <c r="O35" s="253" t="n"/>
      <c r="P35" s="253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 ht="22" customHeight="1" s="280">
      <c r="A36" s="69" t="n"/>
      <c r="B36" s="70" t="n"/>
      <c r="C36" s="70" t="n"/>
      <c r="D36" s="70" t="n"/>
      <c r="E36" s="70" t="n"/>
      <c r="F36" s="303" t="n"/>
      <c r="G36" s="70" t="n"/>
      <c r="H36" s="304" t="n"/>
      <c r="I36" s="304" t="n"/>
      <c r="J36" s="70" t="n"/>
      <c r="K36" s="70" t="n"/>
      <c r="L36" s="71" t="n"/>
      <c r="M36" s="253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 ht="22" customHeight="1" s="280">
      <c r="A37" s="69" t="n"/>
      <c r="B37" s="70" t="n"/>
      <c r="C37" s="70" t="n"/>
      <c r="D37" s="70" t="n"/>
      <c r="E37" s="70" t="n"/>
      <c r="F37" s="303" t="n"/>
      <c r="G37" s="70" t="n"/>
      <c r="H37" s="304" t="n"/>
      <c r="I37" s="304" t="n"/>
      <c r="J37" s="70" t="n"/>
      <c r="K37" s="70" t="n"/>
      <c r="L37" s="71" t="n"/>
      <c r="M37" s="253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 ht="22" customHeight="1" s="280">
      <c r="A38" s="69" t="n"/>
      <c r="B38" s="70" t="n"/>
      <c r="C38" s="70" t="n"/>
      <c r="D38" s="70" t="n"/>
      <c r="E38" s="70" t="n"/>
      <c r="F38" s="303" t="n"/>
      <c r="G38" s="70" t="n"/>
      <c r="H38" s="304" t="n"/>
      <c r="I38" s="304" t="n"/>
      <c r="J38" s="70" t="n"/>
      <c r="K38" s="70" t="n"/>
      <c r="L38" s="71" t="n"/>
      <c r="M38" s="253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 ht="22" customHeight="1" s="280">
      <c r="A39" s="69" t="n"/>
      <c r="B39" s="70" t="n"/>
      <c r="C39" s="70" t="n"/>
      <c r="D39" s="70" t="n"/>
      <c r="E39" s="70" t="n"/>
      <c r="F39" s="303" t="n"/>
      <c r="G39" s="70" t="n"/>
      <c r="H39" s="304" t="n"/>
      <c r="I39" s="304" t="n"/>
      <c r="J39" s="70" t="n"/>
      <c r="K39" s="70" t="n"/>
      <c r="L39" s="71" t="n"/>
      <c r="M39" s="253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 ht="22" customHeight="1" s="280">
      <c r="A40" s="69" t="n"/>
      <c r="B40" s="70" t="n"/>
      <c r="C40" s="70" t="n"/>
      <c r="D40" s="70" t="n"/>
      <c r="E40" s="70" t="n"/>
      <c r="F40" s="303" t="n"/>
      <c r="G40" s="70" t="n"/>
      <c r="H40" s="304" t="n"/>
      <c r="I40" s="304" t="n"/>
      <c r="J40" s="70" t="n"/>
      <c r="K40" s="70" t="n"/>
      <c r="L40" s="71" t="n"/>
      <c r="M40" s="253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 ht="22" customHeight="1" s="280">
      <c r="A41" s="69" t="n"/>
      <c r="B41" s="70" t="n"/>
      <c r="C41" s="70" t="n"/>
      <c r="D41" s="70" t="n"/>
      <c r="E41" s="70" t="n"/>
      <c r="F41" s="303" t="n"/>
      <c r="G41" s="70" t="n"/>
      <c r="H41" s="304" t="n"/>
      <c r="I41" s="304" t="n"/>
      <c r="J41" s="70" t="n"/>
      <c r="K41" s="70" t="n"/>
      <c r="L41" s="71" t="n"/>
      <c r="M41" s="253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 ht="22" customHeight="1" s="280">
      <c r="A42" s="69" t="n"/>
      <c r="B42" s="70" t="n"/>
      <c r="C42" s="70" t="n"/>
      <c r="D42" s="70" t="n"/>
      <c r="E42" s="70" t="n"/>
      <c r="F42" s="303" t="n"/>
      <c r="G42" s="70" t="n"/>
      <c r="H42" s="304" t="n"/>
      <c r="I42" s="304" t="n"/>
      <c r="J42" s="70" t="n"/>
      <c r="K42" s="70" t="n"/>
      <c r="L42" s="71" t="n"/>
      <c r="M42" s="253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 ht="22" customHeight="1" s="280">
      <c r="A43" s="69" t="n"/>
      <c r="B43" s="70" t="n"/>
      <c r="C43" s="70" t="n"/>
      <c r="D43" s="70" t="n"/>
      <c r="E43" s="70" t="n"/>
      <c r="F43" s="303" t="n"/>
      <c r="G43" s="70" t="n"/>
      <c r="H43" s="304" t="n"/>
      <c r="I43" s="304" t="n"/>
      <c r="J43" s="70" t="n"/>
      <c r="K43" s="70" t="n"/>
      <c r="L43" s="71" t="n"/>
      <c r="M43" s="253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 ht="22" customHeight="1" s="280">
      <c r="A44" s="69" t="n"/>
      <c r="B44" s="70" t="n"/>
      <c r="C44" s="70" t="n"/>
      <c r="D44" s="70" t="n"/>
      <c r="E44" s="70" t="n"/>
      <c r="F44" s="303" t="n"/>
      <c r="G44" s="70" t="n"/>
      <c r="H44" s="304" t="n"/>
      <c r="I44" s="304" t="n"/>
      <c r="J44" s="70" t="n"/>
      <c r="K44" s="70" t="n"/>
      <c r="L44" s="71" t="n"/>
      <c r="M44" s="253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 ht="22" customHeight="1" s="280">
      <c r="A45" s="69" t="n"/>
      <c r="B45" s="70" t="n"/>
      <c r="C45" s="70" t="n"/>
      <c r="D45" s="70" t="n"/>
      <c r="E45" s="70" t="n"/>
      <c r="F45" s="303" t="n"/>
      <c r="G45" s="70" t="n"/>
      <c r="H45" s="304" t="n"/>
      <c r="I45" s="304" t="n"/>
      <c r="J45" s="70" t="n"/>
      <c r="K45" s="70" t="n"/>
      <c r="L45" s="71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 ht="22" customHeight="1" s="280">
      <c r="A46" s="69" t="n"/>
      <c r="B46" s="70" t="n"/>
      <c r="C46" s="70" t="n"/>
      <c r="D46" s="70" t="n"/>
      <c r="E46" s="70" t="n"/>
      <c r="F46" s="303" t="n"/>
      <c r="G46" s="70" t="n"/>
      <c r="H46" s="304" t="n"/>
      <c r="I46" s="304" t="n"/>
      <c r="J46" s="70" t="n"/>
      <c r="K46" s="70" t="n"/>
      <c r="L46" s="71" t="n"/>
      <c r="M46" s="253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 ht="22" customHeight="1" s="280">
      <c r="A47" s="69" t="n"/>
      <c r="B47" s="70" t="n"/>
      <c r="C47" s="70" t="n"/>
      <c r="D47" s="70" t="n"/>
      <c r="E47" s="70" t="n"/>
      <c r="F47" s="303" t="n"/>
      <c r="G47" s="70" t="n"/>
      <c r="H47" s="304" t="n"/>
      <c r="I47" s="304" t="n"/>
      <c r="J47" s="70" t="n"/>
      <c r="K47" s="70" t="n"/>
      <c r="L47" s="71" t="n"/>
      <c r="M47" s="253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 ht="22" customHeight="1" s="280">
      <c r="A48" s="69" t="n"/>
      <c r="B48" s="70" t="n"/>
      <c r="C48" s="70" t="n"/>
      <c r="D48" s="70" t="n"/>
      <c r="E48" s="70" t="n"/>
      <c r="F48" s="303" t="n"/>
      <c r="G48" s="70" t="n"/>
      <c r="H48" s="304" t="n"/>
      <c r="I48" s="304" t="n"/>
      <c r="J48" s="70" t="n"/>
      <c r="K48" s="70" t="n"/>
      <c r="L48" s="71" t="n"/>
      <c r="M48" s="253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 ht="22" customHeight="1" s="280">
      <c r="A49" s="69" t="n"/>
      <c r="B49" s="70" t="n"/>
      <c r="C49" s="70" t="n"/>
      <c r="D49" s="70" t="n"/>
      <c r="E49" s="70" t="n"/>
      <c r="F49" s="303" t="n"/>
      <c r="G49" s="70" t="n"/>
      <c r="H49" s="304" t="n"/>
      <c r="I49" s="304" t="n"/>
      <c r="J49" s="70" t="n"/>
      <c r="K49" s="70" t="n"/>
      <c r="L49" s="71" t="n"/>
      <c r="M49" s="253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 ht="22" customHeight="1" s="280">
      <c r="A50" s="69" t="n"/>
      <c r="B50" s="70" t="n"/>
      <c r="C50" s="70" t="n"/>
      <c r="D50" s="70" t="n"/>
      <c r="E50" s="70" t="n"/>
      <c r="F50" s="303" t="n"/>
      <c r="G50" s="70" t="n"/>
      <c r="H50" s="304" t="n"/>
      <c r="I50" s="304" t="n"/>
      <c r="J50" s="70" t="n"/>
      <c r="K50" s="70" t="n"/>
      <c r="L50" s="71" t="n"/>
      <c r="M50" s="253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 ht="22" customHeight="1" s="280">
      <c r="A51" s="69" t="n"/>
      <c r="B51" s="70" t="n"/>
      <c r="C51" s="70" t="n"/>
      <c r="D51" s="70" t="n"/>
      <c r="E51" s="70" t="n"/>
      <c r="F51" s="303" t="n"/>
      <c r="G51" s="70" t="n"/>
      <c r="H51" s="304" t="n"/>
      <c r="I51" s="304" t="n"/>
      <c r="J51" s="70" t="n"/>
      <c r="K51" s="70" t="n"/>
      <c r="L51" s="71" t="n"/>
      <c r="M51" s="253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 ht="22" customHeight="1" s="280">
      <c r="A52" s="69" t="n"/>
      <c r="B52" s="70" t="n"/>
      <c r="C52" s="70" t="n"/>
      <c r="D52" s="70" t="n"/>
      <c r="E52" s="70" t="n"/>
      <c r="F52" s="303" t="n"/>
      <c r="G52" s="70" t="n"/>
      <c r="H52" s="304" t="n"/>
      <c r="I52" s="304" t="n"/>
      <c r="J52" s="70" t="n"/>
      <c r="K52" s="70" t="n"/>
      <c r="L52" s="71" t="n"/>
      <c r="M52" s="253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 ht="22" customHeight="1" s="280">
      <c r="A53" s="69" t="n"/>
      <c r="B53" s="70" t="n"/>
      <c r="C53" s="70" t="n"/>
      <c r="D53" s="70" t="n"/>
      <c r="E53" s="70" t="n"/>
      <c r="F53" s="303" t="n"/>
      <c r="G53" s="70" t="n"/>
      <c r="H53" s="304" t="n"/>
      <c r="I53" s="304" t="n"/>
      <c r="J53" s="70" t="n"/>
      <c r="K53" s="70" t="n"/>
      <c r="L53" s="71" t="n"/>
      <c r="M53" s="253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 ht="22" customHeight="1" s="280">
      <c r="A54" s="69" t="n"/>
      <c r="B54" s="70" t="n"/>
      <c r="C54" s="70" t="n"/>
      <c r="D54" s="70" t="n"/>
      <c r="E54" s="70" t="n"/>
      <c r="F54" s="303" t="n"/>
      <c r="G54" s="70" t="n"/>
      <c r="H54" s="304" t="n"/>
      <c r="I54" s="304" t="n"/>
      <c r="J54" s="70" t="n"/>
      <c r="K54" s="70" t="n"/>
      <c r="L54" s="71" t="n"/>
      <c r="M54" s="253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 ht="22" customHeight="1" s="280">
      <c r="A55" s="69" t="n"/>
      <c r="B55" s="70" t="n"/>
      <c r="C55" s="70" t="n"/>
      <c r="D55" s="70" t="n"/>
      <c r="E55" s="70" t="n"/>
      <c r="F55" s="303" t="n"/>
      <c r="G55" s="70" t="n"/>
      <c r="H55" s="304" t="n"/>
      <c r="I55" s="304" t="n"/>
      <c r="J55" s="70" t="n"/>
      <c r="K55" s="70" t="n"/>
      <c r="L55" s="71" t="n"/>
      <c r="M55" s="253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 ht="22" customHeight="1" s="280">
      <c r="A56" s="69" t="n"/>
      <c r="B56" s="70" t="n"/>
      <c r="C56" s="70" t="n"/>
      <c r="D56" s="70" t="n"/>
      <c r="E56" s="70" t="n"/>
      <c r="F56" s="303" t="n"/>
      <c r="G56" s="70" t="n"/>
      <c r="H56" s="304" t="n"/>
      <c r="I56" s="304" t="n"/>
      <c r="J56" s="70" t="n"/>
      <c r="K56" s="70" t="n"/>
      <c r="L56" s="71" t="n"/>
      <c r="M56" s="253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 ht="22" customHeight="1" s="280">
      <c r="A57" s="69" t="n"/>
      <c r="B57" s="70" t="n"/>
      <c r="C57" s="70" t="n"/>
      <c r="D57" s="70" t="n"/>
      <c r="E57" s="70" t="n"/>
      <c r="F57" s="303" t="n"/>
      <c r="G57" s="70" t="n"/>
      <c r="H57" s="304" t="n"/>
      <c r="I57" s="304" t="n"/>
      <c r="J57" s="70" t="n"/>
      <c r="K57" s="70" t="n"/>
      <c r="L57" s="71" t="n"/>
      <c r="M57" s="253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 ht="22" customHeight="1" s="280">
      <c r="A58" s="69" t="n"/>
      <c r="B58" s="70" t="n"/>
      <c r="C58" s="70" t="n"/>
      <c r="D58" s="70" t="n"/>
      <c r="E58" s="70" t="n"/>
      <c r="F58" s="303" t="n"/>
      <c r="G58" s="70" t="n"/>
      <c r="H58" s="304" t="n"/>
      <c r="I58" s="304" t="n"/>
      <c r="J58" s="70" t="n"/>
      <c r="K58" s="70" t="n"/>
      <c r="L58" s="71" t="n"/>
      <c r="M58" s="253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 ht="22" customHeight="1" s="280">
      <c r="A59" s="69" t="n"/>
      <c r="B59" s="70" t="n"/>
      <c r="C59" s="70" t="n"/>
      <c r="D59" s="70" t="n"/>
      <c r="E59" s="70" t="n"/>
      <c r="F59" s="303" t="n"/>
      <c r="G59" s="70" t="n"/>
      <c r="H59" s="304" t="n"/>
      <c r="I59" s="304" t="n"/>
      <c r="J59" s="70" t="n"/>
      <c r="K59" s="70" t="n"/>
      <c r="L59" s="71" t="n"/>
      <c r="M59" s="253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 ht="22" customHeight="1" s="280">
      <c r="A60" s="69" t="n"/>
      <c r="B60" s="70" t="n"/>
      <c r="C60" s="70" t="n"/>
      <c r="D60" s="70" t="n"/>
      <c r="E60" s="70" t="n"/>
      <c r="F60" s="303" t="n"/>
      <c r="G60" s="70" t="n"/>
      <c r="H60" s="304" t="n"/>
      <c r="I60" s="304" t="n"/>
      <c r="J60" s="70" t="n"/>
      <c r="K60" s="70" t="n"/>
      <c r="L60" s="71" t="n"/>
      <c r="M60" s="253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 ht="22" customHeight="1" s="280">
      <c r="A61" s="69" t="n"/>
      <c r="B61" s="70" t="n"/>
      <c r="C61" s="70" t="n"/>
      <c r="D61" s="70" t="n"/>
      <c r="E61" s="70" t="n"/>
      <c r="F61" s="303" t="n"/>
      <c r="G61" s="70" t="n"/>
      <c r="H61" s="304" t="n"/>
      <c r="I61" s="304" t="n"/>
      <c r="J61" s="70" t="n"/>
      <c r="K61" s="70" t="n"/>
      <c r="L61" s="71" t="n"/>
      <c r="M61" s="253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 ht="22" customHeight="1" s="280">
      <c r="A62" s="69" t="n"/>
      <c r="B62" s="70" t="n"/>
      <c r="C62" s="70" t="n"/>
      <c r="D62" s="70" t="n"/>
      <c r="E62" s="70" t="n"/>
      <c r="F62" s="303" t="n"/>
      <c r="G62" s="70" t="n"/>
      <c r="H62" s="304" t="n"/>
      <c r="I62" s="304" t="n"/>
      <c r="J62" s="70" t="n"/>
      <c r="K62" s="70" t="n"/>
      <c r="L62" s="71" t="n"/>
      <c r="M62" s="253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 ht="22" customHeight="1" s="280">
      <c r="A63" s="69" t="n"/>
      <c r="B63" s="70" t="n"/>
      <c r="C63" s="70" t="n"/>
      <c r="D63" s="70" t="n"/>
      <c r="E63" s="70" t="n"/>
      <c r="F63" s="303" t="n"/>
      <c r="G63" s="70" t="n"/>
      <c r="H63" s="304" t="n"/>
      <c r="I63" s="304" t="n"/>
      <c r="J63" s="70" t="n"/>
      <c r="K63" s="70" t="n"/>
      <c r="L63" s="71" t="n"/>
      <c r="M63" s="253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 ht="22" customHeight="1" s="280">
      <c r="A64" s="69" t="n"/>
      <c r="B64" s="70" t="n"/>
      <c r="C64" s="70" t="n"/>
      <c r="D64" s="70" t="n"/>
      <c r="E64" s="70" t="n"/>
      <c r="F64" s="303" t="n"/>
      <c r="G64" s="70" t="n"/>
      <c r="H64" s="304" t="n"/>
      <c r="I64" s="304" t="n"/>
      <c r="J64" s="70" t="n"/>
      <c r="K64" s="70" t="n"/>
      <c r="L64" s="71" t="n"/>
      <c r="M64" s="253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 ht="22" customHeight="1" s="280">
      <c r="A65" s="69" t="n"/>
      <c r="B65" s="70" t="n"/>
      <c r="C65" s="70" t="n"/>
      <c r="D65" s="70" t="n"/>
      <c r="E65" s="70" t="n"/>
      <c r="F65" s="303" t="n"/>
      <c r="G65" s="70" t="n"/>
      <c r="H65" s="304" t="n"/>
      <c r="I65" s="304" t="n"/>
      <c r="J65" s="70" t="n"/>
      <c r="K65" s="70" t="n"/>
      <c r="L65" s="71" t="n"/>
      <c r="M65" s="253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 ht="22" customHeight="1" s="280">
      <c r="A66" s="69" t="n"/>
      <c r="B66" s="70" t="n"/>
      <c r="C66" s="70" t="n"/>
      <c r="D66" s="70" t="n"/>
      <c r="E66" s="70" t="n"/>
      <c r="F66" s="303" t="n"/>
      <c r="G66" s="70" t="n"/>
      <c r="H66" s="304" t="n"/>
      <c r="I66" s="304" t="n"/>
      <c r="J66" s="70" t="n"/>
      <c r="K66" s="70" t="n"/>
      <c r="L66" s="71" t="n"/>
      <c r="M66" s="253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 ht="22" customHeight="1" s="280">
      <c r="A67" s="69" t="n"/>
      <c r="B67" s="70" t="n"/>
      <c r="C67" s="70" t="n"/>
      <c r="D67" s="70" t="n"/>
      <c r="E67" s="70" t="n"/>
      <c r="F67" s="303" t="n"/>
      <c r="G67" s="70" t="n"/>
      <c r="H67" s="304" t="n"/>
      <c r="I67" s="304" t="n"/>
      <c r="J67" s="70" t="n"/>
      <c r="K67" s="70" t="n"/>
      <c r="L67" s="71" t="n"/>
      <c r="M67" s="253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 ht="22" customHeight="1" s="280">
      <c r="A68" s="69" t="n"/>
      <c r="B68" s="70" t="n"/>
      <c r="C68" s="70" t="n"/>
      <c r="D68" s="70" t="n"/>
      <c r="E68" s="70" t="n"/>
      <c r="F68" s="303" t="n"/>
      <c r="G68" s="70" t="n"/>
      <c r="H68" s="304" t="n"/>
      <c r="I68" s="304" t="n"/>
      <c r="J68" s="70" t="n"/>
      <c r="K68" s="70" t="n"/>
      <c r="L68" s="71" t="n"/>
      <c r="M68" s="253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 ht="22" customHeight="1" s="280">
      <c r="A69" s="69" t="n"/>
      <c r="B69" s="70" t="n"/>
      <c r="C69" s="70" t="n"/>
      <c r="D69" s="70" t="n"/>
      <c r="E69" s="70" t="n"/>
      <c r="F69" s="303" t="n"/>
      <c r="G69" s="70" t="n"/>
      <c r="H69" s="304" t="n"/>
      <c r="I69" s="304" t="n"/>
      <c r="J69" s="70" t="n"/>
      <c r="K69" s="70" t="n"/>
      <c r="L69" s="71" t="n"/>
      <c r="M69" s="253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 ht="22" customHeight="1" s="280">
      <c r="A70" s="69" t="n"/>
      <c r="B70" s="70" t="n"/>
      <c r="C70" s="70" t="n"/>
      <c r="D70" s="70" t="n"/>
      <c r="E70" s="70" t="n"/>
      <c r="F70" s="303" t="n"/>
      <c r="G70" s="70" t="n"/>
      <c r="H70" s="304" t="n"/>
      <c r="I70" s="304" t="n"/>
      <c r="J70" s="70" t="n"/>
      <c r="K70" s="70" t="n"/>
      <c r="L70" s="71" t="n"/>
      <c r="M70" s="253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 ht="22" customHeight="1" s="280">
      <c r="A71" s="69" t="n"/>
      <c r="B71" s="70" t="n"/>
      <c r="C71" s="70" t="n"/>
      <c r="D71" s="70" t="n"/>
      <c r="E71" s="70" t="n"/>
      <c r="F71" s="303" t="n"/>
      <c r="G71" s="70" t="n"/>
      <c r="H71" s="304" t="n"/>
      <c r="I71" s="304" t="n"/>
      <c r="J71" s="70" t="n"/>
      <c r="K71" s="70" t="n"/>
      <c r="L71" s="71" t="n"/>
      <c r="M71" s="253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 ht="22" customHeight="1" s="280">
      <c r="A72" s="69" t="n"/>
      <c r="B72" s="70" t="n"/>
      <c r="C72" s="70" t="n"/>
      <c r="D72" s="70" t="n"/>
      <c r="E72" s="70" t="n"/>
      <c r="F72" s="303" t="n"/>
      <c r="G72" s="70" t="n"/>
      <c r="H72" s="304" t="n"/>
      <c r="I72" s="304" t="n"/>
      <c r="J72" s="70" t="n"/>
      <c r="K72" s="70" t="n"/>
      <c r="L72" s="71" t="n"/>
      <c r="M72" s="253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 ht="22" customHeight="1" s="280">
      <c r="A73" s="69" t="n"/>
      <c r="B73" s="70" t="n"/>
      <c r="C73" s="70" t="n"/>
      <c r="D73" s="70" t="n"/>
      <c r="E73" s="70" t="n"/>
      <c r="F73" s="303" t="n"/>
      <c r="G73" s="70" t="n"/>
      <c r="H73" s="304" t="n"/>
      <c r="I73" s="304" t="n"/>
      <c r="J73" s="70" t="n"/>
      <c r="K73" s="70" t="n"/>
      <c r="L73" s="71" t="n"/>
      <c r="M73" s="253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 ht="22" customHeight="1" s="280">
      <c r="A74" s="69" t="n"/>
      <c r="B74" s="70" t="n"/>
      <c r="C74" s="70" t="n"/>
      <c r="D74" s="70" t="n"/>
      <c r="E74" s="70" t="n"/>
      <c r="F74" s="303" t="n"/>
      <c r="G74" s="70" t="n"/>
      <c r="H74" s="304" t="n"/>
      <c r="I74" s="304" t="n"/>
      <c r="J74" s="70" t="n"/>
      <c r="K74" s="70" t="n"/>
      <c r="L74" s="71" t="n"/>
      <c r="M74" s="253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 ht="22" customHeight="1" s="280">
      <c r="A75" s="69" t="n"/>
      <c r="B75" s="70" t="n"/>
      <c r="C75" s="70" t="n"/>
      <c r="D75" s="70" t="n"/>
      <c r="E75" s="70" t="n"/>
      <c r="F75" s="303" t="n"/>
      <c r="G75" s="70" t="n"/>
      <c r="H75" s="304" t="n"/>
      <c r="I75" s="304" t="n"/>
      <c r="J75" s="70" t="n"/>
      <c r="K75" s="70" t="n"/>
      <c r="L75" s="71" t="n"/>
      <c r="M75" s="253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 ht="22" customHeight="1" s="280">
      <c r="A76" s="69" t="n"/>
      <c r="B76" s="70" t="n"/>
      <c r="C76" s="70" t="n"/>
      <c r="D76" s="70" t="n"/>
      <c r="E76" s="70" t="n"/>
      <c r="F76" s="303" t="n"/>
      <c r="G76" s="70" t="n"/>
      <c r="H76" s="304" t="n"/>
      <c r="I76" s="304" t="n"/>
      <c r="J76" s="70" t="n"/>
      <c r="K76" s="70" t="n"/>
      <c r="L76" s="71" t="n"/>
      <c r="M76" s="253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 ht="22" customHeight="1" s="280">
      <c r="A77" s="69" t="n"/>
      <c r="B77" s="70" t="n"/>
      <c r="C77" s="70" t="n"/>
      <c r="D77" s="70" t="n"/>
      <c r="E77" s="70" t="n"/>
      <c r="F77" s="303" t="n"/>
      <c r="G77" s="70" t="n"/>
      <c r="H77" s="304" t="n"/>
      <c r="I77" s="304" t="n"/>
      <c r="J77" s="70" t="n"/>
      <c r="K77" s="70" t="n"/>
      <c r="L77" s="71" t="n"/>
      <c r="M77" s="253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 ht="22" customHeight="1" s="280">
      <c r="A78" s="69" t="n"/>
      <c r="B78" s="70" t="n"/>
      <c r="C78" s="70" t="n"/>
      <c r="D78" s="70" t="n"/>
      <c r="E78" s="70" t="n"/>
      <c r="F78" s="303" t="n"/>
      <c r="G78" s="70" t="n"/>
      <c r="H78" s="304" t="n"/>
      <c r="I78" s="304" t="n"/>
      <c r="J78" s="70" t="n"/>
      <c r="K78" s="70" t="n"/>
      <c r="L78" s="71" t="n"/>
      <c r="M78" s="253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 ht="22" customHeight="1" s="280">
      <c r="A79" s="69" t="n"/>
      <c r="B79" s="70" t="n"/>
      <c r="C79" s="70" t="n"/>
      <c r="D79" s="70" t="n"/>
      <c r="E79" s="70" t="n"/>
      <c r="F79" s="303" t="n"/>
      <c r="G79" s="70" t="n"/>
      <c r="H79" s="304" t="n"/>
      <c r="I79" s="304" t="n"/>
      <c r="J79" s="70" t="n"/>
      <c r="K79" s="70" t="n"/>
      <c r="L79" s="71" t="n"/>
      <c r="M79" s="253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 ht="22" customHeight="1" s="280">
      <c r="A80" s="69" t="n"/>
      <c r="B80" s="70" t="n"/>
      <c r="C80" s="70" t="n"/>
      <c r="D80" s="70" t="n"/>
      <c r="E80" s="70" t="n"/>
      <c r="F80" s="303" t="n"/>
      <c r="G80" s="70" t="n"/>
      <c r="H80" s="304" t="n"/>
      <c r="I80" s="304" t="n"/>
      <c r="J80" s="70" t="n"/>
      <c r="K80" s="70" t="n"/>
      <c r="L80" s="71" t="n"/>
      <c r="M80" s="253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 ht="22" customHeight="1" s="280">
      <c r="A81" s="69" t="n"/>
      <c r="B81" s="70" t="n"/>
      <c r="C81" s="70" t="n"/>
      <c r="D81" s="70" t="n"/>
      <c r="E81" s="70" t="n"/>
      <c r="F81" s="303" t="n"/>
      <c r="G81" s="70" t="n"/>
      <c r="H81" s="304" t="n"/>
      <c r="I81" s="304" t="n"/>
      <c r="J81" s="70" t="n"/>
      <c r="K81" s="70" t="n"/>
      <c r="L81" s="71" t="n"/>
      <c r="M81" s="253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 ht="22" customHeight="1" s="280">
      <c r="A82" s="69" t="n"/>
      <c r="B82" s="70" t="n"/>
      <c r="C82" s="70" t="n"/>
      <c r="D82" s="70" t="n"/>
      <c r="E82" s="70" t="n"/>
      <c r="F82" s="303" t="n"/>
      <c r="G82" s="70" t="n"/>
      <c r="H82" s="304" t="n"/>
      <c r="I82" s="304" t="n"/>
      <c r="J82" s="70" t="n"/>
      <c r="K82" s="70" t="n"/>
      <c r="L82" s="71" t="n"/>
      <c r="M82" s="253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 ht="22" customHeight="1" s="280">
      <c r="A83" s="69" t="n"/>
      <c r="B83" s="70" t="n"/>
      <c r="C83" s="70" t="n"/>
      <c r="D83" s="70" t="n"/>
      <c r="E83" s="70" t="n"/>
      <c r="F83" s="303" t="n"/>
      <c r="G83" s="70" t="n"/>
      <c r="H83" s="304" t="n"/>
      <c r="I83" s="304" t="n"/>
      <c r="J83" s="70" t="n"/>
      <c r="K83" s="70" t="n"/>
      <c r="L83" s="71" t="n"/>
      <c r="M83" s="253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 ht="22" customHeight="1" s="280">
      <c r="A84" s="69" t="n"/>
      <c r="B84" s="70" t="n"/>
      <c r="C84" s="70" t="n"/>
      <c r="D84" s="70" t="n"/>
      <c r="E84" s="70" t="n"/>
      <c r="F84" s="303" t="n"/>
      <c r="G84" s="70" t="n"/>
      <c r="H84" s="304" t="n"/>
      <c r="I84" s="304" t="n"/>
      <c r="J84" s="70" t="n"/>
      <c r="K84" s="70" t="n"/>
      <c r="L84" s="71" t="n"/>
      <c r="M84" s="253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 ht="22" customHeight="1" s="280">
      <c r="A85" s="69" t="n"/>
      <c r="B85" s="70" t="n"/>
      <c r="C85" s="70" t="n"/>
      <c r="D85" s="70" t="n"/>
      <c r="E85" s="70" t="n"/>
      <c r="F85" s="303" t="n"/>
      <c r="G85" s="70" t="n"/>
      <c r="H85" s="304" t="n"/>
      <c r="I85" s="304" t="n"/>
      <c r="J85" s="70" t="n"/>
      <c r="K85" s="70" t="n"/>
      <c r="L85" s="71" t="n"/>
      <c r="M85" s="253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 ht="22" customHeight="1" s="280">
      <c r="A86" s="69" t="n"/>
      <c r="B86" s="70" t="n"/>
      <c r="C86" s="70" t="n"/>
      <c r="D86" s="70" t="n"/>
      <c r="E86" s="70" t="n"/>
      <c r="F86" s="303" t="n"/>
      <c r="G86" s="70" t="n"/>
      <c r="H86" s="304" t="n"/>
      <c r="I86" s="304" t="n"/>
      <c r="J86" s="70" t="n"/>
      <c r="K86" s="70" t="n"/>
      <c r="L86" s="71" t="n"/>
      <c r="M86" s="253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 ht="22" customHeight="1" s="280">
      <c r="A87" s="69" t="n"/>
      <c r="B87" s="70" t="n"/>
      <c r="C87" s="70" t="n"/>
      <c r="D87" s="70" t="n"/>
      <c r="E87" s="70" t="n"/>
      <c r="F87" s="303" t="n"/>
      <c r="G87" s="70" t="n"/>
      <c r="H87" s="304" t="n"/>
      <c r="I87" s="304" t="n"/>
      <c r="J87" s="70" t="n"/>
      <c r="K87" s="70" t="n"/>
      <c r="L87" s="71" t="n"/>
      <c r="M87" s="253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 ht="22" customHeight="1" s="280">
      <c r="A88" s="69" t="n"/>
      <c r="B88" s="70" t="n"/>
      <c r="C88" s="70" t="n"/>
      <c r="D88" s="70" t="n"/>
      <c r="E88" s="70" t="n"/>
      <c r="F88" s="303" t="n"/>
      <c r="G88" s="70" t="n"/>
      <c r="H88" s="304" t="n"/>
      <c r="I88" s="304" t="n"/>
      <c r="J88" s="70" t="n"/>
      <c r="K88" s="70" t="n"/>
      <c r="L88" s="71" t="n"/>
      <c r="M88" s="253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 ht="22" customHeight="1" s="280">
      <c r="A89" s="69" t="n"/>
      <c r="B89" s="70" t="n"/>
      <c r="C89" s="70" t="n"/>
      <c r="D89" s="70" t="n"/>
      <c r="E89" s="70" t="n"/>
      <c r="F89" s="303" t="n"/>
      <c r="G89" s="70" t="n"/>
      <c r="H89" s="304" t="n"/>
      <c r="I89" s="304" t="n"/>
      <c r="J89" s="70" t="n"/>
      <c r="K89" s="70" t="n"/>
      <c r="L89" s="71" t="n"/>
      <c r="M89" s="253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 ht="22" customHeight="1" s="280">
      <c r="A90" s="69" t="n"/>
      <c r="B90" s="70" t="n"/>
      <c r="C90" s="70" t="n"/>
      <c r="D90" s="70" t="n"/>
      <c r="E90" s="70" t="n"/>
      <c r="F90" s="303" t="n"/>
      <c r="G90" s="70" t="n"/>
      <c r="H90" s="304" t="n"/>
      <c r="I90" s="304" t="n"/>
      <c r="J90" s="70" t="n"/>
      <c r="K90" s="70" t="n"/>
      <c r="L90" s="71" t="n"/>
      <c r="M90" s="253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 ht="22" customHeight="1" s="280">
      <c r="A91" s="69" t="n"/>
      <c r="B91" s="70" t="n"/>
      <c r="C91" s="70" t="n"/>
      <c r="D91" s="70" t="n"/>
      <c r="E91" s="70" t="n"/>
      <c r="F91" s="303" t="n"/>
      <c r="G91" s="70" t="n"/>
      <c r="H91" s="304" t="n"/>
      <c r="I91" s="304" t="n"/>
      <c r="J91" s="70" t="n"/>
      <c r="K91" s="70" t="n"/>
      <c r="L91" s="71" t="n"/>
      <c r="M91" s="253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 ht="22" customHeight="1" s="280">
      <c r="A92" s="69" t="n"/>
      <c r="B92" s="70" t="n"/>
      <c r="C92" s="70" t="n"/>
      <c r="D92" s="70" t="n"/>
      <c r="E92" s="70" t="n"/>
      <c r="F92" s="303" t="n"/>
      <c r="G92" s="70" t="n"/>
      <c r="H92" s="304" t="n"/>
      <c r="I92" s="304" t="n"/>
      <c r="J92" s="70" t="n"/>
      <c r="K92" s="70" t="n"/>
      <c r="L92" s="71" t="n"/>
      <c r="M92" s="253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 ht="22" customHeight="1" s="280">
      <c r="A93" s="69" t="n"/>
      <c r="B93" s="70" t="n"/>
      <c r="C93" s="70" t="n"/>
      <c r="D93" s="70" t="n"/>
      <c r="E93" s="70" t="n"/>
      <c r="F93" s="303" t="n"/>
      <c r="G93" s="70" t="n"/>
      <c r="H93" s="304" t="n"/>
      <c r="I93" s="304" t="n"/>
      <c r="J93" s="70" t="n"/>
      <c r="K93" s="70" t="n"/>
      <c r="L93" s="71" t="n"/>
      <c r="M93" s="253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 ht="22" customHeight="1" s="280">
      <c r="A94" s="69" t="n"/>
      <c r="B94" s="70" t="n"/>
      <c r="C94" s="70" t="n"/>
      <c r="D94" s="70" t="n"/>
      <c r="E94" s="70" t="n"/>
      <c r="F94" s="303" t="n"/>
      <c r="G94" s="70" t="n"/>
      <c r="H94" s="304" t="n"/>
      <c r="I94" s="304" t="n"/>
      <c r="J94" s="70" t="n"/>
      <c r="K94" s="70" t="n"/>
      <c r="L94" s="71" t="n"/>
      <c r="M94" s="253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 ht="22" customHeight="1" s="280">
      <c r="A95" s="69" t="n"/>
      <c r="B95" s="70" t="n"/>
      <c r="C95" s="70" t="n"/>
      <c r="D95" s="70" t="n"/>
      <c r="E95" s="70" t="n"/>
      <c r="F95" s="303" t="n"/>
      <c r="G95" s="70" t="n"/>
      <c r="H95" s="304" t="n"/>
      <c r="I95" s="304" t="n"/>
      <c r="J95" s="70" t="n"/>
      <c r="K95" s="70" t="n"/>
      <c r="L95" s="71" t="n"/>
      <c r="M95" s="253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 ht="22" customHeight="1" s="280">
      <c r="A96" s="69" t="n"/>
      <c r="B96" s="70" t="n"/>
      <c r="C96" s="70" t="n"/>
      <c r="D96" s="70" t="n"/>
      <c r="E96" s="70" t="n"/>
      <c r="F96" s="303" t="n"/>
      <c r="G96" s="70" t="n"/>
      <c r="H96" s="304" t="n"/>
      <c r="I96" s="304" t="n"/>
      <c r="J96" s="70" t="n"/>
      <c r="K96" s="70" t="n"/>
      <c r="L96" s="71" t="n"/>
      <c r="M96" s="253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 ht="22" customHeight="1" s="280">
      <c r="A97" s="69" t="n"/>
      <c r="B97" s="70" t="n"/>
      <c r="C97" s="70" t="n"/>
      <c r="D97" s="70" t="n"/>
      <c r="E97" s="70" t="n"/>
      <c r="F97" s="303" t="n"/>
      <c r="G97" s="70" t="n"/>
      <c r="H97" s="304" t="n"/>
      <c r="I97" s="304" t="n"/>
      <c r="J97" s="70" t="n"/>
      <c r="K97" s="70" t="n"/>
      <c r="L97" s="71" t="n"/>
      <c r="M97" s="253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 ht="22" customHeight="1" s="280">
      <c r="A98" s="69" t="n"/>
      <c r="B98" s="70" t="n"/>
      <c r="C98" s="70" t="n"/>
      <c r="D98" s="70" t="n"/>
      <c r="E98" s="70" t="n"/>
      <c r="F98" s="303" t="n"/>
      <c r="G98" s="70" t="n"/>
      <c r="H98" s="304" t="n"/>
      <c r="I98" s="304" t="n"/>
      <c r="J98" s="70" t="n"/>
      <c r="K98" s="70" t="n"/>
      <c r="L98" s="71" t="n"/>
      <c r="M98" s="253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 ht="22" customHeight="1" s="280">
      <c r="A99" s="69" t="n"/>
      <c r="B99" s="70" t="n"/>
      <c r="C99" s="70" t="n"/>
      <c r="D99" s="70" t="n"/>
      <c r="E99" s="70" t="n"/>
      <c r="F99" s="303" t="n"/>
      <c r="G99" s="70" t="n"/>
      <c r="H99" s="304" t="n"/>
      <c r="I99" s="304" t="n"/>
      <c r="J99" s="70" t="n"/>
      <c r="K99" s="70" t="n"/>
      <c r="L99" s="71" t="n"/>
      <c r="M99" s="253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 ht="22" customHeight="1" s="280">
      <c r="A100" s="69" t="n"/>
      <c r="B100" s="70" t="n"/>
      <c r="C100" s="70" t="n"/>
      <c r="D100" s="70" t="n"/>
      <c r="E100" s="70" t="n"/>
      <c r="F100" s="303" t="n"/>
      <c r="G100" s="70" t="n"/>
      <c r="H100" s="304" t="n"/>
      <c r="I100" s="304" t="n"/>
      <c r="J100" s="70" t="n"/>
      <c r="K100" s="70" t="n"/>
      <c r="L100" s="71" t="n"/>
      <c r="M100" s="253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 ht="22" customHeight="1" s="280">
      <c r="A101" s="69" t="n"/>
      <c r="B101" s="70" t="n"/>
      <c r="C101" s="70" t="n"/>
      <c r="D101" s="70" t="n"/>
      <c r="E101" s="70" t="n"/>
      <c r="F101" s="303" t="n"/>
      <c r="G101" s="70" t="n"/>
      <c r="H101" s="304" t="n"/>
      <c r="I101" s="304" t="n"/>
      <c r="J101" s="70" t="n"/>
      <c r="K101" s="70" t="n"/>
      <c r="L101" s="71" t="n"/>
      <c r="M101" s="253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 ht="22" customHeight="1" s="280">
      <c r="A102" s="69" t="n"/>
      <c r="B102" s="70" t="n"/>
      <c r="C102" s="70" t="n"/>
      <c r="D102" s="70" t="n"/>
      <c r="E102" s="70" t="n"/>
      <c r="F102" s="303" t="n"/>
      <c r="G102" s="70" t="n"/>
      <c r="H102" s="304" t="n"/>
      <c r="I102" s="304" t="n"/>
      <c r="J102" s="70" t="n"/>
      <c r="K102" s="70" t="n"/>
      <c r="L102" s="71" t="n"/>
      <c r="M102" s="253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 ht="22" customHeight="1" s="280">
      <c r="A103" s="69" t="n"/>
      <c r="B103" s="70" t="n"/>
      <c r="C103" s="70" t="n"/>
      <c r="D103" s="70" t="n"/>
      <c r="E103" s="70" t="n"/>
      <c r="F103" s="303" t="n"/>
      <c r="G103" s="70" t="n"/>
      <c r="H103" s="304" t="n"/>
      <c r="I103" s="304" t="n"/>
      <c r="J103" s="70" t="n"/>
      <c r="K103" s="70" t="n"/>
      <c r="L103" s="71" t="n"/>
      <c r="M103" s="253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 ht="22" customHeight="1" s="280">
      <c r="A104" s="69" t="n"/>
      <c r="B104" s="70" t="n"/>
      <c r="C104" s="70" t="n"/>
      <c r="D104" s="70" t="n"/>
      <c r="E104" s="70" t="n"/>
      <c r="F104" s="303" t="n"/>
      <c r="G104" s="70" t="n"/>
      <c r="H104" s="304" t="n"/>
      <c r="I104" s="304" t="n"/>
      <c r="J104" s="70" t="n"/>
      <c r="K104" s="70" t="n"/>
      <c r="L104" s="71" t="n"/>
      <c r="M104" s="253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 ht="22" customHeight="1" s="280">
      <c r="A105" s="72" t="n"/>
      <c r="B105" s="73" t="n"/>
      <c r="C105" s="73" t="n"/>
      <c r="D105" s="73" t="n"/>
      <c r="E105" s="73" t="n"/>
      <c r="F105" s="305" t="n"/>
      <c r="G105" s="73" t="n"/>
      <c r="H105" s="306" t="n"/>
      <c r="I105" s="306" t="n"/>
      <c r="J105" s="73" t="n"/>
      <c r="K105" s="73" t="n"/>
      <c r="L105" s="74" t="n"/>
      <c r="M105" s="253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2">
    <mergeCell ref="A2:L2"/>
    <mergeCell ref="A1:L1"/>
  </mergeCells>
  <dataValidations count="4">
    <dataValidation sqref="C6:C105" showDropDown="0" showInputMessage="0" showErrorMessage="0" allowBlank="1" type="list">
      <formula1>"Raw Materials,Packaging Materials,Equipment,Logistics,IT/SaaS,Engineering Contracting,Outsourced Services,Professional Services,Indirect Procurement,Other"</formula1>
    </dataValidation>
    <dataValidation sqref="E6:E105" showDropDown="0" showInputMessage="0" showErrorMessage="0" allowBlank="1" type="list">
      <formula1>"Critical,Important,General"</formula1>
    </dataValidation>
    <dataValidation sqref="J6:J105" showDropDown="0" showInputMessage="0" showErrorMessage="0" allowBlank="1" type="list">
      <formula1>"Active,Under Review,Paused,Eliminated,Prospective"</formula1>
    </dataValidation>
    <dataValidation sqref="K6:K105" showDropDown="0" showInputMessage="0" showErrorMessage="0" allowBlank="1" type="list">
      <formula1>"General,Production / Raw Materials,Logistics,IT/SaaS,Engineering / Service Outsourcing,Indirect Procurement,Custom"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3" customWidth="1" style="280" min="1" max="1"/>
    <col width="26" customWidth="1" style="280" min="2" max="2"/>
    <col width="13" customWidth="1" style="280" min="3" max="3"/>
    <col width="16" customWidth="1" style="280" min="4" max="4"/>
    <col width="10" customWidth="1" style="280" min="5" max="5"/>
    <col width="10" customWidth="1" style="280" min="6" max="6"/>
    <col width="10" customWidth="1" style="280" min="7" max="7"/>
    <col width="10" customWidth="1" style="280" min="8" max="8"/>
    <col width="12" customWidth="1" style="280" min="9" max="9"/>
    <col width="10" customWidth="1" style="280" min="10" max="10"/>
    <col width="10" customWidth="1" style="280" min="11" max="11"/>
    <col width="10" customWidth="1" style="280" min="12" max="12"/>
    <col width="13" customWidth="1" style="280" min="13" max="13"/>
    <col width="12" customWidth="1" style="280" min="14" max="14"/>
    <col width="14" customWidth="1" style="280" min="15" max="15"/>
    <col width="36" customWidth="1" style="280" min="16" max="16"/>
  </cols>
  <sheetData>
    <row r="1">
      <c r="A1" s="257" t="inlineStr">
        <is>
          <t>360 Score Entry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Enter dimension scores by supplier, period, and business scenario; the final score is calculated automatically from scenario weights.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>
      <c r="A4" s="253" t="n"/>
      <c r="B4" s="253" t="n"/>
      <c r="C4" s="253" t="n"/>
      <c r="D4" s="253" t="n"/>
      <c r="E4" s="253" t="n"/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4" customHeight="1" s="280">
      <c r="A5" s="31" t="inlineStr">
        <is>
          <t>Supplier ID</t>
        </is>
      </c>
      <c r="B5" s="32" t="inlineStr">
        <is>
          <t>Supplier Name</t>
        </is>
      </c>
      <c r="C5" s="32" t="inlineStr">
        <is>
          <t>Assessment Date</t>
        </is>
      </c>
      <c r="D5" s="32" t="inlineStr">
        <is>
          <t>Business Scenario</t>
        </is>
      </c>
      <c r="E5" s="32" t="inlineStr">
        <is>
          <t>Quality</t>
        </is>
      </c>
      <c r="F5" s="32" t="inlineStr">
        <is>
          <t>Delivery</t>
        </is>
      </c>
      <c r="G5" s="32" t="inlineStr">
        <is>
          <t>Cost</t>
        </is>
      </c>
      <c r="H5" s="32" t="inlineStr">
        <is>
          <t>Service</t>
        </is>
      </c>
      <c r="I5" s="32" t="inlineStr">
        <is>
          <t>Capacity Operations</t>
        </is>
      </c>
      <c r="J5" s="32" t="inlineStr">
        <is>
          <t>Finance</t>
        </is>
      </c>
      <c r="K5" s="32" t="inlineStr">
        <is>
          <t>Compliance</t>
        </is>
      </c>
      <c r="L5" s="32" t="inlineStr">
        <is>
          <t>ESG</t>
        </is>
      </c>
      <c r="M5" s="32" t="inlineStr">
        <is>
          <t>Cybersecurity</t>
        </is>
      </c>
      <c r="N5" s="32" t="inlineStr">
        <is>
          <t>Geopolitical External</t>
        </is>
      </c>
      <c r="O5" s="32" t="inlineStr">
        <is>
          <t>360 Weighted Score</t>
        </is>
      </c>
      <c r="P5" s="33" t="inlineStr">
        <is>
          <t>Score Notes</t>
        </is>
      </c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22" customHeight="1" s="280">
      <c r="A6" s="66" t="inlineStr">
        <is>
          <t>SUP-0001</t>
        </is>
      </c>
      <c r="B6" s="67">
        <f>IF(A6="","",IFERROR(VLOOKUP(A6,'Supplier Register'!$A$6:$L$105,2,FALSE),"Not registered"))</f>
        <v/>
      </c>
      <c r="C6" s="302" t="n">
        <v>46127</v>
      </c>
      <c r="D6" s="67" t="inlineStr">
        <is>
          <t>Production / Raw Materials</t>
        </is>
      </c>
      <c r="E6" s="307" t="n">
        <v>88</v>
      </c>
      <c r="F6" s="307" t="n">
        <v>92</v>
      </c>
      <c r="G6" s="307" t="n">
        <v>81</v>
      </c>
      <c r="H6" s="307" t="n">
        <v>83</v>
      </c>
      <c r="I6" s="307" t="n">
        <v>90</v>
      </c>
      <c r="J6" s="307" t="n">
        <v>78</v>
      </c>
      <c r="K6" s="307" t="n">
        <v>85</v>
      </c>
      <c r="L6" s="307" t="n">
        <v>80</v>
      </c>
      <c r="M6" s="307" t="n">
        <v>70</v>
      </c>
      <c r="N6" s="307" t="n">
        <v>76</v>
      </c>
      <c r="O6" s="307">
        <f>IF(COUNTA(E6:N6)=0,"",ROUND((E6*INDEX('Settings'!$I$24:$O$24,1,MATCH(IF(D6="",'Settings'!$C$3,D6),'Settings'!$I$23:$O$23,0))+F6*INDEX('Settings'!$I$25:$O$25,1,MATCH(IF(D6="",'Settings'!$C$3,D6),'Settings'!$I$23:$O$23,0))+G6*INDEX('Settings'!$I$26:$O$26,1,MATCH(IF(D6="",'Settings'!$C$3,D6),'Settings'!$I$23:$O$23,0))+H6*INDEX('Settings'!$I$27:$O$27,1,MATCH(IF(D6="",'Settings'!$C$3,D6),'Settings'!$I$23:$O$23,0))+I6*INDEX('Settings'!$I$28:$O$28,1,MATCH(IF(D6="",'Settings'!$C$3,D6),'Settings'!$I$23:$O$23,0))+J6*INDEX('Settings'!$I$29:$O$29,1,MATCH(IF(D6="",'Settings'!$C$3,D6),'Settings'!$I$23:$O$23,0))+K6*INDEX('Settings'!$I$30:$O$30,1,MATCH(IF(D6="",'Settings'!$C$3,D6),'Settings'!$I$23:$O$23,0))+L6*INDEX('Settings'!$I$31:$O$31,1,MATCH(IF(D6="",'Settings'!$C$3,D6),'Settings'!$I$23:$O$23,0))+M6*INDEX('Settings'!$I$32:$O$32,1,MATCH(IF(D6="",'Settings'!$C$3,D6),'Settings'!$I$23:$O$23,0))+N6*INDEX('Settings'!$I$33:$O$33,1,MATCH(IF(D6="",'Settings'!$C$3,D6),'Settings'!$I$23:$O$23,0)))/100,1))</f>
        <v/>
      </c>
      <c r="P6" s="68" t="inlineStr">
        <is>
          <t>Quality is stable, with room to optimize cost</t>
        </is>
      </c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22" customHeight="1" s="280">
      <c r="A7" s="69" t="inlineStr">
        <is>
          <t>SUP-0002</t>
        </is>
      </c>
      <c r="B7" s="70">
        <f>IF(A7="","",IFERROR(VLOOKUP(A7,'Supplier Register'!$A$6:$L$105,2,FALSE),"Not registered"))</f>
        <v/>
      </c>
      <c r="C7" s="304" t="n">
        <v>46124</v>
      </c>
      <c r="D7" s="70" t="inlineStr">
        <is>
          <t>Logistics</t>
        </is>
      </c>
      <c r="E7" s="308" t="n">
        <v>82</v>
      </c>
      <c r="F7" s="308" t="n">
        <v>74</v>
      </c>
      <c r="G7" s="308" t="n">
        <v>78</v>
      </c>
      <c r="H7" s="308" t="n">
        <v>80</v>
      </c>
      <c r="I7" s="308" t="n">
        <v>76</v>
      </c>
      <c r="J7" s="308" t="n">
        <v>72</v>
      </c>
      <c r="K7" s="308" t="n">
        <v>88</v>
      </c>
      <c r="L7" s="308" t="n">
        <v>70</v>
      </c>
      <c r="M7" s="308" t="n">
        <v>65</v>
      </c>
      <c r="N7" s="308" t="n">
        <v>60</v>
      </c>
      <c r="O7" s="308">
        <f>IF(COUNTA(E7:N7)=0,"",ROUND((E7*INDEX('Settings'!$I$24:$O$24,1,MATCH(IF(D7="",'Settings'!$C$3,D7),'Settings'!$I$23:$O$23,0))+F7*INDEX('Settings'!$I$25:$O$25,1,MATCH(IF(D7="",'Settings'!$C$3,D7),'Settings'!$I$23:$O$23,0))+G7*INDEX('Settings'!$I$26:$O$26,1,MATCH(IF(D7="",'Settings'!$C$3,D7),'Settings'!$I$23:$O$23,0))+H7*INDEX('Settings'!$I$27:$O$27,1,MATCH(IF(D7="",'Settings'!$C$3,D7),'Settings'!$I$23:$O$23,0))+I7*INDEX('Settings'!$I$28:$O$28,1,MATCH(IF(D7="",'Settings'!$C$3,D7),'Settings'!$I$23:$O$23,0))+J7*INDEX('Settings'!$I$29:$O$29,1,MATCH(IF(D7="",'Settings'!$C$3,D7),'Settings'!$I$23:$O$23,0))+K7*INDEX('Settings'!$I$30:$O$30,1,MATCH(IF(D7="",'Settings'!$C$3,D7),'Settings'!$I$23:$O$23,0))+L7*INDEX('Settings'!$I$31:$O$31,1,MATCH(IF(D7="",'Settings'!$C$3,D7),'Settings'!$I$23:$O$23,0))+M7*INDEX('Settings'!$I$32:$O$32,1,MATCH(IF(D7="",'Settings'!$C$3,D7),'Settings'!$I$23:$O$23,0))+N7*INDEX('Settings'!$I$33:$O$33,1,MATCH(IF(D7="",'Settings'!$C$3,D7),'Settings'!$I$23:$O$23,0)))/100,1))</f>
        <v/>
      </c>
      <c r="P7" s="71" t="inlineStr">
        <is>
          <t>On-time rate needs continued improvement</t>
        </is>
      </c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22" customHeight="1" s="280">
      <c r="A8" s="69" t="inlineStr">
        <is>
          <t>SUP-0003</t>
        </is>
      </c>
      <c r="B8" s="70">
        <f>IF(A8="","",IFERROR(VLOOKUP(A8,'Supplier Register'!$A$6:$L$105,2,FALSE),"Not registered"))</f>
        <v/>
      </c>
      <c r="C8" s="304" t="n">
        <v>46132</v>
      </c>
      <c r="D8" s="70" t="inlineStr">
        <is>
          <t>IT/SaaS</t>
        </is>
      </c>
      <c r="E8" s="308" t="n">
        <v>78</v>
      </c>
      <c r="F8" s="308" t="n">
        <v>86</v>
      </c>
      <c r="G8" s="308" t="n">
        <v>72</v>
      </c>
      <c r="H8" s="308" t="n">
        <v>88</v>
      </c>
      <c r="I8" s="308" t="n">
        <v>80</v>
      </c>
      <c r="J8" s="308" t="n">
        <v>70</v>
      </c>
      <c r="K8" s="308" t="n">
        <v>84</v>
      </c>
      <c r="L8" s="308" t="n">
        <v>76</v>
      </c>
      <c r="M8" s="308" t="n">
        <v>90</v>
      </c>
      <c r="N8" s="308" t="n">
        <v>65</v>
      </c>
      <c r="O8" s="308">
        <f>IF(COUNTA(E8:N8)=0,"",ROUND((E8*INDEX('Settings'!$I$24:$O$24,1,MATCH(IF(D8="",'Settings'!$C$3,D8),'Settings'!$I$23:$O$23,0))+F8*INDEX('Settings'!$I$25:$O$25,1,MATCH(IF(D8="",'Settings'!$C$3,D8),'Settings'!$I$23:$O$23,0))+G8*INDEX('Settings'!$I$26:$O$26,1,MATCH(IF(D8="",'Settings'!$C$3,D8),'Settings'!$I$23:$O$23,0))+H8*INDEX('Settings'!$I$27:$O$27,1,MATCH(IF(D8="",'Settings'!$C$3,D8),'Settings'!$I$23:$O$23,0))+I8*INDEX('Settings'!$I$28:$O$28,1,MATCH(IF(D8="",'Settings'!$C$3,D8),'Settings'!$I$23:$O$23,0))+J8*INDEX('Settings'!$I$29:$O$29,1,MATCH(IF(D8="",'Settings'!$C$3,D8),'Settings'!$I$23:$O$23,0))+K8*INDEX('Settings'!$I$30:$O$30,1,MATCH(IF(D8="",'Settings'!$C$3,D8),'Settings'!$I$23:$O$23,0))+L8*INDEX('Settings'!$I$31:$O$31,1,MATCH(IF(D8="",'Settings'!$C$3,D8),'Settings'!$I$23:$O$23,0))+M8*INDEX('Settings'!$I$32:$O$32,1,MATCH(IF(D8="",'Settings'!$C$3,D8),'Settings'!$I$23:$O$23,0))+N8*INDEX('Settings'!$I$33:$O$33,1,MATCH(IF(D8="",'Settings'!$C$3,D8),'Settings'!$I$23:$O$23,0)))/100,1))</f>
        <v/>
      </c>
      <c r="P8" s="71" t="inlineStr">
        <is>
          <t>Cybersecurity capability is strong</t>
        </is>
      </c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22" customHeight="1" s="280">
      <c r="A9" s="69" t="inlineStr">
        <is>
          <t>SUP-0004</t>
        </is>
      </c>
      <c r="B9" s="70">
        <f>IF(A9="","",IFERROR(VLOOKUP(A9,'Supplier Register'!$A$6:$L$105,2,FALSE),"Not registered"))</f>
        <v/>
      </c>
      <c r="C9" s="304" t="n">
        <v>46130</v>
      </c>
      <c r="D9" s="70" t="inlineStr">
        <is>
          <t>Production / Raw Materials</t>
        </is>
      </c>
      <c r="E9" s="308" t="n">
        <v>91</v>
      </c>
      <c r="F9" s="308" t="n">
        <v>87</v>
      </c>
      <c r="G9" s="308" t="n">
        <v>76</v>
      </c>
      <c r="H9" s="308" t="n">
        <v>78</v>
      </c>
      <c r="I9" s="308" t="n">
        <v>88</v>
      </c>
      <c r="J9" s="308" t="n">
        <v>82</v>
      </c>
      <c r="K9" s="308" t="n">
        <v>86</v>
      </c>
      <c r="L9" s="308" t="n">
        <v>74</v>
      </c>
      <c r="M9" s="308" t="n">
        <v>72</v>
      </c>
      <c r="N9" s="308" t="n">
        <v>62</v>
      </c>
      <c r="O9" s="308">
        <f>IF(COUNTA(E9:N9)=0,"",ROUND((E9*INDEX('Settings'!$I$24:$O$24,1,MATCH(IF(D9="",'Settings'!$C$3,D9),'Settings'!$I$23:$O$23,0))+F9*INDEX('Settings'!$I$25:$O$25,1,MATCH(IF(D9="",'Settings'!$C$3,D9),'Settings'!$I$23:$O$23,0))+G9*INDEX('Settings'!$I$26:$O$26,1,MATCH(IF(D9="",'Settings'!$C$3,D9),'Settings'!$I$23:$O$23,0))+H9*INDEX('Settings'!$I$27:$O$27,1,MATCH(IF(D9="",'Settings'!$C$3,D9),'Settings'!$I$23:$O$23,0))+I9*INDEX('Settings'!$I$28:$O$28,1,MATCH(IF(D9="",'Settings'!$C$3,D9),'Settings'!$I$23:$O$23,0))+J9*INDEX('Settings'!$I$29:$O$29,1,MATCH(IF(D9="",'Settings'!$C$3,D9),'Settings'!$I$23:$O$23,0))+K9*INDEX('Settings'!$I$30:$O$30,1,MATCH(IF(D9="",'Settings'!$C$3,D9),'Settings'!$I$23:$O$23,0))+L9*INDEX('Settings'!$I$31:$O$31,1,MATCH(IF(D9="",'Settings'!$C$3,D9),'Settings'!$I$23:$O$23,0))+M9*INDEX('Settings'!$I$32:$O$32,1,MATCH(IF(D9="",'Settings'!$C$3,D9),'Settings'!$I$23:$O$23,0))+N9*INDEX('Settings'!$I$33:$O$33,1,MATCH(IF(D9="",'Settings'!$C$3,D9),'Settings'!$I$23:$O$23,0)))/100,1))</f>
        <v/>
      </c>
      <c r="P9" s="71" t="inlineStr">
        <is>
          <t>Import cycle volatility needs monitoring</t>
        </is>
      </c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22" customHeight="1" s="280">
      <c r="A10" s="69" t="inlineStr">
        <is>
          <t>SUP-0005</t>
        </is>
      </c>
      <c r="B10" s="70">
        <f>IF(A10="","",IFERROR(VLOOKUP(A10,'Supplier Register'!$A$6:$L$105,2,FALSE),"Not registered"))</f>
        <v/>
      </c>
      <c r="C10" s="304" t="n">
        <v>46122</v>
      </c>
      <c r="D10" s="70" t="inlineStr">
        <is>
          <t>Indirect Procurement</t>
        </is>
      </c>
      <c r="E10" s="308" t="n">
        <v>85</v>
      </c>
      <c r="F10" s="308" t="n">
        <v>90</v>
      </c>
      <c r="G10" s="308" t="n">
        <v>88</v>
      </c>
      <c r="H10" s="308" t="n">
        <v>84</v>
      </c>
      <c r="I10" s="308" t="n">
        <v>78</v>
      </c>
      <c r="J10" s="308" t="n">
        <v>76</v>
      </c>
      <c r="K10" s="308" t="n">
        <v>82</v>
      </c>
      <c r="L10" s="308" t="n">
        <v>86</v>
      </c>
      <c r="M10" s="308" t="n">
        <v>68</v>
      </c>
      <c r="N10" s="308" t="n">
        <v>70</v>
      </c>
      <c r="O10" s="308">
        <f>IF(COUNTA(E10:N10)=0,"",ROUND((E10*INDEX('Settings'!$I$24:$O$24,1,MATCH(IF(D10="",'Settings'!$C$3,D10),'Settings'!$I$23:$O$23,0))+F10*INDEX('Settings'!$I$25:$O$25,1,MATCH(IF(D10="",'Settings'!$C$3,D10),'Settings'!$I$23:$O$23,0))+G10*INDEX('Settings'!$I$26:$O$26,1,MATCH(IF(D10="",'Settings'!$C$3,D10),'Settings'!$I$23:$O$23,0))+H10*INDEX('Settings'!$I$27:$O$27,1,MATCH(IF(D10="",'Settings'!$C$3,D10),'Settings'!$I$23:$O$23,0))+I10*INDEX('Settings'!$I$28:$O$28,1,MATCH(IF(D10="",'Settings'!$C$3,D10),'Settings'!$I$23:$O$23,0))+J10*INDEX('Settings'!$I$29:$O$29,1,MATCH(IF(D10="",'Settings'!$C$3,D10),'Settings'!$I$23:$O$23,0))+K10*INDEX('Settings'!$I$30:$O$30,1,MATCH(IF(D10="",'Settings'!$C$3,D10),'Settings'!$I$23:$O$23,0))+L10*INDEX('Settings'!$I$31:$O$31,1,MATCH(IF(D10="",'Settings'!$C$3,D10),'Settings'!$I$23:$O$23,0))+M10*INDEX('Settings'!$I$32:$O$32,1,MATCH(IF(D10="",'Settings'!$C$3,D10),'Settings'!$I$23:$O$23,0))+N10*INDEX('Settings'!$I$33:$O$33,1,MATCH(IF(D10="",'Settings'!$C$3,D10),'Settings'!$I$23:$O$23,0)))/100,1))</f>
        <v/>
      </c>
      <c r="P10" s="71" t="inlineStr">
        <is>
          <t>Environmental performance is solid</t>
        </is>
      </c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22" customHeight="1" s="280">
      <c r="A11" s="69" t="inlineStr">
        <is>
          <t>SUP-0006</t>
        </is>
      </c>
      <c r="B11" s="70">
        <f>IF(A11="","",IFERROR(VLOOKUP(A11,'Supplier Register'!$A$6:$L$105,2,FALSE),"Not registered"))</f>
        <v/>
      </c>
      <c r="C11" s="304" t="n">
        <v>46120</v>
      </c>
      <c r="D11" s="70" t="inlineStr">
        <is>
          <t>Engineering / Service Outsourcing</t>
        </is>
      </c>
      <c r="E11" s="308" t="n">
        <v>70</v>
      </c>
      <c r="F11" s="308" t="n">
        <v>68</v>
      </c>
      <c r="G11" s="308" t="n">
        <v>66</v>
      </c>
      <c r="H11" s="308" t="n">
        <v>74</v>
      </c>
      <c r="I11" s="308" t="n">
        <v>65</v>
      </c>
      <c r="J11" s="308" t="n">
        <v>62</v>
      </c>
      <c r="K11" s="308" t="n">
        <v>72</v>
      </c>
      <c r="L11" s="308" t="n">
        <v>69</v>
      </c>
      <c r="M11" s="308" t="n">
        <v>55</v>
      </c>
      <c r="N11" s="308" t="n">
        <v>58</v>
      </c>
      <c r="O11" s="308">
        <f>IF(COUNTA(E11:N11)=0,"",ROUND((E11*INDEX('Settings'!$I$24:$O$24,1,MATCH(IF(D11="",'Settings'!$C$3,D11),'Settings'!$I$23:$O$23,0))+F11*INDEX('Settings'!$I$25:$O$25,1,MATCH(IF(D11="",'Settings'!$C$3,D11),'Settings'!$I$23:$O$23,0))+G11*INDEX('Settings'!$I$26:$O$26,1,MATCH(IF(D11="",'Settings'!$C$3,D11),'Settings'!$I$23:$O$23,0))+H11*INDEX('Settings'!$I$27:$O$27,1,MATCH(IF(D11="",'Settings'!$C$3,D11),'Settings'!$I$23:$O$23,0))+I11*INDEX('Settings'!$I$28:$O$28,1,MATCH(IF(D11="",'Settings'!$C$3,D11),'Settings'!$I$23:$O$23,0))+J11*INDEX('Settings'!$I$29:$O$29,1,MATCH(IF(D11="",'Settings'!$C$3,D11),'Settings'!$I$23:$O$23,0))+K11*INDEX('Settings'!$I$30:$O$30,1,MATCH(IF(D11="",'Settings'!$C$3,D11),'Settings'!$I$23:$O$23,0))+L11*INDEX('Settings'!$I$31:$O$31,1,MATCH(IF(D11="",'Settings'!$C$3,D11),'Settings'!$I$23:$O$23,0))+M11*INDEX('Settings'!$I$32:$O$32,1,MATCH(IF(D11="",'Settings'!$C$3,D11),'Settings'!$I$23:$O$23,0))+N11*INDEX('Settings'!$I$33:$O$33,1,MATCH(IF(D11="",'Settings'!$C$3,D11),'Settings'!$I$23:$O$23,0)))/100,1))</f>
        <v/>
      </c>
      <c r="P11" s="71" t="inlineStr">
        <is>
          <t>Project delivery capability needs review</t>
        </is>
      </c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22" customHeight="1" s="280">
      <c r="A12" s="69" t="inlineStr">
        <is>
          <t>SUP-0007</t>
        </is>
      </c>
      <c r="B12" s="70">
        <f>IF(A12="","",IFERROR(VLOOKUP(A12,'Supplier Register'!$A$6:$L$105,2,FALSE),"Not registered"))</f>
        <v/>
      </c>
      <c r="C12" s="304" t="n">
        <v>46123</v>
      </c>
      <c r="D12" s="70" t="inlineStr">
        <is>
          <t>Production / Raw Materials</t>
        </is>
      </c>
      <c r="E12" s="308" t="n">
        <v>77</v>
      </c>
      <c r="F12" s="308" t="n">
        <v>72</v>
      </c>
      <c r="G12" s="308" t="n">
        <v>80</v>
      </c>
      <c r="H12" s="308" t="n">
        <v>70</v>
      </c>
      <c r="I12" s="308" t="n">
        <v>73</v>
      </c>
      <c r="J12" s="308" t="n">
        <v>60</v>
      </c>
      <c r="K12" s="308" t="n">
        <v>68</v>
      </c>
      <c r="L12" s="308" t="n">
        <v>64</v>
      </c>
      <c r="M12" s="308" t="n">
        <v>50</v>
      </c>
      <c r="N12" s="308" t="n">
        <v>45</v>
      </c>
      <c r="O12" s="308">
        <f>IF(COUNTA(E12:N12)=0,"",ROUND((E12*INDEX('Settings'!$I$24:$O$24,1,MATCH(IF(D12="",'Settings'!$C$3,D12),'Settings'!$I$23:$O$23,0))+F12*INDEX('Settings'!$I$25:$O$25,1,MATCH(IF(D12="",'Settings'!$C$3,D12),'Settings'!$I$23:$O$23,0))+G12*INDEX('Settings'!$I$26:$O$26,1,MATCH(IF(D12="",'Settings'!$C$3,D12),'Settings'!$I$23:$O$23,0))+H12*INDEX('Settings'!$I$27:$O$27,1,MATCH(IF(D12="",'Settings'!$C$3,D12),'Settings'!$I$23:$O$23,0))+I12*INDEX('Settings'!$I$28:$O$28,1,MATCH(IF(D12="",'Settings'!$C$3,D12),'Settings'!$I$23:$O$23,0))+J12*INDEX('Settings'!$I$29:$O$29,1,MATCH(IF(D12="",'Settings'!$C$3,D12),'Settings'!$I$23:$O$23,0))+K12*INDEX('Settings'!$I$30:$O$30,1,MATCH(IF(D12="",'Settings'!$C$3,D12),'Settings'!$I$23:$O$23,0))+L12*INDEX('Settings'!$I$31:$O$31,1,MATCH(IF(D12="",'Settings'!$C$3,D12),'Settings'!$I$23:$O$23,0))+M12*INDEX('Settings'!$I$32:$O$32,1,MATCH(IF(D12="",'Settings'!$C$3,D12),'Settings'!$I$23:$O$23,0))+N12*INDEX('Settings'!$I$33:$O$33,1,MATCH(IF(D12="",'Settings'!$C$3,D12),'Settings'!$I$23:$O$23,0)))/100,1))</f>
        <v/>
      </c>
      <c r="P12" s="71" t="inlineStr">
        <is>
          <t>Finance and compliance need attention</t>
        </is>
      </c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22" customHeight="1" s="280">
      <c r="A13" s="69" t="inlineStr">
        <is>
          <t>SUP-0008</t>
        </is>
      </c>
      <c r="B13" s="70">
        <f>IF(A13="","",IFERROR(VLOOKUP(A13,'Supplier Register'!$A$6:$L$105,2,FALSE),"Not registered"))</f>
        <v/>
      </c>
      <c r="C13" s="304" t="n">
        <v>46126</v>
      </c>
      <c r="D13" s="70" t="inlineStr">
        <is>
          <t>Production / Raw Materials</t>
        </is>
      </c>
      <c r="E13" s="308" t="n">
        <v>84</v>
      </c>
      <c r="F13" s="308" t="n">
        <v>76</v>
      </c>
      <c r="G13" s="308" t="n">
        <v>70</v>
      </c>
      <c r="H13" s="308" t="n">
        <v>75</v>
      </c>
      <c r="I13" s="308" t="n">
        <v>78</v>
      </c>
      <c r="J13" s="308" t="n">
        <v>69</v>
      </c>
      <c r="K13" s="308" t="n">
        <v>64</v>
      </c>
      <c r="L13" s="308" t="n">
        <v>60</v>
      </c>
      <c r="M13" s="308" t="n">
        <v>52</v>
      </c>
      <c r="N13" s="308" t="n">
        <v>48</v>
      </c>
      <c r="O13" s="308">
        <f>IF(COUNTA(E13:N13)=0,"",ROUND((E13*INDEX('Settings'!$I$24:$O$24,1,MATCH(IF(D13="",'Settings'!$C$3,D13),'Settings'!$I$23:$O$23,0))+F13*INDEX('Settings'!$I$25:$O$25,1,MATCH(IF(D13="",'Settings'!$C$3,D13),'Settings'!$I$23:$O$23,0))+G13*INDEX('Settings'!$I$26:$O$26,1,MATCH(IF(D13="",'Settings'!$C$3,D13),'Settings'!$I$23:$O$23,0))+H13*INDEX('Settings'!$I$27:$O$27,1,MATCH(IF(D13="",'Settings'!$C$3,D13),'Settings'!$I$23:$O$23,0))+I13*INDEX('Settings'!$I$28:$O$28,1,MATCH(IF(D13="",'Settings'!$C$3,D13),'Settings'!$I$23:$O$23,0))+J13*INDEX('Settings'!$I$29:$O$29,1,MATCH(IF(D13="",'Settings'!$C$3,D13),'Settings'!$I$23:$O$23,0))+K13*INDEX('Settings'!$I$30:$O$30,1,MATCH(IF(D13="",'Settings'!$C$3,D13),'Settings'!$I$23:$O$23,0))+L13*INDEX('Settings'!$I$31:$O$31,1,MATCH(IF(D13="",'Settings'!$C$3,D13),'Settings'!$I$23:$O$23,0))+M13*INDEX('Settings'!$I$32:$O$32,1,MATCH(IF(D13="",'Settings'!$C$3,D13),'Settings'!$I$23:$O$23,0))+N13*INDEX('Settings'!$I$33:$O$33,1,MATCH(IF(D13="",'Settings'!$C$3,D13),'Settings'!$I$23:$O$23,0)))/100,1))</f>
        <v/>
      </c>
      <c r="P13" s="71" t="inlineStr">
        <is>
          <t>Overseas supply uncertainty is high</t>
        </is>
      </c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22" customHeight="1" s="280">
      <c r="A14" s="69" t="inlineStr">
        <is>
          <t>SUP-0009</t>
        </is>
      </c>
      <c r="B14" s="70">
        <f>IF(A14="","",IFERROR(VLOOKUP(A14,'Supplier Register'!$A$6:$L$105,2,FALSE),"Not registered"))</f>
        <v/>
      </c>
      <c r="C14" s="304" t="n">
        <v>46134</v>
      </c>
      <c r="D14" s="70" t="inlineStr">
        <is>
          <t>IT/SaaS</t>
        </is>
      </c>
      <c r="E14" s="308" t="n">
        <v>80</v>
      </c>
      <c r="F14" s="308" t="n">
        <v>84</v>
      </c>
      <c r="G14" s="308" t="n">
        <v>75</v>
      </c>
      <c r="H14" s="308" t="n">
        <v>86</v>
      </c>
      <c r="I14" s="308" t="n">
        <v>78</v>
      </c>
      <c r="J14" s="308" t="n">
        <v>72</v>
      </c>
      <c r="K14" s="308" t="n">
        <v>88</v>
      </c>
      <c r="L14" s="308" t="n">
        <v>78</v>
      </c>
      <c r="M14" s="308" t="n">
        <v>92</v>
      </c>
      <c r="N14" s="308" t="n">
        <v>70</v>
      </c>
      <c r="O14" s="308">
        <f>IF(COUNTA(E14:N14)=0,"",ROUND((E14*INDEX('Settings'!$I$24:$O$24,1,MATCH(IF(D14="",'Settings'!$C$3,D14),'Settings'!$I$23:$O$23,0))+F14*INDEX('Settings'!$I$25:$O$25,1,MATCH(IF(D14="",'Settings'!$C$3,D14),'Settings'!$I$23:$O$23,0))+G14*INDEX('Settings'!$I$26:$O$26,1,MATCH(IF(D14="",'Settings'!$C$3,D14),'Settings'!$I$23:$O$23,0))+H14*INDEX('Settings'!$I$27:$O$27,1,MATCH(IF(D14="",'Settings'!$C$3,D14),'Settings'!$I$23:$O$23,0))+I14*INDEX('Settings'!$I$28:$O$28,1,MATCH(IF(D14="",'Settings'!$C$3,D14),'Settings'!$I$23:$O$23,0))+J14*INDEX('Settings'!$I$29:$O$29,1,MATCH(IF(D14="",'Settings'!$C$3,D14),'Settings'!$I$23:$O$23,0))+K14*INDEX('Settings'!$I$30:$O$30,1,MATCH(IF(D14="",'Settings'!$C$3,D14),'Settings'!$I$23:$O$23,0))+L14*INDEX('Settings'!$I$31:$O$31,1,MATCH(IF(D14="",'Settings'!$C$3,D14),'Settings'!$I$23:$O$23,0))+M14*INDEX('Settings'!$I$32:$O$32,1,MATCH(IF(D14="",'Settings'!$C$3,D14),'Settings'!$I$23:$O$23,0))+N14*INDEX('Settings'!$I$33:$O$33,1,MATCH(IF(D14="",'Settings'!$C$3,D14),'Settings'!$I$23:$O$23,0)))/100,1))</f>
        <v/>
      </c>
      <c r="P14" s="71" t="inlineStr">
        <is>
          <t>Technical response is solid</t>
        </is>
      </c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22" customHeight="1" s="280">
      <c r="A15" s="69" t="inlineStr">
        <is>
          <t>SUP-0010</t>
        </is>
      </c>
      <c r="B15" s="70">
        <f>IF(A15="","",IFERROR(VLOOKUP(A15,'Supplier Register'!$A$6:$L$105,2,FALSE),"Not registered"))</f>
        <v/>
      </c>
      <c r="C15" s="304" t="n">
        <v>46133</v>
      </c>
      <c r="D15" s="70" t="inlineStr">
        <is>
          <t>Engineering / Service Outsourcing</t>
        </is>
      </c>
      <c r="E15" s="308" t="n">
        <v>82</v>
      </c>
      <c r="F15" s="308" t="n">
        <v>80</v>
      </c>
      <c r="G15" s="308" t="n">
        <v>79</v>
      </c>
      <c r="H15" s="308" t="n">
        <v>85</v>
      </c>
      <c r="I15" s="308" t="n">
        <v>76</v>
      </c>
      <c r="J15" s="308" t="n">
        <v>74</v>
      </c>
      <c r="K15" s="308" t="n">
        <v>81</v>
      </c>
      <c r="L15" s="308" t="n">
        <v>72</v>
      </c>
      <c r="M15" s="308" t="n">
        <v>60</v>
      </c>
      <c r="N15" s="308" t="n">
        <v>62</v>
      </c>
      <c r="O15" s="308">
        <f>IF(COUNTA(E15:N15)=0,"",ROUND((E15*INDEX('Settings'!$I$24:$O$24,1,MATCH(IF(D15="",'Settings'!$C$3,D15),'Settings'!$I$23:$O$23,0))+F15*INDEX('Settings'!$I$25:$O$25,1,MATCH(IF(D15="",'Settings'!$C$3,D15),'Settings'!$I$23:$O$23,0))+G15*INDEX('Settings'!$I$26:$O$26,1,MATCH(IF(D15="",'Settings'!$C$3,D15),'Settings'!$I$23:$O$23,0))+H15*INDEX('Settings'!$I$27:$O$27,1,MATCH(IF(D15="",'Settings'!$C$3,D15),'Settings'!$I$23:$O$23,0))+I15*INDEX('Settings'!$I$28:$O$28,1,MATCH(IF(D15="",'Settings'!$C$3,D15),'Settings'!$I$23:$O$23,0))+J15*INDEX('Settings'!$I$29:$O$29,1,MATCH(IF(D15="",'Settings'!$C$3,D15),'Settings'!$I$23:$O$23,0))+K15*INDEX('Settings'!$I$30:$O$30,1,MATCH(IF(D15="",'Settings'!$C$3,D15),'Settings'!$I$23:$O$23,0))+L15*INDEX('Settings'!$I$31:$O$31,1,MATCH(IF(D15="",'Settings'!$C$3,D15),'Settings'!$I$23:$O$23,0))+M15*INDEX('Settings'!$I$32:$O$32,1,MATCH(IF(D15="",'Settings'!$C$3,D15),'Settings'!$I$23:$O$23,0))+N15*INDEX('Settings'!$I$33:$O$33,1,MATCH(IF(D15="",'Settings'!$C$3,D15),'Settings'!$I$23:$O$23,0)))/100,1))</f>
        <v/>
      </c>
      <c r="P15" s="71" t="inlineStr">
        <is>
          <t>Service stability is solid</t>
        </is>
      </c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22" customHeight="1" s="280">
      <c r="A16" s="69" t="n"/>
      <c r="B16" s="70">
        <f>IF(A16="","",IFERROR(VLOOKUP(A16,'Supplier Register'!$A$6:$L$105,2,FALSE),"Not registered"))</f>
        <v/>
      </c>
      <c r="C16" s="304" t="n"/>
      <c r="D16" s="70" t="n"/>
      <c r="E16" s="308" t="n"/>
      <c r="F16" s="308" t="n"/>
      <c r="G16" s="308" t="n"/>
      <c r="H16" s="308" t="n"/>
      <c r="I16" s="308" t="n"/>
      <c r="J16" s="308" t="n"/>
      <c r="K16" s="308" t="n"/>
      <c r="L16" s="308" t="n"/>
      <c r="M16" s="308" t="n"/>
      <c r="N16" s="308" t="n"/>
      <c r="O16" s="308">
        <f>IF(COUNTA(E16:N16)=0,"",ROUND((E16*INDEX('Settings'!$I$24:$O$24,1,MATCH(IF(D16="",'Settings'!$C$3,D16),'Settings'!$I$23:$O$23,0))+F16*INDEX('Settings'!$I$25:$O$25,1,MATCH(IF(D16="",'Settings'!$C$3,D16),'Settings'!$I$23:$O$23,0))+G16*INDEX('Settings'!$I$26:$O$26,1,MATCH(IF(D16="",'Settings'!$C$3,D16),'Settings'!$I$23:$O$23,0))+H16*INDEX('Settings'!$I$27:$O$27,1,MATCH(IF(D16="",'Settings'!$C$3,D16),'Settings'!$I$23:$O$23,0))+I16*INDEX('Settings'!$I$28:$O$28,1,MATCH(IF(D16="",'Settings'!$C$3,D16),'Settings'!$I$23:$O$23,0))+J16*INDEX('Settings'!$I$29:$O$29,1,MATCH(IF(D16="",'Settings'!$C$3,D16),'Settings'!$I$23:$O$23,0))+K16*INDEX('Settings'!$I$30:$O$30,1,MATCH(IF(D16="",'Settings'!$C$3,D16),'Settings'!$I$23:$O$23,0))+L16*INDEX('Settings'!$I$31:$O$31,1,MATCH(IF(D16="",'Settings'!$C$3,D16),'Settings'!$I$23:$O$23,0))+M16*INDEX('Settings'!$I$32:$O$32,1,MATCH(IF(D16="",'Settings'!$C$3,D16),'Settings'!$I$23:$O$23,0))+N16*INDEX('Settings'!$I$33:$O$33,1,MATCH(IF(D16="",'Settings'!$C$3,D16),'Settings'!$I$23:$O$23,0)))/100,1))</f>
        <v/>
      </c>
      <c r="P16" s="71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22" customHeight="1" s="280">
      <c r="A17" s="69" t="n"/>
      <c r="B17" s="70">
        <f>IF(A17="","",IFERROR(VLOOKUP(A17,'Supplier Register'!$A$6:$L$105,2,FALSE),"Not registered"))</f>
        <v/>
      </c>
      <c r="C17" s="304" t="n"/>
      <c r="D17" s="70" t="n"/>
      <c r="E17" s="308" t="n"/>
      <c r="F17" s="308" t="n"/>
      <c r="G17" s="308" t="n"/>
      <c r="H17" s="308" t="n"/>
      <c r="I17" s="308" t="n"/>
      <c r="J17" s="308" t="n"/>
      <c r="K17" s="308" t="n"/>
      <c r="L17" s="308" t="n"/>
      <c r="M17" s="308" t="n"/>
      <c r="N17" s="308" t="n"/>
      <c r="O17" s="308">
        <f>IF(COUNTA(E17:N17)=0,"",ROUND((E17*INDEX('Settings'!$I$24:$O$24,1,MATCH(IF(D17="",'Settings'!$C$3,D17),'Settings'!$I$23:$O$23,0))+F17*INDEX('Settings'!$I$25:$O$25,1,MATCH(IF(D17="",'Settings'!$C$3,D17),'Settings'!$I$23:$O$23,0))+G17*INDEX('Settings'!$I$26:$O$26,1,MATCH(IF(D17="",'Settings'!$C$3,D17),'Settings'!$I$23:$O$23,0))+H17*INDEX('Settings'!$I$27:$O$27,1,MATCH(IF(D17="",'Settings'!$C$3,D17),'Settings'!$I$23:$O$23,0))+I17*INDEX('Settings'!$I$28:$O$28,1,MATCH(IF(D17="",'Settings'!$C$3,D17),'Settings'!$I$23:$O$23,0))+J17*INDEX('Settings'!$I$29:$O$29,1,MATCH(IF(D17="",'Settings'!$C$3,D17),'Settings'!$I$23:$O$23,0))+K17*INDEX('Settings'!$I$30:$O$30,1,MATCH(IF(D17="",'Settings'!$C$3,D17),'Settings'!$I$23:$O$23,0))+L17*INDEX('Settings'!$I$31:$O$31,1,MATCH(IF(D17="",'Settings'!$C$3,D17),'Settings'!$I$23:$O$23,0))+M17*INDEX('Settings'!$I$32:$O$32,1,MATCH(IF(D17="",'Settings'!$C$3,D17),'Settings'!$I$23:$O$23,0))+N17*INDEX('Settings'!$I$33:$O$33,1,MATCH(IF(D17="",'Settings'!$C$3,D17),'Settings'!$I$23:$O$23,0)))/100,1))</f>
        <v/>
      </c>
      <c r="P17" s="71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22" customHeight="1" s="280">
      <c r="A18" s="69" t="n"/>
      <c r="B18" s="70">
        <f>IF(A18="","",IFERROR(VLOOKUP(A18,'Supplier Register'!$A$6:$L$105,2,FALSE),"Not registered"))</f>
        <v/>
      </c>
      <c r="C18" s="304" t="n"/>
      <c r="D18" s="70" t="n"/>
      <c r="E18" s="308" t="n"/>
      <c r="F18" s="308" t="n"/>
      <c r="G18" s="308" t="n"/>
      <c r="H18" s="308" t="n"/>
      <c r="I18" s="308" t="n"/>
      <c r="J18" s="308" t="n"/>
      <c r="K18" s="308" t="n"/>
      <c r="L18" s="308" t="n"/>
      <c r="M18" s="308" t="n"/>
      <c r="N18" s="308" t="n"/>
      <c r="O18" s="308">
        <f>IF(COUNTA(E18:N18)=0,"",ROUND((E18*INDEX('Settings'!$I$24:$O$24,1,MATCH(IF(D18="",'Settings'!$C$3,D18),'Settings'!$I$23:$O$23,0))+F18*INDEX('Settings'!$I$25:$O$25,1,MATCH(IF(D18="",'Settings'!$C$3,D18),'Settings'!$I$23:$O$23,0))+G18*INDEX('Settings'!$I$26:$O$26,1,MATCH(IF(D18="",'Settings'!$C$3,D18),'Settings'!$I$23:$O$23,0))+H18*INDEX('Settings'!$I$27:$O$27,1,MATCH(IF(D18="",'Settings'!$C$3,D18),'Settings'!$I$23:$O$23,0))+I18*INDEX('Settings'!$I$28:$O$28,1,MATCH(IF(D18="",'Settings'!$C$3,D18),'Settings'!$I$23:$O$23,0))+J18*INDEX('Settings'!$I$29:$O$29,1,MATCH(IF(D18="",'Settings'!$C$3,D18),'Settings'!$I$23:$O$23,0))+K18*INDEX('Settings'!$I$30:$O$30,1,MATCH(IF(D18="",'Settings'!$C$3,D18),'Settings'!$I$23:$O$23,0))+L18*INDEX('Settings'!$I$31:$O$31,1,MATCH(IF(D18="",'Settings'!$C$3,D18),'Settings'!$I$23:$O$23,0))+M18*INDEX('Settings'!$I$32:$O$32,1,MATCH(IF(D18="",'Settings'!$C$3,D18),'Settings'!$I$23:$O$23,0))+N18*INDEX('Settings'!$I$33:$O$33,1,MATCH(IF(D18="",'Settings'!$C$3,D18),'Settings'!$I$23:$O$23,0)))/100,1))</f>
        <v/>
      </c>
      <c r="P18" s="71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22" customHeight="1" s="280">
      <c r="A19" s="69" t="n"/>
      <c r="B19" s="70">
        <f>IF(A19="","",IFERROR(VLOOKUP(A19,'Supplier Register'!$A$6:$L$105,2,FALSE),"Not registered"))</f>
        <v/>
      </c>
      <c r="C19" s="304" t="n"/>
      <c r="D19" s="70" t="n"/>
      <c r="E19" s="308" t="n"/>
      <c r="F19" s="308" t="n"/>
      <c r="G19" s="308" t="n"/>
      <c r="H19" s="308" t="n"/>
      <c r="I19" s="308" t="n"/>
      <c r="J19" s="308" t="n"/>
      <c r="K19" s="308" t="n"/>
      <c r="L19" s="308" t="n"/>
      <c r="M19" s="308" t="n"/>
      <c r="N19" s="308" t="n"/>
      <c r="O19" s="308">
        <f>IF(COUNTA(E19:N19)=0,"",ROUND((E19*INDEX('Settings'!$I$24:$O$24,1,MATCH(IF(D19="",'Settings'!$C$3,D19),'Settings'!$I$23:$O$23,0))+F19*INDEX('Settings'!$I$25:$O$25,1,MATCH(IF(D19="",'Settings'!$C$3,D19),'Settings'!$I$23:$O$23,0))+G19*INDEX('Settings'!$I$26:$O$26,1,MATCH(IF(D19="",'Settings'!$C$3,D19),'Settings'!$I$23:$O$23,0))+H19*INDEX('Settings'!$I$27:$O$27,1,MATCH(IF(D19="",'Settings'!$C$3,D19),'Settings'!$I$23:$O$23,0))+I19*INDEX('Settings'!$I$28:$O$28,1,MATCH(IF(D19="",'Settings'!$C$3,D19),'Settings'!$I$23:$O$23,0))+J19*INDEX('Settings'!$I$29:$O$29,1,MATCH(IF(D19="",'Settings'!$C$3,D19),'Settings'!$I$23:$O$23,0))+K19*INDEX('Settings'!$I$30:$O$30,1,MATCH(IF(D19="",'Settings'!$C$3,D19),'Settings'!$I$23:$O$23,0))+L19*INDEX('Settings'!$I$31:$O$31,1,MATCH(IF(D19="",'Settings'!$C$3,D19),'Settings'!$I$23:$O$23,0))+M19*INDEX('Settings'!$I$32:$O$32,1,MATCH(IF(D19="",'Settings'!$C$3,D19),'Settings'!$I$23:$O$23,0))+N19*INDEX('Settings'!$I$33:$O$33,1,MATCH(IF(D19="",'Settings'!$C$3,D19),'Settings'!$I$23:$O$23,0)))/100,1))</f>
        <v/>
      </c>
      <c r="P19" s="71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22" customHeight="1" s="280">
      <c r="A20" s="69" t="n"/>
      <c r="B20" s="70">
        <f>IF(A20="","",IFERROR(VLOOKUP(A20,'Supplier Register'!$A$6:$L$105,2,FALSE),"Not registered"))</f>
        <v/>
      </c>
      <c r="C20" s="304" t="n"/>
      <c r="D20" s="70" t="n"/>
      <c r="E20" s="308" t="n"/>
      <c r="F20" s="308" t="n"/>
      <c r="G20" s="308" t="n"/>
      <c r="H20" s="308" t="n"/>
      <c r="I20" s="308" t="n"/>
      <c r="J20" s="308" t="n"/>
      <c r="K20" s="308" t="n"/>
      <c r="L20" s="308" t="n"/>
      <c r="M20" s="308" t="n"/>
      <c r="N20" s="308" t="n"/>
      <c r="O20" s="308">
        <f>IF(COUNTA(E20:N20)=0,"",ROUND((E20*INDEX('Settings'!$I$24:$O$24,1,MATCH(IF(D20="",'Settings'!$C$3,D20),'Settings'!$I$23:$O$23,0))+F20*INDEX('Settings'!$I$25:$O$25,1,MATCH(IF(D20="",'Settings'!$C$3,D20),'Settings'!$I$23:$O$23,0))+G20*INDEX('Settings'!$I$26:$O$26,1,MATCH(IF(D20="",'Settings'!$C$3,D20),'Settings'!$I$23:$O$23,0))+H20*INDEX('Settings'!$I$27:$O$27,1,MATCH(IF(D20="",'Settings'!$C$3,D20),'Settings'!$I$23:$O$23,0))+I20*INDEX('Settings'!$I$28:$O$28,1,MATCH(IF(D20="",'Settings'!$C$3,D20),'Settings'!$I$23:$O$23,0))+J20*INDEX('Settings'!$I$29:$O$29,1,MATCH(IF(D20="",'Settings'!$C$3,D20),'Settings'!$I$23:$O$23,0))+K20*INDEX('Settings'!$I$30:$O$30,1,MATCH(IF(D20="",'Settings'!$C$3,D20),'Settings'!$I$23:$O$23,0))+L20*INDEX('Settings'!$I$31:$O$31,1,MATCH(IF(D20="",'Settings'!$C$3,D20),'Settings'!$I$23:$O$23,0))+M20*INDEX('Settings'!$I$32:$O$32,1,MATCH(IF(D20="",'Settings'!$C$3,D20),'Settings'!$I$23:$O$23,0))+N20*INDEX('Settings'!$I$33:$O$33,1,MATCH(IF(D20="",'Settings'!$C$3,D20),'Settings'!$I$23:$O$23,0)))/100,1))</f>
        <v/>
      </c>
      <c r="P20" s="71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 ht="22" customHeight="1" s="280">
      <c r="A21" s="69" t="n"/>
      <c r="B21" s="70">
        <f>IF(A21="","",IFERROR(VLOOKUP(A21,'Supplier Register'!$A$6:$L$105,2,FALSE),"Not registered"))</f>
        <v/>
      </c>
      <c r="C21" s="304" t="n"/>
      <c r="D21" s="70" t="n"/>
      <c r="E21" s="308" t="n"/>
      <c r="F21" s="308" t="n"/>
      <c r="G21" s="308" t="n"/>
      <c r="H21" s="308" t="n"/>
      <c r="I21" s="308" t="n"/>
      <c r="J21" s="308" t="n"/>
      <c r="K21" s="308" t="n"/>
      <c r="L21" s="308" t="n"/>
      <c r="M21" s="308" t="n"/>
      <c r="N21" s="308" t="n"/>
      <c r="O21" s="308">
        <f>IF(COUNTA(E21:N21)=0,"",ROUND((E21*INDEX('Settings'!$I$24:$O$24,1,MATCH(IF(D21="",'Settings'!$C$3,D21),'Settings'!$I$23:$O$23,0))+F21*INDEX('Settings'!$I$25:$O$25,1,MATCH(IF(D21="",'Settings'!$C$3,D21),'Settings'!$I$23:$O$23,0))+G21*INDEX('Settings'!$I$26:$O$26,1,MATCH(IF(D21="",'Settings'!$C$3,D21),'Settings'!$I$23:$O$23,0))+H21*INDEX('Settings'!$I$27:$O$27,1,MATCH(IF(D21="",'Settings'!$C$3,D21),'Settings'!$I$23:$O$23,0))+I21*INDEX('Settings'!$I$28:$O$28,1,MATCH(IF(D21="",'Settings'!$C$3,D21),'Settings'!$I$23:$O$23,0))+J21*INDEX('Settings'!$I$29:$O$29,1,MATCH(IF(D21="",'Settings'!$C$3,D21),'Settings'!$I$23:$O$23,0))+K21*INDEX('Settings'!$I$30:$O$30,1,MATCH(IF(D21="",'Settings'!$C$3,D21),'Settings'!$I$23:$O$23,0))+L21*INDEX('Settings'!$I$31:$O$31,1,MATCH(IF(D21="",'Settings'!$C$3,D21),'Settings'!$I$23:$O$23,0))+M21*INDEX('Settings'!$I$32:$O$32,1,MATCH(IF(D21="",'Settings'!$C$3,D21),'Settings'!$I$23:$O$23,0))+N21*INDEX('Settings'!$I$33:$O$33,1,MATCH(IF(D21="",'Settings'!$C$3,D21),'Settings'!$I$23:$O$23,0)))/100,1))</f>
        <v/>
      </c>
      <c r="P21" s="71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 ht="22" customHeight="1" s="280">
      <c r="A22" s="69" t="n"/>
      <c r="B22" s="70">
        <f>IF(A22="","",IFERROR(VLOOKUP(A22,'Supplier Register'!$A$6:$L$105,2,FALSE),"Not registered"))</f>
        <v/>
      </c>
      <c r="C22" s="304" t="n"/>
      <c r="D22" s="70" t="n"/>
      <c r="E22" s="308" t="n"/>
      <c r="F22" s="308" t="n"/>
      <c r="G22" s="308" t="n"/>
      <c r="H22" s="308" t="n"/>
      <c r="I22" s="308" t="n"/>
      <c r="J22" s="308" t="n"/>
      <c r="K22" s="308" t="n"/>
      <c r="L22" s="308" t="n"/>
      <c r="M22" s="308" t="n"/>
      <c r="N22" s="308" t="n"/>
      <c r="O22" s="308">
        <f>IF(COUNTA(E22:N22)=0,"",ROUND((E22*INDEX('Settings'!$I$24:$O$24,1,MATCH(IF(D22="",'Settings'!$C$3,D22),'Settings'!$I$23:$O$23,0))+F22*INDEX('Settings'!$I$25:$O$25,1,MATCH(IF(D22="",'Settings'!$C$3,D22),'Settings'!$I$23:$O$23,0))+G22*INDEX('Settings'!$I$26:$O$26,1,MATCH(IF(D22="",'Settings'!$C$3,D22),'Settings'!$I$23:$O$23,0))+H22*INDEX('Settings'!$I$27:$O$27,1,MATCH(IF(D22="",'Settings'!$C$3,D22),'Settings'!$I$23:$O$23,0))+I22*INDEX('Settings'!$I$28:$O$28,1,MATCH(IF(D22="",'Settings'!$C$3,D22),'Settings'!$I$23:$O$23,0))+J22*INDEX('Settings'!$I$29:$O$29,1,MATCH(IF(D22="",'Settings'!$C$3,D22),'Settings'!$I$23:$O$23,0))+K22*INDEX('Settings'!$I$30:$O$30,1,MATCH(IF(D22="",'Settings'!$C$3,D22),'Settings'!$I$23:$O$23,0))+L22*INDEX('Settings'!$I$31:$O$31,1,MATCH(IF(D22="",'Settings'!$C$3,D22),'Settings'!$I$23:$O$23,0))+M22*INDEX('Settings'!$I$32:$O$32,1,MATCH(IF(D22="",'Settings'!$C$3,D22),'Settings'!$I$23:$O$23,0))+N22*INDEX('Settings'!$I$33:$O$33,1,MATCH(IF(D22="",'Settings'!$C$3,D22),'Settings'!$I$23:$O$23,0)))/100,1))</f>
        <v/>
      </c>
      <c r="P22" s="71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 ht="22" customHeight="1" s="280">
      <c r="A23" s="69" t="n"/>
      <c r="B23" s="70">
        <f>IF(A23="","",IFERROR(VLOOKUP(A23,'Supplier Register'!$A$6:$L$105,2,FALSE),"Not registered"))</f>
        <v/>
      </c>
      <c r="C23" s="304" t="n"/>
      <c r="D23" s="70" t="n"/>
      <c r="E23" s="308" t="n"/>
      <c r="F23" s="308" t="n"/>
      <c r="G23" s="308" t="n"/>
      <c r="H23" s="308" t="n"/>
      <c r="I23" s="308" t="n"/>
      <c r="J23" s="308" t="n"/>
      <c r="K23" s="308" t="n"/>
      <c r="L23" s="308" t="n"/>
      <c r="M23" s="308" t="n"/>
      <c r="N23" s="308" t="n"/>
      <c r="O23" s="308">
        <f>IF(COUNTA(E23:N23)=0,"",ROUND((E23*INDEX('Settings'!$I$24:$O$24,1,MATCH(IF(D23="",'Settings'!$C$3,D23),'Settings'!$I$23:$O$23,0))+F23*INDEX('Settings'!$I$25:$O$25,1,MATCH(IF(D23="",'Settings'!$C$3,D23),'Settings'!$I$23:$O$23,0))+G23*INDEX('Settings'!$I$26:$O$26,1,MATCH(IF(D23="",'Settings'!$C$3,D23),'Settings'!$I$23:$O$23,0))+H23*INDEX('Settings'!$I$27:$O$27,1,MATCH(IF(D23="",'Settings'!$C$3,D23),'Settings'!$I$23:$O$23,0))+I23*INDEX('Settings'!$I$28:$O$28,1,MATCH(IF(D23="",'Settings'!$C$3,D23),'Settings'!$I$23:$O$23,0))+J23*INDEX('Settings'!$I$29:$O$29,1,MATCH(IF(D23="",'Settings'!$C$3,D23),'Settings'!$I$23:$O$23,0))+K23*INDEX('Settings'!$I$30:$O$30,1,MATCH(IF(D23="",'Settings'!$C$3,D23),'Settings'!$I$23:$O$23,0))+L23*INDEX('Settings'!$I$31:$O$31,1,MATCH(IF(D23="",'Settings'!$C$3,D23),'Settings'!$I$23:$O$23,0))+M23*INDEX('Settings'!$I$32:$O$32,1,MATCH(IF(D23="",'Settings'!$C$3,D23),'Settings'!$I$23:$O$23,0))+N23*INDEX('Settings'!$I$33:$O$33,1,MATCH(IF(D23="",'Settings'!$C$3,D23),'Settings'!$I$23:$O$23,0)))/100,1))</f>
        <v/>
      </c>
      <c r="P23" s="71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 ht="22" customHeight="1" s="280">
      <c r="A24" s="69" t="n"/>
      <c r="B24" s="70">
        <f>IF(A24="","",IFERROR(VLOOKUP(A24,'Supplier Register'!$A$6:$L$105,2,FALSE),"Not registered"))</f>
        <v/>
      </c>
      <c r="C24" s="304" t="n"/>
      <c r="D24" s="70" t="n"/>
      <c r="E24" s="308" t="n"/>
      <c r="F24" s="308" t="n"/>
      <c r="G24" s="308" t="n"/>
      <c r="H24" s="308" t="n"/>
      <c r="I24" s="308" t="n"/>
      <c r="J24" s="308" t="n"/>
      <c r="K24" s="308" t="n"/>
      <c r="L24" s="308" t="n"/>
      <c r="M24" s="308" t="n"/>
      <c r="N24" s="308" t="n"/>
      <c r="O24" s="308">
        <f>IF(COUNTA(E24:N24)=0,"",ROUND((E24*INDEX('Settings'!$I$24:$O$24,1,MATCH(IF(D24="",'Settings'!$C$3,D24),'Settings'!$I$23:$O$23,0))+F24*INDEX('Settings'!$I$25:$O$25,1,MATCH(IF(D24="",'Settings'!$C$3,D24),'Settings'!$I$23:$O$23,0))+G24*INDEX('Settings'!$I$26:$O$26,1,MATCH(IF(D24="",'Settings'!$C$3,D24),'Settings'!$I$23:$O$23,0))+H24*INDEX('Settings'!$I$27:$O$27,1,MATCH(IF(D24="",'Settings'!$C$3,D24),'Settings'!$I$23:$O$23,0))+I24*INDEX('Settings'!$I$28:$O$28,1,MATCH(IF(D24="",'Settings'!$C$3,D24),'Settings'!$I$23:$O$23,0))+J24*INDEX('Settings'!$I$29:$O$29,1,MATCH(IF(D24="",'Settings'!$C$3,D24),'Settings'!$I$23:$O$23,0))+K24*INDEX('Settings'!$I$30:$O$30,1,MATCH(IF(D24="",'Settings'!$C$3,D24),'Settings'!$I$23:$O$23,0))+L24*INDEX('Settings'!$I$31:$O$31,1,MATCH(IF(D24="",'Settings'!$C$3,D24),'Settings'!$I$23:$O$23,0))+M24*INDEX('Settings'!$I$32:$O$32,1,MATCH(IF(D24="",'Settings'!$C$3,D24),'Settings'!$I$23:$O$23,0))+N24*INDEX('Settings'!$I$33:$O$33,1,MATCH(IF(D24="",'Settings'!$C$3,D24),'Settings'!$I$23:$O$23,0)))/100,1))</f>
        <v/>
      </c>
      <c r="P24" s="71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 ht="22" customHeight="1" s="280">
      <c r="A25" s="69" t="n"/>
      <c r="B25" s="70">
        <f>IF(A25="","",IFERROR(VLOOKUP(A25,'Supplier Register'!$A$6:$L$105,2,FALSE),"Not registered"))</f>
        <v/>
      </c>
      <c r="C25" s="304" t="n"/>
      <c r="D25" s="70" t="n"/>
      <c r="E25" s="308" t="n"/>
      <c r="F25" s="308" t="n"/>
      <c r="G25" s="308" t="n"/>
      <c r="H25" s="308" t="n"/>
      <c r="I25" s="308" t="n"/>
      <c r="J25" s="308" t="n"/>
      <c r="K25" s="308" t="n"/>
      <c r="L25" s="308" t="n"/>
      <c r="M25" s="308" t="n"/>
      <c r="N25" s="308" t="n"/>
      <c r="O25" s="308">
        <f>IF(COUNTA(E25:N25)=0,"",ROUND((E25*INDEX('Settings'!$I$24:$O$24,1,MATCH(IF(D25="",'Settings'!$C$3,D25),'Settings'!$I$23:$O$23,0))+F25*INDEX('Settings'!$I$25:$O$25,1,MATCH(IF(D25="",'Settings'!$C$3,D25),'Settings'!$I$23:$O$23,0))+G25*INDEX('Settings'!$I$26:$O$26,1,MATCH(IF(D25="",'Settings'!$C$3,D25),'Settings'!$I$23:$O$23,0))+H25*INDEX('Settings'!$I$27:$O$27,1,MATCH(IF(D25="",'Settings'!$C$3,D25),'Settings'!$I$23:$O$23,0))+I25*INDEX('Settings'!$I$28:$O$28,1,MATCH(IF(D25="",'Settings'!$C$3,D25),'Settings'!$I$23:$O$23,0))+J25*INDEX('Settings'!$I$29:$O$29,1,MATCH(IF(D25="",'Settings'!$C$3,D25),'Settings'!$I$23:$O$23,0))+K25*INDEX('Settings'!$I$30:$O$30,1,MATCH(IF(D25="",'Settings'!$C$3,D25),'Settings'!$I$23:$O$23,0))+L25*INDEX('Settings'!$I$31:$O$31,1,MATCH(IF(D25="",'Settings'!$C$3,D25),'Settings'!$I$23:$O$23,0))+M25*INDEX('Settings'!$I$32:$O$32,1,MATCH(IF(D25="",'Settings'!$C$3,D25),'Settings'!$I$23:$O$23,0))+N25*INDEX('Settings'!$I$33:$O$33,1,MATCH(IF(D25="",'Settings'!$C$3,D25),'Settings'!$I$23:$O$23,0)))/100,1))</f>
        <v/>
      </c>
      <c r="P25" s="71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 ht="22" customHeight="1" s="280">
      <c r="A26" s="69" t="n"/>
      <c r="B26" s="70">
        <f>IF(A26="","",IFERROR(VLOOKUP(A26,'Supplier Register'!$A$6:$L$105,2,FALSE),"Not registered"))</f>
        <v/>
      </c>
      <c r="C26" s="304" t="n"/>
      <c r="D26" s="70" t="n"/>
      <c r="E26" s="308" t="n"/>
      <c r="F26" s="308" t="n"/>
      <c r="G26" s="308" t="n"/>
      <c r="H26" s="308" t="n"/>
      <c r="I26" s="308" t="n"/>
      <c r="J26" s="308" t="n"/>
      <c r="K26" s="308" t="n"/>
      <c r="L26" s="308" t="n"/>
      <c r="M26" s="308" t="n"/>
      <c r="N26" s="308" t="n"/>
      <c r="O26" s="308">
        <f>IF(COUNTA(E26:N26)=0,"",ROUND((E26*INDEX('Settings'!$I$24:$O$24,1,MATCH(IF(D26="",'Settings'!$C$3,D26),'Settings'!$I$23:$O$23,0))+F26*INDEX('Settings'!$I$25:$O$25,1,MATCH(IF(D26="",'Settings'!$C$3,D26),'Settings'!$I$23:$O$23,0))+G26*INDEX('Settings'!$I$26:$O$26,1,MATCH(IF(D26="",'Settings'!$C$3,D26),'Settings'!$I$23:$O$23,0))+H26*INDEX('Settings'!$I$27:$O$27,1,MATCH(IF(D26="",'Settings'!$C$3,D26),'Settings'!$I$23:$O$23,0))+I26*INDEX('Settings'!$I$28:$O$28,1,MATCH(IF(D26="",'Settings'!$C$3,D26),'Settings'!$I$23:$O$23,0))+J26*INDEX('Settings'!$I$29:$O$29,1,MATCH(IF(D26="",'Settings'!$C$3,D26),'Settings'!$I$23:$O$23,0))+K26*INDEX('Settings'!$I$30:$O$30,1,MATCH(IF(D26="",'Settings'!$C$3,D26),'Settings'!$I$23:$O$23,0))+L26*INDEX('Settings'!$I$31:$O$31,1,MATCH(IF(D26="",'Settings'!$C$3,D26),'Settings'!$I$23:$O$23,0))+M26*INDEX('Settings'!$I$32:$O$32,1,MATCH(IF(D26="",'Settings'!$C$3,D26),'Settings'!$I$23:$O$23,0))+N26*INDEX('Settings'!$I$33:$O$33,1,MATCH(IF(D26="",'Settings'!$C$3,D26),'Settings'!$I$23:$O$23,0)))/100,1))</f>
        <v/>
      </c>
      <c r="P26" s="71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 ht="22" customHeight="1" s="280">
      <c r="A27" s="69" t="n"/>
      <c r="B27" s="70">
        <f>IF(A27="","",IFERROR(VLOOKUP(A27,'Supplier Register'!$A$6:$L$105,2,FALSE),"Not registered"))</f>
        <v/>
      </c>
      <c r="C27" s="304" t="n"/>
      <c r="D27" s="70" t="n"/>
      <c r="E27" s="308" t="n"/>
      <c r="F27" s="308" t="n"/>
      <c r="G27" s="308" t="n"/>
      <c r="H27" s="308" t="n"/>
      <c r="I27" s="308" t="n"/>
      <c r="J27" s="308" t="n"/>
      <c r="K27" s="308" t="n"/>
      <c r="L27" s="308" t="n"/>
      <c r="M27" s="308" t="n"/>
      <c r="N27" s="308" t="n"/>
      <c r="O27" s="308">
        <f>IF(COUNTA(E27:N27)=0,"",ROUND((E27*INDEX('Settings'!$I$24:$O$24,1,MATCH(IF(D27="",'Settings'!$C$3,D27),'Settings'!$I$23:$O$23,0))+F27*INDEX('Settings'!$I$25:$O$25,1,MATCH(IF(D27="",'Settings'!$C$3,D27),'Settings'!$I$23:$O$23,0))+G27*INDEX('Settings'!$I$26:$O$26,1,MATCH(IF(D27="",'Settings'!$C$3,D27),'Settings'!$I$23:$O$23,0))+H27*INDEX('Settings'!$I$27:$O$27,1,MATCH(IF(D27="",'Settings'!$C$3,D27),'Settings'!$I$23:$O$23,0))+I27*INDEX('Settings'!$I$28:$O$28,1,MATCH(IF(D27="",'Settings'!$C$3,D27),'Settings'!$I$23:$O$23,0))+J27*INDEX('Settings'!$I$29:$O$29,1,MATCH(IF(D27="",'Settings'!$C$3,D27),'Settings'!$I$23:$O$23,0))+K27*INDEX('Settings'!$I$30:$O$30,1,MATCH(IF(D27="",'Settings'!$C$3,D27),'Settings'!$I$23:$O$23,0))+L27*INDEX('Settings'!$I$31:$O$31,1,MATCH(IF(D27="",'Settings'!$C$3,D27),'Settings'!$I$23:$O$23,0))+M27*INDEX('Settings'!$I$32:$O$32,1,MATCH(IF(D27="",'Settings'!$C$3,D27),'Settings'!$I$23:$O$23,0))+N27*INDEX('Settings'!$I$33:$O$33,1,MATCH(IF(D27="",'Settings'!$C$3,D27),'Settings'!$I$23:$O$23,0)))/100,1))</f>
        <v/>
      </c>
      <c r="P27" s="71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 ht="22" customHeight="1" s="280">
      <c r="A28" s="69" t="n"/>
      <c r="B28" s="70">
        <f>IF(A28="","",IFERROR(VLOOKUP(A28,'Supplier Register'!$A$6:$L$105,2,FALSE),"Not registered"))</f>
        <v/>
      </c>
      <c r="C28" s="304" t="n"/>
      <c r="D28" s="70" t="n"/>
      <c r="E28" s="308" t="n"/>
      <c r="F28" s="308" t="n"/>
      <c r="G28" s="308" t="n"/>
      <c r="H28" s="308" t="n"/>
      <c r="I28" s="308" t="n"/>
      <c r="J28" s="308" t="n"/>
      <c r="K28" s="308" t="n"/>
      <c r="L28" s="308" t="n"/>
      <c r="M28" s="308" t="n"/>
      <c r="N28" s="308" t="n"/>
      <c r="O28" s="308">
        <f>IF(COUNTA(E28:N28)=0,"",ROUND((E28*INDEX('Settings'!$I$24:$O$24,1,MATCH(IF(D28="",'Settings'!$C$3,D28),'Settings'!$I$23:$O$23,0))+F28*INDEX('Settings'!$I$25:$O$25,1,MATCH(IF(D28="",'Settings'!$C$3,D28),'Settings'!$I$23:$O$23,0))+G28*INDEX('Settings'!$I$26:$O$26,1,MATCH(IF(D28="",'Settings'!$C$3,D28),'Settings'!$I$23:$O$23,0))+H28*INDEX('Settings'!$I$27:$O$27,1,MATCH(IF(D28="",'Settings'!$C$3,D28),'Settings'!$I$23:$O$23,0))+I28*INDEX('Settings'!$I$28:$O$28,1,MATCH(IF(D28="",'Settings'!$C$3,D28),'Settings'!$I$23:$O$23,0))+J28*INDEX('Settings'!$I$29:$O$29,1,MATCH(IF(D28="",'Settings'!$C$3,D28),'Settings'!$I$23:$O$23,0))+K28*INDEX('Settings'!$I$30:$O$30,1,MATCH(IF(D28="",'Settings'!$C$3,D28),'Settings'!$I$23:$O$23,0))+L28*INDEX('Settings'!$I$31:$O$31,1,MATCH(IF(D28="",'Settings'!$C$3,D28),'Settings'!$I$23:$O$23,0))+M28*INDEX('Settings'!$I$32:$O$32,1,MATCH(IF(D28="",'Settings'!$C$3,D28),'Settings'!$I$23:$O$23,0))+N28*INDEX('Settings'!$I$33:$O$33,1,MATCH(IF(D28="",'Settings'!$C$3,D28),'Settings'!$I$23:$O$23,0)))/100,1))</f>
        <v/>
      </c>
      <c r="P28" s="71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 ht="22" customHeight="1" s="280">
      <c r="A29" s="69" t="n"/>
      <c r="B29" s="70">
        <f>IF(A29="","",IFERROR(VLOOKUP(A29,'Supplier Register'!$A$6:$L$105,2,FALSE),"Not registered"))</f>
        <v/>
      </c>
      <c r="C29" s="304" t="n"/>
      <c r="D29" s="70" t="n"/>
      <c r="E29" s="308" t="n"/>
      <c r="F29" s="308" t="n"/>
      <c r="G29" s="308" t="n"/>
      <c r="H29" s="308" t="n"/>
      <c r="I29" s="308" t="n"/>
      <c r="J29" s="308" t="n"/>
      <c r="K29" s="308" t="n"/>
      <c r="L29" s="308" t="n"/>
      <c r="M29" s="308" t="n"/>
      <c r="N29" s="308" t="n"/>
      <c r="O29" s="308">
        <f>IF(COUNTA(E29:N29)=0,"",ROUND((E29*INDEX('Settings'!$I$24:$O$24,1,MATCH(IF(D29="",'Settings'!$C$3,D29),'Settings'!$I$23:$O$23,0))+F29*INDEX('Settings'!$I$25:$O$25,1,MATCH(IF(D29="",'Settings'!$C$3,D29),'Settings'!$I$23:$O$23,0))+G29*INDEX('Settings'!$I$26:$O$26,1,MATCH(IF(D29="",'Settings'!$C$3,D29),'Settings'!$I$23:$O$23,0))+H29*INDEX('Settings'!$I$27:$O$27,1,MATCH(IF(D29="",'Settings'!$C$3,D29),'Settings'!$I$23:$O$23,0))+I29*INDEX('Settings'!$I$28:$O$28,1,MATCH(IF(D29="",'Settings'!$C$3,D29),'Settings'!$I$23:$O$23,0))+J29*INDEX('Settings'!$I$29:$O$29,1,MATCH(IF(D29="",'Settings'!$C$3,D29),'Settings'!$I$23:$O$23,0))+K29*INDEX('Settings'!$I$30:$O$30,1,MATCH(IF(D29="",'Settings'!$C$3,D29),'Settings'!$I$23:$O$23,0))+L29*INDEX('Settings'!$I$31:$O$31,1,MATCH(IF(D29="",'Settings'!$C$3,D29),'Settings'!$I$23:$O$23,0))+M29*INDEX('Settings'!$I$32:$O$32,1,MATCH(IF(D29="",'Settings'!$C$3,D29),'Settings'!$I$23:$O$23,0))+N29*INDEX('Settings'!$I$33:$O$33,1,MATCH(IF(D29="",'Settings'!$C$3,D29),'Settings'!$I$23:$O$23,0)))/100,1))</f>
        <v/>
      </c>
      <c r="P29" s="71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 ht="22" customHeight="1" s="280">
      <c r="A30" s="69" t="n"/>
      <c r="B30" s="70">
        <f>IF(A30="","",IFERROR(VLOOKUP(A30,'Supplier Register'!$A$6:$L$105,2,FALSE),"Not registered"))</f>
        <v/>
      </c>
      <c r="C30" s="304" t="n"/>
      <c r="D30" s="70" t="n"/>
      <c r="E30" s="308" t="n"/>
      <c r="F30" s="308" t="n"/>
      <c r="G30" s="308" t="n"/>
      <c r="H30" s="308" t="n"/>
      <c r="I30" s="308" t="n"/>
      <c r="J30" s="308" t="n"/>
      <c r="K30" s="308" t="n"/>
      <c r="L30" s="308" t="n"/>
      <c r="M30" s="308" t="n"/>
      <c r="N30" s="308" t="n"/>
      <c r="O30" s="308">
        <f>IF(COUNTA(E30:N30)=0,"",ROUND((E30*INDEX('Settings'!$I$24:$O$24,1,MATCH(IF(D30="",'Settings'!$C$3,D30),'Settings'!$I$23:$O$23,0))+F30*INDEX('Settings'!$I$25:$O$25,1,MATCH(IF(D30="",'Settings'!$C$3,D30),'Settings'!$I$23:$O$23,0))+G30*INDEX('Settings'!$I$26:$O$26,1,MATCH(IF(D30="",'Settings'!$C$3,D30),'Settings'!$I$23:$O$23,0))+H30*INDEX('Settings'!$I$27:$O$27,1,MATCH(IF(D30="",'Settings'!$C$3,D30),'Settings'!$I$23:$O$23,0))+I30*INDEX('Settings'!$I$28:$O$28,1,MATCH(IF(D30="",'Settings'!$C$3,D30),'Settings'!$I$23:$O$23,0))+J30*INDEX('Settings'!$I$29:$O$29,1,MATCH(IF(D30="",'Settings'!$C$3,D30),'Settings'!$I$23:$O$23,0))+K30*INDEX('Settings'!$I$30:$O$30,1,MATCH(IF(D30="",'Settings'!$C$3,D30),'Settings'!$I$23:$O$23,0))+L30*INDEX('Settings'!$I$31:$O$31,1,MATCH(IF(D30="",'Settings'!$C$3,D30),'Settings'!$I$23:$O$23,0))+M30*INDEX('Settings'!$I$32:$O$32,1,MATCH(IF(D30="",'Settings'!$C$3,D30),'Settings'!$I$23:$O$23,0))+N30*INDEX('Settings'!$I$33:$O$33,1,MATCH(IF(D30="",'Settings'!$C$3,D30),'Settings'!$I$23:$O$23,0)))/100,1))</f>
        <v/>
      </c>
      <c r="P30" s="71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 ht="22" customHeight="1" s="280">
      <c r="A31" s="69" t="n"/>
      <c r="B31" s="70">
        <f>IF(A31="","",IFERROR(VLOOKUP(A31,'Supplier Register'!$A$6:$L$105,2,FALSE),"Not registered"))</f>
        <v/>
      </c>
      <c r="C31" s="304" t="n"/>
      <c r="D31" s="70" t="n"/>
      <c r="E31" s="308" t="n"/>
      <c r="F31" s="308" t="n"/>
      <c r="G31" s="308" t="n"/>
      <c r="H31" s="308" t="n"/>
      <c r="I31" s="308" t="n"/>
      <c r="J31" s="308" t="n"/>
      <c r="K31" s="308" t="n"/>
      <c r="L31" s="308" t="n"/>
      <c r="M31" s="308" t="n"/>
      <c r="N31" s="308" t="n"/>
      <c r="O31" s="308">
        <f>IF(COUNTA(E31:N31)=0,"",ROUND((E31*INDEX('Settings'!$I$24:$O$24,1,MATCH(IF(D31="",'Settings'!$C$3,D31),'Settings'!$I$23:$O$23,0))+F31*INDEX('Settings'!$I$25:$O$25,1,MATCH(IF(D31="",'Settings'!$C$3,D31),'Settings'!$I$23:$O$23,0))+G31*INDEX('Settings'!$I$26:$O$26,1,MATCH(IF(D31="",'Settings'!$C$3,D31),'Settings'!$I$23:$O$23,0))+H31*INDEX('Settings'!$I$27:$O$27,1,MATCH(IF(D31="",'Settings'!$C$3,D31),'Settings'!$I$23:$O$23,0))+I31*INDEX('Settings'!$I$28:$O$28,1,MATCH(IF(D31="",'Settings'!$C$3,D31),'Settings'!$I$23:$O$23,0))+J31*INDEX('Settings'!$I$29:$O$29,1,MATCH(IF(D31="",'Settings'!$C$3,D31),'Settings'!$I$23:$O$23,0))+K31*INDEX('Settings'!$I$30:$O$30,1,MATCH(IF(D31="",'Settings'!$C$3,D31),'Settings'!$I$23:$O$23,0))+L31*INDEX('Settings'!$I$31:$O$31,1,MATCH(IF(D31="",'Settings'!$C$3,D31),'Settings'!$I$23:$O$23,0))+M31*INDEX('Settings'!$I$32:$O$32,1,MATCH(IF(D31="",'Settings'!$C$3,D31),'Settings'!$I$23:$O$23,0))+N31*INDEX('Settings'!$I$33:$O$33,1,MATCH(IF(D31="",'Settings'!$C$3,D31),'Settings'!$I$23:$O$23,0)))/100,1))</f>
        <v/>
      </c>
      <c r="P31" s="71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 ht="22" customHeight="1" s="280">
      <c r="A32" s="69" t="n"/>
      <c r="B32" s="70">
        <f>IF(A32="","",IFERROR(VLOOKUP(A32,'Supplier Register'!$A$6:$L$105,2,FALSE),"Not registered"))</f>
        <v/>
      </c>
      <c r="C32" s="304" t="n"/>
      <c r="D32" s="70" t="n"/>
      <c r="E32" s="308" t="n"/>
      <c r="F32" s="308" t="n"/>
      <c r="G32" s="308" t="n"/>
      <c r="H32" s="308" t="n"/>
      <c r="I32" s="308" t="n"/>
      <c r="J32" s="308" t="n"/>
      <c r="K32" s="308" t="n"/>
      <c r="L32" s="308" t="n"/>
      <c r="M32" s="308" t="n"/>
      <c r="N32" s="308" t="n"/>
      <c r="O32" s="308">
        <f>IF(COUNTA(E32:N32)=0,"",ROUND((E32*INDEX('Settings'!$I$24:$O$24,1,MATCH(IF(D32="",'Settings'!$C$3,D32),'Settings'!$I$23:$O$23,0))+F32*INDEX('Settings'!$I$25:$O$25,1,MATCH(IF(D32="",'Settings'!$C$3,D32),'Settings'!$I$23:$O$23,0))+G32*INDEX('Settings'!$I$26:$O$26,1,MATCH(IF(D32="",'Settings'!$C$3,D32),'Settings'!$I$23:$O$23,0))+H32*INDEX('Settings'!$I$27:$O$27,1,MATCH(IF(D32="",'Settings'!$C$3,D32),'Settings'!$I$23:$O$23,0))+I32*INDEX('Settings'!$I$28:$O$28,1,MATCH(IF(D32="",'Settings'!$C$3,D32),'Settings'!$I$23:$O$23,0))+J32*INDEX('Settings'!$I$29:$O$29,1,MATCH(IF(D32="",'Settings'!$C$3,D32),'Settings'!$I$23:$O$23,0))+K32*INDEX('Settings'!$I$30:$O$30,1,MATCH(IF(D32="",'Settings'!$C$3,D32),'Settings'!$I$23:$O$23,0))+L32*INDEX('Settings'!$I$31:$O$31,1,MATCH(IF(D32="",'Settings'!$C$3,D32),'Settings'!$I$23:$O$23,0))+M32*INDEX('Settings'!$I$32:$O$32,1,MATCH(IF(D32="",'Settings'!$C$3,D32),'Settings'!$I$23:$O$23,0))+N32*INDEX('Settings'!$I$33:$O$33,1,MATCH(IF(D32="",'Settings'!$C$3,D32),'Settings'!$I$23:$O$23,0)))/100,1))</f>
        <v/>
      </c>
      <c r="P32" s="71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 ht="22" customHeight="1" s="280">
      <c r="A33" s="69" t="n"/>
      <c r="B33" s="70">
        <f>IF(A33="","",IFERROR(VLOOKUP(A33,'Supplier Register'!$A$6:$L$105,2,FALSE),"Not registered"))</f>
        <v/>
      </c>
      <c r="C33" s="304" t="n"/>
      <c r="D33" s="70" t="n"/>
      <c r="E33" s="308" t="n"/>
      <c r="F33" s="308" t="n"/>
      <c r="G33" s="308" t="n"/>
      <c r="H33" s="308" t="n"/>
      <c r="I33" s="308" t="n"/>
      <c r="J33" s="308" t="n"/>
      <c r="K33" s="308" t="n"/>
      <c r="L33" s="308" t="n"/>
      <c r="M33" s="308" t="n"/>
      <c r="N33" s="308" t="n"/>
      <c r="O33" s="308">
        <f>IF(COUNTA(E33:N33)=0,"",ROUND((E33*INDEX('Settings'!$I$24:$O$24,1,MATCH(IF(D33="",'Settings'!$C$3,D33),'Settings'!$I$23:$O$23,0))+F33*INDEX('Settings'!$I$25:$O$25,1,MATCH(IF(D33="",'Settings'!$C$3,D33),'Settings'!$I$23:$O$23,0))+G33*INDEX('Settings'!$I$26:$O$26,1,MATCH(IF(D33="",'Settings'!$C$3,D33),'Settings'!$I$23:$O$23,0))+H33*INDEX('Settings'!$I$27:$O$27,1,MATCH(IF(D33="",'Settings'!$C$3,D33),'Settings'!$I$23:$O$23,0))+I33*INDEX('Settings'!$I$28:$O$28,1,MATCH(IF(D33="",'Settings'!$C$3,D33),'Settings'!$I$23:$O$23,0))+J33*INDEX('Settings'!$I$29:$O$29,1,MATCH(IF(D33="",'Settings'!$C$3,D33),'Settings'!$I$23:$O$23,0))+K33*INDEX('Settings'!$I$30:$O$30,1,MATCH(IF(D33="",'Settings'!$C$3,D33),'Settings'!$I$23:$O$23,0))+L33*INDEX('Settings'!$I$31:$O$31,1,MATCH(IF(D33="",'Settings'!$C$3,D33),'Settings'!$I$23:$O$23,0))+M33*INDEX('Settings'!$I$32:$O$32,1,MATCH(IF(D33="",'Settings'!$C$3,D33),'Settings'!$I$23:$O$23,0))+N33*INDEX('Settings'!$I$33:$O$33,1,MATCH(IF(D33="",'Settings'!$C$3,D33),'Settings'!$I$23:$O$23,0)))/100,1))</f>
        <v/>
      </c>
      <c r="P33" s="71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 ht="22" customHeight="1" s="280">
      <c r="A34" s="69" t="n"/>
      <c r="B34" s="70">
        <f>IF(A34="","",IFERROR(VLOOKUP(A34,'Supplier Register'!$A$6:$L$105,2,FALSE),"Not registered"))</f>
        <v/>
      </c>
      <c r="C34" s="304" t="n"/>
      <c r="D34" s="70" t="n"/>
      <c r="E34" s="308" t="n"/>
      <c r="F34" s="308" t="n"/>
      <c r="G34" s="308" t="n"/>
      <c r="H34" s="308" t="n"/>
      <c r="I34" s="308" t="n"/>
      <c r="J34" s="308" t="n"/>
      <c r="K34" s="308" t="n"/>
      <c r="L34" s="308" t="n"/>
      <c r="M34" s="308" t="n"/>
      <c r="N34" s="308" t="n"/>
      <c r="O34" s="308">
        <f>IF(COUNTA(E34:N34)=0,"",ROUND((E34*INDEX('Settings'!$I$24:$O$24,1,MATCH(IF(D34="",'Settings'!$C$3,D34),'Settings'!$I$23:$O$23,0))+F34*INDEX('Settings'!$I$25:$O$25,1,MATCH(IF(D34="",'Settings'!$C$3,D34),'Settings'!$I$23:$O$23,0))+G34*INDEX('Settings'!$I$26:$O$26,1,MATCH(IF(D34="",'Settings'!$C$3,D34),'Settings'!$I$23:$O$23,0))+H34*INDEX('Settings'!$I$27:$O$27,1,MATCH(IF(D34="",'Settings'!$C$3,D34),'Settings'!$I$23:$O$23,0))+I34*INDEX('Settings'!$I$28:$O$28,1,MATCH(IF(D34="",'Settings'!$C$3,D34),'Settings'!$I$23:$O$23,0))+J34*INDEX('Settings'!$I$29:$O$29,1,MATCH(IF(D34="",'Settings'!$C$3,D34),'Settings'!$I$23:$O$23,0))+K34*INDEX('Settings'!$I$30:$O$30,1,MATCH(IF(D34="",'Settings'!$C$3,D34),'Settings'!$I$23:$O$23,0))+L34*INDEX('Settings'!$I$31:$O$31,1,MATCH(IF(D34="",'Settings'!$C$3,D34),'Settings'!$I$23:$O$23,0))+M34*INDEX('Settings'!$I$32:$O$32,1,MATCH(IF(D34="",'Settings'!$C$3,D34),'Settings'!$I$23:$O$23,0))+N34*INDEX('Settings'!$I$33:$O$33,1,MATCH(IF(D34="",'Settings'!$C$3,D34),'Settings'!$I$23:$O$23,0)))/100,1))</f>
        <v/>
      </c>
      <c r="P34" s="71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 ht="22" customHeight="1" s="280">
      <c r="A35" s="69" t="n"/>
      <c r="B35" s="70">
        <f>IF(A35="","",IFERROR(VLOOKUP(A35,'Supplier Register'!$A$6:$L$105,2,FALSE),"Not registered"))</f>
        <v/>
      </c>
      <c r="C35" s="304" t="n"/>
      <c r="D35" s="70" t="n"/>
      <c r="E35" s="308" t="n"/>
      <c r="F35" s="308" t="n"/>
      <c r="G35" s="308" t="n"/>
      <c r="H35" s="308" t="n"/>
      <c r="I35" s="308" t="n"/>
      <c r="J35" s="308" t="n"/>
      <c r="K35" s="308" t="n"/>
      <c r="L35" s="308" t="n"/>
      <c r="M35" s="308" t="n"/>
      <c r="N35" s="308" t="n"/>
      <c r="O35" s="308">
        <f>IF(COUNTA(E35:N35)=0,"",ROUND((E35*INDEX('Settings'!$I$24:$O$24,1,MATCH(IF(D35="",'Settings'!$C$3,D35),'Settings'!$I$23:$O$23,0))+F35*INDEX('Settings'!$I$25:$O$25,1,MATCH(IF(D35="",'Settings'!$C$3,D35),'Settings'!$I$23:$O$23,0))+G35*INDEX('Settings'!$I$26:$O$26,1,MATCH(IF(D35="",'Settings'!$C$3,D35),'Settings'!$I$23:$O$23,0))+H35*INDEX('Settings'!$I$27:$O$27,1,MATCH(IF(D35="",'Settings'!$C$3,D35),'Settings'!$I$23:$O$23,0))+I35*INDEX('Settings'!$I$28:$O$28,1,MATCH(IF(D35="",'Settings'!$C$3,D35),'Settings'!$I$23:$O$23,0))+J35*INDEX('Settings'!$I$29:$O$29,1,MATCH(IF(D35="",'Settings'!$C$3,D35),'Settings'!$I$23:$O$23,0))+K35*INDEX('Settings'!$I$30:$O$30,1,MATCH(IF(D35="",'Settings'!$C$3,D35),'Settings'!$I$23:$O$23,0))+L35*INDEX('Settings'!$I$31:$O$31,1,MATCH(IF(D35="",'Settings'!$C$3,D35),'Settings'!$I$23:$O$23,0))+M35*INDEX('Settings'!$I$32:$O$32,1,MATCH(IF(D35="",'Settings'!$C$3,D35),'Settings'!$I$23:$O$23,0))+N35*INDEX('Settings'!$I$33:$O$33,1,MATCH(IF(D35="",'Settings'!$C$3,D35),'Settings'!$I$23:$O$23,0)))/100,1))</f>
        <v/>
      </c>
      <c r="P35" s="71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 ht="22" customHeight="1" s="280">
      <c r="A36" s="69" t="n"/>
      <c r="B36" s="70">
        <f>IF(A36="","",IFERROR(VLOOKUP(A36,'Supplier Register'!$A$6:$L$105,2,FALSE),"Not registered"))</f>
        <v/>
      </c>
      <c r="C36" s="304" t="n"/>
      <c r="D36" s="70" t="n"/>
      <c r="E36" s="308" t="n"/>
      <c r="F36" s="308" t="n"/>
      <c r="G36" s="308" t="n"/>
      <c r="H36" s="308" t="n"/>
      <c r="I36" s="308" t="n"/>
      <c r="J36" s="308" t="n"/>
      <c r="K36" s="308" t="n"/>
      <c r="L36" s="308" t="n"/>
      <c r="M36" s="308" t="n"/>
      <c r="N36" s="308" t="n"/>
      <c r="O36" s="308">
        <f>IF(COUNTA(E36:N36)=0,"",ROUND((E36*INDEX('Settings'!$I$24:$O$24,1,MATCH(IF(D36="",'Settings'!$C$3,D36),'Settings'!$I$23:$O$23,0))+F36*INDEX('Settings'!$I$25:$O$25,1,MATCH(IF(D36="",'Settings'!$C$3,D36),'Settings'!$I$23:$O$23,0))+G36*INDEX('Settings'!$I$26:$O$26,1,MATCH(IF(D36="",'Settings'!$C$3,D36),'Settings'!$I$23:$O$23,0))+H36*INDEX('Settings'!$I$27:$O$27,1,MATCH(IF(D36="",'Settings'!$C$3,D36),'Settings'!$I$23:$O$23,0))+I36*INDEX('Settings'!$I$28:$O$28,1,MATCH(IF(D36="",'Settings'!$C$3,D36),'Settings'!$I$23:$O$23,0))+J36*INDEX('Settings'!$I$29:$O$29,1,MATCH(IF(D36="",'Settings'!$C$3,D36),'Settings'!$I$23:$O$23,0))+K36*INDEX('Settings'!$I$30:$O$30,1,MATCH(IF(D36="",'Settings'!$C$3,D36),'Settings'!$I$23:$O$23,0))+L36*INDEX('Settings'!$I$31:$O$31,1,MATCH(IF(D36="",'Settings'!$C$3,D36),'Settings'!$I$23:$O$23,0))+M36*INDEX('Settings'!$I$32:$O$32,1,MATCH(IF(D36="",'Settings'!$C$3,D36),'Settings'!$I$23:$O$23,0))+N36*INDEX('Settings'!$I$33:$O$33,1,MATCH(IF(D36="",'Settings'!$C$3,D36),'Settings'!$I$23:$O$23,0)))/100,1))</f>
        <v/>
      </c>
      <c r="P36" s="71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 ht="22" customHeight="1" s="280">
      <c r="A37" s="69" t="n"/>
      <c r="B37" s="70">
        <f>IF(A37="","",IFERROR(VLOOKUP(A37,'Supplier Register'!$A$6:$L$105,2,FALSE),"Not registered"))</f>
        <v/>
      </c>
      <c r="C37" s="304" t="n"/>
      <c r="D37" s="70" t="n"/>
      <c r="E37" s="308" t="n"/>
      <c r="F37" s="308" t="n"/>
      <c r="G37" s="308" t="n"/>
      <c r="H37" s="308" t="n"/>
      <c r="I37" s="308" t="n"/>
      <c r="J37" s="308" t="n"/>
      <c r="K37" s="308" t="n"/>
      <c r="L37" s="308" t="n"/>
      <c r="M37" s="308" t="n"/>
      <c r="N37" s="308" t="n"/>
      <c r="O37" s="308">
        <f>IF(COUNTA(E37:N37)=0,"",ROUND((E37*INDEX('Settings'!$I$24:$O$24,1,MATCH(IF(D37="",'Settings'!$C$3,D37),'Settings'!$I$23:$O$23,0))+F37*INDEX('Settings'!$I$25:$O$25,1,MATCH(IF(D37="",'Settings'!$C$3,D37),'Settings'!$I$23:$O$23,0))+G37*INDEX('Settings'!$I$26:$O$26,1,MATCH(IF(D37="",'Settings'!$C$3,D37),'Settings'!$I$23:$O$23,0))+H37*INDEX('Settings'!$I$27:$O$27,1,MATCH(IF(D37="",'Settings'!$C$3,D37),'Settings'!$I$23:$O$23,0))+I37*INDEX('Settings'!$I$28:$O$28,1,MATCH(IF(D37="",'Settings'!$C$3,D37),'Settings'!$I$23:$O$23,0))+J37*INDEX('Settings'!$I$29:$O$29,1,MATCH(IF(D37="",'Settings'!$C$3,D37),'Settings'!$I$23:$O$23,0))+K37*INDEX('Settings'!$I$30:$O$30,1,MATCH(IF(D37="",'Settings'!$C$3,D37),'Settings'!$I$23:$O$23,0))+L37*INDEX('Settings'!$I$31:$O$31,1,MATCH(IF(D37="",'Settings'!$C$3,D37),'Settings'!$I$23:$O$23,0))+M37*INDEX('Settings'!$I$32:$O$32,1,MATCH(IF(D37="",'Settings'!$C$3,D37),'Settings'!$I$23:$O$23,0))+N37*INDEX('Settings'!$I$33:$O$33,1,MATCH(IF(D37="",'Settings'!$C$3,D37),'Settings'!$I$23:$O$23,0)))/100,1))</f>
        <v/>
      </c>
      <c r="P37" s="71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 ht="22" customHeight="1" s="280">
      <c r="A38" s="69" t="n"/>
      <c r="B38" s="70">
        <f>IF(A38="","",IFERROR(VLOOKUP(A38,'Supplier Register'!$A$6:$L$105,2,FALSE),"Not registered"))</f>
        <v/>
      </c>
      <c r="C38" s="304" t="n"/>
      <c r="D38" s="70" t="n"/>
      <c r="E38" s="308" t="n"/>
      <c r="F38" s="308" t="n"/>
      <c r="G38" s="308" t="n"/>
      <c r="H38" s="308" t="n"/>
      <c r="I38" s="308" t="n"/>
      <c r="J38" s="308" t="n"/>
      <c r="K38" s="308" t="n"/>
      <c r="L38" s="308" t="n"/>
      <c r="M38" s="308" t="n"/>
      <c r="N38" s="308" t="n"/>
      <c r="O38" s="308">
        <f>IF(COUNTA(E38:N38)=0,"",ROUND((E38*INDEX('Settings'!$I$24:$O$24,1,MATCH(IF(D38="",'Settings'!$C$3,D38),'Settings'!$I$23:$O$23,0))+F38*INDEX('Settings'!$I$25:$O$25,1,MATCH(IF(D38="",'Settings'!$C$3,D38),'Settings'!$I$23:$O$23,0))+G38*INDEX('Settings'!$I$26:$O$26,1,MATCH(IF(D38="",'Settings'!$C$3,D38),'Settings'!$I$23:$O$23,0))+H38*INDEX('Settings'!$I$27:$O$27,1,MATCH(IF(D38="",'Settings'!$C$3,D38),'Settings'!$I$23:$O$23,0))+I38*INDEX('Settings'!$I$28:$O$28,1,MATCH(IF(D38="",'Settings'!$C$3,D38),'Settings'!$I$23:$O$23,0))+J38*INDEX('Settings'!$I$29:$O$29,1,MATCH(IF(D38="",'Settings'!$C$3,D38),'Settings'!$I$23:$O$23,0))+K38*INDEX('Settings'!$I$30:$O$30,1,MATCH(IF(D38="",'Settings'!$C$3,D38),'Settings'!$I$23:$O$23,0))+L38*INDEX('Settings'!$I$31:$O$31,1,MATCH(IF(D38="",'Settings'!$C$3,D38),'Settings'!$I$23:$O$23,0))+M38*INDEX('Settings'!$I$32:$O$32,1,MATCH(IF(D38="",'Settings'!$C$3,D38),'Settings'!$I$23:$O$23,0))+N38*INDEX('Settings'!$I$33:$O$33,1,MATCH(IF(D38="",'Settings'!$C$3,D38),'Settings'!$I$23:$O$23,0)))/100,1))</f>
        <v/>
      </c>
      <c r="P38" s="71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 ht="22" customHeight="1" s="280">
      <c r="A39" s="69" t="n"/>
      <c r="B39" s="70">
        <f>IF(A39="","",IFERROR(VLOOKUP(A39,'Supplier Register'!$A$6:$L$105,2,FALSE),"Not registered"))</f>
        <v/>
      </c>
      <c r="C39" s="304" t="n"/>
      <c r="D39" s="70" t="n"/>
      <c r="E39" s="308" t="n"/>
      <c r="F39" s="308" t="n"/>
      <c r="G39" s="308" t="n"/>
      <c r="H39" s="308" t="n"/>
      <c r="I39" s="308" t="n"/>
      <c r="J39" s="308" t="n"/>
      <c r="K39" s="308" t="n"/>
      <c r="L39" s="308" t="n"/>
      <c r="M39" s="308" t="n"/>
      <c r="N39" s="308" t="n"/>
      <c r="O39" s="308">
        <f>IF(COUNTA(E39:N39)=0,"",ROUND((E39*INDEX('Settings'!$I$24:$O$24,1,MATCH(IF(D39="",'Settings'!$C$3,D39),'Settings'!$I$23:$O$23,0))+F39*INDEX('Settings'!$I$25:$O$25,1,MATCH(IF(D39="",'Settings'!$C$3,D39),'Settings'!$I$23:$O$23,0))+G39*INDEX('Settings'!$I$26:$O$26,1,MATCH(IF(D39="",'Settings'!$C$3,D39),'Settings'!$I$23:$O$23,0))+H39*INDEX('Settings'!$I$27:$O$27,1,MATCH(IF(D39="",'Settings'!$C$3,D39),'Settings'!$I$23:$O$23,0))+I39*INDEX('Settings'!$I$28:$O$28,1,MATCH(IF(D39="",'Settings'!$C$3,D39),'Settings'!$I$23:$O$23,0))+J39*INDEX('Settings'!$I$29:$O$29,1,MATCH(IF(D39="",'Settings'!$C$3,D39),'Settings'!$I$23:$O$23,0))+K39*INDEX('Settings'!$I$30:$O$30,1,MATCH(IF(D39="",'Settings'!$C$3,D39),'Settings'!$I$23:$O$23,0))+L39*INDEX('Settings'!$I$31:$O$31,1,MATCH(IF(D39="",'Settings'!$C$3,D39),'Settings'!$I$23:$O$23,0))+M39*INDEX('Settings'!$I$32:$O$32,1,MATCH(IF(D39="",'Settings'!$C$3,D39),'Settings'!$I$23:$O$23,0))+N39*INDEX('Settings'!$I$33:$O$33,1,MATCH(IF(D39="",'Settings'!$C$3,D39),'Settings'!$I$23:$O$23,0)))/100,1))</f>
        <v/>
      </c>
      <c r="P39" s="71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 ht="22" customHeight="1" s="280">
      <c r="A40" s="69" t="n"/>
      <c r="B40" s="70">
        <f>IF(A40="","",IFERROR(VLOOKUP(A40,'Supplier Register'!$A$6:$L$105,2,FALSE),"Not registered"))</f>
        <v/>
      </c>
      <c r="C40" s="304" t="n"/>
      <c r="D40" s="70" t="n"/>
      <c r="E40" s="308" t="n"/>
      <c r="F40" s="308" t="n"/>
      <c r="G40" s="308" t="n"/>
      <c r="H40" s="308" t="n"/>
      <c r="I40" s="308" t="n"/>
      <c r="J40" s="308" t="n"/>
      <c r="K40" s="308" t="n"/>
      <c r="L40" s="308" t="n"/>
      <c r="M40" s="308" t="n"/>
      <c r="N40" s="308" t="n"/>
      <c r="O40" s="308">
        <f>IF(COUNTA(E40:N40)=0,"",ROUND((E40*INDEX('Settings'!$I$24:$O$24,1,MATCH(IF(D40="",'Settings'!$C$3,D40),'Settings'!$I$23:$O$23,0))+F40*INDEX('Settings'!$I$25:$O$25,1,MATCH(IF(D40="",'Settings'!$C$3,D40),'Settings'!$I$23:$O$23,0))+G40*INDEX('Settings'!$I$26:$O$26,1,MATCH(IF(D40="",'Settings'!$C$3,D40),'Settings'!$I$23:$O$23,0))+H40*INDEX('Settings'!$I$27:$O$27,1,MATCH(IF(D40="",'Settings'!$C$3,D40),'Settings'!$I$23:$O$23,0))+I40*INDEX('Settings'!$I$28:$O$28,1,MATCH(IF(D40="",'Settings'!$C$3,D40),'Settings'!$I$23:$O$23,0))+J40*INDEX('Settings'!$I$29:$O$29,1,MATCH(IF(D40="",'Settings'!$C$3,D40),'Settings'!$I$23:$O$23,0))+K40*INDEX('Settings'!$I$30:$O$30,1,MATCH(IF(D40="",'Settings'!$C$3,D40),'Settings'!$I$23:$O$23,0))+L40*INDEX('Settings'!$I$31:$O$31,1,MATCH(IF(D40="",'Settings'!$C$3,D40),'Settings'!$I$23:$O$23,0))+M40*INDEX('Settings'!$I$32:$O$32,1,MATCH(IF(D40="",'Settings'!$C$3,D40),'Settings'!$I$23:$O$23,0))+N40*INDEX('Settings'!$I$33:$O$33,1,MATCH(IF(D40="",'Settings'!$C$3,D40),'Settings'!$I$23:$O$23,0)))/100,1))</f>
        <v/>
      </c>
      <c r="P40" s="71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 ht="22" customHeight="1" s="280">
      <c r="A41" s="69" t="n"/>
      <c r="B41" s="70">
        <f>IF(A41="","",IFERROR(VLOOKUP(A41,'Supplier Register'!$A$6:$L$105,2,FALSE),"Not registered"))</f>
        <v/>
      </c>
      <c r="C41" s="304" t="n"/>
      <c r="D41" s="70" t="n"/>
      <c r="E41" s="308" t="n"/>
      <c r="F41" s="308" t="n"/>
      <c r="G41" s="308" t="n"/>
      <c r="H41" s="308" t="n"/>
      <c r="I41" s="308" t="n"/>
      <c r="J41" s="308" t="n"/>
      <c r="K41" s="308" t="n"/>
      <c r="L41" s="308" t="n"/>
      <c r="M41" s="308" t="n"/>
      <c r="N41" s="308" t="n"/>
      <c r="O41" s="308">
        <f>IF(COUNTA(E41:N41)=0,"",ROUND((E41*INDEX('Settings'!$I$24:$O$24,1,MATCH(IF(D41="",'Settings'!$C$3,D41),'Settings'!$I$23:$O$23,0))+F41*INDEX('Settings'!$I$25:$O$25,1,MATCH(IF(D41="",'Settings'!$C$3,D41),'Settings'!$I$23:$O$23,0))+G41*INDEX('Settings'!$I$26:$O$26,1,MATCH(IF(D41="",'Settings'!$C$3,D41),'Settings'!$I$23:$O$23,0))+H41*INDEX('Settings'!$I$27:$O$27,1,MATCH(IF(D41="",'Settings'!$C$3,D41),'Settings'!$I$23:$O$23,0))+I41*INDEX('Settings'!$I$28:$O$28,1,MATCH(IF(D41="",'Settings'!$C$3,D41),'Settings'!$I$23:$O$23,0))+J41*INDEX('Settings'!$I$29:$O$29,1,MATCH(IF(D41="",'Settings'!$C$3,D41),'Settings'!$I$23:$O$23,0))+K41*INDEX('Settings'!$I$30:$O$30,1,MATCH(IF(D41="",'Settings'!$C$3,D41),'Settings'!$I$23:$O$23,0))+L41*INDEX('Settings'!$I$31:$O$31,1,MATCH(IF(D41="",'Settings'!$C$3,D41),'Settings'!$I$23:$O$23,0))+M41*INDEX('Settings'!$I$32:$O$32,1,MATCH(IF(D41="",'Settings'!$C$3,D41),'Settings'!$I$23:$O$23,0))+N41*INDEX('Settings'!$I$33:$O$33,1,MATCH(IF(D41="",'Settings'!$C$3,D41),'Settings'!$I$23:$O$23,0)))/100,1))</f>
        <v/>
      </c>
      <c r="P41" s="71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 ht="22" customHeight="1" s="280">
      <c r="A42" s="69" t="n"/>
      <c r="B42" s="70">
        <f>IF(A42="","",IFERROR(VLOOKUP(A42,'Supplier Register'!$A$6:$L$105,2,FALSE),"Not registered"))</f>
        <v/>
      </c>
      <c r="C42" s="304" t="n"/>
      <c r="D42" s="70" t="n"/>
      <c r="E42" s="308" t="n"/>
      <c r="F42" s="308" t="n"/>
      <c r="G42" s="308" t="n"/>
      <c r="H42" s="308" t="n"/>
      <c r="I42" s="308" t="n"/>
      <c r="J42" s="308" t="n"/>
      <c r="K42" s="308" t="n"/>
      <c r="L42" s="308" t="n"/>
      <c r="M42" s="308" t="n"/>
      <c r="N42" s="308" t="n"/>
      <c r="O42" s="308">
        <f>IF(COUNTA(E42:N42)=0,"",ROUND((E42*INDEX('Settings'!$I$24:$O$24,1,MATCH(IF(D42="",'Settings'!$C$3,D42),'Settings'!$I$23:$O$23,0))+F42*INDEX('Settings'!$I$25:$O$25,1,MATCH(IF(D42="",'Settings'!$C$3,D42),'Settings'!$I$23:$O$23,0))+G42*INDEX('Settings'!$I$26:$O$26,1,MATCH(IF(D42="",'Settings'!$C$3,D42),'Settings'!$I$23:$O$23,0))+H42*INDEX('Settings'!$I$27:$O$27,1,MATCH(IF(D42="",'Settings'!$C$3,D42),'Settings'!$I$23:$O$23,0))+I42*INDEX('Settings'!$I$28:$O$28,1,MATCH(IF(D42="",'Settings'!$C$3,D42),'Settings'!$I$23:$O$23,0))+J42*INDEX('Settings'!$I$29:$O$29,1,MATCH(IF(D42="",'Settings'!$C$3,D42),'Settings'!$I$23:$O$23,0))+K42*INDEX('Settings'!$I$30:$O$30,1,MATCH(IF(D42="",'Settings'!$C$3,D42),'Settings'!$I$23:$O$23,0))+L42*INDEX('Settings'!$I$31:$O$31,1,MATCH(IF(D42="",'Settings'!$C$3,D42),'Settings'!$I$23:$O$23,0))+M42*INDEX('Settings'!$I$32:$O$32,1,MATCH(IF(D42="",'Settings'!$C$3,D42),'Settings'!$I$23:$O$23,0))+N42*INDEX('Settings'!$I$33:$O$33,1,MATCH(IF(D42="",'Settings'!$C$3,D42),'Settings'!$I$23:$O$23,0)))/100,1))</f>
        <v/>
      </c>
      <c r="P42" s="71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 ht="22" customHeight="1" s="280">
      <c r="A43" s="69" t="n"/>
      <c r="B43" s="70">
        <f>IF(A43="","",IFERROR(VLOOKUP(A43,'Supplier Register'!$A$6:$L$105,2,FALSE),"Not registered"))</f>
        <v/>
      </c>
      <c r="C43" s="304" t="n"/>
      <c r="D43" s="70" t="n"/>
      <c r="E43" s="308" t="n"/>
      <c r="F43" s="308" t="n"/>
      <c r="G43" s="308" t="n"/>
      <c r="H43" s="308" t="n"/>
      <c r="I43" s="308" t="n"/>
      <c r="J43" s="308" t="n"/>
      <c r="K43" s="308" t="n"/>
      <c r="L43" s="308" t="n"/>
      <c r="M43" s="308" t="n"/>
      <c r="N43" s="308" t="n"/>
      <c r="O43" s="308">
        <f>IF(COUNTA(E43:N43)=0,"",ROUND((E43*INDEX('Settings'!$I$24:$O$24,1,MATCH(IF(D43="",'Settings'!$C$3,D43),'Settings'!$I$23:$O$23,0))+F43*INDEX('Settings'!$I$25:$O$25,1,MATCH(IF(D43="",'Settings'!$C$3,D43),'Settings'!$I$23:$O$23,0))+G43*INDEX('Settings'!$I$26:$O$26,1,MATCH(IF(D43="",'Settings'!$C$3,D43),'Settings'!$I$23:$O$23,0))+H43*INDEX('Settings'!$I$27:$O$27,1,MATCH(IF(D43="",'Settings'!$C$3,D43),'Settings'!$I$23:$O$23,0))+I43*INDEX('Settings'!$I$28:$O$28,1,MATCH(IF(D43="",'Settings'!$C$3,D43),'Settings'!$I$23:$O$23,0))+J43*INDEX('Settings'!$I$29:$O$29,1,MATCH(IF(D43="",'Settings'!$C$3,D43),'Settings'!$I$23:$O$23,0))+K43*INDEX('Settings'!$I$30:$O$30,1,MATCH(IF(D43="",'Settings'!$C$3,D43),'Settings'!$I$23:$O$23,0))+L43*INDEX('Settings'!$I$31:$O$31,1,MATCH(IF(D43="",'Settings'!$C$3,D43),'Settings'!$I$23:$O$23,0))+M43*INDEX('Settings'!$I$32:$O$32,1,MATCH(IF(D43="",'Settings'!$C$3,D43),'Settings'!$I$23:$O$23,0))+N43*INDEX('Settings'!$I$33:$O$33,1,MATCH(IF(D43="",'Settings'!$C$3,D43),'Settings'!$I$23:$O$23,0)))/100,1))</f>
        <v/>
      </c>
      <c r="P43" s="71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 ht="22" customHeight="1" s="280">
      <c r="A44" s="69" t="n"/>
      <c r="B44" s="70">
        <f>IF(A44="","",IFERROR(VLOOKUP(A44,'Supplier Register'!$A$6:$L$105,2,FALSE),"Not registered"))</f>
        <v/>
      </c>
      <c r="C44" s="304" t="n"/>
      <c r="D44" s="70" t="n"/>
      <c r="E44" s="308" t="n"/>
      <c r="F44" s="308" t="n"/>
      <c r="G44" s="308" t="n"/>
      <c r="H44" s="308" t="n"/>
      <c r="I44" s="308" t="n"/>
      <c r="J44" s="308" t="n"/>
      <c r="K44" s="308" t="n"/>
      <c r="L44" s="308" t="n"/>
      <c r="M44" s="308" t="n"/>
      <c r="N44" s="308" t="n"/>
      <c r="O44" s="308">
        <f>IF(COUNTA(E44:N44)=0,"",ROUND((E44*INDEX('Settings'!$I$24:$O$24,1,MATCH(IF(D44="",'Settings'!$C$3,D44),'Settings'!$I$23:$O$23,0))+F44*INDEX('Settings'!$I$25:$O$25,1,MATCH(IF(D44="",'Settings'!$C$3,D44),'Settings'!$I$23:$O$23,0))+G44*INDEX('Settings'!$I$26:$O$26,1,MATCH(IF(D44="",'Settings'!$C$3,D44),'Settings'!$I$23:$O$23,0))+H44*INDEX('Settings'!$I$27:$O$27,1,MATCH(IF(D44="",'Settings'!$C$3,D44),'Settings'!$I$23:$O$23,0))+I44*INDEX('Settings'!$I$28:$O$28,1,MATCH(IF(D44="",'Settings'!$C$3,D44),'Settings'!$I$23:$O$23,0))+J44*INDEX('Settings'!$I$29:$O$29,1,MATCH(IF(D44="",'Settings'!$C$3,D44),'Settings'!$I$23:$O$23,0))+K44*INDEX('Settings'!$I$30:$O$30,1,MATCH(IF(D44="",'Settings'!$C$3,D44),'Settings'!$I$23:$O$23,0))+L44*INDEX('Settings'!$I$31:$O$31,1,MATCH(IF(D44="",'Settings'!$C$3,D44),'Settings'!$I$23:$O$23,0))+M44*INDEX('Settings'!$I$32:$O$32,1,MATCH(IF(D44="",'Settings'!$C$3,D44),'Settings'!$I$23:$O$23,0))+N44*INDEX('Settings'!$I$33:$O$33,1,MATCH(IF(D44="",'Settings'!$C$3,D44),'Settings'!$I$23:$O$23,0)))/100,1))</f>
        <v/>
      </c>
      <c r="P44" s="71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 ht="22" customHeight="1" s="280">
      <c r="A45" s="69" t="n"/>
      <c r="B45" s="70">
        <f>IF(A45="","",IFERROR(VLOOKUP(A45,'Supplier Register'!$A$6:$L$105,2,FALSE),"Not registered"))</f>
        <v/>
      </c>
      <c r="C45" s="304" t="n"/>
      <c r="D45" s="70" t="n"/>
      <c r="E45" s="308" t="n"/>
      <c r="F45" s="308" t="n"/>
      <c r="G45" s="308" t="n"/>
      <c r="H45" s="308" t="n"/>
      <c r="I45" s="308" t="n"/>
      <c r="J45" s="308" t="n"/>
      <c r="K45" s="308" t="n"/>
      <c r="L45" s="308" t="n"/>
      <c r="M45" s="308" t="n"/>
      <c r="N45" s="308" t="n"/>
      <c r="O45" s="308">
        <f>IF(COUNTA(E45:N45)=0,"",ROUND((E45*INDEX('Settings'!$I$24:$O$24,1,MATCH(IF(D45="",'Settings'!$C$3,D45),'Settings'!$I$23:$O$23,0))+F45*INDEX('Settings'!$I$25:$O$25,1,MATCH(IF(D45="",'Settings'!$C$3,D45),'Settings'!$I$23:$O$23,0))+G45*INDEX('Settings'!$I$26:$O$26,1,MATCH(IF(D45="",'Settings'!$C$3,D45),'Settings'!$I$23:$O$23,0))+H45*INDEX('Settings'!$I$27:$O$27,1,MATCH(IF(D45="",'Settings'!$C$3,D45),'Settings'!$I$23:$O$23,0))+I45*INDEX('Settings'!$I$28:$O$28,1,MATCH(IF(D45="",'Settings'!$C$3,D45),'Settings'!$I$23:$O$23,0))+J45*INDEX('Settings'!$I$29:$O$29,1,MATCH(IF(D45="",'Settings'!$C$3,D45),'Settings'!$I$23:$O$23,0))+K45*INDEX('Settings'!$I$30:$O$30,1,MATCH(IF(D45="",'Settings'!$C$3,D45),'Settings'!$I$23:$O$23,0))+L45*INDEX('Settings'!$I$31:$O$31,1,MATCH(IF(D45="",'Settings'!$C$3,D45),'Settings'!$I$23:$O$23,0))+M45*INDEX('Settings'!$I$32:$O$32,1,MATCH(IF(D45="",'Settings'!$C$3,D45),'Settings'!$I$23:$O$23,0))+N45*INDEX('Settings'!$I$33:$O$33,1,MATCH(IF(D45="",'Settings'!$C$3,D45),'Settings'!$I$23:$O$23,0)))/100,1))</f>
        <v/>
      </c>
      <c r="P45" s="71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 ht="22" customHeight="1" s="280">
      <c r="A46" s="69" t="n"/>
      <c r="B46" s="70">
        <f>IF(A46="","",IFERROR(VLOOKUP(A46,'Supplier Register'!$A$6:$L$105,2,FALSE),"Not registered"))</f>
        <v/>
      </c>
      <c r="C46" s="304" t="n"/>
      <c r="D46" s="70" t="n"/>
      <c r="E46" s="308" t="n"/>
      <c r="F46" s="308" t="n"/>
      <c r="G46" s="308" t="n"/>
      <c r="H46" s="308" t="n"/>
      <c r="I46" s="308" t="n"/>
      <c r="J46" s="308" t="n"/>
      <c r="K46" s="308" t="n"/>
      <c r="L46" s="308" t="n"/>
      <c r="M46" s="308" t="n"/>
      <c r="N46" s="308" t="n"/>
      <c r="O46" s="308">
        <f>IF(COUNTA(E46:N46)=0,"",ROUND((E46*INDEX('Settings'!$I$24:$O$24,1,MATCH(IF(D46="",'Settings'!$C$3,D46),'Settings'!$I$23:$O$23,0))+F46*INDEX('Settings'!$I$25:$O$25,1,MATCH(IF(D46="",'Settings'!$C$3,D46),'Settings'!$I$23:$O$23,0))+G46*INDEX('Settings'!$I$26:$O$26,1,MATCH(IF(D46="",'Settings'!$C$3,D46),'Settings'!$I$23:$O$23,0))+H46*INDEX('Settings'!$I$27:$O$27,1,MATCH(IF(D46="",'Settings'!$C$3,D46),'Settings'!$I$23:$O$23,0))+I46*INDEX('Settings'!$I$28:$O$28,1,MATCH(IF(D46="",'Settings'!$C$3,D46),'Settings'!$I$23:$O$23,0))+J46*INDEX('Settings'!$I$29:$O$29,1,MATCH(IF(D46="",'Settings'!$C$3,D46),'Settings'!$I$23:$O$23,0))+K46*INDEX('Settings'!$I$30:$O$30,1,MATCH(IF(D46="",'Settings'!$C$3,D46),'Settings'!$I$23:$O$23,0))+L46*INDEX('Settings'!$I$31:$O$31,1,MATCH(IF(D46="",'Settings'!$C$3,D46),'Settings'!$I$23:$O$23,0))+M46*INDEX('Settings'!$I$32:$O$32,1,MATCH(IF(D46="",'Settings'!$C$3,D46),'Settings'!$I$23:$O$23,0))+N46*INDEX('Settings'!$I$33:$O$33,1,MATCH(IF(D46="",'Settings'!$C$3,D46),'Settings'!$I$23:$O$23,0)))/100,1))</f>
        <v/>
      </c>
      <c r="P46" s="71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 ht="22" customHeight="1" s="280">
      <c r="A47" s="69" t="n"/>
      <c r="B47" s="70">
        <f>IF(A47="","",IFERROR(VLOOKUP(A47,'Supplier Register'!$A$6:$L$105,2,FALSE),"Not registered"))</f>
        <v/>
      </c>
      <c r="C47" s="304" t="n"/>
      <c r="D47" s="70" t="n"/>
      <c r="E47" s="308" t="n"/>
      <c r="F47" s="308" t="n"/>
      <c r="G47" s="308" t="n"/>
      <c r="H47" s="308" t="n"/>
      <c r="I47" s="308" t="n"/>
      <c r="J47" s="308" t="n"/>
      <c r="K47" s="308" t="n"/>
      <c r="L47" s="308" t="n"/>
      <c r="M47" s="308" t="n"/>
      <c r="N47" s="308" t="n"/>
      <c r="O47" s="308">
        <f>IF(COUNTA(E47:N47)=0,"",ROUND((E47*INDEX('Settings'!$I$24:$O$24,1,MATCH(IF(D47="",'Settings'!$C$3,D47),'Settings'!$I$23:$O$23,0))+F47*INDEX('Settings'!$I$25:$O$25,1,MATCH(IF(D47="",'Settings'!$C$3,D47),'Settings'!$I$23:$O$23,0))+G47*INDEX('Settings'!$I$26:$O$26,1,MATCH(IF(D47="",'Settings'!$C$3,D47),'Settings'!$I$23:$O$23,0))+H47*INDEX('Settings'!$I$27:$O$27,1,MATCH(IF(D47="",'Settings'!$C$3,D47),'Settings'!$I$23:$O$23,0))+I47*INDEX('Settings'!$I$28:$O$28,1,MATCH(IF(D47="",'Settings'!$C$3,D47),'Settings'!$I$23:$O$23,0))+J47*INDEX('Settings'!$I$29:$O$29,1,MATCH(IF(D47="",'Settings'!$C$3,D47),'Settings'!$I$23:$O$23,0))+K47*INDEX('Settings'!$I$30:$O$30,1,MATCH(IF(D47="",'Settings'!$C$3,D47),'Settings'!$I$23:$O$23,0))+L47*INDEX('Settings'!$I$31:$O$31,1,MATCH(IF(D47="",'Settings'!$C$3,D47),'Settings'!$I$23:$O$23,0))+M47*INDEX('Settings'!$I$32:$O$32,1,MATCH(IF(D47="",'Settings'!$C$3,D47),'Settings'!$I$23:$O$23,0))+N47*INDEX('Settings'!$I$33:$O$33,1,MATCH(IF(D47="",'Settings'!$C$3,D47),'Settings'!$I$23:$O$23,0)))/100,1))</f>
        <v/>
      </c>
      <c r="P47" s="71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 ht="22" customHeight="1" s="280">
      <c r="A48" s="69" t="n"/>
      <c r="B48" s="70">
        <f>IF(A48="","",IFERROR(VLOOKUP(A48,'Supplier Register'!$A$6:$L$105,2,FALSE),"Not registered"))</f>
        <v/>
      </c>
      <c r="C48" s="304" t="n"/>
      <c r="D48" s="70" t="n"/>
      <c r="E48" s="308" t="n"/>
      <c r="F48" s="308" t="n"/>
      <c r="G48" s="308" t="n"/>
      <c r="H48" s="308" t="n"/>
      <c r="I48" s="308" t="n"/>
      <c r="J48" s="308" t="n"/>
      <c r="K48" s="308" t="n"/>
      <c r="L48" s="308" t="n"/>
      <c r="M48" s="308" t="n"/>
      <c r="N48" s="308" t="n"/>
      <c r="O48" s="308">
        <f>IF(COUNTA(E48:N48)=0,"",ROUND((E48*INDEX('Settings'!$I$24:$O$24,1,MATCH(IF(D48="",'Settings'!$C$3,D48),'Settings'!$I$23:$O$23,0))+F48*INDEX('Settings'!$I$25:$O$25,1,MATCH(IF(D48="",'Settings'!$C$3,D48),'Settings'!$I$23:$O$23,0))+G48*INDEX('Settings'!$I$26:$O$26,1,MATCH(IF(D48="",'Settings'!$C$3,D48),'Settings'!$I$23:$O$23,0))+H48*INDEX('Settings'!$I$27:$O$27,1,MATCH(IF(D48="",'Settings'!$C$3,D48),'Settings'!$I$23:$O$23,0))+I48*INDEX('Settings'!$I$28:$O$28,1,MATCH(IF(D48="",'Settings'!$C$3,D48),'Settings'!$I$23:$O$23,0))+J48*INDEX('Settings'!$I$29:$O$29,1,MATCH(IF(D48="",'Settings'!$C$3,D48),'Settings'!$I$23:$O$23,0))+K48*INDEX('Settings'!$I$30:$O$30,1,MATCH(IF(D48="",'Settings'!$C$3,D48),'Settings'!$I$23:$O$23,0))+L48*INDEX('Settings'!$I$31:$O$31,1,MATCH(IF(D48="",'Settings'!$C$3,D48),'Settings'!$I$23:$O$23,0))+M48*INDEX('Settings'!$I$32:$O$32,1,MATCH(IF(D48="",'Settings'!$C$3,D48),'Settings'!$I$23:$O$23,0))+N48*INDEX('Settings'!$I$33:$O$33,1,MATCH(IF(D48="",'Settings'!$C$3,D48),'Settings'!$I$23:$O$23,0)))/100,1))</f>
        <v/>
      </c>
      <c r="P48" s="71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 ht="22" customHeight="1" s="280">
      <c r="A49" s="69" t="n"/>
      <c r="B49" s="70">
        <f>IF(A49="","",IFERROR(VLOOKUP(A49,'Supplier Register'!$A$6:$L$105,2,FALSE),"Not registered"))</f>
        <v/>
      </c>
      <c r="C49" s="304" t="n"/>
      <c r="D49" s="70" t="n"/>
      <c r="E49" s="308" t="n"/>
      <c r="F49" s="308" t="n"/>
      <c r="G49" s="308" t="n"/>
      <c r="H49" s="308" t="n"/>
      <c r="I49" s="308" t="n"/>
      <c r="J49" s="308" t="n"/>
      <c r="K49" s="308" t="n"/>
      <c r="L49" s="308" t="n"/>
      <c r="M49" s="308" t="n"/>
      <c r="N49" s="308" t="n"/>
      <c r="O49" s="308">
        <f>IF(COUNTA(E49:N49)=0,"",ROUND((E49*INDEX('Settings'!$I$24:$O$24,1,MATCH(IF(D49="",'Settings'!$C$3,D49),'Settings'!$I$23:$O$23,0))+F49*INDEX('Settings'!$I$25:$O$25,1,MATCH(IF(D49="",'Settings'!$C$3,D49),'Settings'!$I$23:$O$23,0))+G49*INDEX('Settings'!$I$26:$O$26,1,MATCH(IF(D49="",'Settings'!$C$3,D49),'Settings'!$I$23:$O$23,0))+H49*INDEX('Settings'!$I$27:$O$27,1,MATCH(IF(D49="",'Settings'!$C$3,D49),'Settings'!$I$23:$O$23,0))+I49*INDEX('Settings'!$I$28:$O$28,1,MATCH(IF(D49="",'Settings'!$C$3,D49),'Settings'!$I$23:$O$23,0))+J49*INDEX('Settings'!$I$29:$O$29,1,MATCH(IF(D49="",'Settings'!$C$3,D49),'Settings'!$I$23:$O$23,0))+K49*INDEX('Settings'!$I$30:$O$30,1,MATCH(IF(D49="",'Settings'!$C$3,D49),'Settings'!$I$23:$O$23,0))+L49*INDEX('Settings'!$I$31:$O$31,1,MATCH(IF(D49="",'Settings'!$C$3,D49),'Settings'!$I$23:$O$23,0))+M49*INDEX('Settings'!$I$32:$O$32,1,MATCH(IF(D49="",'Settings'!$C$3,D49),'Settings'!$I$23:$O$23,0))+N49*INDEX('Settings'!$I$33:$O$33,1,MATCH(IF(D49="",'Settings'!$C$3,D49),'Settings'!$I$23:$O$23,0)))/100,1))</f>
        <v/>
      </c>
      <c r="P49" s="71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 ht="22" customHeight="1" s="280">
      <c r="A50" s="69" t="n"/>
      <c r="B50" s="70">
        <f>IF(A50="","",IFERROR(VLOOKUP(A50,'Supplier Register'!$A$6:$L$105,2,FALSE),"Not registered"))</f>
        <v/>
      </c>
      <c r="C50" s="304" t="n"/>
      <c r="D50" s="70" t="n"/>
      <c r="E50" s="308" t="n"/>
      <c r="F50" s="308" t="n"/>
      <c r="G50" s="308" t="n"/>
      <c r="H50" s="308" t="n"/>
      <c r="I50" s="308" t="n"/>
      <c r="J50" s="308" t="n"/>
      <c r="K50" s="308" t="n"/>
      <c r="L50" s="308" t="n"/>
      <c r="M50" s="308" t="n"/>
      <c r="N50" s="308" t="n"/>
      <c r="O50" s="308">
        <f>IF(COUNTA(E50:N50)=0,"",ROUND((E50*INDEX('Settings'!$I$24:$O$24,1,MATCH(IF(D50="",'Settings'!$C$3,D50),'Settings'!$I$23:$O$23,0))+F50*INDEX('Settings'!$I$25:$O$25,1,MATCH(IF(D50="",'Settings'!$C$3,D50),'Settings'!$I$23:$O$23,0))+G50*INDEX('Settings'!$I$26:$O$26,1,MATCH(IF(D50="",'Settings'!$C$3,D50),'Settings'!$I$23:$O$23,0))+H50*INDEX('Settings'!$I$27:$O$27,1,MATCH(IF(D50="",'Settings'!$C$3,D50),'Settings'!$I$23:$O$23,0))+I50*INDEX('Settings'!$I$28:$O$28,1,MATCH(IF(D50="",'Settings'!$C$3,D50),'Settings'!$I$23:$O$23,0))+J50*INDEX('Settings'!$I$29:$O$29,1,MATCH(IF(D50="",'Settings'!$C$3,D50),'Settings'!$I$23:$O$23,0))+K50*INDEX('Settings'!$I$30:$O$30,1,MATCH(IF(D50="",'Settings'!$C$3,D50),'Settings'!$I$23:$O$23,0))+L50*INDEX('Settings'!$I$31:$O$31,1,MATCH(IF(D50="",'Settings'!$C$3,D50),'Settings'!$I$23:$O$23,0))+M50*INDEX('Settings'!$I$32:$O$32,1,MATCH(IF(D50="",'Settings'!$C$3,D50),'Settings'!$I$23:$O$23,0))+N50*INDEX('Settings'!$I$33:$O$33,1,MATCH(IF(D50="",'Settings'!$C$3,D50),'Settings'!$I$23:$O$23,0)))/100,1))</f>
        <v/>
      </c>
      <c r="P50" s="71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 ht="22" customHeight="1" s="280">
      <c r="A51" s="69" t="n"/>
      <c r="B51" s="70">
        <f>IF(A51="","",IFERROR(VLOOKUP(A51,'Supplier Register'!$A$6:$L$105,2,FALSE),"Not registered"))</f>
        <v/>
      </c>
      <c r="C51" s="304" t="n"/>
      <c r="D51" s="70" t="n"/>
      <c r="E51" s="308" t="n"/>
      <c r="F51" s="308" t="n"/>
      <c r="G51" s="308" t="n"/>
      <c r="H51" s="308" t="n"/>
      <c r="I51" s="308" t="n"/>
      <c r="J51" s="308" t="n"/>
      <c r="K51" s="308" t="n"/>
      <c r="L51" s="308" t="n"/>
      <c r="M51" s="308" t="n"/>
      <c r="N51" s="308" t="n"/>
      <c r="O51" s="308">
        <f>IF(COUNTA(E51:N51)=0,"",ROUND((E51*INDEX('Settings'!$I$24:$O$24,1,MATCH(IF(D51="",'Settings'!$C$3,D51),'Settings'!$I$23:$O$23,0))+F51*INDEX('Settings'!$I$25:$O$25,1,MATCH(IF(D51="",'Settings'!$C$3,D51),'Settings'!$I$23:$O$23,0))+G51*INDEX('Settings'!$I$26:$O$26,1,MATCH(IF(D51="",'Settings'!$C$3,D51),'Settings'!$I$23:$O$23,0))+H51*INDEX('Settings'!$I$27:$O$27,1,MATCH(IF(D51="",'Settings'!$C$3,D51),'Settings'!$I$23:$O$23,0))+I51*INDEX('Settings'!$I$28:$O$28,1,MATCH(IF(D51="",'Settings'!$C$3,D51),'Settings'!$I$23:$O$23,0))+J51*INDEX('Settings'!$I$29:$O$29,1,MATCH(IF(D51="",'Settings'!$C$3,D51),'Settings'!$I$23:$O$23,0))+K51*INDEX('Settings'!$I$30:$O$30,1,MATCH(IF(D51="",'Settings'!$C$3,D51),'Settings'!$I$23:$O$23,0))+L51*INDEX('Settings'!$I$31:$O$31,1,MATCH(IF(D51="",'Settings'!$C$3,D51),'Settings'!$I$23:$O$23,0))+M51*INDEX('Settings'!$I$32:$O$32,1,MATCH(IF(D51="",'Settings'!$C$3,D51),'Settings'!$I$23:$O$23,0))+N51*INDEX('Settings'!$I$33:$O$33,1,MATCH(IF(D51="",'Settings'!$C$3,D51),'Settings'!$I$23:$O$23,0)))/100,1))</f>
        <v/>
      </c>
      <c r="P51" s="71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 ht="22" customHeight="1" s="280">
      <c r="A52" s="69" t="n"/>
      <c r="B52" s="70">
        <f>IF(A52="","",IFERROR(VLOOKUP(A52,'Supplier Register'!$A$6:$L$105,2,FALSE),"Not registered"))</f>
        <v/>
      </c>
      <c r="C52" s="304" t="n"/>
      <c r="D52" s="70" t="n"/>
      <c r="E52" s="308" t="n"/>
      <c r="F52" s="308" t="n"/>
      <c r="G52" s="308" t="n"/>
      <c r="H52" s="308" t="n"/>
      <c r="I52" s="308" t="n"/>
      <c r="J52" s="308" t="n"/>
      <c r="K52" s="308" t="n"/>
      <c r="L52" s="308" t="n"/>
      <c r="M52" s="308" t="n"/>
      <c r="N52" s="308" t="n"/>
      <c r="O52" s="308">
        <f>IF(COUNTA(E52:N52)=0,"",ROUND((E52*INDEX('Settings'!$I$24:$O$24,1,MATCH(IF(D52="",'Settings'!$C$3,D52),'Settings'!$I$23:$O$23,0))+F52*INDEX('Settings'!$I$25:$O$25,1,MATCH(IF(D52="",'Settings'!$C$3,D52),'Settings'!$I$23:$O$23,0))+G52*INDEX('Settings'!$I$26:$O$26,1,MATCH(IF(D52="",'Settings'!$C$3,D52),'Settings'!$I$23:$O$23,0))+H52*INDEX('Settings'!$I$27:$O$27,1,MATCH(IF(D52="",'Settings'!$C$3,D52),'Settings'!$I$23:$O$23,0))+I52*INDEX('Settings'!$I$28:$O$28,1,MATCH(IF(D52="",'Settings'!$C$3,D52),'Settings'!$I$23:$O$23,0))+J52*INDEX('Settings'!$I$29:$O$29,1,MATCH(IF(D52="",'Settings'!$C$3,D52),'Settings'!$I$23:$O$23,0))+K52*INDEX('Settings'!$I$30:$O$30,1,MATCH(IF(D52="",'Settings'!$C$3,D52),'Settings'!$I$23:$O$23,0))+L52*INDEX('Settings'!$I$31:$O$31,1,MATCH(IF(D52="",'Settings'!$C$3,D52),'Settings'!$I$23:$O$23,0))+M52*INDEX('Settings'!$I$32:$O$32,1,MATCH(IF(D52="",'Settings'!$C$3,D52),'Settings'!$I$23:$O$23,0))+N52*INDEX('Settings'!$I$33:$O$33,1,MATCH(IF(D52="",'Settings'!$C$3,D52),'Settings'!$I$23:$O$23,0)))/100,1))</f>
        <v/>
      </c>
      <c r="P52" s="71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 ht="22" customHeight="1" s="280">
      <c r="A53" s="69" t="n"/>
      <c r="B53" s="70">
        <f>IF(A53="","",IFERROR(VLOOKUP(A53,'Supplier Register'!$A$6:$L$105,2,FALSE),"Not registered"))</f>
        <v/>
      </c>
      <c r="C53" s="304" t="n"/>
      <c r="D53" s="70" t="n"/>
      <c r="E53" s="308" t="n"/>
      <c r="F53" s="308" t="n"/>
      <c r="G53" s="308" t="n"/>
      <c r="H53" s="308" t="n"/>
      <c r="I53" s="308" t="n"/>
      <c r="J53" s="308" t="n"/>
      <c r="K53" s="308" t="n"/>
      <c r="L53" s="308" t="n"/>
      <c r="M53" s="308" t="n"/>
      <c r="N53" s="308" t="n"/>
      <c r="O53" s="308">
        <f>IF(COUNTA(E53:N53)=0,"",ROUND((E53*INDEX('Settings'!$I$24:$O$24,1,MATCH(IF(D53="",'Settings'!$C$3,D53),'Settings'!$I$23:$O$23,0))+F53*INDEX('Settings'!$I$25:$O$25,1,MATCH(IF(D53="",'Settings'!$C$3,D53),'Settings'!$I$23:$O$23,0))+G53*INDEX('Settings'!$I$26:$O$26,1,MATCH(IF(D53="",'Settings'!$C$3,D53),'Settings'!$I$23:$O$23,0))+H53*INDEX('Settings'!$I$27:$O$27,1,MATCH(IF(D53="",'Settings'!$C$3,D53),'Settings'!$I$23:$O$23,0))+I53*INDEX('Settings'!$I$28:$O$28,1,MATCH(IF(D53="",'Settings'!$C$3,D53),'Settings'!$I$23:$O$23,0))+J53*INDEX('Settings'!$I$29:$O$29,1,MATCH(IF(D53="",'Settings'!$C$3,D53),'Settings'!$I$23:$O$23,0))+K53*INDEX('Settings'!$I$30:$O$30,1,MATCH(IF(D53="",'Settings'!$C$3,D53),'Settings'!$I$23:$O$23,0))+L53*INDEX('Settings'!$I$31:$O$31,1,MATCH(IF(D53="",'Settings'!$C$3,D53),'Settings'!$I$23:$O$23,0))+M53*INDEX('Settings'!$I$32:$O$32,1,MATCH(IF(D53="",'Settings'!$C$3,D53),'Settings'!$I$23:$O$23,0))+N53*INDEX('Settings'!$I$33:$O$33,1,MATCH(IF(D53="",'Settings'!$C$3,D53),'Settings'!$I$23:$O$23,0)))/100,1))</f>
        <v/>
      </c>
      <c r="P53" s="71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 ht="22" customHeight="1" s="280">
      <c r="A54" s="69" t="n"/>
      <c r="B54" s="70">
        <f>IF(A54="","",IFERROR(VLOOKUP(A54,'Supplier Register'!$A$6:$L$105,2,FALSE),"Not registered"))</f>
        <v/>
      </c>
      <c r="C54" s="304" t="n"/>
      <c r="D54" s="70" t="n"/>
      <c r="E54" s="308" t="n"/>
      <c r="F54" s="308" t="n"/>
      <c r="G54" s="308" t="n"/>
      <c r="H54" s="308" t="n"/>
      <c r="I54" s="308" t="n"/>
      <c r="J54" s="308" t="n"/>
      <c r="K54" s="308" t="n"/>
      <c r="L54" s="308" t="n"/>
      <c r="M54" s="308" t="n"/>
      <c r="N54" s="308" t="n"/>
      <c r="O54" s="308">
        <f>IF(COUNTA(E54:N54)=0,"",ROUND((E54*INDEX('Settings'!$I$24:$O$24,1,MATCH(IF(D54="",'Settings'!$C$3,D54),'Settings'!$I$23:$O$23,0))+F54*INDEX('Settings'!$I$25:$O$25,1,MATCH(IF(D54="",'Settings'!$C$3,D54),'Settings'!$I$23:$O$23,0))+G54*INDEX('Settings'!$I$26:$O$26,1,MATCH(IF(D54="",'Settings'!$C$3,D54),'Settings'!$I$23:$O$23,0))+H54*INDEX('Settings'!$I$27:$O$27,1,MATCH(IF(D54="",'Settings'!$C$3,D54),'Settings'!$I$23:$O$23,0))+I54*INDEX('Settings'!$I$28:$O$28,1,MATCH(IF(D54="",'Settings'!$C$3,D54),'Settings'!$I$23:$O$23,0))+J54*INDEX('Settings'!$I$29:$O$29,1,MATCH(IF(D54="",'Settings'!$C$3,D54),'Settings'!$I$23:$O$23,0))+K54*INDEX('Settings'!$I$30:$O$30,1,MATCH(IF(D54="",'Settings'!$C$3,D54),'Settings'!$I$23:$O$23,0))+L54*INDEX('Settings'!$I$31:$O$31,1,MATCH(IF(D54="",'Settings'!$C$3,D54),'Settings'!$I$23:$O$23,0))+M54*INDEX('Settings'!$I$32:$O$32,1,MATCH(IF(D54="",'Settings'!$C$3,D54),'Settings'!$I$23:$O$23,0))+N54*INDEX('Settings'!$I$33:$O$33,1,MATCH(IF(D54="",'Settings'!$C$3,D54),'Settings'!$I$23:$O$23,0)))/100,1))</f>
        <v/>
      </c>
      <c r="P54" s="71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 ht="22" customHeight="1" s="280">
      <c r="A55" s="69" t="n"/>
      <c r="B55" s="70">
        <f>IF(A55="","",IFERROR(VLOOKUP(A55,'Supplier Register'!$A$6:$L$105,2,FALSE),"Not registered"))</f>
        <v/>
      </c>
      <c r="C55" s="304" t="n"/>
      <c r="D55" s="70" t="n"/>
      <c r="E55" s="308" t="n"/>
      <c r="F55" s="308" t="n"/>
      <c r="G55" s="308" t="n"/>
      <c r="H55" s="308" t="n"/>
      <c r="I55" s="308" t="n"/>
      <c r="J55" s="308" t="n"/>
      <c r="K55" s="308" t="n"/>
      <c r="L55" s="308" t="n"/>
      <c r="M55" s="308" t="n"/>
      <c r="N55" s="308" t="n"/>
      <c r="O55" s="308">
        <f>IF(COUNTA(E55:N55)=0,"",ROUND((E55*INDEX('Settings'!$I$24:$O$24,1,MATCH(IF(D55="",'Settings'!$C$3,D55),'Settings'!$I$23:$O$23,0))+F55*INDEX('Settings'!$I$25:$O$25,1,MATCH(IF(D55="",'Settings'!$C$3,D55),'Settings'!$I$23:$O$23,0))+G55*INDEX('Settings'!$I$26:$O$26,1,MATCH(IF(D55="",'Settings'!$C$3,D55),'Settings'!$I$23:$O$23,0))+H55*INDEX('Settings'!$I$27:$O$27,1,MATCH(IF(D55="",'Settings'!$C$3,D55),'Settings'!$I$23:$O$23,0))+I55*INDEX('Settings'!$I$28:$O$28,1,MATCH(IF(D55="",'Settings'!$C$3,D55),'Settings'!$I$23:$O$23,0))+J55*INDEX('Settings'!$I$29:$O$29,1,MATCH(IF(D55="",'Settings'!$C$3,D55),'Settings'!$I$23:$O$23,0))+K55*INDEX('Settings'!$I$30:$O$30,1,MATCH(IF(D55="",'Settings'!$C$3,D55),'Settings'!$I$23:$O$23,0))+L55*INDEX('Settings'!$I$31:$O$31,1,MATCH(IF(D55="",'Settings'!$C$3,D55),'Settings'!$I$23:$O$23,0))+M55*INDEX('Settings'!$I$32:$O$32,1,MATCH(IF(D55="",'Settings'!$C$3,D55),'Settings'!$I$23:$O$23,0))+N55*INDEX('Settings'!$I$33:$O$33,1,MATCH(IF(D55="",'Settings'!$C$3,D55),'Settings'!$I$23:$O$23,0)))/100,1))</f>
        <v/>
      </c>
      <c r="P55" s="71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 ht="22" customHeight="1" s="280">
      <c r="A56" s="69" t="n"/>
      <c r="B56" s="70">
        <f>IF(A56="","",IFERROR(VLOOKUP(A56,'Supplier Register'!$A$6:$L$105,2,FALSE),"Not registered"))</f>
        <v/>
      </c>
      <c r="C56" s="304" t="n"/>
      <c r="D56" s="70" t="n"/>
      <c r="E56" s="308" t="n"/>
      <c r="F56" s="308" t="n"/>
      <c r="G56" s="308" t="n"/>
      <c r="H56" s="308" t="n"/>
      <c r="I56" s="308" t="n"/>
      <c r="J56" s="308" t="n"/>
      <c r="K56" s="308" t="n"/>
      <c r="L56" s="308" t="n"/>
      <c r="M56" s="308" t="n"/>
      <c r="N56" s="308" t="n"/>
      <c r="O56" s="308">
        <f>IF(COUNTA(E56:N56)=0,"",ROUND((E56*INDEX('Settings'!$I$24:$O$24,1,MATCH(IF(D56="",'Settings'!$C$3,D56),'Settings'!$I$23:$O$23,0))+F56*INDEX('Settings'!$I$25:$O$25,1,MATCH(IF(D56="",'Settings'!$C$3,D56),'Settings'!$I$23:$O$23,0))+G56*INDEX('Settings'!$I$26:$O$26,1,MATCH(IF(D56="",'Settings'!$C$3,D56),'Settings'!$I$23:$O$23,0))+H56*INDEX('Settings'!$I$27:$O$27,1,MATCH(IF(D56="",'Settings'!$C$3,D56),'Settings'!$I$23:$O$23,0))+I56*INDEX('Settings'!$I$28:$O$28,1,MATCH(IF(D56="",'Settings'!$C$3,D56),'Settings'!$I$23:$O$23,0))+J56*INDEX('Settings'!$I$29:$O$29,1,MATCH(IF(D56="",'Settings'!$C$3,D56),'Settings'!$I$23:$O$23,0))+K56*INDEX('Settings'!$I$30:$O$30,1,MATCH(IF(D56="",'Settings'!$C$3,D56),'Settings'!$I$23:$O$23,0))+L56*INDEX('Settings'!$I$31:$O$31,1,MATCH(IF(D56="",'Settings'!$C$3,D56),'Settings'!$I$23:$O$23,0))+M56*INDEX('Settings'!$I$32:$O$32,1,MATCH(IF(D56="",'Settings'!$C$3,D56),'Settings'!$I$23:$O$23,0))+N56*INDEX('Settings'!$I$33:$O$33,1,MATCH(IF(D56="",'Settings'!$C$3,D56),'Settings'!$I$23:$O$23,0)))/100,1))</f>
        <v/>
      </c>
      <c r="P56" s="71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 ht="22" customHeight="1" s="280">
      <c r="A57" s="69" t="n"/>
      <c r="B57" s="70">
        <f>IF(A57="","",IFERROR(VLOOKUP(A57,'Supplier Register'!$A$6:$L$105,2,FALSE),"Not registered"))</f>
        <v/>
      </c>
      <c r="C57" s="304" t="n"/>
      <c r="D57" s="70" t="n"/>
      <c r="E57" s="308" t="n"/>
      <c r="F57" s="308" t="n"/>
      <c r="G57" s="308" t="n"/>
      <c r="H57" s="308" t="n"/>
      <c r="I57" s="308" t="n"/>
      <c r="J57" s="308" t="n"/>
      <c r="K57" s="308" t="n"/>
      <c r="L57" s="308" t="n"/>
      <c r="M57" s="308" t="n"/>
      <c r="N57" s="308" t="n"/>
      <c r="O57" s="308">
        <f>IF(COUNTA(E57:N57)=0,"",ROUND((E57*INDEX('Settings'!$I$24:$O$24,1,MATCH(IF(D57="",'Settings'!$C$3,D57),'Settings'!$I$23:$O$23,0))+F57*INDEX('Settings'!$I$25:$O$25,1,MATCH(IF(D57="",'Settings'!$C$3,D57),'Settings'!$I$23:$O$23,0))+G57*INDEX('Settings'!$I$26:$O$26,1,MATCH(IF(D57="",'Settings'!$C$3,D57),'Settings'!$I$23:$O$23,0))+H57*INDEX('Settings'!$I$27:$O$27,1,MATCH(IF(D57="",'Settings'!$C$3,D57),'Settings'!$I$23:$O$23,0))+I57*INDEX('Settings'!$I$28:$O$28,1,MATCH(IF(D57="",'Settings'!$C$3,D57),'Settings'!$I$23:$O$23,0))+J57*INDEX('Settings'!$I$29:$O$29,1,MATCH(IF(D57="",'Settings'!$C$3,D57),'Settings'!$I$23:$O$23,0))+K57*INDEX('Settings'!$I$30:$O$30,1,MATCH(IF(D57="",'Settings'!$C$3,D57),'Settings'!$I$23:$O$23,0))+L57*INDEX('Settings'!$I$31:$O$31,1,MATCH(IF(D57="",'Settings'!$C$3,D57),'Settings'!$I$23:$O$23,0))+M57*INDEX('Settings'!$I$32:$O$32,1,MATCH(IF(D57="",'Settings'!$C$3,D57),'Settings'!$I$23:$O$23,0))+N57*INDEX('Settings'!$I$33:$O$33,1,MATCH(IF(D57="",'Settings'!$C$3,D57),'Settings'!$I$23:$O$23,0)))/100,1))</f>
        <v/>
      </c>
      <c r="P57" s="71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 ht="22" customHeight="1" s="280">
      <c r="A58" s="69" t="n"/>
      <c r="B58" s="70">
        <f>IF(A58="","",IFERROR(VLOOKUP(A58,'Supplier Register'!$A$6:$L$105,2,FALSE),"Not registered"))</f>
        <v/>
      </c>
      <c r="C58" s="304" t="n"/>
      <c r="D58" s="70" t="n"/>
      <c r="E58" s="308" t="n"/>
      <c r="F58" s="308" t="n"/>
      <c r="G58" s="308" t="n"/>
      <c r="H58" s="308" t="n"/>
      <c r="I58" s="308" t="n"/>
      <c r="J58" s="308" t="n"/>
      <c r="K58" s="308" t="n"/>
      <c r="L58" s="308" t="n"/>
      <c r="M58" s="308" t="n"/>
      <c r="N58" s="308" t="n"/>
      <c r="O58" s="308">
        <f>IF(COUNTA(E58:N58)=0,"",ROUND((E58*INDEX('Settings'!$I$24:$O$24,1,MATCH(IF(D58="",'Settings'!$C$3,D58),'Settings'!$I$23:$O$23,0))+F58*INDEX('Settings'!$I$25:$O$25,1,MATCH(IF(D58="",'Settings'!$C$3,D58),'Settings'!$I$23:$O$23,0))+G58*INDEX('Settings'!$I$26:$O$26,1,MATCH(IF(D58="",'Settings'!$C$3,D58),'Settings'!$I$23:$O$23,0))+H58*INDEX('Settings'!$I$27:$O$27,1,MATCH(IF(D58="",'Settings'!$C$3,D58),'Settings'!$I$23:$O$23,0))+I58*INDEX('Settings'!$I$28:$O$28,1,MATCH(IF(D58="",'Settings'!$C$3,D58),'Settings'!$I$23:$O$23,0))+J58*INDEX('Settings'!$I$29:$O$29,1,MATCH(IF(D58="",'Settings'!$C$3,D58),'Settings'!$I$23:$O$23,0))+K58*INDEX('Settings'!$I$30:$O$30,1,MATCH(IF(D58="",'Settings'!$C$3,D58),'Settings'!$I$23:$O$23,0))+L58*INDEX('Settings'!$I$31:$O$31,1,MATCH(IF(D58="",'Settings'!$C$3,D58),'Settings'!$I$23:$O$23,0))+M58*INDEX('Settings'!$I$32:$O$32,1,MATCH(IF(D58="",'Settings'!$C$3,D58),'Settings'!$I$23:$O$23,0))+N58*INDEX('Settings'!$I$33:$O$33,1,MATCH(IF(D58="",'Settings'!$C$3,D58),'Settings'!$I$23:$O$23,0)))/100,1))</f>
        <v/>
      </c>
      <c r="P58" s="71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 ht="22" customHeight="1" s="280">
      <c r="A59" s="69" t="n"/>
      <c r="B59" s="70">
        <f>IF(A59="","",IFERROR(VLOOKUP(A59,'Supplier Register'!$A$6:$L$105,2,FALSE),"Not registered"))</f>
        <v/>
      </c>
      <c r="C59" s="304" t="n"/>
      <c r="D59" s="70" t="n"/>
      <c r="E59" s="308" t="n"/>
      <c r="F59" s="308" t="n"/>
      <c r="G59" s="308" t="n"/>
      <c r="H59" s="308" t="n"/>
      <c r="I59" s="308" t="n"/>
      <c r="J59" s="308" t="n"/>
      <c r="K59" s="308" t="n"/>
      <c r="L59" s="308" t="n"/>
      <c r="M59" s="308" t="n"/>
      <c r="N59" s="308" t="n"/>
      <c r="O59" s="308">
        <f>IF(COUNTA(E59:N59)=0,"",ROUND((E59*INDEX('Settings'!$I$24:$O$24,1,MATCH(IF(D59="",'Settings'!$C$3,D59),'Settings'!$I$23:$O$23,0))+F59*INDEX('Settings'!$I$25:$O$25,1,MATCH(IF(D59="",'Settings'!$C$3,D59),'Settings'!$I$23:$O$23,0))+G59*INDEX('Settings'!$I$26:$O$26,1,MATCH(IF(D59="",'Settings'!$C$3,D59),'Settings'!$I$23:$O$23,0))+H59*INDEX('Settings'!$I$27:$O$27,1,MATCH(IF(D59="",'Settings'!$C$3,D59),'Settings'!$I$23:$O$23,0))+I59*INDEX('Settings'!$I$28:$O$28,1,MATCH(IF(D59="",'Settings'!$C$3,D59),'Settings'!$I$23:$O$23,0))+J59*INDEX('Settings'!$I$29:$O$29,1,MATCH(IF(D59="",'Settings'!$C$3,D59),'Settings'!$I$23:$O$23,0))+K59*INDEX('Settings'!$I$30:$O$30,1,MATCH(IF(D59="",'Settings'!$C$3,D59),'Settings'!$I$23:$O$23,0))+L59*INDEX('Settings'!$I$31:$O$31,1,MATCH(IF(D59="",'Settings'!$C$3,D59),'Settings'!$I$23:$O$23,0))+M59*INDEX('Settings'!$I$32:$O$32,1,MATCH(IF(D59="",'Settings'!$C$3,D59),'Settings'!$I$23:$O$23,0))+N59*INDEX('Settings'!$I$33:$O$33,1,MATCH(IF(D59="",'Settings'!$C$3,D59),'Settings'!$I$23:$O$23,0)))/100,1))</f>
        <v/>
      </c>
      <c r="P59" s="71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 ht="22" customHeight="1" s="280">
      <c r="A60" s="69" t="n"/>
      <c r="B60" s="70">
        <f>IF(A60="","",IFERROR(VLOOKUP(A60,'Supplier Register'!$A$6:$L$105,2,FALSE),"Not registered"))</f>
        <v/>
      </c>
      <c r="C60" s="304" t="n"/>
      <c r="D60" s="70" t="n"/>
      <c r="E60" s="308" t="n"/>
      <c r="F60" s="308" t="n"/>
      <c r="G60" s="308" t="n"/>
      <c r="H60" s="308" t="n"/>
      <c r="I60" s="308" t="n"/>
      <c r="J60" s="308" t="n"/>
      <c r="K60" s="308" t="n"/>
      <c r="L60" s="308" t="n"/>
      <c r="M60" s="308" t="n"/>
      <c r="N60" s="308" t="n"/>
      <c r="O60" s="308">
        <f>IF(COUNTA(E60:N60)=0,"",ROUND((E60*INDEX('Settings'!$I$24:$O$24,1,MATCH(IF(D60="",'Settings'!$C$3,D60),'Settings'!$I$23:$O$23,0))+F60*INDEX('Settings'!$I$25:$O$25,1,MATCH(IF(D60="",'Settings'!$C$3,D60),'Settings'!$I$23:$O$23,0))+G60*INDEX('Settings'!$I$26:$O$26,1,MATCH(IF(D60="",'Settings'!$C$3,D60),'Settings'!$I$23:$O$23,0))+H60*INDEX('Settings'!$I$27:$O$27,1,MATCH(IF(D60="",'Settings'!$C$3,D60),'Settings'!$I$23:$O$23,0))+I60*INDEX('Settings'!$I$28:$O$28,1,MATCH(IF(D60="",'Settings'!$C$3,D60),'Settings'!$I$23:$O$23,0))+J60*INDEX('Settings'!$I$29:$O$29,1,MATCH(IF(D60="",'Settings'!$C$3,D60),'Settings'!$I$23:$O$23,0))+K60*INDEX('Settings'!$I$30:$O$30,1,MATCH(IF(D60="",'Settings'!$C$3,D60),'Settings'!$I$23:$O$23,0))+L60*INDEX('Settings'!$I$31:$O$31,1,MATCH(IF(D60="",'Settings'!$C$3,D60),'Settings'!$I$23:$O$23,0))+M60*INDEX('Settings'!$I$32:$O$32,1,MATCH(IF(D60="",'Settings'!$C$3,D60),'Settings'!$I$23:$O$23,0))+N60*INDEX('Settings'!$I$33:$O$33,1,MATCH(IF(D60="",'Settings'!$C$3,D60),'Settings'!$I$23:$O$23,0)))/100,1))</f>
        <v/>
      </c>
      <c r="P60" s="71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 ht="22" customHeight="1" s="280">
      <c r="A61" s="69" t="n"/>
      <c r="B61" s="70">
        <f>IF(A61="","",IFERROR(VLOOKUP(A61,'Supplier Register'!$A$6:$L$105,2,FALSE),"Not registered"))</f>
        <v/>
      </c>
      <c r="C61" s="304" t="n"/>
      <c r="D61" s="70" t="n"/>
      <c r="E61" s="308" t="n"/>
      <c r="F61" s="308" t="n"/>
      <c r="G61" s="308" t="n"/>
      <c r="H61" s="308" t="n"/>
      <c r="I61" s="308" t="n"/>
      <c r="J61" s="308" t="n"/>
      <c r="K61" s="308" t="n"/>
      <c r="L61" s="308" t="n"/>
      <c r="M61" s="308" t="n"/>
      <c r="N61" s="308" t="n"/>
      <c r="O61" s="308">
        <f>IF(COUNTA(E61:N61)=0,"",ROUND((E61*INDEX('Settings'!$I$24:$O$24,1,MATCH(IF(D61="",'Settings'!$C$3,D61),'Settings'!$I$23:$O$23,0))+F61*INDEX('Settings'!$I$25:$O$25,1,MATCH(IF(D61="",'Settings'!$C$3,D61),'Settings'!$I$23:$O$23,0))+G61*INDEX('Settings'!$I$26:$O$26,1,MATCH(IF(D61="",'Settings'!$C$3,D61),'Settings'!$I$23:$O$23,0))+H61*INDEX('Settings'!$I$27:$O$27,1,MATCH(IF(D61="",'Settings'!$C$3,D61),'Settings'!$I$23:$O$23,0))+I61*INDEX('Settings'!$I$28:$O$28,1,MATCH(IF(D61="",'Settings'!$C$3,D61),'Settings'!$I$23:$O$23,0))+J61*INDEX('Settings'!$I$29:$O$29,1,MATCH(IF(D61="",'Settings'!$C$3,D61),'Settings'!$I$23:$O$23,0))+K61*INDEX('Settings'!$I$30:$O$30,1,MATCH(IF(D61="",'Settings'!$C$3,D61),'Settings'!$I$23:$O$23,0))+L61*INDEX('Settings'!$I$31:$O$31,1,MATCH(IF(D61="",'Settings'!$C$3,D61),'Settings'!$I$23:$O$23,0))+M61*INDEX('Settings'!$I$32:$O$32,1,MATCH(IF(D61="",'Settings'!$C$3,D61),'Settings'!$I$23:$O$23,0))+N61*INDEX('Settings'!$I$33:$O$33,1,MATCH(IF(D61="",'Settings'!$C$3,D61),'Settings'!$I$23:$O$23,0)))/100,1))</f>
        <v/>
      </c>
      <c r="P61" s="71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 ht="22" customHeight="1" s="280">
      <c r="A62" s="69" t="n"/>
      <c r="B62" s="70">
        <f>IF(A62="","",IFERROR(VLOOKUP(A62,'Supplier Register'!$A$6:$L$105,2,FALSE),"Not registered"))</f>
        <v/>
      </c>
      <c r="C62" s="304" t="n"/>
      <c r="D62" s="70" t="n"/>
      <c r="E62" s="308" t="n"/>
      <c r="F62" s="308" t="n"/>
      <c r="G62" s="308" t="n"/>
      <c r="H62" s="308" t="n"/>
      <c r="I62" s="308" t="n"/>
      <c r="J62" s="308" t="n"/>
      <c r="K62" s="308" t="n"/>
      <c r="L62" s="308" t="n"/>
      <c r="M62" s="308" t="n"/>
      <c r="N62" s="308" t="n"/>
      <c r="O62" s="308">
        <f>IF(COUNTA(E62:N62)=0,"",ROUND((E62*INDEX('Settings'!$I$24:$O$24,1,MATCH(IF(D62="",'Settings'!$C$3,D62),'Settings'!$I$23:$O$23,0))+F62*INDEX('Settings'!$I$25:$O$25,1,MATCH(IF(D62="",'Settings'!$C$3,D62),'Settings'!$I$23:$O$23,0))+G62*INDEX('Settings'!$I$26:$O$26,1,MATCH(IF(D62="",'Settings'!$C$3,D62),'Settings'!$I$23:$O$23,0))+H62*INDEX('Settings'!$I$27:$O$27,1,MATCH(IF(D62="",'Settings'!$C$3,D62),'Settings'!$I$23:$O$23,0))+I62*INDEX('Settings'!$I$28:$O$28,1,MATCH(IF(D62="",'Settings'!$C$3,D62),'Settings'!$I$23:$O$23,0))+J62*INDEX('Settings'!$I$29:$O$29,1,MATCH(IF(D62="",'Settings'!$C$3,D62),'Settings'!$I$23:$O$23,0))+K62*INDEX('Settings'!$I$30:$O$30,1,MATCH(IF(D62="",'Settings'!$C$3,D62),'Settings'!$I$23:$O$23,0))+L62*INDEX('Settings'!$I$31:$O$31,1,MATCH(IF(D62="",'Settings'!$C$3,D62),'Settings'!$I$23:$O$23,0))+M62*INDEX('Settings'!$I$32:$O$32,1,MATCH(IF(D62="",'Settings'!$C$3,D62),'Settings'!$I$23:$O$23,0))+N62*INDEX('Settings'!$I$33:$O$33,1,MATCH(IF(D62="",'Settings'!$C$3,D62),'Settings'!$I$23:$O$23,0)))/100,1))</f>
        <v/>
      </c>
      <c r="P62" s="71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 ht="22" customHeight="1" s="280">
      <c r="A63" s="69" t="n"/>
      <c r="B63" s="70">
        <f>IF(A63="","",IFERROR(VLOOKUP(A63,'Supplier Register'!$A$6:$L$105,2,FALSE),"Not registered"))</f>
        <v/>
      </c>
      <c r="C63" s="304" t="n"/>
      <c r="D63" s="70" t="n"/>
      <c r="E63" s="308" t="n"/>
      <c r="F63" s="308" t="n"/>
      <c r="G63" s="308" t="n"/>
      <c r="H63" s="308" t="n"/>
      <c r="I63" s="308" t="n"/>
      <c r="J63" s="308" t="n"/>
      <c r="K63" s="308" t="n"/>
      <c r="L63" s="308" t="n"/>
      <c r="M63" s="308" t="n"/>
      <c r="N63" s="308" t="n"/>
      <c r="O63" s="308">
        <f>IF(COUNTA(E63:N63)=0,"",ROUND((E63*INDEX('Settings'!$I$24:$O$24,1,MATCH(IF(D63="",'Settings'!$C$3,D63),'Settings'!$I$23:$O$23,0))+F63*INDEX('Settings'!$I$25:$O$25,1,MATCH(IF(D63="",'Settings'!$C$3,D63),'Settings'!$I$23:$O$23,0))+G63*INDEX('Settings'!$I$26:$O$26,1,MATCH(IF(D63="",'Settings'!$C$3,D63),'Settings'!$I$23:$O$23,0))+H63*INDEX('Settings'!$I$27:$O$27,1,MATCH(IF(D63="",'Settings'!$C$3,D63),'Settings'!$I$23:$O$23,0))+I63*INDEX('Settings'!$I$28:$O$28,1,MATCH(IF(D63="",'Settings'!$C$3,D63),'Settings'!$I$23:$O$23,0))+J63*INDEX('Settings'!$I$29:$O$29,1,MATCH(IF(D63="",'Settings'!$C$3,D63),'Settings'!$I$23:$O$23,0))+K63*INDEX('Settings'!$I$30:$O$30,1,MATCH(IF(D63="",'Settings'!$C$3,D63),'Settings'!$I$23:$O$23,0))+L63*INDEX('Settings'!$I$31:$O$31,1,MATCH(IF(D63="",'Settings'!$C$3,D63),'Settings'!$I$23:$O$23,0))+M63*INDEX('Settings'!$I$32:$O$32,1,MATCH(IF(D63="",'Settings'!$C$3,D63),'Settings'!$I$23:$O$23,0))+N63*INDEX('Settings'!$I$33:$O$33,1,MATCH(IF(D63="",'Settings'!$C$3,D63),'Settings'!$I$23:$O$23,0)))/100,1))</f>
        <v/>
      </c>
      <c r="P63" s="71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 ht="22" customHeight="1" s="280">
      <c r="A64" s="69" t="n"/>
      <c r="B64" s="70">
        <f>IF(A64="","",IFERROR(VLOOKUP(A64,'Supplier Register'!$A$6:$L$105,2,FALSE),"Not registered"))</f>
        <v/>
      </c>
      <c r="C64" s="304" t="n"/>
      <c r="D64" s="70" t="n"/>
      <c r="E64" s="308" t="n"/>
      <c r="F64" s="308" t="n"/>
      <c r="G64" s="308" t="n"/>
      <c r="H64" s="308" t="n"/>
      <c r="I64" s="308" t="n"/>
      <c r="J64" s="308" t="n"/>
      <c r="K64" s="308" t="n"/>
      <c r="L64" s="308" t="n"/>
      <c r="M64" s="308" t="n"/>
      <c r="N64" s="308" t="n"/>
      <c r="O64" s="308">
        <f>IF(COUNTA(E64:N64)=0,"",ROUND((E64*INDEX('Settings'!$I$24:$O$24,1,MATCH(IF(D64="",'Settings'!$C$3,D64),'Settings'!$I$23:$O$23,0))+F64*INDEX('Settings'!$I$25:$O$25,1,MATCH(IF(D64="",'Settings'!$C$3,D64),'Settings'!$I$23:$O$23,0))+G64*INDEX('Settings'!$I$26:$O$26,1,MATCH(IF(D64="",'Settings'!$C$3,D64),'Settings'!$I$23:$O$23,0))+H64*INDEX('Settings'!$I$27:$O$27,1,MATCH(IF(D64="",'Settings'!$C$3,D64),'Settings'!$I$23:$O$23,0))+I64*INDEX('Settings'!$I$28:$O$28,1,MATCH(IF(D64="",'Settings'!$C$3,D64),'Settings'!$I$23:$O$23,0))+J64*INDEX('Settings'!$I$29:$O$29,1,MATCH(IF(D64="",'Settings'!$C$3,D64),'Settings'!$I$23:$O$23,0))+K64*INDEX('Settings'!$I$30:$O$30,1,MATCH(IF(D64="",'Settings'!$C$3,D64),'Settings'!$I$23:$O$23,0))+L64*INDEX('Settings'!$I$31:$O$31,1,MATCH(IF(D64="",'Settings'!$C$3,D64),'Settings'!$I$23:$O$23,0))+M64*INDEX('Settings'!$I$32:$O$32,1,MATCH(IF(D64="",'Settings'!$C$3,D64),'Settings'!$I$23:$O$23,0))+N64*INDEX('Settings'!$I$33:$O$33,1,MATCH(IF(D64="",'Settings'!$C$3,D64),'Settings'!$I$23:$O$23,0)))/100,1))</f>
        <v/>
      </c>
      <c r="P64" s="71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 ht="22" customHeight="1" s="280">
      <c r="A65" s="69" t="n"/>
      <c r="B65" s="70">
        <f>IF(A65="","",IFERROR(VLOOKUP(A65,'Supplier Register'!$A$6:$L$105,2,FALSE),"Not registered"))</f>
        <v/>
      </c>
      <c r="C65" s="304" t="n"/>
      <c r="D65" s="70" t="n"/>
      <c r="E65" s="308" t="n"/>
      <c r="F65" s="308" t="n"/>
      <c r="G65" s="308" t="n"/>
      <c r="H65" s="308" t="n"/>
      <c r="I65" s="308" t="n"/>
      <c r="J65" s="308" t="n"/>
      <c r="K65" s="308" t="n"/>
      <c r="L65" s="308" t="n"/>
      <c r="M65" s="308" t="n"/>
      <c r="N65" s="308" t="n"/>
      <c r="O65" s="308">
        <f>IF(COUNTA(E65:N65)=0,"",ROUND((E65*INDEX('Settings'!$I$24:$O$24,1,MATCH(IF(D65="",'Settings'!$C$3,D65),'Settings'!$I$23:$O$23,0))+F65*INDEX('Settings'!$I$25:$O$25,1,MATCH(IF(D65="",'Settings'!$C$3,D65),'Settings'!$I$23:$O$23,0))+G65*INDEX('Settings'!$I$26:$O$26,1,MATCH(IF(D65="",'Settings'!$C$3,D65),'Settings'!$I$23:$O$23,0))+H65*INDEX('Settings'!$I$27:$O$27,1,MATCH(IF(D65="",'Settings'!$C$3,D65),'Settings'!$I$23:$O$23,0))+I65*INDEX('Settings'!$I$28:$O$28,1,MATCH(IF(D65="",'Settings'!$C$3,D65),'Settings'!$I$23:$O$23,0))+J65*INDEX('Settings'!$I$29:$O$29,1,MATCH(IF(D65="",'Settings'!$C$3,D65),'Settings'!$I$23:$O$23,0))+K65*INDEX('Settings'!$I$30:$O$30,1,MATCH(IF(D65="",'Settings'!$C$3,D65),'Settings'!$I$23:$O$23,0))+L65*INDEX('Settings'!$I$31:$O$31,1,MATCH(IF(D65="",'Settings'!$C$3,D65),'Settings'!$I$23:$O$23,0))+M65*INDEX('Settings'!$I$32:$O$32,1,MATCH(IF(D65="",'Settings'!$C$3,D65),'Settings'!$I$23:$O$23,0))+N65*INDEX('Settings'!$I$33:$O$33,1,MATCH(IF(D65="",'Settings'!$C$3,D65),'Settings'!$I$23:$O$23,0)))/100,1))</f>
        <v/>
      </c>
      <c r="P65" s="71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 ht="22" customHeight="1" s="280">
      <c r="A66" s="69" t="n"/>
      <c r="B66" s="70">
        <f>IF(A66="","",IFERROR(VLOOKUP(A66,'Supplier Register'!$A$6:$L$105,2,FALSE),"Not registered"))</f>
        <v/>
      </c>
      <c r="C66" s="304" t="n"/>
      <c r="D66" s="70" t="n"/>
      <c r="E66" s="308" t="n"/>
      <c r="F66" s="308" t="n"/>
      <c r="G66" s="308" t="n"/>
      <c r="H66" s="308" t="n"/>
      <c r="I66" s="308" t="n"/>
      <c r="J66" s="308" t="n"/>
      <c r="K66" s="308" t="n"/>
      <c r="L66" s="308" t="n"/>
      <c r="M66" s="308" t="n"/>
      <c r="N66" s="308" t="n"/>
      <c r="O66" s="308">
        <f>IF(COUNTA(E66:N66)=0,"",ROUND((E66*INDEX('Settings'!$I$24:$O$24,1,MATCH(IF(D66="",'Settings'!$C$3,D66),'Settings'!$I$23:$O$23,0))+F66*INDEX('Settings'!$I$25:$O$25,1,MATCH(IF(D66="",'Settings'!$C$3,D66),'Settings'!$I$23:$O$23,0))+G66*INDEX('Settings'!$I$26:$O$26,1,MATCH(IF(D66="",'Settings'!$C$3,D66),'Settings'!$I$23:$O$23,0))+H66*INDEX('Settings'!$I$27:$O$27,1,MATCH(IF(D66="",'Settings'!$C$3,D66),'Settings'!$I$23:$O$23,0))+I66*INDEX('Settings'!$I$28:$O$28,1,MATCH(IF(D66="",'Settings'!$C$3,D66),'Settings'!$I$23:$O$23,0))+J66*INDEX('Settings'!$I$29:$O$29,1,MATCH(IF(D66="",'Settings'!$C$3,D66),'Settings'!$I$23:$O$23,0))+K66*INDEX('Settings'!$I$30:$O$30,1,MATCH(IF(D66="",'Settings'!$C$3,D66),'Settings'!$I$23:$O$23,0))+L66*INDEX('Settings'!$I$31:$O$31,1,MATCH(IF(D66="",'Settings'!$C$3,D66),'Settings'!$I$23:$O$23,0))+M66*INDEX('Settings'!$I$32:$O$32,1,MATCH(IF(D66="",'Settings'!$C$3,D66),'Settings'!$I$23:$O$23,0))+N66*INDEX('Settings'!$I$33:$O$33,1,MATCH(IF(D66="",'Settings'!$C$3,D66),'Settings'!$I$23:$O$23,0)))/100,1))</f>
        <v/>
      </c>
      <c r="P66" s="71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 ht="22" customHeight="1" s="280">
      <c r="A67" s="69" t="n"/>
      <c r="B67" s="70">
        <f>IF(A67="","",IFERROR(VLOOKUP(A67,'Supplier Register'!$A$6:$L$105,2,FALSE),"Not registered"))</f>
        <v/>
      </c>
      <c r="C67" s="304" t="n"/>
      <c r="D67" s="70" t="n"/>
      <c r="E67" s="308" t="n"/>
      <c r="F67" s="308" t="n"/>
      <c r="G67" s="308" t="n"/>
      <c r="H67" s="308" t="n"/>
      <c r="I67" s="308" t="n"/>
      <c r="J67" s="308" t="n"/>
      <c r="K67" s="308" t="n"/>
      <c r="L67" s="308" t="n"/>
      <c r="M67" s="308" t="n"/>
      <c r="N67" s="308" t="n"/>
      <c r="O67" s="308">
        <f>IF(COUNTA(E67:N67)=0,"",ROUND((E67*INDEX('Settings'!$I$24:$O$24,1,MATCH(IF(D67="",'Settings'!$C$3,D67),'Settings'!$I$23:$O$23,0))+F67*INDEX('Settings'!$I$25:$O$25,1,MATCH(IF(D67="",'Settings'!$C$3,D67),'Settings'!$I$23:$O$23,0))+G67*INDEX('Settings'!$I$26:$O$26,1,MATCH(IF(D67="",'Settings'!$C$3,D67),'Settings'!$I$23:$O$23,0))+H67*INDEX('Settings'!$I$27:$O$27,1,MATCH(IF(D67="",'Settings'!$C$3,D67),'Settings'!$I$23:$O$23,0))+I67*INDEX('Settings'!$I$28:$O$28,1,MATCH(IF(D67="",'Settings'!$C$3,D67),'Settings'!$I$23:$O$23,0))+J67*INDEX('Settings'!$I$29:$O$29,1,MATCH(IF(D67="",'Settings'!$C$3,D67),'Settings'!$I$23:$O$23,0))+K67*INDEX('Settings'!$I$30:$O$30,1,MATCH(IF(D67="",'Settings'!$C$3,D67),'Settings'!$I$23:$O$23,0))+L67*INDEX('Settings'!$I$31:$O$31,1,MATCH(IF(D67="",'Settings'!$C$3,D67),'Settings'!$I$23:$O$23,0))+M67*INDEX('Settings'!$I$32:$O$32,1,MATCH(IF(D67="",'Settings'!$C$3,D67),'Settings'!$I$23:$O$23,0))+N67*INDEX('Settings'!$I$33:$O$33,1,MATCH(IF(D67="",'Settings'!$C$3,D67),'Settings'!$I$23:$O$23,0)))/100,1))</f>
        <v/>
      </c>
      <c r="P67" s="71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 ht="22" customHeight="1" s="280">
      <c r="A68" s="69" t="n"/>
      <c r="B68" s="70">
        <f>IF(A68="","",IFERROR(VLOOKUP(A68,'Supplier Register'!$A$6:$L$105,2,FALSE),"Not registered"))</f>
        <v/>
      </c>
      <c r="C68" s="304" t="n"/>
      <c r="D68" s="70" t="n"/>
      <c r="E68" s="308" t="n"/>
      <c r="F68" s="308" t="n"/>
      <c r="G68" s="308" t="n"/>
      <c r="H68" s="308" t="n"/>
      <c r="I68" s="308" t="n"/>
      <c r="J68" s="308" t="n"/>
      <c r="K68" s="308" t="n"/>
      <c r="L68" s="308" t="n"/>
      <c r="M68" s="308" t="n"/>
      <c r="N68" s="308" t="n"/>
      <c r="O68" s="308">
        <f>IF(COUNTA(E68:N68)=0,"",ROUND((E68*INDEX('Settings'!$I$24:$O$24,1,MATCH(IF(D68="",'Settings'!$C$3,D68),'Settings'!$I$23:$O$23,0))+F68*INDEX('Settings'!$I$25:$O$25,1,MATCH(IF(D68="",'Settings'!$C$3,D68),'Settings'!$I$23:$O$23,0))+G68*INDEX('Settings'!$I$26:$O$26,1,MATCH(IF(D68="",'Settings'!$C$3,D68),'Settings'!$I$23:$O$23,0))+H68*INDEX('Settings'!$I$27:$O$27,1,MATCH(IF(D68="",'Settings'!$C$3,D68),'Settings'!$I$23:$O$23,0))+I68*INDEX('Settings'!$I$28:$O$28,1,MATCH(IF(D68="",'Settings'!$C$3,D68),'Settings'!$I$23:$O$23,0))+J68*INDEX('Settings'!$I$29:$O$29,1,MATCH(IF(D68="",'Settings'!$C$3,D68),'Settings'!$I$23:$O$23,0))+K68*INDEX('Settings'!$I$30:$O$30,1,MATCH(IF(D68="",'Settings'!$C$3,D68),'Settings'!$I$23:$O$23,0))+L68*INDEX('Settings'!$I$31:$O$31,1,MATCH(IF(D68="",'Settings'!$C$3,D68),'Settings'!$I$23:$O$23,0))+M68*INDEX('Settings'!$I$32:$O$32,1,MATCH(IF(D68="",'Settings'!$C$3,D68),'Settings'!$I$23:$O$23,0))+N68*INDEX('Settings'!$I$33:$O$33,1,MATCH(IF(D68="",'Settings'!$C$3,D68),'Settings'!$I$23:$O$23,0)))/100,1))</f>
        <v/>
      </c>
      <c r="P68" s="71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 ht="22" customHeight="1" s="280">
      <c r="A69" s="69" t="n"/>
      <c r="B69" s="70">
        <f>IF(A69="","",IFERROR(VLOOKUP(A69,'Supplier Register'!$A$6:$L$105,2,FALSE),"Not registered"))</f>
        <v/>
      </c>
      <c r="C69" s="304" t="n"/>
      <c r="D69" s="70" t="n"/>
      <c r="E69" s="308" t="n"/>
      <c r="F69" s="308" t="n"/>
      <c r="G69" s="308" t="n"/>
      <c r="H69" s="308" t="n"/>
      <c r="I69" s="308" t="n"/>
      <c r="J69" s="308" t="n"/>
      <c r="K69" s="308" t="n"/>
      <c r="L69" s="308" t="n"/>
      <c r="M69" s="308" t="n"/>
      <c r="N69" s="308" t="n"/>
      <c r="O69" s="308">
        <f>IF(COUNTA(E69:N69)=0,"",ROUND((E69*INDEX('Settings'!$I$24:$O$24,1,MATCH(IF(D69="",'Settings'!$C$3,D69),'Settings'!$I$23:$O$23,0))+F69*INDEX('Settings'!$I$25:$O$25,1,MATCH(IF(D69="",'Settings'!$C$3,D69),'Settings'!$I$23:$O$23,0))+G69*INDEX('Settings'!$I$26:$O$26,1,MATCH(IF(D69="",'Settings'!$C$3,D69),'Settings'!$I$23:$O$23,0))+H69*INDEX('Settings'!$I$27:$O$27,1,MATCH(IF(D69="",'Settings'!$C$3,D69),'Settings'!$I$23:$O$23,0))+I69*INDEX('Settings'!$I$28:$O$28,1,MATCH(IF(D69="",'Settings'!$C$3,D69),'Settings'!$I$23:$O$23,0))+J69*INDEX('Settings'!$I$29:$O$29,1,MATCH(IF(D69="",'Settings'!$C$3,D69),'Settings'!$I$23:$O$23,0))+K69*INDEX('Settings'!$I$30:$O$30,1,MATCH(IF(D69="",'Settings'!$C$3,D69),'Settings'!$I$23:$O$23,0))+L69*INDEX('Settings'!$I$31:$O$31,1,MATCH(IF(D69="",'Settings'!$C$3,D69),'Settings'!$I$23:$O$23,0))+M69*INDEX('Settings'!$I$32:$O$32,1,MATCH(IF(D69="",'Settings'!$C$3,D69),'Settings'!$I$23:$O$23,0))+N69*INDEX('Settings'!$I$33:$O$33,1,MATCH(IF(D69="",'Settings'!$C$3,D69),'Settings'!$I$23:$O$23,0)))/100,1))</f>
        <v/>
      </c>
      <c r="P69" s="71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 ht="22" customHeight="1" s="280">
      <c r="A70" s="69" t="n"/>
      <c r="B70" s="70">
        <f>IF(A70="","",IFERROR(VLOOKUP(A70,'Supplier Register'!$A$6:$L$105,2,FALSE),"Not registered"))</f>
        <v/>
      </c>
      <c r="C70" s="304" t="n"/>
      <c r="D70" s="70" t="n"/>
      <c r="E70" s="308" t="n"/>
      <c r="F70" s="308" t="n"/>
      <c r="G70" s="308" t="n"/>
      <c r="H70" s="308" t="n"/>
      <c r="I70" s="308" t="n"/>
      <c r="J70" s="308" t="n"/>
      <c r="K70" s="308" t="n"/>
      <c r="L70" s="308" t="n"/>
      <c r="M70" s="308" t="n"/>
      <c r="N70" s="308" t="n"/>
      <c r="O70" s="308">
        <f>IF(COUNTA(E70:N70)=0,"",ROUND((E70*INDEX('Settings'!$I$24:$O$24,1,MATCH(IF(D70="",'Settings'!$C$3,D70),'Settings'!$I$23:$O$23,0))+F70*INDEX('Settings'!$I$25:$O$25,1,MATCH(IF(D70="",'Settings'!$C$3,D70),'Settings'!$I$23:$O$23,0))+G70*INDEX('Settings'!$I$26:$O$26,1,MATCH(IF(D70="",'Settings'!$C$3,D70),'Settings'!$I$23:$O$23,0))+H70*INDEX('Settings'!$I$27:$O$27,1,MATCH(IF(D70="",'Settings'!$C$3,D70),'Settings'!$I$23:$O$23,0))+I70*INDEX('Settings'!$I$28:$O$28,1,MATCH(IF(D70="",'Settings'!$C$3,D70),'Settings'!$I$23:$O$23,0))+J70*INDEX('Settings'!$I$29:$O$29,1,MATCH(IF(D70="",'Settings'!$C$3,D70),'Settings'!$I$23:$O$23,0))+K70*INDEX('Settings'!$I$30:$O$30,1,MATCH(IF(D70="",'Settings'!$C$3,D70),'Settings'!$I$23:$O$23,0))+L70*INDEX('Settings'!$I$31:$O$31,1,MATCH(IF(D70="",'Settings'!$C$3,D70),'Settings'!$I$23:$O$23,0))+M70*INDEX('Settings'!$I$32:$O$32,1,MATCH(IF(D70="",'Settings'!$C$3,D70),'Settings'!$I$23:$O$23,0))+N70*INDEX('Settings'!$I$33:$O$33,1,MATCH(IF(D70="",'Settings'!$C$3,D70),'Settings'!$I$23:$O$23,0)))/100,1))</f>
        <v/>
      </c>
      <c r="P70" s="71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 ht="22" customHeight="1" s="280">
      <c r="A71" s="69" t="n"/>
      <c r="B71" s="70">
        <f>IF(A71="","",IFERROR(VLOOKUP(A71,'Supplier Register'!$A$6:$L$105,2,FALSE),"Not registered"))</f>
        <v/>
      </c>
      <c r="C71" s="304" t="n"/>
      <c r="D71" s="70" t="n"/>
      <c r="E71" s="308" t="n"/>
      <c r="F71" s="308" t="n"/>
      <c r="G71" s="308" t="n"/>
      <c r="H71" s="308" t="n"/>
      <c r="I71" s="308" t="n"/>
      <c r="J71" s="308" t="n"/>
      <c r="K71" s="308" t="n"/>
      <c r="L71" s="308" t="n"/>
      <c r="M71" s="308" t="n"/>
      <c r="N71" s="308" t="n"/>
      <c r="O71" s="308">
        <f>IF(COUNTA(E71:N71)=0,"",ROUND((E71*INDEX('Settings'!$I$24:$O$24,1,MATCH(IF(D71="",'Settings'!$C$3,D71),'Settings'!$I$23:$O$23,0))+F71*INDEX('Settings'!$I$25:$O$25,1,MATCH(IF(D71="",'Settings'!$C$3,D71),'Settings'!$I$23:$O$23,0))+G71*INDEX('Settings'!$I$26:$O$26,1,MATCH(IF(D71="",'Settings'!$C$3,D71),'Settings'!$I$23:$O$23,0))+H71*INDEX('Settings'!$I$27:$O$27,1,MATCH(IF(D71="",'Settings'!$C$3,D71),'Settings'!$I$23:$O$23,0))+I71*INDEX('Settings'!$I$28:$O$28,1,MATCH(IF(D71="",'Settings'!$C$3,D71),'Settings'!$I$23:$O$23,0))+J71*INDEX('Settings'!$I$29:$O$29,1,MATCH(IF(D71="",'Settings'!$C$3,D71),'Settings'!$I$23:$O$23,0))+K71*INDEX('Settings'!$I$30:$O$30,1,MATCH(IF(D71="",'Settings'!$C$3,D71),'Settings'!$I$23:$O$23,0))+L71*INDEX('Settings'!$I$31:$O$31,1,MATCH(IF(D71="",'Settings'!$C$3,D71),'Settings'!$I$23:$O$23,0))+M71*INDEX('Settings'!$I$32:$O$32,1,MATCH(IF(D71="",'Settings'!$C$3,D71),'Settings'!$I$23:$O$23,0))+N71*INDEX('Settings'!$I$33:$O$33,1,MATCH(IF(D71="",'Settings'!$C$3,D71),'Settings'!$I$23:$O$23,0)))/100,1))</f>
        <v/>
      </c>
      <c r="P71" s="71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 ht="22" customHeight="1" s="280">
      <c r="A72" s="69" t="n"/>
      <c r="B72" s="70">
        <f>IF(A72="","",IFERROR(VLOOKUP(A72,'Supplier Register'!$A$6:$L$105,2,FALSE),"Not registered"))</f>
        <v/>
      </c>
      <c r="C72" s="304" t="n"/>
      <c r="D72" s="70" t="n"/>
      <c r="E72" s="308" t="n"/>
      <c r="F72" s="308" t="n"/>
      <c r="G72" s="308" t="n"/>
      <c r="H72" s="308" t="n"/>
      <c r="I72" s="308" t="n"/>
      <c r="J72" s="308" t="n"/>
      <c r="K72" s="308" t="n"/>
      <c r="L72" s="308" t="n"/>
      <c r="M72" s="308" t="n"/>
      <c r="N72" s="308" t="n"/>
      <c r="O72" s="308">
        <f>IF(COUNTA(E72:N72)=0,"",ROUND((E72*INDEX('Settings'!$I$24:$O$24,1,MATCH(IF(D72="",'Settings'!$C$3,D72),'Settings'!$I$23:$O$23,0))+F72*INDEX('Settings'!$I$25:$O$25,1,MATCH(IF(D72="",'Settings'!$C$3,D72),'Settings'!$I$23:$O$23,0))+G72*INDEX('Settings'!$I$26:$O$26,1,MATCH(IF(D72="",'Settings'!$C$3,D72),'Settings'!$I$23:$O$23,0))+H72*INDEX('Settings'!$I$27:$O$27,1,MATCH(IF(D72="",'Settings'!$C$3,D72),'Settings'!$I$23:$O$23,0))+I72*INDEX('Settings'!$I$28:$O$28,1,MATCH(IF(D72="",'Settings'!$C$3,D72),'Settings'!$I$23:$O$23,0))+J72*INDEX('Settings'!$I$29:$O$29,1,MATCH(IF(D72="",'Settings'!$C$3,D72),'Settings'!$I$23:$O$23,0))+K72*INDEX('Settings'!$I$30:$O$30,1,MATCH(IF(D72="",'Settings'!$C$3,D72),'Settings'!$I$23:$O$23,0))+L72*INDEX('Settings'!$I$31:$O$31,1,MATCH(IF(D72="",'Settings'!$C$3,D72),'Settings'!$I$23:$O$23,0))+M72*INDEX('Settings'!$I$32:$O$32,1,MATCH(IF(D72="",'Settings'!$C$3,D72),'Settings'!$I$23:$O$23,0))+N72*INDEX('Settings'!$I$33:$O$33,1,MATCH(IF(D72="",'Settings'!$C$3,D72),'Settings'!$I$23:$O$23,0)))/100,1))</f>
        <v/>
      </c>
      <c r="P72" s="71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 ht="22" customHeight="1" s="280">
      <c r="A73" s="69" t="n"/>
      <c r="B73" s="70">
        <f>IF(A73="","",IFERROR(VLOOKUP(A73,'Supplier Register'!$A$6:$L$105,2,FALSE),"Not registered"))</f>
        <v/>
      </c>
      <c r="C73" s="304" t="n"/>
      <c r="D73" s="70" t="n"/>
      <c r="E73" s="308" t="n"/>
      <c r="F73" s="308" t="n"/>
      <c r="G73" s="308" t="n"/>
      <c r="H73" s="308" t="n"/>
      <c r="I73" s="308" t="n"/>
      <c r="J73" s="308" t="n"/>
      <c r="K73" s="308" t="n"/>
      <c r="L73" s="308" t="n"/>
      <c r="M73" s="308" t="n"/>
      <c r="N73" s="308" t="n"/>
      <c r="O73" s="308">
        <f>IF(COUNTA(E73:N73)=0,"",ROUND((E73*INDEX('Settings'!$I$24:$O$24,1,MATCH(IF(D73="",'Settings'!$C$3,D73),'Settings'!$I$23:$O$23,0))+F73*INDEX('Settings'!$I$25:$O$25,1,MATCH(IF(D73="",'Settings'!$C$3,D73),'Settings'!$I$23:$O$23,0))+G73*INDEX('Settings'!$I$26:$O$26,1,MATCH(IF(D73="",'Settings'!$C$3,D73),'Settings'!$I$23:$O$23,0))+H73*INDEX('Settings'!$I$27:$O$27,1,MATCH(IF(D73="",'Settings'!$C$3,D73),'Settings'!$I$23:$O$23,0))+I73*INDEX('Settings'!$I$28:$O$28,1,MATCH(IF(D73="",'Settings'!$C$3,D73),'Settings'!$I$23:$O$23,0))+J73*INDEX('Settings'!$I$29:$O$29,1,MATCH(IF(D73="",'Settings'!$C$3,D73),'Settings'!$I$23:$O$23,0))+K73*INDEX('Settings'!$I$30:$O$30,1,MATCH(IF(D73="",'Settings'!$C$3,D73),'Settings'!$I$23:$O$23,0))+L73*INDEX('Settings'!$I$31:$O$31,1,MATCH(IF(D73="",'Settings'!$C$3,D73),'Settings'!$I$23:$O$23,0))+M73*INDEX('Settings'!$I$32:$O$32,1,MATCH(IF(D73="",'Settings'!$C$3,D73),'Settings'!$I$23:$O$23,0))+N73*INDEX('Settings'!$I$33:$O$33,1,MATCH(IF(D73="",'Settings'!$C$3,D73),'Settings'!$I$23:$O$23,0)))/100,1))</f>
        <v/>
      </c>
      <c r="P73" s="71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 ht="22" customHeight="1" s="280">
      <c r="A74" s="69" t="n"/>
      <c r="B74" s="70">
        <f>IF(A74="","",IFERROR(VLOOKUP(A74,'Supplier Register'!$A$6:$L$105,2,FALSE),"Not registered"))</f>
        <v/>
      </c>
      <c r="C74" s="304" t="n"/>
      <c r="D74" s="70" t="n"/>
      <c r="E74" s="308" t="n"/>
      <c r="F74" s="308" t="n"/>
      <c r="G74" s="308" t="n"/>
      <c r="H74" s="308" t="n"/>
      <c r="I74" s="308" t="n"/>
      <c r="J74" s="308" t="n"/>
      <c r="K74" s="308" t="n"/>
      <c r="L74" s="308" t="n"/>
      <c r="M74" s="308" t="n"/>
      <c r="N74" s="308" t="n"/>
      <c r="O74" s="308">
        <f>IF(COUNTA(E74:N74)=0,"",ROUND((E74*INDEX('Settings'!$I$24:$O$24,1,MATCH(IF(D74="",'Settings'!$C$3,D74),'Settings'!$I$23:$O$23,0))+F74*INDEX('Settings'!$I$25:$O$25,1,MATCH(IF(D74="",'Settings'!$C$3,D74),'Settings'!$I$23:$O$23,0))+G74*INDEX('Settings'!$I$26:$O$26,1,MATCH(IF(D74="",'Settings'!$C$3,D74),'Settings'!$I$23:$O$23,0))+H74*INDEX('Settings'!$I$27:$O$27,1,MATCH(IF(D74="",'Settings'!$C$3,D74),'Settings'!$I$23:$O$23,0))+I74*INDEX('Settings'!$I$28:$O$28,1,MATCH(IF(D74="",'Settings'!$C$3,D74),'Settings'!$I$23:$O$23,0))+J74*INDEX('Settings'!$I$29:$O$29,1,MATCH(IF(D74="",'Settings'!$C$3,D74),'Settings'!$I$23:$O$23,0))+K74*INDEX('Settings'!$I$30:$O$30,1,MATCH(IF(D74="",'Settings'!$C$3,D74),'Settings'!$I$23:$O$23,0))+L74*INDEX('Settings'!$I$31:$O$31,1,MATCH(IF(D74="",'Settings'!$C$3,D74),'Settings'!$I$23:$O$23,0))+M74*INDEX('Settings'!$I$32:$O$32,1,MATCH(IF(D74="",'Settings'!$C$3,D74),'Settings'!$I$23:$O$23,0))+N74*INDEX('Settings'!$I$33:$O$33,1,MATCH(IF(D74="",'Settings'!$C$3,D74),'Settings'!$I$23:$O$23,0)))/100,1))</f>
        <v/>
      </c>
      <c r="P74" s="71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 ht="22" customHeight="1" s="280">
      <c r="A75" s="69" t="n"/>
      <c r="B75" s="70">
        <f>IF(A75="","",IFERROR(VLOOKUP(A75,'Supplier Register'!$A$6:$L$105,2,FALSE),"Not registered"))</f>
        <v/>
      </c>
      <c r="C75" s="304" t="n"/>
      <c r="D75" s="70" t="n"/>
      <c r="E75" s="308" t="n"/>
      <c r="F75" s="308" t="n"/>
      <c r="G75" s="308" t="n"/>
      <c r="H75" s="308" t="n"/>
      <c r="I75" s="308" t="n"/>
      <c r="J75" s="308" t="n"/>
      <c r="K75" s="308" t="n"/>
      <c r="L75" s="308" t="n"/>
      <c r="M75" s="308" t="n"/>
      <c r="N75" s="308" t="n"/>
      <c r="O75" s="308">
        <f>IF(COUNTA(E75:N75)=0,"",ROUND((E75*INDEX('Settings'!$I$24:$O$24,1,MATCH(IF(D75="",'Settings'!$C$3,D75),'Settings'!$I$23:$O$23,0))+F75*INDEX('Settings'!$I$25:$O$25,1,MATCH(IF(D75="",'Settings'!$C$3,D75),'Settings'!$I$23:$O$23,0))+G75*INDEX('Settings'!$I$26:$O$26,1,MATCH(IF(D75="",'Settings'!$C$3,D75),'Settings'!$I$23:$O$23,0))+H75*INDEX('Settings'!$I$27:$O$27,1,MATCH(IF(D75="",'Settings'!$C$3,D75),'Settings'!$I$23:$O$23,0))+I75*INDEX('Settings'!$I$28:$O$28,1,MATCH(IF(D75="",'Settings'!$C$3,D75),'Settings'!$I$23:$O$23,0))+J75*INDEX('Settings'!$I$29:$O$29,1,MATCH(IF(D75="",'Settings'!$C$3,D75),'Settings'!$I$23:$O$23,0))+K75*INDEX('Settings'!$I$30:$O$30,1,MATCH(IF(D75="",'Settings'!$C$3,D75),'Settings'!$I$23:$O$23,0))+L75*INDEX('Settings'!$I$31:$O$31,1,MATCH(IF(D75="",'Settings'!$C$3,D75),'Settings'!$I$23:$O$23,0))+M75*INDEX('Settings'!$I$32:$O$32,1,MATCH(IF(D75="",'Settings'!$C$3,D75),'Settings'!$I$23:$O$23,0))+N75*INDEX('Settings'!$I$33:$O$33,1,MATCH(IF(D75="",'Settings'!$C$3,D75),'Settings'!$I$23:$O$23,0)))/100,1))</f>
        <v/>
      </c>
      <c r="P75" s="71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 ht="22" customHeight="1" s="280">
      <c r="A76" s="69" t="n"/>
      <c r="B76" s="70">
        <f>IF(A76="","",IFERROR(VLOOKUP(A76,'Supplier Register'!$A$6:$L$105,2,FALSE),"Not registered"))</f>
        <v/>
      </c>
      <c r="C76" s="304" t="n"/>
      <c r="D76" s="70" t="n"/>
      <c r="E76" s="308" t="n"/>
      <c r="F76" s="308" t="n"/>
      <c r="G76" s="308" t="n"/>
      <c r="H76" s="308" t="n"/>
      <c r="I76" s="308" t="n"/>
      <c r="J76" s="308" t="n"/>
      <c r="K76" s="308" t="n"/>
      <c r="L76" s="308" t="n"/>
      <c r="M76" s="308" t="n"/>
      <c r="N76" s="308" t="n"/>
      <c r="O76" s="308">
        <f>IF(COUNTA(E76:N76)=0,"",ROUND((E76*INDEX('Settings'!$I$24:$O$24,1,MATCH(IF(D76="",'Settings'!$C$3,D76),'Settings'!$I$23:$O$23,0))+F76*INDEX('Settings'!$I$25:$O$25,1,MATCH(IF(D76="",'Settings'!$C$3,D76),'Settings'!$I$23:$O$23,0))+G76*INDEX('Settings'!$I$26:$O$26,1,MATCH(IF(D76="",'Settings'!$C$3,D76),'Settings'!$I$23:$O$23,0))+H76*INDEX('Settings'!$I$27:$O$27,1,MATCH(IF(D76="",'Settings'!$C$3,D76),'Settings'!$I$23:$O$23,0))+I76*INDEX('Settings'!$I$28:$O$28,1,MATCH(IF(D76="",'Settings'!$C$3,D76),'Settings'!$I$23:$O$23,0))+J76*INDEX('Settings'!$I$29:$O$29,1,MATCH(IF(D76="",'Settings'!$C$3,D76),'Settings'!$I$23:$O$23,0))+K76*INDEX('Settings'!$I$30:$O$30,1,MATCH(IF(D76="",'Settings'!$C$3,D76),'Settings'!$I$23:$O$23,0))+L76*INDEX('Settings'!$I$31:$O$31,1,MATCH(IF(D76="",'Settings'!$C$3,D76),'Settings'!$I$23:$O$23,0))+M76*INDEX('Settings'!$I$32:$O$32,1,MATCH(IF(D76="",'Settings'!$C$3,D76),'Settings'!$I$23:$O$23,0))+N76*INDEX('Settings'!$I$33:$O$33,1,MATCH(IF(D76="",'Settings'!$C$3,D76),'Settings'!$I$23:$O$23,0)))/100,1))</f>
        <v/>
      </c>
      <c r="P76" s="71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 ht="22" customHeight="1" s="280">
      <c r="A77" s="69" t="n"/>
      <c r="B77" s="70">
        <f>IF(A77="","",IFERROR(VLOOKUP(A77,'Supplier Register'!$A$6:$L$105,2,FALSE),"Not registered"))</f>
        <v/>
      </c>
      <c r="C77" s="304" t="n"/>
      <c r="D77" s="70" t="n"/>
      <c r="E77" s="308" t="n"/>
      <c r="F77" s="308" t="n"/>
      <c r="G77" s="308" t="n"/>
      <c r="H77" s="308" t="n"/>
      <c r="I77" s="308" t="n"/>
      <c r="J77" s="308" t="n"/>
      <c r="K77" s="308" t="n"/>
      <c r="L77" s="308" t="n"/>
      <c r="M77" s="308" t="n"/>
      <c r="N77" s="308" t="n"/>
      <c r="O77" s="308">
        <f>IF(COUNTA(E77:N77)=0,"",ROUND((E77*INDEX('Settings'!$I$24:$O$24,1,MATCH(IF(D77="",'Settings'!$C$3,D77),'Settings'!$I$23:$O$23,0))+F77*INDEX('Settings'!$I$25:$O$25,1,MATCH(IF(D77="",'Settings'!$C$3,D77),'Settings'!$I$23:$O$23,0))+G77*INDEX('Settings'!$I$26:$O$26,1,MATCH(IF(D77="",'Settings'!$C$3,D77),'Settings'!$I$23:$O$23,0))+H77*INDEX('Settings'!$I$27:$O$27,1,MATCH(IF(D77="",'Settings'!$C$3,D77),'Settings'!$I$23:$O$23,0))+I77*INDEX('Settings'!$I$28:$O$28,1,MATCH(IF(D77="",'Settings'!$C$3,D77),'Settings'!$I$23:$O$23,0))+J77*INDEX('Settings'!$I$29:$O$29,1,MATCH(IF(D77="",'Settings'!$C$3,D77),'Settings'!$I$23:$O$23,0))+K77*INDEX('Settings'!$I$30:$O$30,1,MATCH(IF(D77="",'Settings'!$C$3,D77),'Settings'!$I$23:$O$23,0))+L77*INDEX('Settings'!$I$31:$O$31,1,MATCH(IF(D77="",'Settings'!$C$3,D77),'Settings'!$I$23:$O$23,0))+M77*INDEX('Settings'!$I$32:$O$32,1,MATCH(IF(D77="",'Settings'!$C$3,D77),'Settings'!$I$23:$O$23,0))+N77*INDEX('Settings'!$I$33:$O$33,1,MATCH(IF(D77="",'Settings'!$C$3,D77),'Settings'!$I$23:$O$23,0)))/100,1))</f>
        <v/>
      </c>
      <c r="P77" s="71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 ht="22" customHeight="1" s="280">
      <c r="A78" s="69" t="n"/>
      <c r="B78" s="70">
        <f>IF(A78="","",IFERROR(VLOOKUP(A78,'Supplier Register'!$A$6:$L$105,2,FALSE),"Not registered"))</f>
        <v/>
      </c>
      <c r="C78" s="304" t="n"/>
      <c r="D78" s="70" t="n"/>
      <c r="E78" s="308" t="n"/>
      <c r="F78" s="308" t="n"/>
      <c r="G78" s="308" t="n"/>
      <c r="H78" s="308" t="n"/>
      <c r="I78" s="308" t="n"/>
      <c r="J78" s="308" t="n"/>
      <c r="K78" s="308" t="n"/>
      <c r="L78" s="308" t="n"/>
      <c r="M78" s="308" t="n"/>
      <c r="N78" s="308" t="n"/>
      <c r="O78" s="308">
        <f>IF(COUNTA(E78:N78)=0,"",ROUND((E78*INDEX('Settings'!$I$24:$O$24,1,MATCH(IF(D78="",'Settings'!$C$3,D78),'Settings'!$I$23:$O$23,0))+F78*INDEX('Settings'!$I$25:$O$25,1,MATCH(IF(D78="",'Settings'!$C$3,D78),'Settings'!$I$23:$O$23,0))+G78*INDEX('Settings'!$I$26:$O$26,1,MATCH(IF(D78="",'Settings'!$C$3,D78),'Settings'!$I$23:$O$23,0))+H78*INDEX('Settings'!$I$27:$O$27,1,MATCH(IF(D78="",'Settings'!$C$3,D78),'Settings'!$I$23:$O$23,0))+I78*INDEX('Settings'!$I$28:$O$28,1,MATCH(IF(D78="",'Settings'!$C$3,D78),'Settings'!$I$23:$O$23,0))+J78*INDEX('Settings'!$I$29:$O$29,1,MATCH(IF(D78="",'Settings'!$C$3,D78),'Settings'!$I$23:$O$23,0))+K78*INDEX('Settings'!$I$30:$O$30,1,MATCH(IF(D78="",'Settings'!$C$3,D78),'Settings'!$I$23:$O$23,0))+L78*INDEX('Settings'!$I$31:$O$31,1,MATCH(IF(D78="",'Settings'!$C$3,D78),'Settings'!$I$23:$O$23,0))+M78*INDEX('Settings'!$I$32:$O$32,1,MATCH(IF(D78="",'Settings'!$C$3,D78),'Settings'!$I$23:$O$23,0))+N78*INDEX('Settings'!$I$33:$O$33,1,MATCH(IF(D78="",'Settings'!$C$3,D78),'Settings'!$I$23:$O$23,0)))/100,1))</f>
        <v/>
      </c>
      <c r="P78" s="71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 ht="22" customHeight="1" s="280">
      <c r="A79" s="69" t="n"/>
      <c r="B79" s="70">
        <f>IF(A79="","",IFERROR(VLOOKUP(A79,'Supplier Register'!$A$6:$L$105,2,FALSE),"Not registered"))</f>
        <v/>
      </c>
      <c r="C79" s="304" t="n"/>
      <c r="D79" s="70" t="n"/>
      <c r="E79" s="308" t="n"/>
      <c r="F79" s="308" t="n"/>
      <c r="G79" s="308" t="n"/>
      <c r="H79" s="308" t="n"/>
      <c r="I79" s="308" t="n"/>
      <c r="J79" s="308" t="n"/>
      <c r="K79" s="308" t="n"/>
      <c r="L79" s="308" t="n"/>
      <c r="M79" s="308" t="n"/>
      <c r="N79" s="308" t="n"/>
      <c r="O79" s="308">
        <f>IF(COUNTA(E79:N79)=0,"",ROUND((E79*INDEX('Settings'!$I$24:$O$24,1,MATCH(IF(D79="",'Settings'!$C$3,D79),'Settings'!$I$23:$O$23,0))+F79*INDEX('Settings'!$I$25:$O$25,1,MATCH(IF(D79="",'Settings'!$C$3,D79),'Settings'!$I$23:$O$23,0))+G79*INDEX('Settings'!$I$26:$O$26,1,MATCH(IF(D79="",'Settings'!$C$3,D79),'Settings'!$I$23:$O$23,0))+H79*INDEX('Settings'!$I$27:$O$27,1,MATCH(IF(D79="",'Settings'!$C$3,D79),'Settings'!$I$23:$O$23,0))+I79*INDEX('Settings'!$I$28:$O$28,1,MATCH(IF(D79="",'Settings'!$C$3,D79),'Settings'!$I$23:$O$23,0))+J79*INDEX('Settings'!$I$29:$O$29,1,MATCH(IF(D79="",'Settings'!$C$3,D79),'Settings'!$I$23:$O$23,0))+K79*INDEX('Settings'!$I$30:$O$30,1,MATCH(IF(D79="",'Settings'!$C$3,D79),'Settings'!$I$23:$O$23,0))+L79*INDEX('Settings'!$I$31:$O$31,1,MATCH(IF(D79="",'Settings'!$C$3,D79),'Settings'!$I$23:$O$23,0))+M79*INDEX('Settings'!$I$32:$O$32,1,MATCH(IF(D79="",'Settings'!$C$3,D79),'Settings'!$I$23:$O$23,0))+N79*INDEX('Settings'!$I$33:$O$33,1,MATCH(IF(D79="",'Settings'!$C$3,D79),'Settings'!$I$23:$O$23,0)))/100,1))</f>
        <v/>
      </c>
      <c r="P79" s="71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 ht="22" customHeight="1" s="280">
      <c r="A80" s="69" t="n"/>
      <c r="B80" s="70">
        <f>IF(A80="","",IFERROR(VLOOKUP(A80,'Supplier Register'!$A$6:$L$105,2,FALSE),"Not registered"))</f>
        <v/>
      </c>
      <c r="C80" s="304" t="n"/>
      <c r="D80" s="70" t="n"/>
      <c r="E80" s="308" t="n"/>
      <c r="F80" s="308" t="n"/>
      <c r="G80" s="308" t="n"/>
      <c r="H80" s="308" t="n"/>
      <c r="I80" s="308" t="n"/>
      <c r="J80" s="308" t="n"/>
      <c r="K80" s="308" t="n"/>
      <c r="L80" s="308" t="n"/>
      <c r="M80" s="308" t="n"/>
      <c r="N80" s="308" t="n"/>
      <c r="O80" s="308">
        <f>IF(COUNTA(E80:N80)=0,"",ROUND((E80*INDEX('Settings'!$I$24:$O$24,1,MATCH(IF(D80="",'Settings'!$C$3,D80),'Settings'!$I$23:$O$23,0))+F80*INDEX('Settings'!$I$25:$O$25,1,MATCH(IF(D80="",'Settings'!$C$3,D80),'Settings'!$I$23:$O$23,0))+G80*INDEX('Settings'!$I$26:$O$26,1,MATCH(IF(D80="",'Settings'!$C$3,D80),'Settings'!$I$23:$O$23,0))+H80*INDEX('Settings'!$I$27:$O$27,1,MATCH(IF(D80="",'Settings'!$C$3,D80),'Settings'!$I$23:$O$23,0))+I80*INDEX('Settings'!$I$28:$O$28,1,MATCH(IF(D80="",'Settings'!$C$3,D80),'Settings'!$I$23:$O$23,0))+J80*INDEX('Settings'!$I$29:$O$29,1,MATCH(IF(D80="",'Settings'!$C$3,D80),'Settings'!$I$23:$O$23,0))+K80*INDEX('Settings'!$I$30:$O$30,1,MATCH(IF(D80="",'Settings'!$C$3,D80),'Settings'!$I$23:$O$23,0))+L80*INDEX('Settings'!$I$31:$O$31,1,MATCH(IF(D80="",'Settings'!$C$3,D80),'Settings'!$I$23:$O$23,0))+M80*INDEX('Settings'!$I$32:$O$32,1,MATCH(IF(D80="",'Settings'!$C$3,D80),'Settings'!$I$23:$O$23,0))+N80*INDEX('Settings'!$I$33:$O$33,1,MATCH(IF(D80="",'Settings'!$C$3,D80),'Settings'!$I$23:$O$23,0)))/100,1))</f>
        <v/>
      </c>
      <c r="P80" s="71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 ht="22" customHeight="1" s="280">
      <c r="A81" s="69" t="n"/>
      <c r="B81" s="70">
        <f>IF(A81="","",IFERROR(VLOOKUP(A81,'Supplier Register'!$A$6:$L$105,2,FALSE),"Not registered"))</f>
        <v/>
      </c>
      <c r="C81" s="304" t="n"/>
      <c r="D81" s="70" t="n"/>
      <c r="E81" s="308" t="n"/>
      <c r="F81" s="308" t="n"/>
      <c r="G81" s="308" t="n"/>
      <c r="H81" s="308" t="n"/>
      <c r="I81" s="308" t="n"/>
      <c r="J81" s="308" t="n"/>
      <c r="K81" s="308" t="n"/>
      <c r="L81" s="308" t="n"/>
      <c r="M81" s="308" t="n"/>
      <c r="N81" s="308" t="n"/>
      <c r="O81" s="308">
        <f>IF(COUNTA(E81:N81)=0,"",ROUND((E81*INDEX('Settings'!$I$24:$O$24,1,MATCH(IF(D81="",'Settings'!$C$3,D81),'Settings'!$I$23:$O$23,0))+F81*INDEX('Settings'!$I$25:$O$25,1,MATCH(IF(D81="",'Settings'!$C$3,D81),'Settings'!$I$23:$O$23,0))+G81*INDEX('Settings'!$I$26:$O$26,1,MATCH(IF(D81="",'Settings'!$C$3,D81),'Settings'!$I$23:$O$23,0))+H81*INDEX('Settings'!$I$27:$O$27,1,MATCH(IF(D81="",'Settings'!$C$3,D81),'Settings'!$I$23:$O$23,0))+I81*INDEX('Settings'!$I$28:$O$28,1,MATCH(IF(D81="",'Settings'!$C$3,D81),'Settings'!$I$23:$O$23,0))+J81*INDEX('Settings'!$I$29:$O$29,1,MATCH(IF(D81="",'Settings'!$C$3,D81),'Settings'!$I$23:$O$23,0))+K81*INDEX('Settings'!$I$30:$O$30,1,MATCH(IF(D81="",'Settings'!$C$3,D81),'Settings'!$I$23:$O$23,0))+L81*INDEX('Settings'!$I$31:$O$31,1,MATCH(IF(D81="",'Settings'!$C$3,D81),'Settings'!$I$23:$O$23,0))+M81*INDEX('Settings'!$I$32:$O$32,1,MATCH(IF(D81="",'Settings'!$C$3,D81),'Settings'!$I$23:$O$23,0))+N81*INDEX('Settings'!$I$33:$O$33,1,MATCH(IF(D81="",'Settings'!$C$3,D81),'Settings'!$I$23:$O$23,0)))/100,1))</f>
        <v/>
      </c>
      <c r="P81" s="71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 ht="22" customHeight="1" s="280">
      <c r="A82" s="69" t="n"/>
      <c r="B82" s="70">
        <f>IF(A82="","",IFERROR(VLOOKUP(A82,'Supplier Register'!$A$6:$L$105,2,FALSE),"Not registered"))</f>
        <v/>
      </c>
      <c r="C82" s="304" t="n"/>
      <c r="D82" s="70" t="n"/>
      <c r="E82" s="308" t="n"/>
      <c r="F82" s="308" t="n"/>
      <c r="G82" s="308" t="n"/>
      <c r="H82" s="308" t="n"/>
      <c r="I82" s="308" t="n"/>
      <c r="J82" s="308" t="n"/>
      <c r="K82" s="308" t="n"/>
      <c r="L82" s="308" t="n"/>
      <c r="M82" s="308" t="n"/>
      <c r="N82" s="308" t="n"/>
      <c r="O82" s="308">
        <f>IF(COUNTA(E82:N82)=0,"",ROUND((E82*INDEX('Settings'!$I$24:$O$24,1,MATCH(IF(D82="",'Settings'!$C$3,D82),'Settings'!$I$23:$O$23,0))+F82*INDEX('Settings'!$I$25:$O$25,1,MATCH(IF(D82="",'Settings'!$C$3,D82),'Settings'!$I$23:$O$23,0))+G82*INDEX('Settings'!$I$26:$O$26,1,MATCH(IF(D82="",'Settings'!$C$3,D82),'Settings'!$I$23:$O$23,0))+H82*INDEX('Settings'!$I$27:$O$27,1,MATCH(IF(D82="",'Settings'!$C$3,D82),'Settings'!$I$23:$O$23,0))+I82*INDEX('Settings'!$I$28:$O$28,1,MATCH(IF(D82="",'Settings'!$C$3,D82),'Settings'!$I$23:$O$23,0))+J82*INDEX('Settings'!$I$29:$O$29,1,MATCH(IF(D82="",'Settings'!$C$3,D82),'Settings'!$I$23:$O$23,0))+K82*INDEX('Settings'!$I$30:$O$30,1,MATCH(IF(D82="",'Settings'!$C$3,D82),'Settings'!$I$23:$O$23,0))+L82*INDEX('Settings'!$I$31:$O$31,1,MATCH(IF(D82="",'Settings'!$C$3,D82),'Settings'!$I$23:$O$23,0))+M82*INDEX('Settings'!$I$32:$O$32,1,MATCH(IF(D82="",'Settings'!$C$3,D82),'Settings'!$I$23:$O$23,0))+N82*INDEX('Settings'!$I$33:$O$33,1,MATCH(IF(D82="",'Settings'!$C$3,D82),'Settings'!$I$23:$O$23,0)))/100,1))</f>
        <v/>
      </c>
      <c r="P82" s="71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 ht="22" customHeight="1" s="280">
      <c r="A83" s="69" t="n"/>
      <c r="B83" s="70">
        <f>IF(A83="","",IFERROR(VLOOKUP(A83,'Supplier Register'!$A$6:$L$105,2,FALSE),"Not registered"))</f>
        <v/>
      </c>
      <c r="C83" s="304" t="n"/>
      <c r="D83" s="70" t="n"/>
      <c r="E83" s="308" t="n"/>
      <c r="F83" s="308" t="n"/>
      <c r="G83" s="308" t="n"/>
      <c r="H83" s="308" t="n"/>
      <c r="I83" s="308" t="n"/>
      <c r="J83" s="308" t="n"/>
      <c r="K83" s="308" t="n"/>
      <c r="L83" s="308" t="n"/>
      <c r="M83" s="308" t="n"/>
      <c r="N83" s="308" t="n"/>
      <c r="O83" s="308">
        <f>IF(COUNTA(E83:N83)=0,"",ROUND((E83*INDEX('Settings'!$I$24:$O$24,1,MATCH(IF(D83="",'Settings'!$C$3,D83),'Settings'!$I$23:$O$23,0))+F83*INDEX('Settings'!$I$25:$O$25,1,MATCH(IF(D83="",'Settings'!$C$3,D83),'Settings'!$I$23:$O$23,0))+G83*INDEX('Settings'!$I$26:$O$26,1,MATCH(IF(D83="",'Settings'!$C$3,D83),'Settings'!$I$23:$O$23,0))+H83*INDEX('Settings'!$I$27:$O$27,1,MATCH(IF(D83="",'Settings'!$C$3,D83),'Settings'!$I$23:$O$23,0))+I83*INDEX('Settings'!$I$28:$O$28,1,MATCH(IF(D83="",'Settings'!$C$3,D83),'Settings'!$I$23:$O$23,0))+J83*INDEX('Settings'!$I$29:$O$29,1,MATCH(IF(D83="",'Settings'!$C$3,D83),'Settings'!$I$23:$O$23,0))+K83*INDEX('Settings'!$I$30:$O$30,1,MATCH(IF(D83="",'Settings'!$C$3,D83),'Settings'!$I$23:$O$23,0))+L83*INDEX('Settings'!$I$31:$O$31,1,MATCH(IF(D83="",'Settings'!$C$3,D83),'Settings'!$I$23:$O$23,0))+M83*INDEX('Settings'!$I$32:$O$32,1,MATCH(IF(D83="",'Settings'!$C$3,D83),'Settings'!$I$23:$O$23,0))+N83*INDEX('Settings'!$I$33:$O$33,1,MATCH(IF(D83="",'Settings'!$C$3,D83),'Settings'!$I$23:$O$23,0)))/100,1))</f>
        <v/>
      </c>
      <c r="P83" s="71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 ht="22" customHeight="1" s="280">
      <c r="A84" s="69" t="n"/>
      <c r="B84" s="70">
        <f>IF(A84="","",IFERROR(VLOOKUP(A84,'Supplier Register'!$A$6:$L$105,2,FALSE),"Not registered"))</f>
        <v/>
      </c>
      <c r="C84" s="304" t="n"/>
      <c r="D84" s="70" t="n"/>
      <c r="E84" s="308" t="n"/>
      <c r="F84" s="308" t="n"/>
      <c r="G84" s="308" t="n"/>
      <c r="H84" s="308" t="n"/>
      <c r="I84" s="308" t="n"/>
      <c r="J84" s="308" t="n"/>
      <c r="K84" s="308" t="n"/>
      <c r="L84" s="308" t="n"/>
      <c r="M84" s="308" t="n"/>
      <c r="N84" s="308" t="n"/>
      <c r="O84" s="308">
        <f>IF(COUNTA(E84:N84)=0,"",ROUND((E84*INDEX('Settings'!$I$24:$O$24,1,MATCH(IF(D84="",'Settings'!$C$3,D84),'Settings'!$I$23:$O$23,0))+F84*INDEX('Settings'!$I$25:$O$25,1,MATCH(IF(D84="",'Settings'!$C$3,D84),'Settings'!$I$23:$O$23,0))+G84*INDEX('Settings'!$I$26:$O$26,1,MATCH(IF(D84="",'Settings'!$C$3,D84),'Settings'!$I$23:$O$23,0))+H84*INDEX('Settings'!$I$27:$O$27,1,MATCH(IF(D84="",'Settings'!$C$3,D84),'Settings'!$I$23:$O$23,0))+I84*INDEX('Settings'!$I$28:$O$28,1,MATCH(IF(D84="",'Settings'!$C$3,D84),'Settings'!$I$23:$O$23,0))+J84*INDEX('Settings'!$I$29:$O$29,1,MATCH(IF(D84="",'Settings'!$C$3,D84),'Settings'!$I$23:$O$23,0))+K84*INDEX('Settings'!$I$30:$O$30,1,MATCH(IF(D84="",'Settings'!$C$3,D84),'Settings'!$I$23:$O$23,0))+L84*INDEX('Settings'!$I$31:$O$31,1,MATCH(IF(D84="",'Settings'!$C$3,D84),'Settings'!$I$23:$O$23,0))+M84*INDEX('Settings'!$I$32:$O$32,1,MATCH(IF(D84="",'Settings'!$C$3,D84),'Settings'!$I$23:$O$23,0))+N84*INDEX('Settings'!$I$33:$O$33,1,MATCH(IF(D84="",'Settings'!$C$3,D84),'Settings'!$I$23:$O$23,0)))/100,1))</f>
        <v/>
      </c>
      <c r="P84" s="71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 ht="22" customHeight="1" s="280">
      <c r="A85" s="69" t="n"/>
      <c r="B85" s="70">
        <f>IF(A85="","",IFERROR(VLOOKUP(A85,'Supplier Register'!$A$6:$L$105,2,FALSE),"Not registered"))</f>
        <v/>
      </c>
      <c r="C85" s="304" t="n"/>
      <c r="D85" s="70" t="n"/>
      <c r="E85" s="308" t="n"/>
      <c r="F85" s="308" t="n"/>
      <c r="G85" s="308" t="n"/>
      <c r="H85" s="308" t="n"/>
      <c r="I85" s="308" t="n"/>
      <c r="J85" s="308" t="n"/>
      <c r="K85" s="308" t="n"/>
      <c r="L85" s="308" t="n"/>
      <c r="M85" s="308" t="n"/>
      <c r="N85" s="308" t="n"/>
      <c r="O85" s="308">
        <f>IF(COUNTA(E85:N85)=0,"",ROUND((E85*INDEX('Settings'!$I$24:$O$24,1,MATCH(IF(D85="",'Settings'!$C$3,D85),'Settings'!$I$23:$O$23,0))+F85*INDEX('Settings'!$I$25:$O$25,1,MATCH(IF(D85="",'Settings'!$C$3,D85),'Settings'!$I$23:$O$23,0))+G85*INDEX('Settings'!$I$26:$O$26,1,MATCH(IF(D85="",'Settings'!$C$3,D85),'Settings'!$I$23:$O$23,0))+H85*INDEX('Settings'!$I$27:$O$27,1,MATCH(IF(D85="",'Settings'!$C$3,D85),'Settings'!$I$23:$O$23,0))+I85*INDEX('Settings'!$I$28:$O$28,1,MATCH(IF(D85="",'Settings'!$C$3,D85),'Settings'!$I$23:$O$23,0))+J85*INDEX('Settings'!$I$29:$O$29,1,MATCH(IF(D85="",'Settings'!$C$3,D85),'Settings'!$I$23:$O$23,0))+K85*INDEX('Settings'!$I$30:$O$30,1,MATCH(IF(D85="",'Settings'!$C$3,D85),'Settings'!$I$23:$O$23,0))+L85*INDEX('Settings'!$I$31:$O$31,1,MATCH(IF(D85="",'Settings'!$C$3,D85),'Settings'!$I$23:$O$23,0))+M85*INDEX('Settings'!$I$32:$O$32,1,MATCH(IF(D85="",'Settings'!$C$3,D85),'Settings'!$I$23:$O$23,0))+N85*INDEX('Settings'!$I$33:$O$33,1,MATCH(IF(D85="",'Settings'!$C$3,D85),'Settings'!$I$23:$O$23,0)))/100,1))</f>
        <v/>
      </c>
      <c r="P85" s="71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 ht="22" customHeight="1" s="280">
      <c r="A86" s="69" t="n"/>
      <c r="B86" s="70">
        <f>IF(A86="","",IFERROR(VLOOKUP(A86,'Supplier Register'!$A$6:$L$105,2,FALSE),"Not registered"))</f>
        <v/>
      </c>
      <c r="C86" s="304" t="n"/>
      <c r="D86" s="70" t="n"/>
      <c r="E86" s="308" t="n"/>
      <c r="F86" s="308" t="n"/>
      <c r="G86" s="308" t="n"/>
      <c r="H86" s="308" t="n"/>
      <c r="I86" s="308" t="n"/>
      <c r="J86" s="308" t="n"/>
      <c r="K86" s="308" t="n"/>
      <c r="L86" s="308" t="n"/>
      <c r="M86" s="308" t="n"/>
      <c r="N86" s="308" t="n"/>
      <c r="O86" s="308">
        <f>IF(COUNTA(E86:N86)=0,"",ROUND((E86*INDEX('Settings'!$I$24:$O$24,1,MATCH(IF(D86="",'Settings'!$C$3,D86),'Settings'!$I$23:$O$23,0))+F86*INDEX('Settings'!$I$25:$O$25,1,MATCH(IF(D86="",'Settings'!$C$3,D86),'Settings'!$I$23:$O$23,0))+G86*INDEX('Settings'!$I$26:$O$26,1,MATCH(IF(D86="",'Settings'!$C$3,D86),'Settings'!$I$23:$O$23,0))+H86*INDEX('Settings'!$I$27:$O$27,1,MATCH(IF(D86="",'Settings'!$C$3,D86),'Settings'!$I$23:$O$23,0))+I86*INDEX('Settings'!$I$28:$O$28,1,MATCH(IF(D86="",'Settings'!$C$3,D86),'Settings'!$I$23:$O$23,0))+J86*INDEX('Settings'!$I$29:$O$29,1,MATCH(IF(D86="",'Settings'!$C$3,D86),'Settings'!$I$23:$O$23,0))+K86*INDEX('Settings'!$I$30:$O$30,1,MATCH(IF(D86="",'Settings'!$C$3,D86),'Settings'!$I$23:$O$23,0))+L86*INDEX('Settings'!$I$31:$O$31,1,MATCH(IF(D86="",'Settings'!$C$3,D86),'Settings'!$I$23:$O$23,0))+M86*INDEX('Settings'!$I$32:$O$32,1,MATCH(IF(D86="",'Settings'!$C$3,D86),'Settings'!$I$23:$O$23,0))+N86*INDEX('Settings'!$I$33:$O$33,1,MATCH(IF(D86="",'Settings'!$C$3,D86),'Settings'!$I$23:$O$23,0)))/100,1))</f>
        <v/>
      </c>
      <c r="P86" s="71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 ht="22" customHeight="1" s="280">
      <c r="A87" s="69" t="n"/>
      <c r="B87" s="70">
        <f>IF(A87="","",IFERROR(VLOOKUP(A87,'Supplier Register'!$A$6:$L$105,2,FALSE),"Not registered"))</f>
        <v/>
      </c>
      <c r="C87" s="304" t="n"/>
      <c r="D87" s="70" t="n"/>
      <c r="E87" s="308" t="n"/>
      <c r="F87" s="308" t="n"/>
      <c r="G87" s="308" t="n"/>
      <c r="H87" s="308" t="n"/>
      <c r="I87" s="308" t="n"/>
      <c r="J87" s="308" t="n"/>
      <c r="K87" s="308" t="n"/>
      <c r="L87" s="308" t="n"/>
      <c r="M87" s="308" t="n"/>
      <c r="N87" s="308" t="n"/>
      <c r="O87" s="308">
        <f>IF(COUNTA(E87:N87)=0,"",ROUND((E87*INDEX('Settings'!$I$24:$O$24,1,MATCH(IF(D87="",'Settings'!$C$3,D87),'Settings'!$I$23:$O$23,0))+F87*INDEX('Settings'!$I$25:$O$25,1,MATCH(IF(D87="",'Settings'!$C$3,D87),'Settings'!$I$23:$O$23,0))+G87*INDEX('Settings'!$I$26:$O$26,1,MATCH(IF(D87="",'Settings'!$C$3,D87),'Settings'!$I$23:$O$23,0))+H87*INDEX('Settings'!$I$27:$O$27,1,MATCH(IF(D87="",'Settings'!$C$3,D87),'Settings'!$I$23:$O$23,0))+I87*INDEX('Settings'!$I$28:$O$28,1,MATCH(IF(D87="",'Settings'!$C$3,D87),'Settings'!$I$23:$O$23,0))+J87*INDEX('Settings'!$I$29:$O$29,1,MATCH(IF(D87="",'Settings'!$C$3,D87),'Settings'!$I$23:$O$23,0))+K87*INDEX('Settings'!$I$30:$O$30,1,MATCH(IF(D87="",'Settings'!$C$3,D87),'Settings'!$I$23:$O$23,0))+L87*INDEX('Settings'!$I$31:$O$31,1,MATCH(IF(D87="",'Settings'!$C$3,D87),'Settings'!$I$23:$O$23,0))+M87*INDEX('Settings'!$I$32:$O$32,1,MATCH(IF(D87="",'Settings'!$C$3,D87),'Settings'!$I$23:$O$23,0))+N87*INDEX('Settings'!$I$33:$O$33,1,MATCH(IF(D87="",'Settings'!$C$3,D87),'Settings'!$I$23:$O$23,0)))/100,1))</f>
        <v/>
      </c>
      <c r="P87" s="71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 ht="22" customHeight="1" s="280">
      <c r="A88" s="69" t="n"/>
      <c r="B88" s="70">
        <f>IF(A88="","",IFERROR(VLOOKUP(A88,'Supplier Register'!$A$6:$L$105,2,FALSE),"Not registered"))</f>
        <v/>
      </c>
      <c r="C88" s="304" t="n"/>
      <c r="D88" s="70" t="n"/>
      <c r="E88" s="308" t="n"/>
      <c r="F88" s="308" t="n"/>
      <c r="G88" s="308" t="n"/>
      <c r="H88" s="308" t="n"/>
      <c r="I88" s="308" t="n"/>
      <c r="J88" s="308" t="n"/>
      <c r="K88" s="308" t="n"/>
      <c r="L88" s="308" t="n"/>
      <c r="M88" s="308" t="n"/>
      <c r="N88" s="308" t="n"/>
      <c r="O88" s="308">
        <f>IF(COUNTA(E88:N88)=0,"",ROUND((E88*INDEX('Settings'!$I$24:$O$24,1,MATCH(IF(D88="",'Settings'!$C$3,D88),'Settings'!$I$23:$O$23,0))+F88*INDEX('Settings'!$I$25:$O$25,1,MATCH(IF(D88="",'Settings'!$C$3,D88),'Settings'!$I$23:$O$23,0))+G88*INDEX('Settings'!$I$26:$O$26,1,MATCH(IF(D88="",'Settings'!$C$3,D88),'Settings'!$I$23:$O$23,0))+H88*INDEX('Settings'!$I$27:$O$27,1,MATCH(IF(D88="",'Settings'!$C$3,D88),'Settings'!$I$23:$O$23,0))+I88*INDEX('Settings'!$I$28:$O$28,1,MATCH(IF(D88="",'Settings'!$C$3,D88),'Settings'!$I$23:$O$23,0))+J88*INDEX('Settings'!$I$29:$O$29,1,MATCH(IF(D88="",'Settings'!$C$3,D88),'Settings'!$I$23:$O$23,0))+K88*INDEX('Settings'!$I$30:$O$30,1,MATCH(IF(D88="",'Settings'!$C$3,D88),'Settings'!$I$23:$O$23,0))+L88*INDEX('Settings'!$I$31:$O$31,1,MATCH(IF(D88="",'Settings'!$C$3,D88),'Settings'!$I$23:$O$23,0))+M88*INDEX('Settings'!$I$32:$O$32,1,MATCH(IF(D88="",'Settings'!$C$3,D88),'Settings'!$I$23:$O$23,0))+N88*INDEX('Settings'!$I$33:$O$33,1,MATCH(IF(D88="",'Settings'!$C$3,D88),'Settings'!$I$23:$O$23,0)))/100,1))</f>
        <v/>
      </c>
      <c r="P88" s="71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 ht="22" customHeight="1" s="280">
      <c r="A89" s="69" t="n"/>
      <c r="B89" s="70">
        <f>IF(A89="","",IFERROR(VLOOKUP(A89,'Supplier Register'!$A$6:$L$105,2,FALSE),"Not registered"))</f>
        <v/>
      </c>
      <c r="C89" s="304" t="n"/>
      <c r="D89" s="70" t="n"/>
      <c r="E89" s="308" t="n"/>
      <c r="F89" s="308" t="n"/>
      <c r="G89" s="308" t="n"/>
      <c r="H89" s="308" t="n"/>
      <c r="I89" s="308" t="n"/>
      <c r="J89" s="308" t="n"/>
      <c r="K89" s="308" t="n"/>
      <c r="L89" s="308" t="n"/>
      <c r="M89" s="308" t="n"/>
      <c r="N89" s="308" t="n"/>
      <c r="O89" s="308">
        <f>IF(COUNTA(E89:N89)=0,"",ROUND((E89*INDEX('Settings'!$I$24:$O$24,1,MATCH(IF(D89="",'Settings'!$C$3,D89),'Settings'!$I$23:$O$23,0))+F89*INDEX('Settings'!$I$25:$O$25,1,MATCH(IF(D89="",'Settings'!$C$3,D89),'Settings'!$I$23:$O$23,0))+G89*INDEX('Settings'!$I$26:$O$26,1,MATCH(IF(D89="",'Settings'!$C$3,D89),'Settings'!$I$23:$O$23,0))+H89*INDEX('Settings'!$I$27:$O$27,1,MATCH(IF(D89="",'Settings'!$C$3,D89),'Settings'!$I$23:$O$23,0))+I89*INDEX('Settings'!$I$28:$O$28,1,MATCH(IF(D89="",'Settings'!$C$3,D89),'Settings'!$I$23:$O$23,0))+J89*INDEX('Settings'!$I$29:$O$29,1,MATCH(IF(D89="",'Settings'!$C$3,D89),'Settings'!$I$23:$O$23,0))+K89*INDEX('Settings'!$I$30:$O$30,1,MATCH(IF(D89="",'Settings'!$C$3,D89),'Settings'!$I$23:$O$23,0))+L89*INDEX('Settings'!$I$31:$O$31,1,MATCH(IF(D89="",'Settings'!$C$3,D89),'Settings'!$I$23:$O$23,0))+M89*INDEX('Settings'!$I$32:$O$32,1,MATCH(IF(D89="",'Settings'!$C$3,D89),'Settings'!$I$23:$O$23,0))+N89*INDEX('Settings'!$I$33:$O$33,1,MATCH(IF(D89="",'Settings'!$C$3,D89),'Settings'!$I$23:$O$23,0)))/100,1))</f>
        <v/>
      </c>
      <c r="P89" s="71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 ht="22" customHeight="1" s="280">
      <c r="A90" s="69" t="n"/>
      <c r="B90" s="70">
        <f>IF(A90="","",IFERROR(VLOOKUP(A90,'Supplier Register'!$A$6:$L$105,2,FALSE),"Not registered"))</f>
        <v/>
      </c>
      <c r="C90" s="304" t="n"/>
      <c r="D90" s="70" t="n"/>
      <c r="E90" s="308" t="n"/>
      <c r="F90" s="308" t="n"/>
      <c r="G90" s="308" t="n"/>
      <c r="H90" s="308" t="n"/>
      <c r="I90" s="308" t="n"/>
      <c r="J90" s="308" t="n"/>
      <c r="K90" s="308" t="n"/>
      <c r="L90" s="308" t="n"/>
      <c r="M90" s="308" t="n"/>
      <c r="N90" s="308" t="n"/>
      <c r="O90" s="308">
        <f>IF(COUNTA(E90:N90)=0,"",ROUND((E90*INDEX('Settings'!$I$24:$O$24,1,MATCH(IF(D90="",'Settings'!$C$3,D90),'Settings'!$I$23:$O$23,0))+F90*INDEX('Settings'!$I$25:$O$25,1,MATCH(IF(D90="",'Settings'!$C$3,D90),'Settings'!$I$23:$O$23,0))+G90*INDEX('Settings'!$I$26:$O$26,1,MATCH(IF(D90="",'Settings'!$C$3,D90),'Settings'!$I$23:$O$23,0))+H90*INDEX('Settings'!$I$27:$O$27,1,MATCH(IF(D90="",'Settings'!$C$3,D90),'Settings'!$I$23:$O$23,0))+I90*INDEX('Settings'!$I$28:$O$28,1,MATCH(IF(D90="",'Settings'!$C$3,D90),'Settings'!$I$23:$O$23,0))+J90*INDEX('Settings'!$I$29:$O$29,1,MATCH(IF(D90="",'Settings'!$C$3,D90),'Settings'!$I$23:$O$23,0))+K90*INDEX('Settings'!$I$30:$O$30,1,MATCH(IF(D90="",'Settings'!$C$3,D90),'Settings'!$I$23:$O$23,0))+L90*INDEX('Settings'!$I$31:$O$31,1,MATCH(IF(D90="",'Settings'!$C$3,D90),'Settings'!$I$23:$O$23,0))+M90*INDEX('Settings'!$I$32:$O$32,1,MATCH(IF(D90="",'Settings'!$C$3,D90),'Settings'!$I$23:$O$23,0))+N90*INDEX('Settings'!$I$33:$O$33,1,MATCH(IF(D90="",'Settings'!$C$3,D90),'Settings'!$I$23:$O$23,0)))/100,1))</f>
        <v/>
      </c>
      <c r="P90" s="71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 ht="22" customHeight="1" s="280">
      <c r="A91" s="69" t="n"/>
      <c r="B91" s="70">
        <f>IF(A91="","",IFERROR(VLOOKUP(A91,'Supplier Register'!$A$6:$L$105,2,FALSE),"Not registered"))</f>
        <v/>
      </c>
      <c r="C91" s="304" t="n"/>
      <c r="D91" s="70" t="n"/>
      <c r="E91" s="308" t="n"/>
      <c r="F91" s="308" t="n"/>
      <c r="G91" s="308" t="n"/>
      <c r="H91" s="308" t="n"/>
      <c r="I91" s="308" t="n"/>
      <c r="J91" s="308" t="n"/>
      <c r="K91" s="308" t="n"/>
      <c r="L91" s="308" t="n"/>
      <c r="M91" s="308" t="n"/>
      <c r="N91" s="308" t="n"/>
      <c r="O91" s="308">
        <f>IF(COUNTA(E91:N91)=0,"",ROUND((E91*INDEX('Settings'!$I$24:$O$24,1,MATCH(IF(D91="",'Settings'!$C$3,D91),'Settings'!$I$23:$O$23,0))+F91*INDEX('Settings'!$I$25:$O$25,1,MATCH(IF(D91="",'Settings'!$C$3,D91),'Settings'!$I$23:$O$23,0))+G91*INDEX('Settings'!$I$26:$O$26,1,MATCH(IF(D91="",'Settings'!$C$3,D91),'Settings'!$I$23:$O$23,0))+H91*INDEX('Settings'!$I$27:$O$27,1,MATCH(IF(D91="",'Settings'!$C$3,D91),'Settings'!$I$23:$O$23,0))+I91*INDEX('Settings'!$I$28:$O$28,1,MATCH(IF(D91="",'Settings'!$C$3,D91),'Settings'!$I$23:$O$23,0))+J91*INDEX('Settings'!$I$29:$O$29,1,MATCH(IF(D91="",'Settings'!$C$3,D91),'Settings'!$I$23:$O$23,0))+K91*INDEX('Settings'!$I$30:$O$30,1,MATCH(IF(D91="",'Settings'!$C$3,D91),'Settings'!$I$23:$O$23,0))+L91*INDEX('Settings'!$I$31:$O$31,1,MATCH(IF(D91="",'Settings'!$C$3,D91),'Settings'!$I$23:$O$23,0))+M91*INDEX('Settings'!$I$32:$O$32,1,MATCH(IF(D91="",'Settings'!$C$3,D91),'Settings'!$I$23:$O$23,0))+N91*INDEX('Settings'!$I$33:$O$33,1,MATCH(IF(D91="",'Settings'!$C$3,D91),'Settings'!$I$23:$O$23,0)))/100,1))</f>
        <v/>
      </c>
      <c r="P91" s="71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 ht="22" customHeight="1" s="280">
      <c r="A92" s="69" t="n"/>
      <c r="B92" s="70">
        <f>IF(A92="","",IFERROR(VLOOKUP(A92,'Supplier Register'!$A$6:$L$105,2,FALSE),"Not registered"))</f>
        <v/>
      </c>
      <c r="C92" s="304" t="n"/>
      <c r="D92" s="70" t="n"/>
      <c r="E92" s="308" t="n"/>
      <c r="F92" s="308" t="n"/>
      <c r="G92" s="308" t="n"/>
      <c r="H92" s="308" t="n"/>
      <c r="I92" s="308" t="n"/>
      <c r="J92" s="308" t="n"/>
      <c r="K92" s="308" t="n"/>
      <c r="L92" s="308" t="n"/>
      <c r="M92" s="308" t="n"/>
      <c r="N92" s="308" t="n"/>
      <c r="O92" s="308">
        <f>IF(COUNTA(E92:N92)=0,"",ROUND((E92*INDEX('Settings'!$I$24:$O$24,1,MATCH(IF(D92="",'Settings'!$C$3,D92),'Settings'!$I$23:$O$23,0))+F92*INDEX('Settings'!$I$25:$O$25,1,MATCH(IF(D92="",'Settings'!$C$3,D92),'Settings'!$I$23:$O$23,0))+G92*INDEX('Settings'!$I$26:$O$26,1,MATCH(IF(D92="",'Settings'!$C$3,D92),'Settings'!$I$23:$O$23,0))+H92*INDEX('Settings'!$I$27:$O$27,1,MATCH(IF(D92="",'Settings'!$C$3,D92),'Settings'!$I$23:$O$23,0))+I92*INDEX('Settings'!$I$28:$O$28,1,MATCH(IF(D92="",'Settings'!$C$3,D92),'Settings'!$I$23:$O$23,0))+J92*INDEX('Settings'!$I$29:$O$29,1,MATCH(IF(D92="",'Settings'!$C$3,D92),'Settings'!$I$23:$O$23,0))+K92*INDEX('Settings'!$I$30:$O$30,1,MATCH(IF(D92="",'Settings'!$C$3,D92),'Settings'!$I$23:$O$23,0))+L92*INDEX('Settings'!$I$31:$O$31,1,MATCH(IF(D92="",'Settings'!$C$3,D92),'Settings'!$I$23:$O$23,0))+M92*INDEX('Settings'!$I$32:$O$32,1,MATCH(IF(D92="",'Settings'!$C$3,D92),'Settings'!$I$23:$O$23,0))+N92*INDEX('Settings'!$I$33:$O$33,1,MATCH(IF(D92="",'Settings'!$C$3,D92),'Settings'!$I$23:$O$23,0)))/100,1))</f>
        <v/>
      </c>
      <c r="P92" s="71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 ht="22" customHeight="1" s="280">
      <c r="A93" s="69" t="n"/>
      <c r="B93" s="70">
        <f>IF(A93="","",IFERROR(VLOOKUP(A93,'Supplier Register'!$A$6:$L$105,2,FALSE),"Not registered"))</f>
        <v/>
      </c>
      <c r="C93" s="304" t="n"/>
      <c r="D93" s="70" t="n"/>
      <c r="E93" s="308" t="n"/>
      <c r="F93" s="308" t="n"/>
      <c r="G93" s="308" t="n"/>
      <c r="H93" s="308" t="n"/>
      <c r="I93" s="308" t="n"/>
      <c r="J93" s="308" t="n"/>
      <c r="K93" s="308" t="n"/>
      <c r="L93" s="308" t="n"/>
      <c r="M93" s="308" t="n"/>
      <c r="N93" s="308" t="n"/>
      <c r="O93" s="308">
        <f>IF(COUNTA(E93:N93)=0,"",ROUND((E93*INDEX('Settings'!$I$24:$O$24,1,MATCH(IF(D93="",'Settings'!$C$3,D93),'Settings'!$I$23:$O$23,0))+F93*INDEX('Settings'!$I$25:$O$25,1,MATCH(IF(D93="",'Settings'!$C$3,D93),'Settings'!$I$23:$O$23,0))+G93*INDEX('Settings'!$I$26:$O$26,1,MATCH(IF(D93="",'Settings'!$C$3,D93),'Settings'!$I$23:$O$23,0))+H93*INDEX('Settings'!$I$27:$O$27,1,MATCH(IF(D93="",'Settings'!$C$3,D93),'Settings'!$I$23:$O$23,0))+I93*INDEX('Settings'!$I$28:$O$28,1,MATCH(IF(D93="",'Settings'!$C$3,D93),'Settings'!$I$23:$O$23,0))+J93*INDEX('Settings'!$I$29:$O$29,1,MATCH(IF(D93="",'Settings'!$C$3,D93),'Settings'!$I$23:$O$23,0))+K93*INDEX('Settings'!$I$30:$O$30,1,MATCH(IF(D93="",'Settings'!$C$3,D93),'Settings'!$I$23:$O$23,0))+L93*INDEX('Settings'!$I$31:$O$31,1,MATCH(IF(D93="",'Settings'!$C$3,D93),'Settings'!$I$23:$O$23,0))+M93*INDEX('Settings'!$I$32:$O$32,1,MATCH(IF(D93="",'Settings'!$C$3,D93),'Settings'!$I$23:$O$23,0))+N93*INDEX('Settings'!$I$33:$O$33,1,MATCH(IF(D93="",'Settings'!$C$3,D93),'Settings'!$I$23:$O$23,0)))/100,1))</f>
        <v/>
      </c>
      <c r="P93" s="71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 ht="22" customHeight="1" s="280">
      <c r="A94" s="69" t="n"/>
      <c r="B94" s="70">
        <f>IF(A94="","",IFERROR(VLOOKUP(A94,'Supplier Register'!$A$6:$L$105,2,FALSE),"Not registered"))</f>
        <v/>
      </c>
      <c r="C94" s="304" t="n"/>
      <c r="D94" s="70" t="n"/>
      <c r="E94" s="308" t="n"/>
      <c r="F94" s="308" t="n"/>
      <c r="G94" s="308" t="n"/>
      <c r="H94" s="308" t="n"/>
      <c r="I94" s="308" t="n"/>
      <c r="J94" s="308" t="n"/>
      <c r="K94" s="308" t="n"/>
      <c r="L94" s="308" t="n"/>
      <c r="M94" s="308" t="n"/>
      <c r="N94" s="308" t="n"/>
      <c r="O94" s="308">
        <f>IF(COUNTA(E94:N94)=0,"",ROUND((E94*INDEX('Settings'!$I$24:$O$24,1,MATCH(IF(D94="",'Settings'!$C$3,D94),'Settings'!$I$23:$O$23,0))+F94*INDEX('Settings'!$I$25:$O$25,1,MATCH(IF(D94="",'Settings'!$C$3,D94),'Settings'!$I$23:$O$23,0))+G94*INDEX('Settings'!$I$26:$O$26,1,MATCH(IF(D94="",'Settings'!$C$3,D94),'Settings'!$I$23:$O$23,0))+H94*INDEX('Settings'!$I$27:$O$27,1,MATCH(IF(D94="",'Settings'!$C$3,D94),'Settings'!$I$23:$O$23,0))+I94*INDEX('Settings'!$I$28:$O$28,1,MATCH(IF(D94="",'Settings'!$C$3,D94),'Settings'!$I$23:$O$23,0))+J94*INDEX('Settings'!$I$29:$O$29,1,MATCH(IF(D94="",'Settings'!$C$3,D94),'Settings'!$I$23:$O$23,0))+K94*INDEX('Settings'!$I$30:$O$30,1,MATCH(IF(D94="",'Settings'!$C$3,D94),'Settings'!$I$23:$O$23,0))+L94*INDEX('Settings'!$I$31:$O$31,1,MATCH(IF(D94="",'Settings'!$C$3,D94),'Settings'!$I$23:$O$23,0))+M94*INDEX('Settings'!$I$32:$O$32,1,MATCH(IF(D94="",'Settings'!$C$3,D94),'Settings'!$I$23:$O$23,0))+N94*INDEX('Settings'!$I$33:$O$33,1,MATCH(IF(D94="",'Settings'!$C$3,D94),'Settings'!$I$23:$O$23,0)))/100,1))</f>
        <v/>
      </c>
      <c r="P94" s="71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 ht="22" customHeight="1" s="280">
      <c r="A95" s="69" t="n"/>
      <c r="B95" s="70">
        <f>IF(A95="","",IFERROR(VLOOKUP(A95,'Supplier Register'!$A$6:$L$105,2,FALSE),"Not registered"))</f>
        <v/>
      </c>
      <c r="C95" s="304" t="n"/>
      <c r="D95" s="70" t="n"/>
      <c r="E95" s="308" t="n"/>
      <c r="F95" s="308" t="n"/>
      <c r="G95" s="308" t="n"/>
      <c r="H95" s="308" t="n"/>
      <c r="I95" s="308" t="n"/>
      <c r="J95" s="308" t="n"/>
      <c r="K95" s="308" t="n"/>
      <c r="L95" s="308" t="n"/>
      <c r="M95" s="308" t="n"/>
      <c r="N95" s="308" t="n"/>
      <c r="O95" s="308">
        <f>IF(COUNTA(E95:N95)=0,"",ROUND((E95*INDEX('Settings'!$I$24:$O$24,1,MATCH(IF(D95="",'Settings'!$C$3,D95),'Settings'!$I$23:$O$23,0))+F95*INDEX('Settings'!$I$25:$O$25,1,MATCH(IF(D95="",'Settings'!$C$3,D95),'Settings'!$I$23:$O$23,0))+G95*INDEX('Settings'!$I$26:$O$26,1,MATCH(IF(D95="",'Settings'!$C$3,D95),'Settings'!$I$23:$O$23,0))+H95*INDEX('Settings'!$I$27:$O$27,1,MATCH(IF(D95="",'Settings'!$C$3,D95),'Settings'!$I$23:$O$23,0))+I95*INDEX('Settings'!$I$28:$O$28,1,MATCH(IF(D95="",'Settings'!$C$3,D95),'Settings'!$I$23:$O$23,0))+J95*INDEX('Settings'!$I$29:$O$29,1,MATCH(IF(D95="",'Settings'!$C$3,D95),'Settings'!$I$23:$O$23,0))+K95*INDEX('Settings'!$I$30:$O$30,1,MATCH(IF(D95="",'Settings'!$C$3,D95),'Settings'!$I$23:$O$23,0))+L95*INDEX('Settings'!$I$31:$O$31,1,MATCH(IF(D95="",'Settings'!$C$3,D95),'Settings'!$I$23:$O$23,0))+M95*INDEX('Settings'!$I$32:$O$32,1,MATCH(IF(D95="",'Settings'!$C$3,D95),'Settings'!$I$23:$O$23,0))+N95*INDEX('Settings'!$I$33:$O$33,1,MATCH(IF(D95="",'Settings'!$C$3,D95),'Settings'!$I$23:$O$23,0)))/100,1))</f>
        <v/>
      </c>
      <c r="P95" s="71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 ht="22" customHeight="1" s="280">
      <c r="A96" s="69" t="n"/>
      <c r="B96" s="70">
        <f>IF(A96="","",IFERROR(VLOOKUP(A96,'Supplier Register'!$A$6:$L$105,2,FALSE),"Not registered"))</f>
        <v/>
      </c>
      <c r="C96" s="304" t="n"/>
      <c r="D96" s="70" t="n"/>
      <c r="E96" s="308" t="n"/>
      <c r="F96" s="308" t="n"/>
      <c r="G96" s="308" t="n"/>
      <c r="H96" s="308" t="n"/>
      <c r="I96" s="308" t="n"/>
      <c r="J96" s="308" t="n"/>
      <c r="K96" s="308" t="n"/>
      <c r="L96" s="308" t="n"/>
      <c r="M96" s="308" t="n"/>
      <c r="N96" s="308" t="n"/>
      <c r="O96" s="308">
        <f>IF(COUNTA(E96:N96)=0,"",ROUND((E96*INDEX('Settings'!$I$24:$O$24,1,MATCH(IF(D96="",'Settings'!$C$3,D96),'Settings'!$I$23:$O$23,0))+F96*INDEX('Settings'!$I$25:$O$25,1,MATCH(IF(D96="",'Settings'!$C$3,D96),'Settings'!$I$23:$O$23,0))+G96*INDEX('Settings'!$I$26:$O$26,1,MATCH(IF(D96="",'Settings'!$C$3,D96),'Settings'!$I$23:$O$23,0))+H96*INDEX('Settings'!$I$27:$O$27,1,MATCH(IF(D96="",'Settings'!$C$3,D96),'Settings'!$I$23:$O$23,0))+I96*INDEX('Settings'!$I$28:$O$28,1,MATCH(IF(D96="",'Settings'!$C$3,D96),'Settings'!$I$23:$O$23,0))+J96*INDEX('Settings'!$I$29:$O$29,1,MATCH(IF(D96="",'Settings'!$C$3,D96),'Settings'!$I$23:$O$23,0))+K96*INDEX('Settings'!$I$30:$O$30,1,MATCH(IF(D96="",'Settings'!$C$3,D96),'Settings'!$I$23:$O$23,0))+L96*INDEX('Settings'!$I$31:$O$31,1,MATCH(IF(D96="",'Settings'!$C$3,D96),'Settings'!$I$23:$O$23,0))+M96*INDEX('Settings'!$I$32:$O$32,1,MATCH(IF(D96="",'Settings'!$C$3,D96),'Settings'!$I$23:$O$23,0))+N96*INDEX('Settings'!$I$33:$O$33,1,MATCH(IF(D96="",'Settings'!$C$3,D96),'Settings'!$I$23:$O$23,0)))/100,1))</f>
        <v/>
      </c>
      <c r="P96" s="71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 ht="22" customHeight="1" s="280">
      <c r="A97" s="69" t="n"/>
      <c r="B97" s="70">
        <f>IF(A97="","",IFERROR(VLOOKUP(A97,'Supplier Register'!$A$6:$L$105,2,FALSE),"Not registered"))</f>
        <v/>
      </c>
      <c r="C97" s="304" t="n"/>
      <c r="D97" s="70" t="n"/>
      <c r="E97" s="308" t="n"/>
      <c r="F97" s="308" t="n"/>
      <c r="G97" s="308" t="n"/>
      <c r="H97" s="308" t="n"/>
      <c r="I97" s="308" t="n"/>
      <c r="J97" s="308" t="n"/>
      <c r="K97" s="308" t="n"/>
      <c r="L97" s="308" t="n"/>
      <c r="M97" s="308" t="n"/>
      <c r="N97" s="308" t="n"/>
      <c r="O97" s="308">
        <f>IF(COUNTA(E97:N97)=0,"",ROUND((E97*INDEX('Settings'!$I$24:$O$24,1,MATCH(IF(D97="",'Settings'!$C$3,D97),'Settings'!$I$23:$O$23,0))+F97*INDEX('Settings'!$I$25:$O$25,1,MATCH(IF(D97="",'Settings'!$C$3,D97),'Settings'!$I$23:$O$23,0))+G97*INDEX('Settings'!$I$26:$O$26,1,MATCH(IF(D97="",'Settings'!$C$3,D97),'Settings'!$I$23:$O$23,0))+H97*INDEX('Settings'!$I$27:$O$27,1,MATCH(IF(D97="",'Settings'!$C$3,D97),'Settings'!$I$23:$O$23,0))+I97*INDEX('Settings'!$I$28:$O$28,1,MATCH(IF(D97="",'Settings'!$C$3,D97),'Settings'!$I$23:$O$23,0))+J97*INDEX('Settings'!$I$29:$O$29,1,MATCH(IF(D97="",'Settings'!$C$3,D97),'Settings'!$I$23:$O$23,0))+K97*INDEX('Settings'!$I$30:$O$30,1,MATCH(IF(D97="",'Settings'!$C$3,D97),'Settings'!$I$23:$O$23,0))+L97*INDEX('Settings'!$I$31:$O$31,1,MATCH(IF(D97="",'Settings'!$C$3,D97),'Settings'!$I$23:$O$23,0))+M97*INDEX('Settings'!$I$32:$O$32,1,MATCH(IF(D97="",'Settings'!$C$3,D97),'Settings'!$I$23:$O$23,0))+N97*INDEX('Settings'!$I$33:$O$33,1,MATCH(IF(D97="",'Settings'!$C$3,D97),'Settings'!$I$23:$O$23,0)))/100,1))</f>
        <v/>
      </c>
      <c r="P97" s="71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 ht="22" customHeight="1" s="280">
      <c r="A98" s="69" t="n"/>
      <c r="B98" s="70">
        <f>IF(A98="","",IFERROR(VLOOKUP(A98,'Supplier Register'!$A$6:$L$105,2,FALSE),"Not registered"))</f>
        <v/>
      </c>
      <c r="C98" s="304" t="n"/>
      <c r="D98" s="70" t="n"/>
      <c r="E98" s="308" t="n"/>
      <c r="F98" s="308" t="n"/>
      <c r="G98" s="308" t="n"/>
      <c r="H98" s="308" t="n"/>
      <c r="I98" s="308" t="n"/>
      <c r="J98" s="308" t="n"/>
      <c r="K98" s="308" t="n"/>
      <c r="L98" s="308" t="n"/>
      <c r="M98" s="308" t="n"/>
      <c r="N98" s="308" t="n"/>
      <c r="O98" s="308">
        <f>IF(COUNTA(E98:N98)=0,"",ROUND((E98*INDEX('Settings'!$I$24:$O$24,1,MATCH(IF(D98="",'Settings'!$C$3,D98),'Settings'!$I$23:$O$23,0))+F98*INDEX('Settings'!$I$25:$O$25,1,MATCH(IF(D98="",'Settings'!$C$3,D98),'Settings'!$I$23:$O$23,0))+G98*INDEX('Settings'!$I$26:$O$26,1,MATCH(IF(D98="",'Settings'!$C$3,D98),'Settings'!$I$23:$O$23,0))+H98*INDEX('Settings'!$I$27:$O$27,1,MATCH(IF(D98="",'Settings'!$C$3,D98),'Settings'!$I$23:$O$23,0))+I98*INDEX('Settings'!$I$28:$O$28,1,MATCH(IF(D98="",'Settings'!$C$3,D98),'Settings'!$I$23:$O$23,0))+J98*INDEX('Settings'!$I$29:$O$29,1,MATCH(IF(D98="",'Settings'!$C$3,D98),'Settings'!$I$23:$O$23,0))+K98*INDEX('Settings'!$I$30:$O$30,1,MATCH(IF(D98="",'Settings'!$C$3,D98),'Settings'!$I$23:$O$23,0))+L98*INDEX('Settings'!$I$31:$O$31,1,MATCH(IF(D98="",'Settings'!$C$3,D98),'Settings'!$I$23:$O$23,0))+M98*INDEX('Settings'!$I$32:$O$32,1,MATCH(IF(D98="",'Settings'!$C$3,D98),'Settings'!$I$23:$O$23,0))+N98*INDEX('Settings'!$I$33:$O$33,1,MATCH(IF(D98="",'Settings'!$C$3,D98),'Settings'!$I$23:$O$23,0)))/100,1))</f>
        <v/>
      </c>
      <c r="P98" s="71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 ht="22" customHeight="1" s="280">
      <c r="A99" s="69" t="n"/>
      <c r="B99" s="70">
        <f>IF(A99="","",IFERROR(VLOOKUP(A99,'Supplier Register'!$A$6:$L$105,2,FALSE),"Not registered"))</f>
        <v/>
      </c>
      <c r="C99" s="304" t="n"/>
      <c r="D99" s="70" t="n"/>
      <c r="E99" s="308" t="n"/>
      <c r="F99" s="308" t="n"/>
      <c r="G99" s="308" t="n"/>
      <c r="H99" s="308" t="n"/>
      <c r="I99" s="308" t="n"/>
      <c r="J99" s="308" t="n"/>
      <c r="K99" s="308" t="n"/>
      <c r="L99" s="308" t="n"/>
      <c r="M99" s="308" t="n"/>
      <c r="N99" s="308" t="n"/>
      <c r="O99" s="308">
        <f>IF(COUNTA(E99:N99)=0,"",ROUND((E99*INDEX('Settings'!$I$24:$O$24,1,MATCH(IF(D99="",'Settings'!$C$3,D99),'Settings'!$I$23:$O$23,0))+F99*INDEX('Settings'!$I$25:$O$25,1,MATCH(IF(D99="",'Settings'!$C$3,D99),'Settings'!$I$23:$O$23,0))+G99*INDEX('Settings'!$I$26:$O$26,1,MATCH(IF(D99="",'Settings'!$C$3,D99),'Settings'!$I$23:$O$23,0))+H99*INDEX('Settings'!$I$27:$O$27,1,MATCH(IF(D99="",'Settings'!$C$3,D99),'Settings'!$I$23:$O$23,0))+I99*INDEX('Settings'!$I$28:$O$28,1,MATCH(IF(D99="",'Settings'!$C$3,D99),'Settings'!$I$23:$O$23,0))+J99*INDEX('Settings'!$I$29:$O$29,1,MATCH(IF(D99="",'Settings'!$C$3,D99),'Settings'!$I$23:$O$23,0))+K99*INDEX('Settings'!$I$30:$O$30,1,MATCH(IF(D99="",'Settings'!$C$3,D99),'Settings'!$I$23:$O$23,0))+L99*INDEX('Settings'!$I$31:$O$31,1,MATCH(IF(D99="",'Settings'!$C$3,D99),'Settings'!$I$23:$O$23,0))+M99*INDEX('Settings'!$I$32:$O$32,1,MATCH(IF(D99="",'Settings'!$C$3,D99),'Settings'!$I$23:$O$23,0))+N99*INDEX('Settings'!$I$33:$O$33,1,MATCH(IF(D99="",'Settings'!$C$3,D99),'Settings'!$I$23:$O$23,0)))/100,1))</f>
        <v/>
      </c>
      <c r="P99" s="71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 ht="22" customHeight="1" s="280">
      <c r="A100" s="69" t="n"/>
      <c r="B100" s="70">
        <f>IF(A100="","",IFERROR(VLOOKUP(A100,'Supplier Register'!$A$6:$L$105,2,FALSE),"Not registered"))</f>
        <v/>
      </c>
      <c r="C100" s="304" t="n"/>
      <c r="D100" s="70" t="n"/>
      <c r="E100" s="308" t="n"/>
      <c r="F100" s="308" t="n"/>
      <c r="G100" s="308" t="n"/>
      <c r="H100" s="308" t="n"/>
      <c r="I100" s="308" t="n"/>
      <c r="J100" s="308" t="n"/>
      <c r="K100" s="308" t="n"/>
      <c r="L100" s="308" t="n"/>
      <c r="M100" s="308" t="n"/>
      <c r="N100" s="308" t="n"/>
      <c r="O100" s="308">
        <f>IF(COUNTA(E100:N100)=0,"",ROUND((E100*INDEX('Settings'!$I$24:$O$24,1,MATCH(IF(D100="",'Settings'!$C$3,D100),'Settings'!$I$23:$O$23,0))+F100*INDEX('Settings'!$I$25:$O$25,1,MATCH(IF(D100="",'Settings'!$C$3,D100),'Settings'!$I$23:$O$23,0))+G100*INDEX('Settings'!$I$26:$O$26,1,MATCH(IF(D100="",'Settings'!$C$3,D100),'Settings'!$I$23:$O$23,0))+H100*INDEX('Settings'!$I$27:$O$27,1,MATCH(IF(D100="",'Settings'!$C$3,D100),'Settings'!$I$23:$O$23,0))+I100*INDEX('Settings'!$I$28:$O$28,1,MATCH(IF(D100="",'Settings'!$C$3,D100),'Settings'!$I$23:$O$23,0))+J100*INDEX('Settings'!$I$29:$O$29,1,MATCH(IF(D100="",'Settings'!$C$3,D100),'Settings'!$I$23:$O$23,0))+K100*INDEX('Settings'!$I$30:$O$30,1,MATCH(IF(D100="",'Settings'!$C$3,D100),'Settings'!$I$23:$O$23,0))+L100*INDEX('Settings'!$I$31:$O$31,1,MATCH(IF(D100="",'Settings'!$C$3,D100),'Settings'!$I$23:$O$23,0))+M100*INDEX('Settings'!$I$32:$O$32,1,MATCH(IF(D100="",'Settings'!$C$3,D100),'Settings'!$I$23:$O$23,0))+N100*INDEX('Settings'!$I$33:$O$33,1,MATCH(IF(D100="",'Settings'!$C$3,D100),'Settings'!$I$23:$O$23,0)))/100,1))</f>
        <v/>
      </c>
      <c r="P100" s="71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 ht="22" customHeight="1" s="280">
      <c r="A101" s="69" t="n"/>
      <c r="B101" s="70">
        <f>IF(A101="","",IFERROR(VLOOKUP(A101,'Supplier Register'!$A$6:$L$105,2,FALSE),"Not registered"))</f>
        <v/>
      </c>
      <c r="C101" s="304" t="n"/>
      <c r="D101" s="70" t="n"/>
      <c r="E101" s="308" t="n"/>
      <c r="F101" s="308" t="n"/>
      <c r="G101" s="308" t="n"/>
      <c r="H101" s="308" t="n"/>
      <c r="I101" s="308" t="n"/>
      <c r="J101" s="308" t="n"/>
      <c r="K101" s="308" t="n"/>
      <c r="L101" s="308" t="n"/>
      <c r="M101" s="308" t="n"/>
      <c r="N101" s="308" t="n"/>
      <c r="O101" s="308">
        <f>IF(COUNTA(E101:N101)=0,"",ROUND((E101*INDEX('Settings'!$I$24:$O$24,1,MATCH(IF(D101="",'Settings'!$C$3,D101),'Settings'!$I$23:$O$23,0))+F101*INDEX('Settings'!$I$25:$O$25,1,MATCH(IF(D101="",'Settings'!$C$3,D101),'Settings'!$I$23:$O$23,0))+G101*INDEX('Settings'!$I$26:$O$26,1,MATCH(IF(D101="",'Settings'!$C$3,D101),'Settings'!$I$23:$O$23,0))+H101*INDEX('Settings'!$I$27:$O$27,1,MATCH(IF(D101="",'Settings'!$C$3,D101),'Settings'!$I$23:$O$23,0))+I101*INDEX('Settings'!$I$28:$O$28,1,MATCH(IF(D101="",'Settings'!$C$3,D101),'Settings'!$I$23:$O$23,0))+J101*INDEX('Settings'!$I$29:$O$29,1,MATCH(IF(D101="",'Settings'!$C$3,D101),'Settings'!$I$23:$O$23,0))+K101*INDEX('Settings'!$I$30:$O$30,1,MATCH(IF(D101="",'Settings'!$C$3,D101),'Settings'!$I$23:$O$23,0))+L101*INDEX('Settings'!$I$31:$O$31,1,MATCH(IF(D101="",'Settings'!$C$3,D101),'Settings'!$I$23:$O$23,0))+M101*INDEX('Settings'!$I$32:$O$32,1,MATCH(IF(D101="",'Settings'!$C$3,D101),'Settings'!$I$23:$O$23,0))+N101*INDEX('Settings'!$I$33:$O$33,1,MATCH(IF(D101="",'Settings'!$C$3,D101),'Settings'!$I$23:$O$23,0)))/100,1))</f>
        <v/>
      </c>
      <c r="P101" s="71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 ht="22" customHeight="1" s="280">
      <c r="A102" s="69" t="n"/>
      <c r="B102" s="70">
        <f>IF(A102="","",IFERROR(VLOOKUP(A102,'Supplier Register'!$A$6:$L$105,2,FALSE),"Not registered"))</f>
        <v/>
      </c>
      <c r="C102" s="304" t="n"/>
      <c r="D102" s="70" t="n"/>
      <c r="E102" s="308" t="n"/>
      <c r="F102" s="308" t="n"/>
      <c r="G102" s="308" t="n"/>
      <c r="H102" s="308" t="n"/>
      <c r="I102" s="308" t="n"/>
      <c r="J102" s="308" t="n"/>
      <c r="K102" s="308" t="n"/>
      <c r="L102" s="308" t="n"/>
      <c r="M102" s="308" t="n"/>
      <c r="N102" s="308" t="n"/>
      <c r="O102" s="308">
        <f>IF(COUNTA(E102:N102)=0,"",ROUND((E102*INDEX('Settings'!$I$24:$O$24,1,MATCH(IF(D102="",'Settings'!$C$3,D102),'Settings'!$I$23:$O$23,0))+F102*INDEX('Settings'!$I$25:$O$25,1,MATCH(IF(D102="",'Settings'!$C$3,D102),'Settings'!$I$23:$O$23,0))+G102*INDEX('Settings'!$I$26:$O$26,1,MATCH(IF(D102="",'Settings'!$C$3,D102),'Settings'!$I$23:$O$23,0))+H102*INDEX('Settings'!$I$27:$O$27,1,MATCH(IF(D102="",'Settings'!$C$3,D102),'Settings'!$I$23:$O$23,0))+I102*INDEX('Settings'!$I$28:$O$28,1,MATCH(IF(D102="",'Settings'!$C$3,D102),'Settings'!$I$23:$O$23,0))+J102*INDEX('Settings'!$I$29:$O$29,1,MATCH(IF(D102="",'Settings'!$C$3,D102),'Settings'!$I$23:$O$23,0))+K102*INDEX('Settings'!$I$30:$O$30,1,MATCH(IF(D102="",'Settings'!$C$3,D102),'Settings'!$I$23:$O$23,0))+L102*INDEX('Settings'!$I$31:$O$31,1,MATCH(IF(D102="",'Settings'!$C$3,D102),'Settings'!$I$23:$O$23,0))+M102*INDEX('Settings'!$I$32:$O$32,1,MATCH(IF(D102="",'Settings'!$C$3,D102),'Settings'!$I$23:$O$23,0))+N102*INDEX('Settings'!$I$33:$O$33,1,MATCH(IF(D102="",'Settings'!$C$3,D102),'Settings'!$I$23:$O$23,0)))/100,1))</f>
        <v/>
      </c>
      <c r="P102" s="71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 ht="22" customHeight="1" s="280">
      <c r="A103" s="69" t="n"/>
      <c r="B103" s="70">
        <f>IF(A103="","",IFERROR(VLOOKUP(A103,'Supplier Register'!$A$6:$L$105,2,FALSE),"Not registered"))</f>
        <v/>
      </c>
      <c r="C103" s="304" t="n"/>
      <c r="D103" s="70" t="n"/>
      <c r="E103" s="308" t="n"/>
      <c r="F103" s="308" t="n"/>
      <c r="G103" s="308" t="n"/>
      <c r="H103" s="308" t="n"/>
      <c r="I103" s="308" t="n"/>
      <c r="J103" s="308" t="n"/>
      <c r="K103" s="308" t="n"/>
      <c r="L103" s="308" t="n"/>
      <c r="M103" s="308" t="n"/>
      <c r="N103" s="308" t="n"/>
      <c r="O103" s="308">
        <f>IF(COUNTA(E103:N103)=0,"",ROUND((E103*INDEX('Settings'!$I$24:$O$24,1,MATCH(IF(D103="",'Settings'!$C$3,D103),'Settings'!$I$23:$O$23,0))+F103*INDEX('Settings'!$I$25:$O$25,1,MATCH(IF(D103="",'Settings'!$C$3,D103),'Settings'!$I$23:$O$23,0))+G103*INDEX('Settings'!$I$26:$O$26,1,MATCH(IF(D103="",'Settings'!$C$3,D103),'Settings'!$I$23:$O$23,0))+H103*INDEX('Settings'!$I$27:$O$27,1,MATCH(IF(D103="",'Settings'!$C$3,D103),'Settings'!$I$23:$O$23,0))+I103*INDEX('Settings'!$I$28:$O$28,1,MATCH(IF(D103="",'Settings'!$C$3,D103),'Settings'!$I$23:$O$23,0))+J103*INDEX('Settings'!$I$29:$O$29,1,MATCH(IF(D103="",'Settings'!$C$3,D103),'Settings'!$I$23:$O$23,0))+K103*INDEX('Settings'!$I$30:$O$30,1,MATCH(IF(D103="",'Settings'!$C$3,D103),'Settings'!$I$23:$O$23,0))+L103*INDEX('Settings'!$I$31:$O$31,1,MATCH(IF(D103="",'Settings'!$C$3,D103),'Settings'!$I$23:$O$23,0))+M103*INDEX('Settings'!$I$32:$O$32,1,MATCH(IF(D103="",'Settings'!$C$3,D103),'Settings'!$I$23:$O$23,0))+N103*INDEX('Settings'!$I$33:$O$33,1,MATCH(IF(D103="",'Settings'!$C$3,D103),'Settings'!$I$23:$O$23,0)))/100,1))</f>
        <v/>
      </c>
      <c r="P103" s="71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 ht="22" customHeight="1" s="280">
      <c r="A104" s="69" t="n"/>
      <c r="B104" s="70">
        <f>IF(A104="","",IFERROR(VLOOKUP(A104,'Supplier Register'!$A$6:$L$105,2,FALSE),"Not registered"))</f>
        <v/>
      </c>
      <c r="C104" s="304" t="n"/>
      <c r="D104" s="70" t="n"/>
      <c r="E104" s="308" t="n"/>
      <c r="F104" s="308" t="n"/>
      <c r="G104" s="308" t="n"/>
      <c r="H104" s="308" t="n"/>
      <c r="I104" s="308" t="n"/>
      <c r="J104" s="308" t="n"/>
      <c r="K104" s="308" t="n"/>
      <c r="L104" s="308" t="n"/>
      <c r="M104" s="308" t="n"/>
      <c r="N104" s="308" t="n"/>
      <c r="O104" s="308">
        <f>IF(COUNTA(E104:N104)=0,"",ROUND((E104*INDEX('Settings'!$I$24:$O$24,1,MATCH(IF(D104="",'Settings'!$C$3,D104),'Settings'!$I$23:$O$23,0))+F104*INDEX('Settings'!$I$25:$O$25,1,MATCH(IF(D104="",'Settings'!$C$3,D104),'Settings'!$I$23:$O$23,0))+G104*INDEX('Settings'!$I$26:$O$26,1,MATCH(IF(D104="",'Settings'!$C$3,D104),'Settings'!$I$23:$O$23,0))+H104*INDEX('Settings'!$I$27:$O$27,1,MATCH(IF(D104="",'Settings'!$C$3,D104),'Settings'!$I$23:$O$23,0))+I104*INDEX('Settings'!$I$28:$O$28,1,MATCH(IF(D104="",'Settings'!$C$3,D104),'Settings'!$I$23:$O$23,0))+J104*INDEX('Settings'!$I$29:$O$29,1,MATCH(IF(D104="",'Settings'!$C$3,D104),'Settings'!$I$23:$O$23,0))+K104*INDEX('Settings'!$I$30:$O$30,1,MATCH(IF(D104="",'Settings'!$C$3,D104),'Settings'!$I$23:$O$23,0))+L104*INDEX('Settings'!$I$31:$O$31,1,MATCH(IF(D104="",'Settings'!$C$3,D104),'Settings'!$I$23:$O$23,0))+M104*INDEX('Settings'!$I$32:$O$32,1,MATCH(IF(D104="",'Settings'!$C$3,D104),'Settings'!$I$23:$O$23,0))+N104*INDEX('Settings'!$I$33:$O$33,1,MATCH(IF(D104="",'Settings'!$C$3,D104),'Settings'!$I$23:$O$23,0)))/100,1))</f>
        <v/>
      </c>
      <c r="P104" s="71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 ht="22" customHeight="1" s="280">
      <c r="A105" s="72" t="n"/>
      <c r="B105" s="73">
        <f>IF(A105="","",IFERROR(VLOOKUP(A105,'Supplier Register'!$A$6:$L$105,2,FALSE),"Not registered"))</f>
        <v/>
      </c>
      <c r="C105" s="306" t="n"/>
      <c r="D105" s="73" t="n"/>
      <c r="E105" s="309" t="n"/>
      <c r="F105" s="309" t="n"/>
      <c r="G105" s="309" t="n"/>
      <c r="H105" s="309" t="n"/>
      <c r="I105" s="309" t="n"/>
      <c r="J105" s="309" t="n"/>
      <c r="K105" s="309" t="n"/>
      <c r="L105" s="309" t="n"/>
      <c r="M105" s="309" t="n"/>
      <c r="N105" s="309" t="n"/>
      <c r="O105" s="309">
        <f>IF(COUNTA(E105:N105)=0,"",ROUND((E105*INDEX('Settings'!$I$24:$O$24,1,MATCH(IF(D105="",'Settings'!$C$3,D105),'Settings'!$I$23:$O$23,0))+F105*INDEX('Settings'!$I$25:$O$25,1,MATCH(IF(D105="",'Settings'!$C$3,D105),'Settings'!$I$23:$O$23,0))+G105*INDEX('Settings'!$I$26:$O$26,1,MATCH(IF(D105="",'Settings'!$C$3,D105),'Settings'!$I$23:$O$23,0))+H105*INDEX('Settings'!$I$27:$O$27,1,MATCH(IF(D105="",'Settings'!$C$3,D105),'Settings'!$I$23:$O$23,0))+I105*INDEX('Settings'!$I$28:$O$28,1,MATCH(IF(D105="",'Settings'!$C$3,D105),'Settings'!$I$23:$O$23,0))+J105*INDEX('Settings'!$I$29:$O$29,1,MATCH(IF(D105="",'Settings'!$C$3,D105),'Settings'!$I$23:$O$23,0))+K105*INDEX('Settings'!$I$30:$O$30,1,MATCH(IF(D105="",'Settings'!$C$3,D105),'Settings'!$I$23:$O$23,0))+L105*INDEX('Settings'!$I$31:$O$31,1,MATCH(IF(D105="",'Settings'!$C$3,D105),'Settings'!$I$23:$O$23,0))+M105*INDEX('Settings'!$I$32:$O$32,1,MATCH(IF(D105="",'Settings'!$C$3,D105),'Settings'!$I$23:$O$23,0))+N105*INDEX('Settings'!$I$33:$O$33,1,MATCH(IF(D105="",'Settings'!$C$3,D105),'Settings'!$I$23:$O$23,0)))/100,1))</f>
        <v/>
      </c>
      <c r="P105" s="74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2">
    <mergeCell ref="A1:P1"/>
    <mergeCell ref="A2:P2"/>
  </mergeCells>
  <conditionalFormatting sqref="E6:N105">
    <cfRule type="expression" priority="3" dxfId="5">
      <formula>AND(E6&lt;&gt;"",E6&lt;60)</formula>
    </cfRule>
    <cfRule type="expression" priority="4" dxfId="6">
      <formula>AND(E6&gt;=60,E6&lt;75)</formula>
    </cfRule>
    <cfRule type="expression" priority="5" dxfId="7">
      <formula>AND(E6&gt;=75,E6&lt;85)</formula>
    </cfRule>
    <cfRule type="expression" priority="6" dxfId="8">
      <formula>AND(E6&gt;=85)</formula>
    </cfRule>
  </conditionalFormatting>
  <conditionalFormatting sqref="O6:O105">
    <cfRule type="expression" priority="7" dxfId="5">
      <formula>AND(O6&lt;&gt;"",O6&lt;60)</formula>
    </cfRule>
    <cfRule type="expression" priority="8" dxfId="6">
      <formula>AND(O6&gt;=60,O6&lt;75)</formula>
    </cfRule>
    <cfRule type="expression" priority="9" dxfId="7">
      <formula>AND(O6&gt;=75,O6&lt;85)</formula>
    </cfRule>
    <cfRule type="expression" priority="10" dxfId="8">
      <formula>AND(O6&gt;=85)</formula>
    </cfRule>
  </conditionalFormatting>
  <dataValidations count="3">
    <dataValidation sqref="A6:A105" showDropDown="0" showInputMessage="0" showErrorMessage="0" allowBlank="1" type="list">
      <formula1>'Supplier Register'!$A$6:$A$105</formula1>
    </dataValidation>
    <dataValidation sqref="D6:D105" showDropDown="0" showInputMessage="0" showErrorMessage="0" allowBlank="1" type="list">
      <formula1>"General,Production / Raw Materials,Logistics,IT/SaaS,Engineering / Service Outsourcing,Indirect Procurement,Custom"</formula1>
    </dataValidation>
    <dataValidation sqref="E6:N105" showDropDown="0" showInputMessage="0" showErrorMessage="1" allowBlank="1" errorTitle="Score Range" error="Enter an integer from 0 to 100." type="whole" errorStyle="warning" operator="between">
      <formula1>0</formula1>
      <formula2>100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3" customWidth="1" style="280" min="1" max="1"/>
    <col width="26" customWidth="1" style="280" min="2" max="2"/>
    <col width="13" customWidth="1" style="280" min="3" max="3"/>
    <col width="18" customWidth="1" style="280" min="4" max="4"/>
    <col width="42" customWidth="1" style="280" min="5" max="5"/>
    <col width="12" customWidth="1" style="280" min="6" max="6"/>
    <col width="10" customWidth="1" style="280" min="7" max="7"/>
    <col width="13" customWidth="1" style="280" min="8" max="8"/>
    <col width="12" customWidth="1" style="280" min="9" max="9"/>
    <col width="12" customWidth="1" style="280" min="10" max="10"/>
    <col width="12" customWidth="1" style="280" min="11" max="11"/>
    <col width="13" customWidth="1" style="280" min="12" max="12"/>
    <col width="44" customWidth="1" style="280" min="13" max="13"/>
  </cols>
  <sheetData>
    <row r="1">
      <c r="A1" s="257" t="inlineStr">
        <is>
          <t>Risk Event Register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253" t="n"/>
      <c r="O1" s="253" t="n"/>
      <c r="P1" s="253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Record supplier risk events; open events affect final risk score and tier.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253" t="n"/>
      <c r="O2" s="253" t="n"/>
      <c r="P2" s="253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>
      <c r="A4" s="253" t="n"/>
      <c r="B4" s="253" t="n"/>
      <c r="C4" s="253" t="n"/>
      <c r="D4" s="253" t="n"/>
      <c r="E4" s="253" t="n"/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4" customHeight="1" s="280">
      <c r="A5" s="31" t="inlineStr">
        <is>
          <t>Supplier ID</t>
        </is>
      </c>
      <c r="B5" s="32" t="inlineStr">
        <is>
          <t>Supplier Name</t>
        </is>
      </c>
      <c r="C5" s="32" t="inlineStr">
        <is>
          <t>Event Date</t>
        </is>
      </c>
      <c r="D5" s="32" t="inlineStr">
        <is>
          <t>Risk Category</t>
        </is>
      </c>
      <c r="E5" s="32" t="inlineStr">
        <is>
          <t>Event Description</t>
        </is>
      </c>
      <c r="F5" s="32" t="inlineStr">
        <is>
          <t>Likelihood 1-5</t>
        </is>
      </c>
      <c r="G5" s="32" t="inlineStr">
        <is>
          <t>Impact 1-5</t>
        </is>
      </c>
      <c r="H5" s="32" t="inlineStr">
        <is>
          <t>Detectability 1-5</t>
        </is>
      </c>
      <c r="I5" s="32" t="inlineStr">
        <is>
          <t>Event Risk Score</t>
        </is>
      </c>
      <c r="J5" s="32" t="inlineStr">
        <is>
          <t>Status</t>
        </is>
      </c>
      <c r="K5" s="32" t="inlineStr">
        <is>
          <t>Owner</t>
        </is>
      </c>
      <c r="L5" s="32" t="inlineStr">
        <is>
          <t>Due Date</t>
        </is>
      </c>
      <c r="M5" s="33" t="inlineStr">
        <is>
          <t>Treatment / Mitigation</t>
        </is>
      </c>
      <c r="N5" s="253" t="n"/>
      <c r="O5" s="25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24" customHeight="1" s="280">
      <c r="A6" s="66" t="inlineStr">
        <is>
          <t>SUP-0002</t>
        </is>
      </c>
      <c r="B6" s="67">
        <f>IF(A6="","",IFERROR(VLOOKUP(A6,'Supplier Register'!$A$6:$L$105,2,FALSE),"Not registered"))</f>
        <v/>
      </c>
      <c r="C6" s="302" t="n">
        <v>46128</v>
      </c>
      <c r="D6" s="67" t="inlineStr">
        <is>
          <t>Delivery / Fulfillment</t>
        </is>
      </c>
      <c r="E6" s="67" t="inlineStr">
        <is>
          <t>Recent line-haul on-time rate has declined</t>
        </is>
      </c>
      <c r="F6" s="286" t="n">
        <v>4</v>
      </c>
      <c r="G6" s="286" t="n">
        <v>4</v>
      </c>
      <c r="H6" s="286" t="n">
        <v>3</v>
      </c>
      <c r="I6" s="286">
        <f>IF(COUNTA(F6:H6)=0,"",ROUND(F6*G6*H6/125*100,0))</f>
        <v/>
      </c>
      <c r="J6" s="67" t="inlineStr">
        <is>
          <t>In Progress</t>
        </is>
      </c>
      <c r="K6" s="67" t="inlineStr">
        <is>
          <t>Emily Carter</t>
        </is>
      </c>
      <c r="L6" s="302" t="n">
        <v>46157</v>
      </c>
      <c r="M6" s="68" t="inlineStr">
        <is>
          <t>Adjust alternative route and add carrier weekly report</t>
        </is>
      </c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24" customHeight="1" s="280">
      <c r="A7" s="69" t="inlineStr">
        <is>
          <t>SUP-0006</t>
        </is>
      </c>
      <c r="B7" s="70">
        <f>IF(A7="","",IFERROR(VLOOKUP(A7,'Supplier Register'!$A$6:$L$105,2,FALSE),"Not registered"))</f>
        <v/>
      </c>
      <c r="C7" s="304" t="n">
        <v>46121</v>
      </c>
      <c r="D7" s="70" t="inlineStr">
        <is>
          <t>Operations / Capacity</t>
        </is>
      </c>
      <c r="E7" s="70" t="inlineStr">
        <is>
          <t>Key project staff turnover</t>
        </is>
      </c>
      <c r="F7" s="287" t="n">
        <v>3</v>
      </c>
      <c r="G7" s="287" t="n">
        <v>4</v>
      </c>
      <c r="H7" s="287" t="n">
        <v>3</v>
      </c>
      <c r="I7" s="287">
        <f>IF(COUNTA(F7:H7)=0,"",ROUND(F7*G7*H7/125*100,0))</f>
        <v/>
      </c>
      <c r="J7" s="70" t="inlineStr">
        <is>
          <t>In Progress</t>
        </is>
      </c>
      <c r="K7" s="70" t="inlineStr">
        <is>
          <t>Robert Evans</t>
        </is>
      </c>
      <c r="L7" s="304" t="n">
        <v>46152</v>
      </c>
      <c r="M7" s="71" t="inlineStr">
        <is>
          <t>Add backup personnel list and delivery milestones</t>
        </is>
      </c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24" customHeight="1" s="280">
      <c r="A8" s="69" t="inlineStr">
        <is>
          <t>SUP-0007</t>
        </is>
      </c>
      <c r="B8" s="70">
        <f>IF(A8="","",IFERROR(VLOOKUP(A8,'Supplier Register'!$A$6:$L$105,2,FALSE),"Not registered"))</f>
        <v/>
      </c>
      <c r="C8" s="304" t="n">
        <v>46124</v>
      </c>
      <c r="D8" s="70" t="inlineStr">
        <is>
          <t>Financial Health</t>
        </is>
      </c>
      <c r="E8" s="70" t="inlineStr">
        <is>
          <t>Receivables cycle is extending</t>
        </is>
      </c>
      <c r="F8" s="287" t="n">
        <v>4</v>
      </c>
      <c r="G8" s="287" t="n">
        <v>4</v>
      </c>
      <c r="H8" s="287" t="n">
        <v>4</v>
      </c>
      <c r="I8" s="287">
        <f>IF(COUNTA(F8:H8)=0,"",ROUND(F8*G8*H8/125*100,0))</f>
        <v/>
      </c>
      <c r="J8" s="70" t="inlineStr">
        <is>
          <t>Monitoring</t>
        </is>
      </c>
      <c r="K8" s="70" t="inlineStr">
        <is>
          <t>Daniel Harris</t>
        </is>
      </c>
      <c r="L8" s="304" t="n">
        <v>46172</v>
      </c>
      <c r="M8" s="71" t="inlineStr">
        <is>
          <t>Request latest financial statements and credit line proof</t>
        </is>
      </c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24" customHeight="1" s="280">
      <c r="A9" s="69" t="inlineStr">
        <is>
          <t>SUP-0008</t>
        </is>
      </c>
      <c r="B9" s="70">
        <f>IF(A9="","",IFERROR(VLOOKUP(A9,'Supplier Register'!$A$6:$L$105,2,FALSE),"Not registered"))</f>
        <v/>
      </c>
      <c r="C9" s="304" t="n">
        <v>46126</v>
      </c>
      <c r="D9" s="70" t="inlineStr">
        <is>
          <t>Geopolitical / External</t>
        </is>
      </c>
      <c r="E9" s="70" t="inlineStr">
        <is>
          <t>Export customs clearance lead time is volatile</t>
        </is>
      </c>
      <c r="F9" s="287" t="n">
        <v>4</v>
      </c>
      <c r="G9" s="287" t="n">
        <v>5</v>
      </c>
      <c r="H9" s="287" t="n">
        <v>4</v>
      </c>
      <c r="I9" s="287">
        <f>IF(COUNTA(F9:H9)=0,"",ROUND(F9*G9*H9/125*100,0))</f>
        <v/>
      </c>
      <c r="J9" s="70" t="inlineStr">
        <is>
          <t>In Progress</t>
        </is>
      </c>
      <c r="K9" s="70" t="inlineStr">
        <is>
          <t>Kevin Moore</t>
        </is>
      </c>
      <c r="L9" s="304" t="n">
        <v>46162</v>
      </c>
      <c r="M9" s="71" t="inlineStr">
        <is>
          <t>Build safety stock and assess alternative sourcing regions</t>
        </is>
      </c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24" customHeight="1" s="280">
      <c r="A10" s="69" t="inlineStr">
        <is>
          <t>SUP-0003</t>
        </is>
      </c>
      <c r="B10" s="70">
        <f>IF(A10="","",IFERROR(VLOOKUP(A10,'Supplier Register'!$A$6:$L$105,2,FALSE),"Not registered"))</f>
        <v/>
      </c>
      <c r="C10" s="304" t="n">
        <v>46132</v>
      </c>
      <c r="D10" s="70" t="inlineStr">
        <is>
          <t>Cybersecurity / Data Protection</t>
        </is>
      </c>
      <c r="E10" s="70" t="inlineStr">
        <is>
          <t>Medium-severity vulnerability found during penetration testing</t>
        </is>
      </c>
      <c r="F10" s="287" t="n">
        <v>3</v>
      </c>
      <c r="G10" s="287" t="n">
        <v>4</v>
      </c>
      <c r="H10" s="287" t="n">
        <v>3</v>
      </c>
      <c r="I10" s="287">
        <f>IF(COUNTA(F10:H10)=0,"",ROUND(F10*G10*H10/125*100,0))</f>
        <v/>
      </c>
      <c r="J10" s="70" t="inlineStr">
        <is>
          <t>In Progress</t>
        </is>
      </c>
      <c r="K10" s="70" t="inlineStr">
        <is>
          <t>Michael Brooks</t>
        </is>
      </c>
      <c r="L10" s="304" t="n">
        <v>46147</v>
      </c>
      <c r="M10" s="71" t="inlineStr">
        <is>
          <t>Request vulnerability fix proof and retest report</t>
        </is>
      </c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24" customHeight="1" s="280">
      <c r="A11" s="69" t="inlineStr">
        <is>
          <t>SUP-0001</t>
        </is>
      </c>
      <c r="B11" s="70">
        <f>IF(A11="","",IFERROR(VLOOKUP(A11,'Supplier Register'!$A$6:$L$105,2,FALSE),"Not registered"))</f>
        <v/>
      </c>
      <c r="C11" s="304" t="n">
        <v>46125</v>
      </c>
      <c r="D11" s="70" t="inlineStr">
        <is>
          <t>ESG / Sustainability</t>
        </is>
      </c>
      <c r="E11" s="70" t="inlineStr">
        <is>
          <t>Tier-2 supplier environmental documentation is missing</t>
        </is>
      </c>
      <c r="F11" s="287" t="n">
        <v>2</v>
      </c>
      <c r="G11" s="287" t="n">
        <v>3</v>
      </c>
      <c r="H11" s="287" t="n">
        <v>3</v>
      </c>
      <c r="I11" s="287">
        <f>IF(COUNTA(F11:H11)=0,"",ROUND(F11*G11*H11/125*100,0))</f>
        <v/>
      </c>
      <c r="J11" s="70" t="inlineStr">
        <is>
          <t>Monitoring</t>
        </is>
      </c>
      <c r="K11" s="70" t="inlineStr">
        <is>
          <t>John Miller</t>
        </is>
      </c>
      <c r="L11" s="304" t="n">
        <v>46167</v>
      </c>
      <c r="M11" s="71" t="inlineStr">
        <is>
          <t>Complete tier-2 supplier proof documents</t>
        </is>
      </c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24" customHeight="1" s="280">
      <c r="A12" s="69" t="inlineStr">
        <is>
          <t>SUP-0004</t>
        </is>
      </c>
      <c r="B12" s="70">
        <f>IF(A12="","",IFERROR(VLOOKUP(A12,'Supplier Register'!$A$6:$L$105,2,FALSE),"Not registered"))</f>
        <v/>
      </c>
      <c r="C12" s="304" t="n">
        <v>46130</v>
      </c>
      <c r="D12" s="70" t="inlineStr">
        <is>
          <t>Compliance / Legal</t>
        </is>
      </c>
      <c r="E12" s="70" t="inlineStr">
        <is>
          <t>Sanctions screening is not updated often enough</t>
        </is>
      </c>
      <c r="F12" s="287" t="n">
        <v>2</v>
      </c>
      <c r="G12" s="287" t="n">
        <v>4</v>
      </c>
      <c r="H12" s="287" t="n">
        <v>3</v>
      </c>
      <c r="I12" s="287">
        <f>IF(COUNTA(F12:H12)=0,"",ROUND(F12*G12*H12/125*100,0))</f>
        <v/>
      </c>
      <c r="J12" s="70" t="inlineStr">
        <is>
          <t>Open</t>
        </is>
      </c>
      <c r="K12" s="70" t="inlineStr">
        <is>
          <t>Sarah Wilson</t>
        </is>
      </c>
      <c r="L12" s="304" t="n">
        <v>46160</v>
      </c>
      <c r="M12" s="71" t="inlineStr">
        <is>
          <t>Update screening to monthly cadence and retain records</t>
        </is>
      </c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24" customHeight="1" s="280">
      <c r="A13" s="69" t="inlineStr">
        <is>
          <t>SUP-0005</t>
        </is>
      </c>
      <c r="B13" s="70">
        <f>IF(A13="","",IFERROR(VLOOKUP(A13,'Supplier Register'!$A$6:$L$105,2,FALSE),"Not registered"))</f>
        <v/>
      </c>
      <c r="C13" s="304" t="n">
        <v>46122</v>
      </c>
      <c r="D13" s="70" t="inlineStr">
        <is>
          <t>Quality / Consistency</t>
        </is>
      </c>
      <c r="E13" s="70" t="inlineStr">
        <is>
          <t>Minor appearance deviation in a packaging batch</t>
        </is>
      </c>
      <c r="F13" s="287" t="n">
        <v>2</v>
      </c>
      <c r="G13" s="287" t="n">
        <v>2</v>
      </c>
      <c r="H13" s="287" t="n">
        <v>2</v>
      </c>
      <c r="I13" s="287">
        <f>IF(COUNTA(F13:H13)=0,"",ROUND(F13*G13*H13/125*100,0))</f>
        <v/>
      </c>
      <c r="J13" s="70" t="inlineStr">
        <is>
          <t>Closed</t>
        </is>
      </c>
      <c r="K13" s="70" t="inlineStr">
        <is>
          <t>Laura Davis</t>
        </is>
      </c>
      <c r="L13" s="304" t="n">
        <v>46137</v>
      </c>
      <c r="M13" s="71" t="inlineStr">
        <is>
          <t>Corrective action completed and recheck passed</t>
        </is>
      </c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24" customHeight="1" s="280">
      <c r="A14" s="69" t="inlineStr">
        <is>
          <t>SUP-0010</t>
        </is>
      </c>
      <c r="B14" s="70">
        <f>IF(A14="","",IFERROR(VLOOKUP(A14,'Supplier Register'!$A$6:$L$105,2,FALSE),"Not registered"))</f>
        <v/>
      </c>
      <c r="C14" s="304" t="n">
        <v>46134</v>
      </c>
      <c r="D14" s="70" t="inlineStr">
        <is>
          <t>Service / Collaboration</t>
        </is>
      </c>
      <c r="E14" s="70" t="inlineStr">
        <is>
          <t>Field response lead time is unstable</t>
        </is>
      </c>
      <c r="F14" s="287" t="n">
        <v>3</v>
      </c>
      <c r="G14" s="287" t="n">
        <v>3</v>
      </c>
      <c r="H14" s="287" t="n">
        <v>3</v>
      </c>
      <c r="I14" s="287">
        <f>IF(COUNTA(F14:H14)=0,"",ROUND(F14*G14*H14/125*100,0))</f>
        <v/>
      </c>
      <c r="J14" s="70" t="inlineStr">
        <is>
          <t>In Progress</t>
        </is>
      </c>
      <c r="K14" s="70" t="inlineStr">
        <is>
          <t>Rachel Adams</t>
        </is>
      </c>
      <c r="L14" s="304" t="n">
        <v>46160</v>
      </c>
      <c r="M14" s="71" t="inlineStr">
        <is>
          <t>Set an SLA and review response lead time weekly</t>
        </is>
      </c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24" customHeight="1" s="280">
      <c r="A15" s="69" t="inlineStr">
        <is>
          <t>SUP-0008</t>
        </is>
      </c>
      <c r="B15" s="70">
        <f>IF(A15="","",IFERROR(VLOOKUP(A15,'Supplier Register'!$A$6:$L$105,2,FALSE),"Not registered"))</f>
        <v/>
      </c>
      <c r="C15" s="304" t="n">
        <v>46109</v>
      </c>
      <c r="D15" s="70" t="inlineStr">
        <is>
          <t>Delivery / Fulfillment</t>
        </is>
      </c>
      <c r="E15" s="70" t="inlineStr">
        <is>
          <t>Two arrival delays in the past month</t>
        </is>
      </c>
      <c r="F15" s="287" t="n">
        <v>3</v>
      </c>
      <c r="G15" s="287" t="n">
        <v>4</v>
      </c>
      <c r="H15" s="287" t="n">
        <v>4</v>
      </c>
      <c r="I15" s="287">
        <f>IF(COUNTA(F15:H15)=0,"",ROUND(F15*G15*H15/125*100,0))</f>
        <v/>
      </c>
      <c r="J15" s="70" t="inlineStr">
        <is>
          <t>In Progress</t>
        </is>
      </c>
      <c r="K15" s="70" t="inlineStr">
        <is>
          <t>Kevin Moore</t>
        </is>
      </c>
      <c r="L15" s="304" t="n">
        <v>46150</v>
      </c>
      <c r="M15" s="71" t="inlineStr">
        <is>
          <t>Coordinate alternate sailings and track port congestion</t>
        </is>
      </c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24" customHeight="1" s="280">
      <c r="A16" s="69" t="n"/>
      <c r="B16" s="70">
        <f>IF(A16="","",IFERROR(VLOOKUP(A16,'Supplier Register'!$A$6:$L$105,2,FALSE),"Not registered"))</f>
        <v/>
      </c>
      <c r="C16" s="304" t="n"/>
      <c r="D16" s="70" t="n"/>
      <c r="E16" s="70" t="n"/>
      <c r="F16" s="287" t="n"/>
      <c r="G16" s="287" t="n"/>
      <c r="H16" s="287" t="n"/>
      <c r="I16" s="287">
        <f>IF(COUNTA(F16:H16)=0,"",ROUND(F16*G16*H16/125*100,0))</f>
        <v/>
      </c>
      <c r="J16" s="70" t="n"/>
      <c r="K16" s="70" t="n"/>
      <c r="L16" s="304" t="n"/>
      <c r="M16" s="71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24" customHeight="1" s="280">
      <c r="A17" s="69" t="n"/>
      <c r="B17" s="70">
        <f>IF(A17="","",IFERROR(VLOOKUP(A17,'Supplier Register'!$A$6:$L$105,2,FALSE),"Not registered"))</f>
        <v/>
      </c>
      <c r="C17" s="304" t="n"/>
      <c r="D17" s="70" t="n"/>
      <c r="E17" s="70" t="n"/>
      <c r="F17" s="287" t="n"/>
      <c r="G17" s="287" t="n"/>
      <c r="H17" s="287" t="n"/>
      <c r="I17" s="287">
        <f>IF(COUNTA(F17:H17)=0,"",ROUND(F17*G17*H17/125*100,0))</f>
        <v/>
      </c>
      <c r="J17" s="70" t="n"/>
      <c r="K17" s="70" t="n"/>
      <c r="L17" s="304" t="n"/>
      <c r="M17" s="71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24" customHeight="1" s="280">
      <c r="A18" s="69" t="n"/>
      <c r="B18" s="70">
        <f>IF(A18="","",IFERROR(VLOOKUP(A18,'Supplier Register'!$A$6:$L$105,2,FALSE),"Not registered"))</f>
        <v/>
      </c>
      <c r="C18" s="304" t="n"/>
      <c r="D18" s="70" t="n"/>
      <c r="E18" s="70" t="n"/>
      <c r="F18" s="287" t="n"/>
      <c r="G18" s="287" t="n"/>
      <c r="H18" s="287" t="n"/>
      <c r="I18" s="287">
        <f>IF(COUNTA(F18:H18)=0,"",ROUND(F18*G18*H18/125*100,0))</f>
        <v/>
      </c>
      <c r="J18" s="70" t="n"/>
      <c r="K18" s="70" t="n"/>
      <c r="L18" s="304" t="n"/>
      <c r="M18" s="71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24" customHeight="1" s="280">
      <c r="A19" s="69" t="n"/>
      <c r="B19" s="70">
        <f>IF(A19="","",IFERROR(VLOOKUP(A19,'Supplier Register'!$A$6:$L$105,2,FALSE),"Not registered"))</f>
        <v/>
      </c>
      <c r="C19" s="304" t="n"/>
      <c r="D19" s="70" t="n"/>
      <c r="E19" s="70" t="n"/>
      <c r="F19" s="287" t="n"/>
      <c r="G19" s="287" t="n"/>
      <c r="H19" s="287" t="n"/>
      <c r="I19" s="287">
        <f>IF(COUNTA(F19:H19)=0,"",ROUND(F19*G19*H19/125*100,0))</f>
        <v/>
      </c>
      <c r="J19" s="70" t="n"/>
      <c r="K19" s="70" t="n"/>
      <c r="L19" s="304" t="n"/>
      <c r="M19" s="71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24" customHeight="1" s="280">
      <c r="A20" s="69" t="n"/>
      <c r="B20" s="70">
        <f>IF(A20="","",IFERROR(VLOOKUP(A20,'Supplier Register'!$A$6:$L$105,2,FALSE),"Not registered"))</f>
        <v/>
      </c>
      <c r="C20" s="304" t="n"/>
      <c r="D20" s="70" t="n"/>
      <c r="E20" s="70" t="n"/>
      <c r="F20" s="287" t="n"/>
      <c r="G20" s="287" t="n"/>
      <c r="H20" s="287" t="n"/>
      <c r="I20" s="287">
        <f>IF(COUNTA(F20:H20)=0,"",ROUND(F20*G20*H20/125*100,0))</f>
        <v/>
      </c>
      <c r="J20" s="70" t="n"/>
      <c r="K20" s="70" t="n"/>
      <c r="L20" s="304" t="n"/>
      <c r="M20" s="71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 ht="24" customHeight="1" s="280">
      <c r="A21" s="69" t="n"/>
      <c r="B21" s="70">
        <f>IF(A21="","",IFERROR(VLOOKUP(A21,'Supplier Register'!$A$6:$L$105,2,FALSE),"Not registered"))</f>
        <v/>
      </c>
      <c r="C21" s="304" t="n"/>
      <c r="D21" s="70" t="n"/>
      <c r="E21" s="70" t="n"/>
      <c r="F21" s="287" t="n"/>
      <c r="G21" s="287" t="n"/>
      <c r="H21" s="287" t="n"/>
      <c r="I21" s="287">
        <f>IF(COUNTA(F21:H21)=0,"",ROUND(F21*G21*H21/125*100,0))</f>
        <v/>
      </c>
      <c r="J21" s="70" t="n"/>
      <c r="K21" s="70" t="n"/>
      <c r="L21" s="304" t="n"/>
      <c r="M21" s="71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 ht="24" customHeight="1" s="280">
      <c r="A22" s="69" t="n"/>
      <c r="B22" s="70">
        <f>IF(A22="","",IFERROR(VLOOKUP(A22,'Supplier Register'!$A$6:$L$105,2,FALSE),"Not registered"))</f>
        <v/>
      </c>
      <c r="C22" s="304" t="n"/>
      <c r="D22" s="70" t="n"/>
      <c r="E22" s="70" t="n"/>
      <c r="F22" s="287" t="n"/>
      <c r="G22" s="287" t="n"/>
      <c r="H22" s="287" t="n"/>
      <c r="I22" s="287">
        <f>IF(COUNTA(F22:H22)=0,"",ROUND(F22*G22*H22/125*100,0))</f>
        <v/>
      </c>
      <c r="J22" s="70" t="n"/>
      <c r="K22" s="70" t="n"/>
      <c r="L22" s="304" t="n"/>
      <c r="M22" s="71" t="n"/>
      <c r="N22" s="253" t="n"/>
      <c r="O22" s="253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 ht="24" customHeight="1" s="280">
      <c r="A23" s="69" t="n"/>
      <c r="B23" s="70">
        <f>IF(A23="","",IFERROR(VLOOKUP(A23,'Supplier Register'!$A$6:$L$105,2,FALSE),"Not registered"))</f>
        <v/>
      </c>
      <c r="C23" s="304" t="n"/>
      <c r="D23" s="70" t="n"/>
      <c r="E23" s="70" t="n"/>
      <c r="F23" s="287" t="n"/>
      <c r="G23" s="287" t="n"/>
      <c r="H23" s="287" t="n"/>
      <c r="I23" s="287">
        <f>IF(COUNTA(F23:H23)=0,"",ROUND(F23*G23*H23/125*100,0))</f>
        <v/>
      </c>
      <c r="J23" s="70" t="n"/>
      <c r="K23" s="70" t="n"/>
      <c r="L23" s="304" t="n"/>
      <c r="M23" s="71" t="n"/>
      <c r="N23" s="253" t="n"/>
      <c r="O23" s="253" t="n"/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 ht="24" customHeight="1" s="280">
      <c r="A24" s="69" t="n"/>
      <c r="B24" s="70">
        <f>IF(A24="","",IFERROR(VLOOKUP(A24,'Supplier Register'!$A$6:$L$105,2,FALSE),"Not registered"))</f>
        <v/>
      </c>
      <c r="C24" s="304" t="n"/>
      <c r="D24" s="70" t="n"/>
      <c r="E24" s="70" t="n"/>
      <c r="F24" s="287" t="n"/>
      <c r="G24" s="287" t="n"/>
      <c r="H24" s="287" t="n"/>
      <c r="I24" s="287">
        <f>IF(COUNTA(F24:H24)=0,"",ROUND(F24*G24*H24/125*100,0))</f>
        <v/>
      </c>
      <c r="J24" s="70" t="n"/>
      <c r="K24" s="70" t="n"/>
      <c r="L24" s="304" t="n"/>
      <c r="M24" s="71" t="n"/>
      <c r="N24" s="253" t="n"/>
      <c r="O24" s="253" t="n"/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 ht="24" customHeight="1" s="280">
      <c r="A25" s="69" t="n"/>
      <c r="B25" s="70">
        <f>IF(A25="","",IFERROR(VLOOKUP(A25,'Supplier Register'!$A$6:$L$105,2,FALSE),"Not registered"))</f>
        <v/>
      </c>
      <c r="C25" s="304" t="n"/>
      <c r="D25" s="70" t="n"/>
      <c r="E25" s="70" t="n"/>
      <c r="F25" s="287" t="n"/>
      <c r="G25" s="287" t="n"/>
      <c r="H25" s="287" t="n"/>
      <c r="I25" s="287">
        <f>IF(COUNTA(F25:H25)=0,"",ROUND(F25*G25*H25/125*100,0))</f>
        <v/>
      </c>
      <c r="J25" s="70" t="n"/>
      <c r="K25" s="70" t="n"/>
      <c r="L25" s="304" t="n"/>
      <c r="M25" s="71" t="n"/>
      <c r="N25" s="253" t="n"/>
      <c r="O25" s="253" t="n"/>
      <c r="P25" s="253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 ht="24" customHeight="1" s="280">
      <c r="A26" s="69" t="n"/>
      <c r="B26" s="70">
        <f>IF(A26="","",IFERROR(VLOOKUP(A26,'Supplier Register'!$A$6:$L$105,2,FALSE),"Not registered"))</f>
        <v/>
      </c>
      <c r="C26" s="304" t="n"/>
      <c r="D26" s="70" t="n"/>
      <c r="E26" s="70" t="n"/>
      <c r="F26" s="287" t="n"/>
      <c r="G26" s="287" t="n"/>
      <c r="H26" s="287" t="n"/>
      <c r="I26" s="287">
        <f>IF(COUNTA(F26:H26)=0,"",ROUND(F26*G26*H26/125*100,0))</f>
        <v/>
      </c>
      <c r="J26" s="70" t="n"/>
      <c r="K26" s="70" t="n"/>
      <c r="L26" s="304" t="n"/>
      <c r="M26" s="71" t="n"/>
      <c r="N26" s="253" t="n"/>
      <c r="O26" s="253" t="n"/>
      <c r="P26" s="253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 ht="24" customHeight="1" s="280">
      <c r="A27" s="69" t="n"/>
      <c r="B27" s="70">
        <f>IF(A27="","",IFERROR(VLOOKUP(A27,'Supplier Register'!$A$6:$L$105,2,FALSE),"Not registered"))</f>
        <v/>
      </c>
      <c r="C27" s="304" t="n"/>
      <c r="D27" s="70" t="n"/>
      <c r="E27" s="70" t="n"/>
      <c r="F27" s="287" t="n"/>
      <c r="G27" s="287" t="n"/>
      <c r="H27" s="287" t="n"/>
      <c r="I27" s="287">
        <f>IF(COUNTA(F27:H27)=0,"",ROUND(F27*G27*H27/125*100,0))</f>
        <v/>
      </c>
      <c r="J27" s="70" t="n"/>
      <c r="K27" s="70" t="n"/>
      <c r="L27" s="304" t="n"/>
      <c r="M27" s="71" t="n"/>
      <c r="N27" s="253" t="n"/>
      <c r="O27" s="253" t="n"/>
      <c r="P27" s="253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 ht="24" customHeight="1" s="280">
      <c r="A28" s="69" t="n"/>
      <c r="B28" s="70">
        <f>IF(A28="","",IFERROR(VLOOKUP(A28,'Supplier Register'!$A$6:$L$105,2,FALSE),"Not registered"))</f>
        <v/>
      </c>
      <c r="C28" s="304" t="n"/>
      <c r="D28" s="70" t="n"/>
      <c r="E28" s="70" t="n"/>
      <c r="F28" s="287" t="n"/>
      <c r="G28" s="287" t="n"/>
      <c r="H28" s="287" t="n"/>
      <c r="I28" s="287">
        <f>IF(COUNTA(F28:H28)=0,"",ROUND(F28*G28*H28/125*100,0))</f>
        <v/>
      </c>
      <c r="J28" s="70" t="n"/>
      <c r="K28" s="70" t="n"/>
      <c r="L28" s="304" t="n"/>
      <c r="M28" s="71" t="n"/>
      <c r="N28" s="253" t="n"/>
      <c r="O28" s="253" t="n"/>
      <c r="P28" s="253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 ht="24" customHeight="1" s="280">
      <c r="A29" s="69" t="n"/>
      <c r="B29" s="70">
        <f>IF(A29="","",IFERROR(VLOOKUP(A29,'Supplier Register'!$A$6:$L$105,2,FALSE),"Not registered"))</f>
        <v/>
      </c>
      <c r="C29" s="304" t="n"/>
      <c r="D29" s="70" t="n"/>
      <c r="E29" s="70" t="n"/>
      <c r="F29" s="287" t="n"/>
      <c r="G29" s="287" t="n"/>
      <c r="H29" s="287" t="n"/>
      <c r="I29" s="287">
        <f>IF(COUNTA(F29:H29)=0,"",ROUND(F29*G29*H29/125*100,0))</f>
        <v/>
      </c>
      <c r="J29" s="70" t="n"/>
      <c r="K29" s="70" t="n"/>
      <c r="L29" s="304" t="n"/>
      <c r="M29" s="71" t="n"/>
      <c r="N29" s="253" t="n"/>
      <c r="O29" s="253" t="n"/>
      <c r="P29" s="253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 ht="24" customHeight="1" s="280">
      <c r="A30" s="69" t="n"/>
      <c r="B30" s="70">
        <f>IF(A30="","",IFERROR(VLOOKUP(A30,'Supplier Register'!$A$6:$L$105,2,FALSE),"Not registered"))</f>
        <v/>
      </c>
      <c r="C30" s="304" t="n"/>
      <c r="D30" s="70" t="n"/>
      <c r="E30" s="70" t="n"/>
      <c r="F30" s="287" t="n"/>
      <c r="G30" s="287" t="n"/>
      <c r="H30" s="287" t="n"/>
      <c r="I30" s="287">
        <f>IF(COUNTA(F30:H30)=0,"",ROUND(F30*G30*H30/125*100,0))</f>
        <v/>
      </c>
      <c r="J30" s="70" t="n"/>
      <c r="K30" s="70" t="n"/>
      <c r="L30" s="304" t="n"/>
      <c r="M30" s="71" t="n"/>
      <c r="N30" s="253" t="n"/>
      <c r="O30" s="253" t="n"/>
      <c r="P30" s="253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 ht="24" customHeight="1" s="280">
      <c r="A31" s="69" t="n"/>
      <c r="B31" s="70">
        <f>IF(A31="","",IFERROR(VLOOKUP(A31,'Supplier Register'!$A$6:$L$105,2,FALSE),"Not registered"))</f>
        <v/>
      </c>
      <c r="C31" s="304" t="n"/>
      <c r="D31" s="70" t="n"/>
      <c r="E31" s="70" t="n"/>
      <c r="F31" s="287" t="n"/>
      <c r="G31" s="287" t="n"/>
      <c r="H31" s="287" t="n"/>
      <c r="I31" s="287">
        <f>IF(COUNTA(F31:H31)=0,"",ROUND(F31*G31*H31/125*100,0))</f>
        <v/>
      </c>
      <c r="J31" s="70" t="n"/>
      <c r="K31" s="70" t="n"/>
      <c r="L31" s="304" t="n"/>
      <c r="M31" s="71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 ht="24" customHeight="1" s="280">
      <c r="A32" s="69" t="n"/>
      <c r="B32" s="70">
        <f>IF(A32="","",IFERROR(VLOOKUP(A32,'Supplier Register'!$A$6:$L$105,2,FALSE),"Not registered"))</f>
        <v/>
      </c>
      <c r="C32" s="304" t="n"/>
      <c r="D32" s="70" t="n"/>
      <c r="E32" s="70" t="n"/>
      <c r="F32" s="287" t="n"/>
      <c r="G32" s="287" t="n"/>
      <c r="H32" s="287" t="n"/>
      <c r="I32" s="287">
        <f>IF(COUNTA(F32:H32)=0,"",ROUND(F32*G32*H32/125*100,0))</f>
        <v/>
      </c>
      <c r="J32" s="70" t="n"/>
      <c r="K32" s="70" t="n"/>
      <c r="L32" s="304" t="n"/>
      <c r="M32" s="71" t="n"/>
      <c r="N32" s="253" t="n"/>
      <c r="O32" s="253" t="n"/>
      <c r="P32" s="253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 ht="24" customHeight="1" s="280">
      <c r="A33" s="69" t="n"/>
      <c r="B33" s="70">
        <f>IF(A33="","",IFERROR(VLOOKUP(A33,'Supplier Register'!$A$6:$L$105,2,FALSE),"Not registered"))</f>
        <v/>
      </c>
      <c r="C33" s="304" t="n"/>
      <c r="D33" s="70" t="n"/>
      <c r="E33" s="70" t="n"/>
      <c r="F33" s="287" t="n"/>
      <c r="G33" s="287" t="n"/>
      <c r="H33" s="287" t="n"/>
      <c r="I33" s="287">
        <f>IF(COUNTA(F33:H33)=0,"",ROUND(F33*G33*H33/125*100,0))</f>
        <v/>
      </c>
      <c r="J33" s="70" t="n"/>
      <c r="K33" s="70" t="n"/>
      <c r="L33" s="304" t="n"/>
      <c r="M33" s="71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 ht="24" customHeight="1" s="280">
      <c r="A34" s="69" t="n"/>
      <c r="B34" s="70">
        <f>IF(A34="","",IFERROR(VLOOKUP(A34,'Supplier Register'!$A$6:$L$105,2,FALSE),"Not registered"))</f>
        <v/>
      </c>
      <c r="C34" s="304" t="n"/>
      <c r="D34" s="70" t="n"/>
      <c r="E34" s="70" t="n"/>
      <c r="F34" s="287" t="n"/>
      <c r="G34" s="287" t="n"/>
      <c r="H34" s="287" t="n"/>
      <c r="I34" s="287">
        <f>IF(COUNTA(F34:H34)=0,"",ROUND(F34*G34*H34/125*100,0))</f>
        <v/>
      </c>
      <c r="J34" s="70" t="n"/>
      <c r="K34" s="70" t="n"/>
      <c r="L34" s="304" t="n"/>
      <c r="M34" s="71" t="n"/>
      <c r="N34" s="253" t="n"/>
      <c r="O34" s="253" t="n"/>
      <c r="P34" s="253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 ht="24" customHeight="1" s="280">
      <c r="A35" s="69" t="n"/>
      <c r="B35" s="70">
        <f>IF(A35="","",IFERROR(VLOOKUP(A35,'Supplier Register'!$A$6:$L$105,2,FALSE),"Not registered"))</f>
        <v/>
      </c>
      <c r="C35" s="304" t="n"/>
      <c r="D35" s="70" t="n"/>
      <c r="E35" s="70" t="n"/>
      <c r="F35" s="287" t="n"/>
      <c r="G35" s="287" t="n"/>
      <c r="H35" s="287" t="n"/>
      <c r="I35" s="287">
        <f>IF(COUNTA(F35:H35)=0,"",ROUND(F35*G35*H35/125*100,0))</f>
        <v/>
      </c>
      <c r="J35" s="70" t="n"/>
      <c r="K35" s="70" t="n"/>
      <c r="L35" s="304" t="n"/>
      <c r="M35" s="71" t="n"/>
      <c r="N35" s="253" t="n"/>
      <c r="O35" s="253" t="n"/>
      <c r="P35" s="253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 ht="24" customHeight="1" s="280">
      <c r="A36" s="69" t="n"/>
      <c r="B36" s="70">
        <f>IF(A36="","",IFERROR(VLOOKUP(A36,'Supplier Register'!$A$6:$L$105,2,FALSE),"Not registered"))</f>
        <v/>
      </c>
      <c r="C36" s="304" t="n"/>
      <c r="D36" s="70" t="n"/>
      <c r="E36" s="70" t="n"/>
      <c r="F36" s="287" t="n"/>
      <c r="G36" s="287" t="n"/>
      <c r="H36" s="287" t="n"/>
      <c r="I36" s="287">
        <f>IF(COUNTA(F36:H36)=0,"",ROUND(F36*G36*H36/125*100,0))</f>
        <v/>
      </c>
      <c r="J36" s="70" t="n"/>
      <c r="K36" s="70" t="n"/>
      <c r="L36" s="304" t="n"/>
      <c r="M36" s="71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 ht="24" customHeight="1" s="280">
      <c r="A37" s="69" t="n"/>
      <c r="B37" s="70">
        <f>IF(A37="","",IFERROR(VLOOKUP(A37,'Supplier Register'!$A$6:$L$105,2,FALSE),"Not registered"))</f>
        <v/>
      </c>
      <c r="C37" s="304" t="n"/>
      <c r="D37" s="70" t="n"/>
      <c r="E37" s="70" t="n"/>
      <c r="F37" s="287" t="n"/>
      <c r="G37" s="287" t="n"/>
      <c r="H37" s="287" t="n"/>
      <c r="I37" s="287">
        <f>IF(COUNTA(F37:H37)=0,"",ROUND(F37*G37*H37/125*100,0))</f>
        <v/>
      </c>
      <c r="J37" s="70" t="n"/>
      <c r="K37" s="70" t="n"/>
      <c r="L37" s="304" t="n"/>
      <c r="M37" s="71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 ht="24" customHeight="1" s="280">
      <c r="A38" s="69" t="n"/>
      <c r="B38" s="70">
        <f>IF(A38="","",IFERROR(VLOOKUP(A38,'Supplier Register'!$A$6:$L$105,2,FALSE),"Not registered"))</f>
        <v/>
      </c>
      <c r="C38" s="304" t="n"/>
      <c r="D38" s="70" t="n"/>
      <c r="E38" s="70" t="n"/>
      <c r="F38" s="287" t="n"/>
      <c r="G38" s="287" t="n"/>
      <c r="H38" s="287" t="n"/>
      <c r="I38" s="287">
        <f>IF(COUNTA(F38:H38)=0,"",ROUND(F38*G38*H38/125*100,0))</f>
        <v/>
      </c>
      <c r="J38" s="70" t="n"/>
      <c r="K38" s="70" t="n"/>
      <c r="L38" s="304" t="n"/>
      <c r="M38" s="71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 ht="24" customHeight="1" s="280">
      <c r="A39" s="69" t="n"/>
      <c r="B39" s="70">
        <f>IF(A39="","",IFERROR(VLOOKUP(A39,'Supplier Register'!$A$6:$L$105,2,FALSE),"Not registered"))</f>
        <v/>
      </c>
      <c r="C39" s="304" t="n"/>
      <c r="D39" s="70" t="n"/>
      <c r="E39" s="70" t="n"/>
      <c r="F39" s="287" t="n"/>
      <c r="G39" s="287" t="n"/>
      <c r="H39" s="287" t="n"/>
      <c r="I39" s="287">
        <f>IF(COUNTA(F39:H39)=0,"",ROUND(F39*G39*H39/125*100,0))</f>
        <v/>
      </c>
      <c r="J39" s="70" t="n"/>
      <c r="K39" s="70" t="n"/>
      <c r="L39" s="304" t="n"/>
      <c r="M39" s="71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 ht="24" customHeight="1" s="280">
      <c r="A40" s="69" t="n"/>
      <c r="B40" s="70">
        <f>IF(A40="","",IFERROR(VLOOKUP(A40,'Supplier Register'!$A$6:$L$105,2,FALSE),"Not registered"))</f>
        <v/>
      </c>
      <c r="C40" s="304" t="n"/>
      <c r="D40" s="70" t="n"/>
      <c r="E40" s="70" t="n"/>
      <c r="F40" s="287" t="n"/>
      <c r="G40" s="287" t="n"/>
      <c r="H40" s="287" t="n"/>
      <c r="I40" s="287">
        <f>IF(COUNTA(F40:H40)=0,"",ROUND(F40*G40*H40/125*100,0))</f>
        <v/>
      </c>
      <c r="J40" s="70" t="n"/>
      <c r="K40" s="70" t="n"/>
      <c r="L40" s="304" t="n"/>
      <c r="M40" s="71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 ht="24" customHeight="1" s="280">
      <c r="A41" s="69" t="n"/>
      <c r="B41" s="70">
        <f>IF(A41="","",IFERROR(VLOOKUP(A41,'Supplier Register'!$A$6:$L$105,2,FALSE),"Not registered"))</f>
        <v/>
      </c>
      <c r="C41" s="304" t="n"/>
      <c r="D41" s="70" t="n"/>
      <c r="E41" s="70" t="n"/>
      <c r="F41" s="287" t="n"/>
      <c r="G41" s="287" t="n"/>
      <c r="H41" s="287" t="n"/>
      <c r="I41" s="287">
        <f>IF(COUNTA(F41:H41)=0,"",ROUND(F41*G41*H41/125*100,0))</f>
        <v/>
      </c>
      <c r="J41" s="70" t="n"/>
      <c r="K41" s="70" t="n"/>
      <c r="L41" s="304" t="n"/>
      <c r="M41" s="71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 ht="24" customHeight="1" s="280">
      <c r="A42" s="69" t="n"/>
      <c r="B42" s="70">
        <f>IF(A42="","",IFERROR(VLOOKUP(A42,'Supplier Register'!$A$6:$L$105,2,FALSE),"Not registered"))</f>
        <v/>
      </c>
      <c r="C42" s="304" t="n"/>
      <c r="D42" s="70" t="n"/>
      <c r="E42" s="70" t="n"/>
      <c r="F42" s="287" t="n"/>
      <c r="G42" s="287" t="n"/>
      <c r="H42" s="287" t="n"/>
      <c r="I42" s="287">
        <f>IF(COUNTA(F42:H42)=0,"",ROUND(F42*G42*H42/125*100,0))</f>
        <v/>
      </c>
      <c r="J42" s="70" t="n"/>
      <c r="K42" s="70" t="n"/>
      <c r="L42" s="304" t="n"/>
      <c r="M42" s="71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 ht="24" customHeight="1" s="280">
      <c r="A43" s="69" t="n"/>
      <c r="B43" s="70">
        <f>IF(A43="","",IFERROR(VLOOKUP(A43,'Supplier Register'!$A$6:$L$105,2,FALSE),"Not registered"))</f>
        <v/>
      </c>
      <c r="C43" s="304" t="n"/>
      <c r="D43" s="70" t="n"/>
      <c r="E43" s="70" t="n"/>
      <c r="F43" s="287" t="n"/>
      <c r="G43" s="287" t="n"/>
      <c r="H43" s="287" t="n"/>
      <c r="I43" s="287">
        <f>IF(COUNTA(F43:H43)=0,"",ROUND(F43*G43*H43/125*100,0))</f>
        <v/>
      </c>
      <c r="J43" s="70" t="n"/>
      <c r="K43" s="70" t="n"/>
      <c r="L43" s="304" t="n"/>
      <c r="M43" s="71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 ht="24" customHeight="1" s="280">
      <c r="A44" s="69" t="n"/>
      <c r="B44" s="70">
        <f>IF(A44="","",IFERROR(VLOOKUP(A44,'Supplier Register'!$A$6:$L$105,2,FALSE),"Not registered"))</f>
        <v/>
      </c>
      <c r="C44" s="304" t="n"/>
      <c r="D44" s="70" t="n"/>
      <c r="E44" s="70" t="n"/>
      <c r="F44" s="287" t="n"/>
      <c r="G44" s="287" t="n"/>
      <c r="H44" s="287" t="n"/>
      <c r="I44" s="287">
        <f>IF(COUNTA(F44:H44)=0,"",ROUND(F44*G44*H44/125*100,0))</f>
        <v/>
      </c>
      <c r="J44" s="70" t="n"/>
      <c r="K44" s="70" t="n"/>
      <c r="L44" s="304" t="n"/>
      <c r="M44" s="71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 ht="24" customHeight="1" s="280">
      <c r="A45" s="69" t="n"/>
      <c r="B45" s="70">
        <f>IF(A45="","",IFERROR(VLOOKUP(A45,'Supplier Register'!$A$6:$L$105,2,FALSE),"Not registered"))</f>
        <v/>
      </c>
      <c r="C45" s="304" t="n"/>
      <c r="D45" s="70" t="n"/>
      <c r="E45" s="70" t="n"/>
      <c r="F45" s="287" t="n"/>
      <c r="G45" s="287" t="n"/>
      <c r="H45" s="287" t="n"/>
      <c r="I45" s="287">
        <f>IF(COUNTA(F45:H45)=0,"",ROUND(F45*G45*H45/125*100,0))</f>
        <v/>
      </c>
      <c r="J45" s="70" t="n"/>
      <c r="K45" s="70" t="n"/>
      <c r="L45" s="304" t="n"/>
      <c r="M45" s="71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 ht="24" customHeight="1" s="280">
      <c r="A46" s="69" t="n"/>
      <c r="B46" s="70">
        <f>IF(A46="","",IFERROR(VLOOKUP(A46,'Supplier Register'!$A$6:$L$105,2,FALSE),"Not registered"))</f>
        <v/>
      </c>
      <c r="C46" s="304" t="n"/>
      <c r="D46" s="70" t="n"/>
      <c r="E46" s="70" t="n"/>
      <c r="F46" s="287" t="n"/>
      <c r="G46" s="287" t="n"/>
      <c r="H46" s="287" t="n"/>
      <c r="I46" s="287">
        <f>IF(COUNTA(F46:H46)=0,"",ROUND(F46*G46*H46/125*100,0))</f>
        <v/>
      </c>
      <c r="J46" s="70" t="n"/>
      <c r="K46" s="70" t="n"/>
      <c r="L46" s="304" t="n"/>
      <c r="M46" s="71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 ht="24" customHeight="1" s="280">
      <c r="A47" s="69" t="n"/>
      <c r="B47" s="70">
        <f>IF(A47="","",IFERROR(VLOOKUP(A47,'Supplier Register'!$A$6:$L$105,2,FALSE),"Not registered"))</f>
        <v/>
      </c>
      <c r="C47" s="304" t="n"/>
      <c r="D47" s="70" t="n"/>
      <c r="E47" s="70" t="n"/>
      <c r="F47" s="287" t="n"/>
      <c r="G47" s="287" t="n"/>
      <c r="H47" s="287" t="n"/>
      <c r="I47" s="287">
        <f>IF(COUNTA(F47:H47)=0,"",ROUND(F47*G47*H47/125*100,0))</f>
        <v/>
      </c>
      <c r="J47" s="70" t="n"/>
      <c r="K47" s="70" t="n"/>
      <c r="L47" s="304" t="n"/>
      <c r="M47" s="71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 ht="24" customHeight="1" s="280">
      <c r="A48" s="69" t="n"/>
      <c r="B48" s="70">
        <f>IF(A48="","",IFERROR(VLOOKUP(A48,'Supplier Register'!$A$6:$L$105,2,FALSE),"Not registered"))</f>
        <v/>
      </c>
      <c r="C48" s="304" t="n"/>
      <c r="D48" s="70" t="n"/>
      <c r="E48" s="70" t="n"/>
      <c r="F48" s="287" t="n"/>
      <c r="G48" s="287" t="n"/>
      <c r="H48" s="287" t="n"/>
      <c r="I48" s="287">
        <f>IF(COUNTA(F48:H48)=0,"",ROUND(F48*G48*H48/125*100,0))</f>
        <v/>
      </c>
      <c r="J48" s="70" t="n"/>
      <c r="K48" s="70" t="n"/>
      <c r="L48" s="304" t="n"/>
      <c r="M48" s="71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 ht="24" customHeight="1" s="280">
      <c r="A49" s="69" t="n"/>
      <c r="B49" s="70">
        <f>IF(A49="","",IFERROR(VLOOKUP(A49,'Supplier Register'!$A$6:$L$105,2,FALSE),"Not registered"))</f>
        <v/>
      </c>
      <c r="C49" s="304" t="n"/>
      <c r="D49" s="70" t="n"/>
      <c r="E49" s="70" t="n"/>
      <c r="F49" s="287" t="n"/>
      <c r="G49" s="287" t="n"/>
      <c r="H49" s="287" t="n"/>
      <c r="I49" s="287">
        <f>IF(COUNTA(F49:H49)=0,"",ROUND(F49*G49*H49/125*100,0))</f>
        <v/>
      </c>
      <c r="J49" s="70" t="n"/>
      <c r="K49" s="70" t="n"/>
      <c r="L49" s="304" t="n"/>
      <c r="M49" s="71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 ht="24" customHeight="1" s="280">
      <c r="A50" s="69" t="n"/>
      <c r="B50" s="70">
        <f>IF(A50="","",IFERROR(VLOOKUP(A50,'Supplier Register'!$A$6:$L$105,2,FALSE),"Not registered"))</f>
        <v/>
      </c>
      <c r="C50" s="304" t="n"/>
      <c r="D50" s="70" t="n"/>
      <c r="E50" s="70" t="n"/>
      <c r="F50" s="287" t="n"/>
      <c r="G50" s="287" t="n"/>
      <c r="H50" s="287" t="n"/>
      <c r="I50" s="287">
        <f>IF(COUNTA(F50:H50)=0,"",ROUND(F50*G50*H50/125*100,0))</f>
        <v/>
      </c>
      <c r="J50" s="70" t="n"/>
      <c r="K50" s="70" t="n"/>
      <c r="L50" s="304" t="n"/>
      <c r="M50" s="71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 ht="24" customHeight="1" s="280">
      <c r="A51" s="69" t="n"/>
      <c r="B51" s="70">
        <f>IF(A51="","",IFERROR(VLOOKUP(A51,'Supplier Register'!$A$6:$L$105,2,FALSE),"Not registered"))</f>
        <v/>
      </c>
      <c r="C51" s="304" t="n"/>
      <c r="D51" s="70" t="n"/>
      <c r="E51" s="70" t="n"/>
      <c r="F51" s="287" t="n"/>
      <c r="G51" s="287" t="n"/>
      <c r="H51" s="287" t="n"/>
      <c r="I51" s="287">
        <f>IF(COUNTA(F51:H51)=0,"",ROUND(F51*G51*H51/125*100,0))</f>
        <v/>
      </c>
      <c r="J51" s="70" t="n"/>
      <c r="K51" s="70" t="n"/>
      <c r="L51" s="304" t="n"/>
      <c r="M51" s="71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 ht="24" customHeight="1" s="280">
      <c r="A52" s="69" t="n"/>
      <c r="B52" s="70">
        <f>IF(A52="","",IFERROR(VLOOKUP(A52,'Supplier Register'!$A$6:$L$105,2,FALSE),"Not registered"))</f>
        <v/>
      </c>
      <c r="C52" s="304" t="n"/>
      <c r="D52" s="70" t="n"/>
      <c r="E52" s="70" t="n"/>
      <c r="F52" s="287" t="n"/>
      <c r="G52" s="287" t="n"/>
      <c r="H52" s="287" t="n"/>
      <c r="I52" s="287">
        <f>IF(COUNTA(F52:H52)=0,"",ROUND(F52*G52*H52/125*100,0))</f>
        <v/>
      </c>
      <c r="J52" s="70" t="n"/>
      <c r="K52" s="70" t="n"/>
      <c r="L52" s="304" t="n"/>
      <c r="M52" s="71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 ht="24" customHeight="1" s="280">
      <c r="A53" s="69" t="n"/>
      <c r="B53" s="70">
        <f>IF(A53="","",IFERROR(VLOOKUP(A53,'Supplier Register'!$A$6:$L$105,2,FALSE),"Not registered"))</f>
        <v/>
      </c>
      <c r="C53" s="304" t="n"/>
      <c r="D53" s="70" t="n"/>
      <c r="E53" s="70" t="n"/>
      <c r="F53" s="287" t="n"/>
      <c r="G53" s="287" t="n"/>
      <c r="H53" s="287" t="n"/>
      <c r="I53" s="287">
        <f>IF(COUNTA(F53:H53)=0,"",ROUND(F53*G53*H53/125*100,0))</f>
        <v/>
      </c>
      <c r="J53" s="70" t="n"/>
      <c r="K53" s="70" t="n"/>
      <c r="L53" s="304" t="n"/>
      <c r="M53" s="71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 ht="24" customHeight="1" s="280">
      <c r="A54" s="69" t="n"/>
      <c r="B54" s="70">
        <f>IF(A54="","",IFERROR(VLOOKUP(A54,'Supplier Register'!$A$6:$L$105,2,FALSE),"Not registered"))</f>
        <v/>
      </c>
      <c r="C54" s="304" t="n"/>
      <c r="D54" s="70" t="n"/>
      <c r="E54" s="70" t="n"/>
      <c r="F54" s="287" t="n"/>
      <c r="G54" s="287" t="n"/>
      <c r="H54" s="287" t="n"/>
      <c r="I54" s="287">
        <f>IF(COUNTA(F54:H54)=0,"",ROUND(F54*G54*H54/125*100,0))</f>
        <v/>
      </c>
      <c r="J54" s="70" t="n"/>
      <c r="K54" s="70" t="n"/>
      <c r="L54" s="304" t="n"/>
      <c r="M54" s="71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 ht="24" customHeight="1" s="280">
      <c r="A55" s="69" t="n"/>
      <c r="B55" s="70">
        <f>IF(A55="","",IFERROR(VLOOKUP(A55,'Supplier Register'!$A$6:$L$105,2,FALSE),"Not registered"))</f>
        <v/>
      </c>
      <c r="C55" s="304" t="n"/>
      <c r="D55" s="70" t="n"/>
      <c r="E55" s="70" t="n"/>
      <c r="F55" s="287" t="n"/>
      <c r="G55" s="287" t="n"/>
      <c r="H55" s="287" t="n"/>
      <c r="I55" s="287">
        <f>IF(COUNTA(F55:H55)=0,"",ROUND(F55*G55*H55/125*100,0))</f>
        <v/>
      </c>
      <c r="J55" s="70" t="n"/>
      <c r="K55" s="70" t="n"/>
      <c r="L55" s="304" t="n"/>
      <c r="M55" s="71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 ht="24" customHeight="1" s="280">
      <c r="A56" s="69" t="n"/>
      <c r="B56" s="70">
        <f>IF(A56="","",IFERROR(VLOOKUP(A56,'Supplier Register'!$A$6:$L$105,2,FALSE),"Not registered"))</f>
        <v/>
      </c>
      <c r="C56" s="304" t="n"/>
      <c r="D56" s="70" t="n"/>
      <c r="E56" s="70" t="n"/>
      <c r="F56" s="287" t="n"/>
      <c r="G56" s="287" t="n"/>
      <c r="H56" s="287" t="n"/>
      <c r="I56" s="287">
        <f>IF(COUNTA(F56:H56)=0,"",ROUND(F56*G56*H56/125*100,0))</f>
        <v/>
      </c>
      <c r="J56" s="70" t="n"/>
      <c r="K56" s="70" t="n"/>
      <c r="L56" s="304" t="n"/>
      <c r="M56" s="71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 ht="24" customHeight="1" s="280">
      <c r="A57" s="69" t="n"/>
      <c r="B57" s="70">
        <f>IF(A57="","",IFERROR(VLOOKUP(A57,'Supplier Register'!$A$6:$L$105,2,FALSE),"Not registered"))</f>
        <v/>
      </c>
      <c r="C57" s="304" t="n"/>
      <c r="D57" s="70" t="n"/>
      <c r="E57" s="70" t="n"/>
      <c r="F57" s="287" t="n"/>
      <c r="G57" s="287" t="n"/>
      <c r="H57" s="287" t="n"/>
      <c r="I57" s="287">
        <f>IF(COUNTA(F57:H57)=0,"",ROUND(F57*G57*H57/125*100,0))</f>
        <v/>
      </c>
      <c r="J57" s="70" t="n"/>
      <c r="K57" s="70" t="n"/>
      <c r="L57" s="304" t="n"/>
      <c r="M57" s="71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 ht="24" customHeight="1" s="280">
      <c r="A58" s="69" t="n"/>
      <c r="B58" s="70">
        <f>IF(A58="","",IFERROR(VLOOKUP(A58,'Supplier Register'!$A$6:$L$105,2,FALSE),"Not registered"))</f>
        <v/>
      </c>
      <c r="C58" s="304" t="n"/>
      <c r="D58" s="70" t="n"/>
      <c r="E58" s="70" t="n"/>
      <c r="F58" s="287" t="n"/>
      <c r="G58" s="287" t="n"/>
      <c r="H58" s="287" t="n"/>
      <c r="I58" s="287">
        <f>IF(COUNTA(F58:H58)=0,"",ROUND(F58*G58*H58/125*100,0))</f>
        <v/>
      </c>
      <c r="J58" s="70" t="n"/>
      <c r="K58" s="70" t="n"/>
      <c r="L58" s="304" t="n"/>
      <c r="M58" s="71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 ht="24" customHeight="1" s="280">
      <c r="A59" s="69" t="n"/>
      <c r="B59" s="70">
        <f>IF(A59="","",IFERROR(VLOOKUP(A59,'Supplier Register'!$A$6:$L$105,2,FALSE),"Not registered"))</f>
        <v/>
      </c>
      <c r="C59" s="304" t="n"/>
      <c r="D59" s="70" t="n"/>
      <c r="E59" s="70" t="n"/>
      <c r="F59" s="287" t="n"/>
      <c r="G59" s="287" t="n"/>
      <c r="H59" s="287" t="n"/>
      <c r="I59" s="287">
        <f>IF(COUNTA(F59:H59)=0,"",ROUND(F59*G59*H59/125*100,0))</f>
        <v/>
      </c>
      <c r="J59" s="70" t="n"/>
      <c r="K59" s="70" t="n"/>
      <c r="L59" s="304" t="n"/>
      <c r="M59" s="71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 ht="24" customHeight="1" s="280">
      <c r="A60" s="69" t="n"/>
      <c r="B60" s="70">
        <f>IF(A60="","",IFERROR(VLOOKUP(A60,'Supplier Register'!$A$6:$L$105,2,FALSE),"Not registered"))</f>
        <v/>
      </c>
      <c r="C60" s="304" t="n"/>
      <c r="D60" s="70" t="n"/>
      <c r="E60" s="70" t="n"/>
      <c r="F60" s="287" t="n"/>
      <c r="G60" s="287" t="n"/>
      <c r="H60" s="287" t="n"/>
      <c r="I60" s="287">
        <f>IF(COUNTA(F60:H60)=0,"",ROUND(F60*G60*H60/125*100,0))</f>
        <v/>
      </c>
      <c r="J60" s="70" t="n"/>
      <c r="K60" s="70" t="n"/>
      <c r="L60" s="304" t="n"/>
      <c r="M60" s="71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 ht="24" customHeight="1" s="280">
      <c r="A61" s="69" t="n"/>
      <c r="B61" s="70">
        <f>IF(A61="","",IFERROR(VLOOKUP(A61,'Supplier Register'!$A$6:$L$105,2,FALSE),"Not registered"))</f>
        <v/>
      </c>
      <c r="C61" s="304" t="n"/>
      <c r="D61" s="70" t="n"/>
      <c r="E61" s="70" t="n"/>
      <c r="F61" s="287" t="n"/>
      <c r="G61" s="287" t="n"/>
      <c r="H61" s="287" t="n"/>
      <c r="I61" s="287">
        <f>IF(COUNTA(F61:H61)=0,"",ROUND(F61*G61*H61/125*100,0))</f>
        <v/>
      </c>
      <c r="J61" s="70" t="n"/>
      <c r="K61" s="70" t="n"/>
      <c r="L61" s="304" t="n"/>
      <c r="M61" s="71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 ht="24" customHeight="1" s="280">
      <c r="A62" s="69" t="n"/>
      <c r="B62" s="70">
        <f>IF(A62="","",IFERROR(VLOOKUP(A62,'Supplier Register'!$A$6:$L$105,2,FALSE),"Not registered"))</f>
        <v/>
      </c>
      <c r="C62" s="304" t="n"/>
      <c r="D62" s="70" t="n"/>
      <c r="E62" s="70" t="n"/>
      <c r="F62" s="287" t="n"/>
      <c r="G62" s="287" t="n"/>
      <c r="H62" s="287" t="n"/>
      <c r="I62" s="287">
        <f>IF(COUNTA(F62:H62)=0,"",ROUND(F62*G62*H62/125*100,0))</f>
        <v/>
      </c>
      <c r="J62" s="70" t="n"/>
      <c r="K62" s="70" t="n"/>
      <c r="L62" s="304" t="n"/>
      <c r="M62" s="71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 ht="24" customHeight="1" s="280">
      <c r="A63" s="69" t="n"/>
      <c r="B63" s="70">
        <f>IF(A63="","",IFERROR(VLOOKUP(A63,'Supplier Register'!$A$6:$L$105,2,FALSE),"Not registered"))</f>
        <v/>
      </c>
      <c r="C63" s="304" t="n"/>
      <c r="D63" s="70" t="n"/>
      <c r="E63" s="70" t="n"/>
      <c r="F63" s="287" t="n"/>
      <c r="G63" s="287" t="n"/>
      <c r="H63" s="287" t="n"/>
      <c r="I63" s="287">
        <f>IF(COUNTA(F63:H63)=0,"",ROUND(F63*G63*H63/125*100,0))</f>
        <v/>
      </c>
      <c r="J63" s="70" t="n"/>
      <c r="K63" s="70" t="n"/>
      <c r="L63" s="304" t="n"/>
      <c r="M63" s="71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 ht="24" customHeight="1" s="280">
      <c r="A64" s="69" t="n"/>
      <c r="B64" s="70">
        <f>IF(A64="","",IFERROR(VLOOKUP(A64,'Supplier Register'!$A$6:$L$105,2,FALSE),"Not registered"))</f>
        <v/>
      </c>
      <c r="C64" s="304" t="n"/>
      <c r="D64" s="70" t="n"/>
      <c r="E64" s="70" t="n"/>
      <c r="F64" s="287" t="n"/>
      <c r="G64" s="287" t="n"/>
      <c r="H64" s="287" t="n"/>
      <c r="I64" s="287">
        <f>IF(COUNTA(F64:H64)=0,"",ROUND(F64*G64*H64/125*100,0))</f>
        <v/>
      </c>
      <c r="J64" s="70" t="n"/>
      <c r="K64" s="70" t="n"/>
      <c r="L64" s="304" t="n"/>
      <c r="M64" s="71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 ht="24" customHeight="1" s="280">
      <c r="A65" s="69" t="n"/>
      <c r="B65" s="70">
        <f>IF(A65="","",IFERROR(VLOOKUP(A65,'Supplier Register'!$A$6:$L$105,2,FALSE),"Not registered"))</f>
        <v/>
      </c>
      <c r="C65" s="304" t="n"/>
      <c r="D65" s="70" t="n"/>
      <c r="E65" s="70" t="n"/>
      <c r="F65" s="287" t="n"/>
      <c r="G65" s="287" t="n"/>
      <c r="H65" s="287" t="n"/>
      <c r="I65" s="287">
        <f>IF(COUNTA(F65:H65)=0,"",ROUND(F65*G65*H65/125*100,0))</f>
        <v/>
      </c>
      <c r="J65" s="70" t="n"/>
      <c r="K65" s="70" t="n"/>
      <c r="L65" s="304" t="n"/>
      <c r="M65" s="71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 ht="24" customHeight="1" s="280">
      <c r="A66" s="69" t="n"/>
      <c r="B66" s="70">
        <f>IF(A66="","",IFERROR(VLOOKUP(A66,'Supplier Register'!$A$6:$L$105,2,FALSE),"Not registered"))</f>
        <v/>
      </c>
      <c r="C66" s="304" t="n"/>
      <c r="D66" s="70" t="n"/>
      <c r="E66" s="70" t="n"/>
      <c r="F66" s="287" t="n"/>
      <c r="G66" s="287" t="n"/>
      <c r="H66" s="287" t="n"/>
      <c r="I66" s="287">
        <f>IF(COUNTA(F66:H66)=0,"",ROUND(F66*G66*H66/125*100,0))</f>
        <v/>
      </c>
      <c r="J66" s="70" t="n"/>
      <c r="K66" s="70" t="n"/>
      <c r="L66" s="304" t="n"/>
      <c r="M66" s="71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 ht="24" customHeight="1" s="280">
      <c r="A67" s="69" t="n"/>
      <c r="B67" s="70">
        <f>IF(A67="","",IFERROR(VLOOKUP(A67,'Supplier Register'!$A$6:$L$105,2,FALSE),"Not registered"))</f>
        <v/>
      </c>
      <c r="C67" s="304" t="n"/>
      <c r="D67" s="70" t="n"/>
      <c r="E67" s="70" t="n"/>
      <c r="F67" s="287" t="n"/>
      <c r="G67" s="287" t="n"/>
      <c r="H67" s="287" t="n"/>
      <c r="I67" s="287">
        <f>IF(COUNTA(F67:H67)=0,"",ROUND(F67*G67*H67/125*100,0))</f>
        <v/>
      </c>
      <c r="J67" s="70" t="n"/>
      <c r="K67" s="70" t="n"/>
      <c r="L67" s="304" t="n"/>
      <c r="M67" s="71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 ht="24" customHeight="1" s="280">
      <c r="A68" s="69" t="n"/>
      <c r="B68" s="70">
        <f>IF(A68="","",IFERROR(VLOOKUP(A68,'Supplier Register'!$A$6:$L$105,2,FALSE),"Not registered"))</f>
        <v/>
      </c>
      <c r="C68" s="304" t="n"/>
      <c r="D68" s="70" t="n"/>
      <c r="E68" s="70" t="n"/>
      <c r="F68" s="287" t="n"/>
      <c r="G68" s="287" t="n"/>
      <c r="H68" s="287" t="n"/>
      <c r="I68" s="287">
        <f>IF(COUNTA(F68:H68)=0,"",ROUND(F68*G68*H68/125*100,0))</f>
        <v/>
      </c>
      <c r="J68" s="70" t="n"/>
      <c r="K68" s="70" t="n"/>
      <c r="L68" s="304" t="n"/>
      <c r="M68" s="71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 ht="24" customHeight="1" s="280">
      <c r="A69" s="69" t="n"/>
      <c r="B69" s="70">
        <f>IF(A69="","",IFERROR(VLOOKUP(A69,'Supplier Register'!$A$6:$L$105,2,FALSE),"Not registered"))</f>
        <v/>
      </c>
      <c r="C69" s="304" t="n"/>
      <c r="D69" s="70" t="n"/>
      <c r="E69" s="70" t="n"/>
      <c r="F69" s="287" t="n"/>
      <c r="G69" s="287" t="n"/>
      <c r="H69" s="287" t="n"/>
      <c r="I69" s="287">
        <f>IF(COUNTA(F69:H69)=0,"",ROUND(F69*G69*H69/125*100,0))</f>
        <v/>
      </c>
      <c r="J69" s="70" t="n"/>
      <c r="K69" s="70" t="n"/>
      <c r="L69" s="304" t="n"/>
      <c r="M69" s="71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 ht="24" customHeight="1" s="280">
      <c r="A70" s="69" t="n"/>
      <c r="B70" s="70">
        <f>IF(A70="","",IFERROR(VLOOKUP(A70,'Supplier Register'!$A$6:$L$105,2,FALSE),"Not registered"))</f>
        <v/>
      </c>
      <c r="C70" s="304" t="n"/>
      <c r="D70" s="70" t="n"/>
      <c r="E70" s="70" t="n"/>
      <c r="F70" s="287" t="n"/>
      <c r="G70" s="287" t="n"/>
      <c r="H70" s="287" t="n"/>
      <c r="I70" s="287">
        <f>IF(COUNTA(F70:H70)=0,"",ROUND(F70*G70*H70/125*100,0))</f>
        <v/>
      </c>
      <c r="J70" s="70" t="n"/>
      <c r="K70" s="70" t="n"/>
      <c r="L70" s="304" t="n"/>
      <c r="M70" s="71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 ht="24" customHeight="1" s="280">
      <c r="A71" s="69" t="n"/>
      <c r="B71" s="70">
        <f>IF(A71="","",IFERROR(VLOOKUP(A71,'Supplier Register'!$A$6:$L$105,2,FALSE),"Not registered"))</f>
        <v/>
      </c>
      <c r="C71" s="304" t="n"/>
      <c r="D71" s="70" t="n"/>
      <c r="E71" s="70" t="n"/>
      <c r="F71" s="287" t="n"/>
      <c r="G71" s="287" t="n"/>
      <c r="H71" s="287" t="n"/>
      <c r="I71" s="287">
        <f>IF(COUNTA(F71:H71)=0,"",ROUND(F71*G71*H71/125*100,0))</f>
        <v/>
      </c>
      <c r="J71" s="70" t="n"/>
      <c r="K71" s="70" t="n"/>
      <c r="L71" s="304" t="n"/>
      <c r="M71" s="71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 ht="24" customHeight="1" s="280">
      <c r="A72" s="69" t="n"/>
      <c r="B72" s="70">
        <f>IF(A72="","",IFERROR(VLOOKUP(A72,'Supplier Register'!$A$6:$L$105,2,FALSE),"Not registered"))</f>
        <v/>
      </c>
      <c r="C72" s="304" t="n"/>
      <c r="D72" s="70" t="n"/>
      <c r="E72" s="70" t="n"/>
      <c r="F72" s="287" t="n"/>
      <c r="G72" s="287" t="n"/>
      <c r="H72" s="287" t="n"/>
      <c r="I72" s="287">
        <f>IF(COUNTA(F72:H72)=0,"",ROUND(F72*G72*H72/125*100,0))</f>
        <v/>
      </c>
      <c r="J72" s="70" t="n"/>
      <c r="K72" s="70" t="n"/>
      <c r="L72" s="304" t="n"/>
      <c r="M72" s="71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 ht="24" customHeight="1" s="280">
      <c r="A73" s="69" t="n"/>
      <c r="B73" s="70">
        <f>IF(A73="","",IFERROR(VLOOKUP(A73,'Supplier Register'!$A$6:$L$105,2,FALSE),"Not registered"))</f>
        <v/>
      </c>
      <c r="C73" s="304" t="n"/>
      <c r="D73" s="70" t="n"/>
      <c r="E73" s="70" t="n"/>
      <c r="F73" s="287" t="n"/>
      <c r="G73" s="287" t="n"/>
      <c r="H73" s="287" t="n"/>
      <c r="I73" s="287">
        <f>IF(COUNTA(F73:H73)=0,"",ROUND(F73*G73*H73/125*100,0))</f>
        <v/>
      </c>
      <c r="J73" s="70" t="n"/>
      <c r="K73" s="70" t="n"/>
      <c r="L73" s="304" t="n"/>
      <c r="M73" s="71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 ht="24" customHeight="1" s="280">
      <c r="A74" s="69" t="n"/>
      <c r="B74" s="70">
        <f>IF(A74="","",IFERROR(VLOOKUP(A74,'Supplier Register'!$A$6:$L$105,2,FALSE),"Not registered"))</f>
        <v/>
      </c>
      <c r="C74" s="304" t="n"/>
      <c r="D74" s="70" t="n"/>
      <c r="E74" s="70" t="n"/>
      <c r="F74" s="287" t="n"/>
      <c r="G74" s="287" t="n"/>
      <c r="H74" s="287" t="n"/>
      <c r="I74" s="287">
        <f>IF(COUNTA(F74:H74)=0,"",ROUND(F74*G74*H74/125*100,0))</f>
        <v/>
      </c>
      <c r="J74" s="70" t="n"/>
      <c r="K74" s="70" t="n"/>
      <c r="L74" s="304" t="n"/>
      <c r="M74" s="71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 ht="24" customHeight="1" s="280">
      <c r="A75" s="69" t="n"/>
      <c r="B75" s="70">
        <f>IF(A75="","",IFERROR(VLOOKUP(A75,'Supplier Register'!$A$6:$L$105,2,FALSE),"Not registered"))</f>
        <v/>
      </c>
      <c r="C75" s="304" t="n"/>
      <c r="D75" s="70" t="n"/>
      <c r="E75" s="70" t="n"/>
      <c r="F75" s="287" t="n"/>
      <c r="G75" s="287" t="n"/>
      <c r="H75" s="287" t="n"/>
      <c r="I75" s="287">
        <f>IF(COUNTA(F75:H75)=0,"",ROUND(F75*G75*H75/125*100,0))</f>
        <v/>
      </c>
      <c r="J75" s="70" t="n"/>
      <c r="K75" s="70" t="n"/>
      <c r="L75" s="304" t="n"/>
      <c r="M75" s="71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 ht="24" customHeight="1" s="280">
      <c r="A76" s="69" t="n"/>
      <c r="B76" s="70">
        <f>IF(A76="","",IFERROR(VLOOKUP(A76,'Supplier Register'!$A$6:$L$105,2,FALSE),"Not registered"))</f>
        <v/>
      </c>
      <c r="C76" s="304" t="n"/>
      <c r="D76" s="70" t="n"/>
      <c r="E76" s="70" t="n"/>
      <c r="F76" s="287" t="n"/>
      <c r="G76" s="287" t="n"/>
      <c r="H76" s="287" t="n"/>
      <c r="I76" s="287">
        <f>IF(COUNTA(F76:H76)=0,"",ROUND(F76*G76*H76/125*100,0))</f>
        <v/>
      </c>
      <c r="J76" s="70" t="n"/>
      <c r="K76" s="70" t="n"/>
      <c r="L76" s="304" t="n"/>
      <c r="M76" s="71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 ht="24" customHeight="1" s="280">
      <c r="A77" s="69" t="n"/>
      <c r="B77" s="70">
        <f>IF(A77="","",IFERROR(VLOOKUP(A77,'Supplier Register'!$A$6:$L$105,2,FALSE),"Not registered"))</f>
        <v/>
      </c>
      <c r="C77" s="304" t="n"/>
      <c r="D77" s="70" t="n"/>
      <c r="E77" s="70" t="n"/>
      <c r="F77" s="287" t="n"/>
      <c r="G77" s="287" t="n"/>
      <c r="H77" s="287" t="n"/>
      <c r="I77" s="287">
        <f>IF(COUNTA(F77:H77)=0,"",ROUND(F77*G77*H77/125*100,0))</f>
        <v/>
      </c>
      <c r="J77" s="70" t="n"/>
      <c r="K77" s="70" t="n"/>
      <c r="L77" s="304" t="n"/>
      <c r="M77" s="71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 ht="24" customHeight="1" s="280">
      <c r="A78" s="69" t="n"/>
      <c r="B78" s="70">
        <f>IF(A78="","",IFERROR(VLOOKUP(A78,'Supplier Register'!$A$6:$L$105,2,FALSE),"Not registered"))</f>
        <v/>
      </c>
      <c r="C78" s="304" t="n"/>
      <c r="D78" s="70" t="n"/>
      <c r="E78" s="70" t="n"/>
      <c r="F78" s="287" t="n"/>
      <c r="G78" s="287" t="n"/>
      <c r="H78" s="287" t="n"/>
      <c r="I78" s="287">
        <f>IF(COUNTA(F78:H78)=0,"",ROUND(F78*G78*H78/125*100,0))</f>
        <v/>
      </c>
      <c r="J78" s="70" t="n"/>
      <c r="K78" s="70" t="n"/>
      <c r="L78" s="304" t="n"/>
      <c r="M78" s="71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 ht="24" customHeight="1" s="280">
      <c r="A79" s="69" t="n"/>
      <c r="B79" s="70">
        <f>IF(A79="","",IFERROR(VLOOKUP(A79,'Supplier Register'!$A$6:$L$105,2,FALSE),"Not registered"))</f>
        <v/>
      </c>
      <c r="C79" s="304" t="n"/>
      <c r="D79" s="70" t="n"/>
      <c r="E79" s="70" t="n"/>
      <c r="F79" s="287" t="n"/>
      <c r="G79" s="287" t="n"/>
      <c r="H79" s="287" t="n"/>
      <c r="I79" s="287">
        <f>IF(COUNTA(F79:H79)=0,"",ROUND(F79*G79*H79/125*100,0))</f>
        <v/>
      </c>
      <c r="J79" s="70" t="n"/>
      <c r="K79" s="70" t="n"/>
      <c r="L79" s="304" t="n"/>
      <c r="M79" s="71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 ht="24" customHeight="1" s="280">
      <c r="A80" s="69" t="n"/>
      <c r="B80" s="70">
        <f>IF(A80="","",IFERROR(VLOOKUP(A80,'Supplier Register'!$A$6:$L$105,2,FALSE),"Not registered"))</f>
        <v/>
      </c>
      <c r="C80" s="304" t="n"/>
      <c r="D80" s="70" t="n"/>
      <c r="E80" s="70" t="n"/>
      <c r="F80" s="287" t="n"/>
      <c r="G80" s="287" t="n"/>
      <c r="H80" s="287" t="n"/>
      <c r="I80" s="287">
        <f>IF(COUNTA(F80:H80)=0,"",ROUND(F80*G80*H80/125*100,0))</f>
        <v/>
      </c>
      <c r="J80" s="70" t="n"/>
      <c r="K80" s="70" t="n"/>
      <c r="L80" s="304" t="n"/>
      <c r="M80" s="71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 ht="24" customHeight="1" s="280">
      <c r="A81" s="69" t="n"/>
      <c r="B81" s="70">
        <f>IF(A81="","",IFERROR(VLOOKUP(A81,'Supplier Register'!$A$6:$L$105,2,FALSE),"Not registered"))</f>
        <v/>
      </c>
      <c r="C81" s="304" t="n"/>
      <c r="D81" s="70" t="n"/>
      <c r="E81" s="70" t="n"/>
      <c r="F81" s="287" t="n"/>
      <c r="G81" s="287" t="n"/>
      <c r="H81" s="287" t="n"/>
      <c r="I81" s="287">
        <f>IF(COUNTA(F81:H81)=0,"",ROUND(F81*G81*H81/125*100,0))</f>
        <v/>
      </c>
      <c r="J81" s="70" t="n"/>
      <c r="K81" s="70" t="n"/>
      <c r="L81" s="304" t="n"/>
      <c r="M81" s="71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 ht="24" customHeight="1" s="280">
      <c r="A82" s="69" t="n"/>
      <c r="B82" s="70">
        <f>IF(A82="","",IFERROR(VLOOKUP(A82,'Supplier Register'!$A$6:$L$105,2,FALSE),"Not registered"))</f>
        <v/>
      </c>
      <c r="C82" s="304" t="n"/>
      <c r="D82" s="70" t="n"/>
      <c r="E82" s="70" t="n"/>
      <c r="F82" s="287" t="n"/>
      <c r="G82" s="287" t="n"/>
      <c r="H82" s="287" t="n"/>
      <c r="I82" s="287">
        <f>IF(COUNTA(F82:H82)=0,"",ROUND(F82*G82*H82/125*100,0))</f>
        <v/>
      </c>
      <c r="J82" s="70" t="n"/>
      <c r="K82" s="70" t="n"/>
      <c r="L82" s="304" t="n"/>
      <c r="M82" s="71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 ht="24" customHeight="1" s="280">
      <c r="A83" s="69" t="n"/>
      <c r="B83" s="70">
        <f>IF(A83="","",IFERROR(VLOOKUP(A83,'Supplier Register'!$A$6:$L$105,2,FALSE),"Not registered"))</f>
        <v/>
      </c>
      <c r="C83" s="304" t="n"/>
      <c r="D83" s="70" t="n"/>
      <c r="E83" s="70" t="n"/>
      <c r="F83" s="287" t="n"/>
      <c r="G83" s="287" t="n"/>
      <c r="H83" s="287" t="n"/>
      <c r="I83" s="287">
        <f>IF(COUNTA(F83:H83)=0,"",ROUND(F83*G83*H83/125*100,0))</f>
        <v/>
      </c>
      <c r="J83" s="70" t="n"/>
      <c r="K83" s="70" t="n"/>
      <c r="L83" s="304" t="n"/>
      <c r="M83" s="71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 ht="24" customHeight="1" s="280">
      <c r="A84" s="69" t="n"/>
      <c r="B84" s="70">
        <f>IF(A84="","",IFERROR(VLOOKUP(A84,'Supplier Register'!$A$6:$L$105,2,FALSE),"Not registered"))</f>
        <v/>
      </c>
      <c r="C84" s="304" t="n"/>
      <c r="D84" s="70" t="n"/>
      <c r="E84" s="70" t="n"/>
      <c r="F84" s="287" t="n"/>
      <c r="G84" s="287" t="n"/>
      <c r="H84" s="287" t="n"/>
      <c r="I84" s="287">
        <f>IF(COUNTA(F84:H84)=0,"",ROUND(F84*G84*H84/125*100,0))</f>
        <v/>
      </c>
      <c r="J84" s="70" t="n"/>
      <c r="K84" s="70" t="n"/>
      <c r="L84" s="304" t="n"/>
      <c r="M84" s="71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 ht="24" customHeight="1" s="280">
      <c r="A85" s="69" t="n"/>
      <c r="B85" s="70">
        <f>IF(A85="","",IFERROR(VLOOKUP(A85,'Supplier Register'!$A$6:$L$105,2,FALSE),"Not registered"))</f>
        <v/>
      </c>
      <c r="C85" s="304" t="n"/>
      <c r="D85" s="70" t="n"/>
      <c r="E85" s="70" t="n"/>
      <c r="F85" s="287" t="n"/>
      <c r="G85" s="287" t="n"/>
      <c r="H85" s="287" t="n"/>
      <c r="I85" s="287">
        <f>IF(COUNTA(F85:H85)=0,"",ROUND(F85*G85*H85/125*100,0))</f>
        <v/>
      </c>
      <c r="J85" s="70" t="n"/>
      <c r="K85" s="70" t="n"/>
      <c r="L85" s="304" t="n"/>
      <c r="M85" s="71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 ht="24" customHeight="1" s="280">
      <c r="A86" s="69" t="n"/>
      <c r="B86" s="70">
        <f>IF(A86="","",IFERROR(VLOOKUP(A86,'Supplier Register'!$A$6:$L$105,2,FALSE),"Not registered"))</f>
        <v/>
      </c>
      <c r="C86" s="304" t="n"/>
      <c r="D86" s="70" t="n"/>
      <c r="E86" s="70" t="n"/>
      <c r="F86" s="287" t="n"/>
      <c r="G86" s="287" t="n"/>
      <c r="H86" s="287" t="n"/>
      <c r="I86" s="287">
        <f>IF(COUNTA(F86:H86)=0,"",ROUND(F86*G86*H86/125*100,0))</f>
        <v/>
      </c>
      <c r="J86" s="70" t="n"/>
      <c r="K86" s="70" t="n"/>
      <c r="L86" s="304" t="n"/>
      <c r="M86" s="71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 ht="24" customHeight="1" s="280">
      <c r="A87" s="69" t="n"/>
      <c r="B87" s="70">
        <f>IF(A87="","",IFERROR(VLOOKUP(A87,'Supplier Register'!$A$6:$L$105,2,FALSE),"Not registered"))</f>
        <v/>
      </c>
      <c r="C87" s="304" t="n"/>
      <c r="D87" s="70" t="n"/>
      <c r="E87" s="70" t="n"/>
      <c r="F87" s="287" t="n"/>
      <c r="G87" s="287" t="n"/>
      <c r="H87" s="287" t="n"/>
      <c r="I87" s="287">
        <f>IF(COUNTA(F87:H87)=0,"",ROUND(F87*G87*H87/125*100,0))</f>
        <v/>
      </c>
      <c r="J87" s="70" t="n"/>
      <c r="K87" s="70" t="n"/>
      <c r="L87" s="304" t="n"/>
      <c r="M87" s="71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 ht="24" customHeight="1" s="280">
      <c r="A88" s="69" t="n"/>
      <c r="B88" s="70">
        <f>IF(A88="","",IFERROR(VLOOKUP(A88,'Supplier Register'!$A$6:$L$105,2,FALSE),"Not registered"))</f>
        <v/>
      </c>
      <c r="C88" s="304" t="n"/>
      <c r="D88" s="70" t="n"/>
      <c r="E88" s="70" t="n"/>
      <c r="F88" s="287" t="n"/>
      <c r="G88" s="287" t="n"/>
      <c r="H88" s="287" t="n"/>
      <c r="I88" s="287">
        <f>IF(COUNTA(F88:H88)=0,"",ROUND(F88*G88*H88/125*100,0))</f>
        <v/>
      </c>
      <c r="J88" s="70" t="n"/>
      <c r="K88" s="70" t="n"/>
      <c r="L88" s="304" t="n"/>
      <c r="M88" s="71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 ht="24" customHeight="1" s="280">
      <c r="A89" s="69" t="n"/>
      <c r="B89" s="70">
        <f>IF(A89="","",IFERROR(VLOOKUP(A89,'Supplier Register'!$A$6:$L$105,2,FALSE),"Not registered"))</f>
        <v/>
      </c>
      <c r="C89" s="304" t="n"/>
      <c r="D89" s="70" t="n"/>
      <c r="E89" s="70" t="n"/>
      <c r="F89" s="287" t="n"/>
      <c r="G89" s="287" t="n"/>
      <c r="H89" s="287" t="n"/>
      <c r="I89" s="287">
        <f>IF(COUNTA(F89:H89)=0,"",ROUND(F89*G89*H89/125*100,0))</f>
        <v/>
      </c>
      <c r="J89" s="70" t="n"/>
      <c r="K89" s="70" t="n"/>
      <c r="L89" s="304" t="n"/>
      <c r="M89" s="71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 ht="24" customHeight="1" s="280">
      <c r="A90" s="69" t="n"/>
      <c r="B90" s="70">
        <f>IF(A90="","",IFERROR(VLOOKUP(A90,'Supplier Register'!$A$6:$L$105,2,FALSE),"Not registered"))</f>
        <v/>
      </c>
      <c r="C90" s="304" t="n"/>
      <c r="D90" s="70" t="n"/>
      <c r="E90" s="70" t="n"/>
      <c r="F90" s="287" t="n"/>
      <c r="G90" s="287" t="n"/>
      <c r="H90" s="287" t="n"/>
      <c r="I90" s="287">
        <f>IF(COUNTA(F90:H90)=0,"",ROUND(F90*G90*H90/125*100,0))</f>
        <v/>
      </c>
      <c r="J90" s="70" t="n"/>
      <c r="K90" s="70" t="n"/>
      <c r="L90" s="304" t="n"/>
      <c r="M90" s="71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 ht="24" customHeight="1" s="280">
      <c r="A91" s="69" t="n"/>
      <c r="B91" s="70">
        <f>IF(A91="","",IFERROR(VLOOKUP(A91,'Supplier Register'!$A$6:$L$105,2,FALSE),"Not registered"))</f>
        <v/>
      </c>
      <c r="C91" s="304" t="n"/>
      <c r="D91" s="70" t="n"/>
      <c r="E91" s="70" t="n"/>
      <c r="F91" s="287" t="n"/>
      <c r="G91" s="287" t="n"/>
      <c r="H91" s="287" t="n"/>
      <c r="I91" s="287">
        <f>IF(COUNTA(F91:H91)=0,"",ROUND(F91*G91*H91/125*100,0))</f>
        <v/>
      </c>
      <c r="J91" s="70" t="n"/>
      <c r="K91" s="70" t="n"/>
      <c r="L91" s="304" t="n"/>
      <c r="M91" s="71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 ht="24" customHeight="1" s="280">
      <c r="A92" s="69" t="n"/>
      <c r="B92" s="70">
        <f>IF(A92="","",IFERROR(VLOOKUP(A92,'Supplier Register'!$A$6:$L$105,2,FALSE),"Not registered"))</f>
        <v/>
      </c>
      <c r="C92" s="304" t="n"/>
      <c r="D92" s="70" t="n"/>
      <c r="E92" s="70" t="n"/>
      <c r="F92" s="287" t="n"/>
      <c r="G92" s="287" t="n"/>
      <c r="H92" s="287" t="n"/>
      <c r="I92" s="287">
        <f>IF(COUNTA(F92:H92)=0,"",ROUND(F92*G92*H92/125*100,0))</f>
        <v/>
      </c>
      <c r="J92" s="70" t="n"/>
      <c r="K92" s="70" t="n"/>
      <c r="L92" s="304" t="n"/>
      <c r="M92" s="71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 ht="24" customHeight="1" s="280">
      <c r="A93" s="69" t="n"/>
      <c r="B93" s="70">
        <f>IF(A93="","",IFERROR(VLOOKUP(A93,'Supplier Register'!$A$6:$L$105,2,FALSE),"Not registered"))</f>
        <v/>
      </c>
      <c r="C93" s="304" t="n"/>
      <c r="D93" s="70" t="n"/>
      <c r="E93" s="70" t="n"/>
      <c r="F93" s="287" t="n"/>
      <c r="G93" s="287" t="n"/>
      <c r="H93" s="287" t="n"/>
      <c r="I93" s="287">
        <f>IF(COUNTA(F93:H93)=0,"",ROUND(F93*G93*H93/125*100,0))</f>
        <v/>
      </c>
      <c r="J93" s="70" t="n"/>
      <c r="K93" s="70" t="n"/>
      <c r="L93" s="304" t="n"/>
      <c r="M93" s="71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 ht="24" customHeight="1" s="280">
      <c r="A94" s="69" t="n"/>
      <c r="B94" s="70">
        <f>IF(A94="","",IFERROR(VLOOKUP(A94,'Supplier Register'!$A$6:$L$105,2,FALSE),"Not registered"))</f>
        <v/>
      </c>
      <c r="C94" s="304" t="n"/>
      <c r="D94" s="70" t="n"/>
      <c r="E94" s="70" t="n"/>
      <c r="F94" s="287" t="n"/>
      <c r="G94" s="287" t="n"/>
      <c r="H94" s="287" t="n"/>
      <c r="I94" s="287">
        <f>IF(COUNTA(F94:H94)=0,"",ROUND(F94*G94*H94/125*100,0))</f>
        <v/>
      </c>
      <c r="J94" s="70" t="n"/>
      <c r="K94" s="70" t="n"/>
      <c r="L94" s="304" t="n"/>
      <c r="M94" s="71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 ht="24" customHeight="1" s="280">
      <c r="A95" s="69" t="n"/>
      <c r="B95" s="70">
        <f>IF(A95="","",IFERROR(VLOOKUP(A95,'Supplier Register'!$A$6:$L$105,2,FALSE),"Not registered"))</f>
        <v/>
      </c>
      <c r="C95" s="304" t="n"/>
      <c r="D95" s="70" t="n"/>
      <c r="E95" s="70" t="n"/>
      <c r="F95" s="287" t="n"/>
      <c r="G95" s="287" t="n"/>
      <c r="H95" s="287" t="n"/>
      <c r="I95" s="287">
        <f>IF(COUNTA(F95:H95)=0,"",ROUND(F95*G95*H95/125*100,0))</f>
        <v/>
      </c>
      <c r="J95" s="70" t="n"/>
      <c r="K95" s="70" t="n"/>
      <c r="L95" s="304" t="n"/>
      <c r="M95" s="71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 ht="24" customHeight="1" s="280">
      <c r="A96" s="69" t="n"/>
      <c r="B96" s="70">
        <f>IF(A96="","",IFERROR(VLOOKUP(A96,'Supplier Register'!$A$6:$L$105,2,FALSE),"Not registered"))</f>
        <v/>
      </c>
      <c r="C96" s="304" t="n"/>
      <c r="D96" s="70" t="n"/>
      <c r="E96" s="70" t="n"/>
      <c r="F96" s="287" t="n"/>
      <c r="G96" s="287" t="n"/>
      <c r="H96" s="287" t="n"/>
      <c r="I96" s="287">
        <f>IF(COUNTA(F96:H96)=0,"",ROUND(F96*G96*H96/125*100,0))</f>
        <v/>
      </c>
      <c r="J96" s="70" t="n"/>
      <c r="K96" s="70" t="n"/>
      <c r="L96" s="304" t="n"/>
      <c r="M96" s="71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 ht="24" customHeight="1" s="280">
      <c r="A97" s="69" t="n"/>
      <c r="B97" s="70">
        <f>IF(A97="","",IFERROR(VLOOKUP(A97,'Supplier Register'!$A$6:$L$105,2,FALSE),"Not registered"))</f>
        <v/>
      </c>
      <c r="C97" s="304" t="n"/>
      <c r="D97" s="70" t="n"/>
      <c r="E97" s="70" t="n"/>
      <c r="F97" s="287" t="n"/>
      <c r="G97" s="287" t="n"/>
      <c r="H97" s="287" t="n"/>
      <c r="I97" s="287">
        <f>IF(COUNTA(F97:H97)=0,"",ROUND(F97*G97*H97/125*100,0))</f>
        <v/>
      </c>
      <c r="J97" s="70" t="n"/>
      <c r="K97" s="70" t="n"/>
      <c r="L97" s="304" t="n"/>
      <c r="M97" s="71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 ht="24" customHeight="1" s="280">
      <c r="A98" s="69" t="n"/>
      <c r="B98" s="70">
        <f>IF(A98="","",IFERROR(VLOOKUP(A98,'Supplier Register'!$A$6:$L$105,2,FALSE),"Not registered"))</f>
        <v/>
      </c>
      <c r="C98" s="304" t="n"/>
      <c r="D98" s="70" t="n"/>
      <c r="E98" s="70" t="n"/>
      <c r="F98" s="287" t="n"/>
      <c r="G98" s="287" t="n"/>
      <c r="H98" s="287" t="n"/>
      <c r="I98" s="287">
        <f>IF(COUNTA(F98:H98)=0,"",ROUND(F98*G98*H98/125*100,0))</f>
        <v/>
      </c>
      <c r="J98" s="70" t="n"/>
      <c r="K98" s="70" t="n"/>
      <c r="L98" s="304" t="n"/>
      <c r="M98" s="71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 ht="24" customHeight="1" s="280">
      <c r="A99" s="69" t="n"/>
      <c r="B99" s="70">
        <f>IF(A99="","",IFERROR(VLOOKUP(A99,'Supplier Register'!$A$6:$L$105,2,FALSE),"Not registered"))</f>
        <v/>
      </c>
      <c r="C99" s="304" t="n"/>
      <c r="D99" s="70" t="n"/>
      <c r="E99" s="70" t="n"/>
      <c r="F99" s="287" t="n"/>
      <c r="G99" s="287" t="n"/>
      <c r="H99" s="287" t="n"/>
      <c r="I99" s="287">
        <f>IF(COUNTA(F99:H99)=0,"",ROUND(F99*G99*H99/125*100,0))</f>
        <v/>
      </c>
      <c r="J99" s="70" t="n"/>
      <c r="K99" s="70" t="n"/>
      <c r="L99" s="304" t="n"/>
      <c r="M99" s="71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 ht="24" customHeight="1" s="280">
      <c r="A100" s="69" t="n"/>
      <c r="B100" s="70">
        <f>IF(A100="","",IFERROR(VLOOKUP(A100,'Supplier Register'!$A$6:$L$105,2,FALSE),"Not registered"))</f>
        <v/>
      </c>
      <c r="C100" s="304" t="n"/>
      <c r="D100" s="70" t="n"/>
      <c r="E100" s="70" t="n"/>
      <c r="F100" s="287" t="n"/>
      <c r="G100" s="287" t="n"/>
      <c r="H100" s="287" t="n"/>
      <c r="I100" s="287">
        <f>IF(COUNTA(F100:H100)=0,"",ROUND(F100*G100*H100/125*100,0))</f>
        <v/>
      </c>
      <c r="J100" s="70" t="n"/>
      <c r="K100" s="70" t="n"/>
      <c r="L100" s="304" t="n"/>
      <c r="M100" s="71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 ht="24" customHeight="1" s="280">
      <c r="A101" s="69" t="n"/>
      <c r="B101" s="70">
        <f>IF(A101="","",IFERROR(VLOOKUP(A101,'Supplier Register'!$A$6:$L$105,2,FALSE),"Not registered"))</f>
        <v/>
      </c>
      <c r="C101" s="304" t="n"/>
      <c r="D101" s="70" t="n"/>
      <c r="E101" s="70" t="n"/>
      <c r="F101" s="287" t="n"/>
      <c r="G101" s="287" t="n"/>
      <c r="H101" s="287" t="n"/>
      <c r="I101" s="287">
        <f>IF(COUNTA(F101:H101)=0,"",ROUND(F101*G101*H101/125*100,0))</f>
        <v/>
      </c>
      <c r="J101" s="70" t="n"/>
      <c r="K101" s="70" t="n"/>
      <c r="L101" s="304" t="n"/>
      <c r="M101" s="71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 ht="24" customHeight="1" s="280">
      <c r="A102" s="69" t="n"/>
      <c r="B102" s="70">
        <f>IF(A102="","",IFERROR(VLOOKUP(A102,'Supplier Register'!$A$6:$L$105,2,FALSE),"Not registered"))</f>
        <v/>
      </c>
      <c r="C102" s="304" t="n"/>
      <c r="D102" s="70" t="n"/>
      <c r="E102" s="70" t="n"/>
      <c r="F102" s="287" t="n"/>
      <c r="G102" s="287" t="n"/>
      <c r="H102" s="287" t="n"/>
      <c r="I102" s="287">
        <f>IF(COUNTA(F102:H102)=0,"",ROUND(F102*G102*H102/125*100,0))</f>
        <v/>
      </c>
      <c r="J102" s="70" t="n"/>
      <c r="K102" s="70" t="n"/>
      <c r="L102" s="304" t="n"/>
      <c r="M102" s="71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 ht="24" customHeight="1" s="280">
      <c r="A103" s="69" t="n"/>
      <c r="B103" s="70">
        <f>IF(A103="","",IFERROR(VLOOKUP(A103,'Supplier Register'!$A$6:$L$105,2,FALSE),"Not registered"))</f>
        <v/>
      </c>
      <c r="C103" s="304" t="n"/>
      <c r="D103" s="70" t="n"/>
      <c r="E103" s="70" t="n"/>
      <c r="F103" s="287" t="n"/>
      <c r="G103" s="287" t="n"/>
      <c r="H103" s="287" t="n"/>
      <c r="I103" s="287">
        <f>IF(COUNTA(F103:H103)=0,"",ROUND(F103*G103*H103/125*100,0))</f>
        <v/>
      </c>
      <c r="J103" s="70" t="n"/>
      <c r="K103" s="70" t="n"/>
      <c r="L103" s="304" t="n"/>
      <c r="M103" s="71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 ht="24" customHeight="1" s="280">
      <c r="A104" s="69" t="n"/>
      <c r="B104" s="70">
        <f>IF(A104="","",IFERROR(VLOOKUP(A104,'Supplier Register'!$A$6:$L$105,2,FALSE),"Not registered"))</f>
        <v/>
      </c>
      <c r="C104" s="304" t="n"/>
      <c r="D104" s="70" t="n"/>
      <c r="E104" s="70" t="n"/>
      <c r="F104" s="287" t="n"/>
      <c r="G104" s="287" t="n"/>
      <c r="H104" s="287" t="n"/>
      <c r="I104" s="287">
        <f>IF(COUNTA(F104:H104)=0,"",ROUND(F104*G104*H104/125*100,0))</f>
        <v/>
      </c>
      <c r="J104" s="70" t="n"/>
      <c r="K104" s="70" t="n"/>
      <c r="L104" s="304" t="n"/>
      <c r="M104" s="71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 ht="24" customHeight="1" s="280">
      <c r="A105" s="69" t="n"/>
      <c r="B105" s="70">
        <f>IF(A105="","",IFERROR(VLOOKUP(A105,'Supplier Register'!$A$6:$L$105,2,FALSE),"Not registered"))</f>
        <v/>
      </c>
      <c r="C105" s="304" t="n"/>
      <c r="D105" s="70" t="n"/>
      <c r="E105" s="70" t="n"/>
      <c r="F105" s="287" t="n"/>
      <c r="G105" s="287" t="n"/>
      <c r="H105" s="287" t="n"/>
      <c r="I105" s="287">
        <f>IF(COUNTA(F105:H105)=0,"",ROUND(F105*G105*H105/125*100,0))</f>
        <v/>
      </c>
      <c r="J105" s="70" t="n"/>
      <c r="K105" s="70" t="n"/>
      <c r="L105" s="304" t="n"/>
      <c r="M105" s="71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 ht="24" customHeight="1" s="280">
      <c r="A106" s="69" t="n"/>
      <c r="B106" s="70">
        <f>IF(A106="","",IFERROR(VLOOKUP(A106,'Supplier Register'!$A$6:$L$105,2,FALSE),"Not registered"))</f>
        <v/>
      </c>
      <c r="C106" s="304" t="n"/>
      <c r="D106" s="70" t="n"/>
      <c r="E106" s="70" t="n"/>
      <c r="F106" s="287" t="n"/>
      <c r="G106" s="287" t="n"/>
      <c r="H106" s="287" t="n"/>
      <c r="I106" s="287">
        <f>IF(COUNTA(F106:H106)=0,"",ROUND(F106*G106*H106/125*100,0))</f>
        <v/>
      </c>
      <c r="J106" s="70" t="n"/>
      <c r="K106" s="70" t="n"/>
      <c r="L106" s="304" t="n"/>
      <c r="M106" s="71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 ht="24" customHeight="1" s="280">
      <c r="A107" s="69" t="n"/>
      <c r="B107" s="70">
        <f>IF(A107="","",IFERROR(VLOOKUP(A107,'Supplier Register'!$A$6:$L$105,2,FALSE),"Not registered"))</f>
        <v/>
      </c>
      <c r="C107" s="304" t="n"/>
      <c r="D107" s="70" t="n"/>
      <c r="E107" s="70" t="n"/>
      <c r="F107" s="287" t="n"/>
      <c r="G107" s="287" t="n"/>
      <c r="H107" s="287" t="n"/>
      <c r="I107" s="287">
        <f>IF(COUNTA(F107:H107)=0,"",ROUND(F107*G107*H107/125*100,0))</f>
        <v/>
      </c>
      <c r="J107" s="70" t="n"/>
      <c r="K107" s="70" t="n"/>
      <c r="L107" s="304" t="n"/>
      <c r="M107" s="71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 ht="24" customHeight="1" s="280">
      <c r="A108" s="69" t="n"/>
      <c r="B108" s="70">
        <f>IF(A108="","",IFERROR(VLOOKUP(A108,'Supplier Register'!$A$6:$L$105,2,FALSE),"Not registered"))</f>
        <v/>
      </c>
      <c r="C108" s="304" t="n"/>
      <c r="D108" s="70" t="n"/>
      <c r="E108" s="70" t="n"/>
      <c r="F108" s="287" t="n"/>
      <c r="G108" s="287" t="n"/>
      <c r="H108" s="287" t="n"/>
      <c r="I108" s="287">
        <f>IF(COUNTA(F108:H108)=0,"",ROUND(F108*G108*H108/125*100,0))</f>
        <v/>
      </c>
      <c r="J108" s="70" t="n"/>
      <c r="K108" s="70" t="n"/>
      <c r="L108" s="304" t="n"/>
      <c r="M108" s="71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 ht="24" customHeight="1" s="280">
      <c r="A109" s="69" t="n"/>
      <c r="B109" s="70">
        <f>IF(A109="","",IFERROR(VLOOKUP(A109,'Supplier Register'!$A$6:$L$105,2,FALSE),"Not registered"))</f>
        <v/>
      </c>
      <c r="C109" s="304" t="n"/>
      <c r="D109" s="70" t="n"/>
      <c r="E109" s="70" t="n"/>
      <c r="F109" s="287" t="n"/>
      <c r="G109" s="287" t="n"/>
      <c r="H109" s="287" t="n"/>
      <c r="I109" s="287">
        <f>IF(COUNTA(F109:H109)=0,"",ROUND(F109*G109*H109/125*100,0))</f>
        <v/>
      </c>
      <c r="J109" s="70" t="n"/>
      <c r="K109" s="70" t="n"/>
      <c r="L109" s="304" t="n"/>
      <c r="M109" s="71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 ht="24" customHeight="1" s="280">
      <c r="A110" s="69" t="n"/>
      <c r="B110" s="70">
        <f>IF(A110="","",IFERROR(VLOOKUP(A110,'Supplier Register'!$A$6:$L$105,2,FALSE),"Not registered"))</f>
        <v/>
      </c>
      <c r="C110" s="304" t="n"/>
      <c r="D110" s="70" t="n"/>
      <c r="E110" s="70" t="n"/>
      <c r="F110" s="287" t="n"/>
      <c r="G110" s="287" t="n"/>
      <c r="H110" s="287" t="n"/>
      <c r="I110" s="287">
        <f>IF(COUNTA(F110:H110)=0,"",ROUND(F110*G110*H110/125*100,0))</f>
        <v/>
      </c>
      <c r="J110" s="70" t="n"/>
      <c r="K110" s="70" t="n"/>
      <c r="L110" s="304" t="n"/>
      <c r="M110" s="71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 ht="24" customHeight="1" s="280">
      <c r="A111" s="69" t="n"/>
      <c r="B111" s="70">
        <f>IF(A111="","",IFERROR(VLOOKUP(A111,'Supplier Register'!$A$6:$L$105,2,FALSE),"Not registered"))</f>
        <v/>
      </c>
      <c r="C111" s="304" t="n"/>
      <c r="D111" s="70" t="n"/>
      <c r="E111" s="70" t="n"/>
      <c r="F111" s="287" t="n"/>
      <c r="G111" s="287" t="n"/>
      <c r="H111" s="287" t="n"/>
      <c r="I111" s="287">
        <f>IF(COUNTA(F111:H111)=0,"",ROUND(F111*G111*H111/125*100,0))</f>
        <v/>
      </c>
      <c r="J111" s="70" t="n"/>
      <c r="K111" s="70" t="n"/>
      <c r="L111" s="304" t="n"/>
      <c r="M111" s="71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 ht="24" customHeight="1" s="280">
      <c r="A112" s="69" t="n"/>
      <c r="B112" s="70">
        <f>IF(A112="","",IFERROR(VLOOKUP(A112,'Supplier Register'!$A$6:$L$105,2,FALSE),"Not registered"))</f>
        <v/>
      </c>
      <c r="C112" s="304" t="n"/>
      <c r="D112" s="70" t="n"/>
      <c r="E112" s="70" t="n"/>
      <c r="F112" s="287" t="n"/>
      <c r="G112" s="287" t="n"/>
      <c r="H112" s="287" t="n"/>
      <c r="I112" s="287">
        <f>IF(COUNTA(F112:H112)=0,"",ROUND(F112*G112*H112/125*100,0))</f>
        <v/>
      </c>
      <c r="J112" s="70" t="n"/>
      <c r="K112" s="70" t="n"/>
      <c r="L112" s="304" t="n"/>
      <c r="M112" s="71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 ht="24" customHeight="1" s="280">
      <c r="A113" s="69" t="n"/>
      <c r="B113" s="70">
        <f>IF(A113="","",IFERROR(VLOOKUP(A113,'Supplier Register'!$A$6:$L$105,2,FALSE),"Not registered"))</f>
        <v/>
      </c>
      <c r="C113" s="304" t="n"/>
      <c r="D113" s="70" t="n"/>
      <c r="E113" s="70" t="n"/>
      <c r="F113" s="287" t="n"/>
      <c r="G113" s="287" t="n"/>
      <c r="H113" s="287" t="n"/>
      <c r="I113" s="287">
        <f>IF(COUNTA(F113:H113)=0,"",ROUND(F113*G113*H113/125*100,0))</f>
        <v/>
      </c>
      <c r="J113" s="70" t="n"/>
      <c r="K113" s="70" t="n"/>
      <c r="L113" s="304" t="n"/>
      <c r="M113" s="71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 ht="24" customHeight="1" s="280">
      <c r="A114" s="69" t="n"/>
      <c r="B114" s="70">
        <f>IF(A114="","",IFERROR(VLOOKUP(A114,'Supplier Register'!$A$6:$L$105,2,FALSE),"Not registered"))</f>
        <v/>
      </c>
      <c r="C114" s="304" t="n"/>
      <c r="D114" s="70" t="n"/>
      <c r="E114" s="70" t="n"/>
      <c r="F114" s="287" t="n"/>
      <c r="G114" s="287" t="n"/>
      <c r="H114" s="287" t="n"/>
      <c r="I114" s="287">
        <f>IF(COUNTA(F114:H114)=0,"",ROUND(F114*G114*H114/125*100,0))</f>
        <v/>
      </c>
      <c r="J114" s="70" t="n"/>
      <c r="K114" s="70" t="n"/>
      <c r="L114" s="304" t="n"/>
      <c r="M114" s="71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 ht="24" customHeight="1" s="280">
      <c r="A115" s="69" t="n"/>
      <c r="B115" s="70">
        <f>IF(A115="","",IFERROR(VLOOKUP(A115,'Supplier Register'!$A$6:$L$105,2,FALSE),"Not registered"))</f>
        <v/>
      </c>
      <c r="C115" s="304" t="n"/>
      <c r="D115" s="70" t="n"/>
      <c r="E115" s="70" t="n"/>
      <c r="F115" s="287" t="n"/>
      <c r="G115" s="287" t="n"/>
      <c r="H115" s="287" t="n"/>
      <c r="I115" s="287">
        <f>IF(COUNTA(F115:H115)=0,"",ROUND(F115*G115*H115/125*100,0))</f>
        <v/>
      </c>
      <c r="J115" s="70" t="n"/>
      <c r="K115" s="70" t="n"/>
      <c r="L115" s="304" t="n"/>
      <c r="M115" s="71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 ht="24" customHeight="1" s="280">
      <c r="A116" s="69" t="n"/>
      <c r="B116" s="70">
        <f>IF(A116="","",IFERROR(VLOOKUP(A116,'Supplier Register'!$A$6:$L$105,2,FALSE),"Not registered"))</f>
        <v/>
      </c>
      <c r="C116" s="304" t="n"/>
      <c r="D116" s="70" t="n"/>
      <c r="E116" s="70" t="n"/>
      <c r="F116" s="287" t="n"/>
      <c r="G116" s="287" t="n"/>
      <c r="H116" s="287" t="n"/>
      <c r="I116" s="287">
        <f>IF(COUNTA(F116:H116)=0,"",ROUND(F116*G116*H116/125*100,0))</f>
        <v/>
      </c>
      <c r="J116" s="70" t="n"/>
      <c r="K116" s="70" t="n"/>
      <c r="L116" s="304" t="n"/>
      <c r="M116" s="71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 ht="24" customHeight="1" s="280">
      <c r="A117" s="69" t="n"/>
      <c r="B117" s="70">
        <f>IF(A117="","",IFERROR(VLOOKUP(A117,'Supplier Register'!$A$6:$L$105,2,FALSE),"Not registered"))</f>
        <v/>
      </c>
      <c r="C117" s="304" t="n"/>
      <c r="D117" s="70" t="n"/>
      <c r="E117" s="70" t="n"/>
      <c r="F117" s="287" t="n"/>
      <c r="G117" s="287" t="n"/>
      <c r="H117" s="287" t="n"/>
      <c r="I117" s="287">
        <f>IF(COUNTA(F117:H117)=0,"",ROUND(F117*G117*H117/125*100,0))</f>
        <v/>
      </c>
      <c r="J117" s="70" t="n"/>
      <c r="K117" s="70" t="n"/>
      <c r="L117" s="304" t="n"/>
      <c r="M117" s="71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 ht="24" customHeight="1" s="280">
      <c r="A118" s="69" t="n"/>
      <c r="B118" s="70">
        <f>IF(A118="","",IFERROR(VLOOKUP(A118,'Supplier Register'!$A$6:$L$105,2,FALSE),"Not registered"))</f>
        <v/>
      </c>
      <c r="C118" s="304" t="n"/>
      <c r="D118" s="70" t="n"/>
      <c r="E118" s="70" t="n"/>
      <c r="F118" s="287" t="n"/>
      <c r="G118" s="287" t="n"/>
      <c r="H118" s="287" t="n"/>
      <c r="I118" s="287">
        <f>IF(COUNTA(F118:H118)=0,"",ROUND(F118*G118*H118/125*100,0))</f>
        <v/>
      </c>
      <c r="J118" s="70" t="n"/>
      <c r="K118" s="70" t="n"/>
      <c r="L118" s="304" t="n"/>
      <c r="M118" s="71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 ht="24" customHeight="1" s="280">
      <c r="A119" s="69" t="n"/>
      <c r="B119" s="70">
        <f>IF(A119="","",IFERROR(VLOOKUP(A119,'Supplier Register'!$A$6:$L$105,2,FALSE),"Not registered"))</f>
        <v/>
      </c>
      <c r="C119" s="304" t="n"/>
      <c r="D119" s="70" t="n"/>
      <c r="E119" s="70" t="n"/>
      <c r="F119" s="287" t="n"/>
      <c r="G119" s="287" t="n"/>
      <c r="H119" s="287" t="n"/>
      <c r="I119" s="287">
        <f>IF(COUNTA(F119:H119)=0,"",ROUND(F119*G119*H119/125*100,0))</f>
        <v/>
      </c>
      <c r="J119" s="70" t="n"/>
      <c r="K119" s="70" t="n"/>
      <c r="L119" s="304" t="n"/>
      <c r="M119" s="71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 ht="24" customHeight="1" s="280">
      <c r="A120" s="69" t="n"/>
      <c r="B120" s="70">
        <f>IF(A120="","",IFERROR(VLOOKUP(A120,'Supplier Register'!$A$6:$L$105,2,FALSE),"Not registered"))</f>
        <v/>
      </c>
      <c r="C120" s="304" t="n"/>
      <c r="D120" s="70" t="n"/>
      <c r="E120" s="70" t="n"/>
      <c r="F120" s="287" t="n"/>
      <c r="G120" s="287" t="n"/>
      <c r="H120" s="287" t="n"/>
      <c r="I120" s="287">
        <f>IF(COUNTA(F120:H120)=0,"",ROUND(F120*G120*H120/125*100,0))</f>
        <v/>
      </c>
      <c r="J120" s="70" t="n"/>
      <c r="K120" s="70" t="n"/>
      <c r="L120" s="304" t="n"/>
      <c r="M120" s="71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 ht="24" customHeight="1" s="280">
      <c r="A121" s="69" t="n"/>
      <c r="B121" s="70">
        <f>IF(A121="","",IFERROR(VLOOKUP(A121,'Supplier Register'!$A$6:$L$105,2,FALSE),"Not registered"))</f>
        <v/>
      </c>
      <c r="C121" s="304" t="n"/>
      <c r="D121" s="70" t="n"/>
      <c r="E121" s="70" t="n"/>
      <c r="F121" s="287" t="n"/>
      <c r="G121" s="287" t="n"/>
      <c r="H121" s="287" t="n"/>
      <c r="I121" s="287">
        <f>IF(COUNTA(F121:H121)=0,"",ROUND(F121*G121*H121/125*100,0))</f>
        <v/>
      </c>
      <c r="J121" s="70" t="n"/>
      <c r="K121" s="70" t="n"/>
      <c r="L121" s="304" t="n"/>
      <c r="M121" s="71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 ht="24" customHeight="1" s="280">
      <c r="A122" s="69" t="n"/>
      <c r="B122" s="70">
        <f>IF(A122="","",IFERROR(VLOOKUP(A122,'Supplier Register'!$A$6:$L$105,2,FALSE),"Not registered"))</f>
        <v/>
      </c>
      <c r="C122" s="304" t="n"/>
      <c r="D122" s="70" t="n"/>
      <c r="E122" s="70" t="n"/>
      <c r="F122" s="287" t="n"/>
      <c r="G122" s="287" t="n"/>
      <c r="H122" s="287" t="n"/>
      <c r="I122" s="287">
        <f>IF(COUNTA(F122:H122)=0,"",ROUND(F122*G122*H122/125*100,0))</f>
        <v/>
      </c>
      <c r="J122" s="70" t="n"/>
      <c r="K122" s="70" t="n"/>
      <c r="L122" s="304" t="n"/>
      <c r="M122" s="71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 ht="24" customHeight="1" s="280">
      <c r="A123" s="69" t="n"/>
      <c r="B123" s="70">
        <f>IF(A123="","",IFERROR(VLOOKUP(A123,'Supplier Register'!$A$6:$L$105,2,FALSE),"Not registered"))</f>
        <v/>
      </c>
      <c r="C123" s="304" t="n"/>
      <c r="D123" s="70" t="n"/>
      <c r="E123" s="70" t="n"/>
      <c r="F123" s="287" t="n"/>
      <c r="G123" s="287" t="n"/>
      <c r="H123" s="287" t="n"/>
      <c r="I123" s="287">
        <f>IF(COUNTA(F123:H123)=0,"",ROUND(F123*G123*H123/125*100,0))</f>
        <v/>
      </c>
      <c r="J123" s="70" t="n"/>
      <c r="K123" s="70" t="n"/>
      <c r="L123" s="304" t="n"/>
      <c r="M123" s="71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 ht="24" customHeight="1" s="280">
      <c r="A124" s="69" t="n"/>
      <c r="B124" s="70">
        <f>IF(A124="","",IFERROR(VLOOKUP(A124,'Supplier Register'!$A$6:$L$105,2,FALSE),"Not registered"))</f>
        <v/>
      </c>
      <c r="C124" s="304" t="n"/>
      <c r="D124" s="70" t="n"/>
      <c r="E124" s="70" t="n"/>
      <c r="F124" s="287" t="n"/>
      <c r="G124" s="287" t="n"/>
      <c r="H124" s="287" t="n"/>
      <c r="I124" s="287">
        <f>IF(COUNTA(F124:H124)=0,"",ROUND(F124*G124*H124/125*100,0))</f>
        <v/>
      </c>
      <c r="J124" s="70" t="n"/>
      <c r="K124" s="70" t="n"/>
      <c r="L124" s="304" t="n"/>
      <c r="M124" s="71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 ht="24" customHeight="1" s="280">
      <c r="A125" s="69" t="n"/>
      <c r="B125" s="70">
        <f>IF(A125="","",IFERROR(VLOOKUP(A125,'Supplier Register'!$A$6:$L$105,2,FALSE),"Not registered"))</f>
        <v/>
      </c>
      <c r="C125" s="304" t="n"/>
      <c r="D125" s="70" t="n"/>
      <c r="E125" s="70" t="n"/>
      <c r="F125" s="287" t="n"/>
      <c r="G125" s="287" t="n"/>
      <c r="H125" s="287" t="n"/>
      <c r="I125" s="287">
        <f>IF(COUNTA(F125:H125)=0,"",ROUND(F125*G125*H125/125*100,0))</f>
        <v/>
      </c>
      <c r="J125" s="70" t="n"/>
      <c r="K125" s="70" t="n"/>
      <c r="L125" s="304" t="n"/>
      <c r="M125" s="71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 ht="24" customHeight="1" s="280">
      <c r="A126" s="69" t="n"/>
      <c r="B126" s="70">
        <f>IF(A126="","",IFERROR(VLOOKUP(A126,'Supplier Register'!$A$6:$L$105,2,FALSE),"Not registered"))</f>
        <v/>
      </c>
      <c r="C126" s="304" t="n"/>
      <c r="D126" s="70" t="n"/>
      <c r="E126" s="70" t="n"/>
      <c r="F126" s="287" t="n"/>
      <c r="G126" s="287" t="n"/>
      <c r="H126" s="287" t="n"/>
      <c r="I126" s="287">
        <f>IF(COUNTA(F126:H126)=0,"",ROUND(F126*G126*H126/125*100,0))</f>
        <v/>
      </c>
      <c r="J126" s="70" t="n"/>
      <c r="K126" s="70" t="n"/>
      <c r="L126" s="304" t="n"/>
      <c r="M126" s="71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 ht="24" customHeight="1" s="280">
      <c r="A127" s="69" t="n"/>
      <c r="B127" s="70">
        <f>IF(A127="","",IFERROR(VLOOKUP(A127,'Supplier Register'!$A$6:$L$105,2,FALSE),"Not registered"))</f>
        <v/>
      </c>
      <c r="C127" s="304" t="n"/>
      <c r="D127" s="70" t="n"/>
      <c r="E127" s="70" t="n"/>
      <c r="F127" s="287" t="n"/>
      <c r="G127" s="287" t="n"/>
      <c r="H127" s="287" t="n"/>
      <c r="I127" s="287">
        <f>IF(COUNTA(F127:H127)=0,"",ROUND(F127*G127*H127/125*100,0))</f>
        <v/>
      </c>
      <c r="J127" s="70" t="n"/>
      <c r="K127" s="70" t="n"/>
      <c r="L127" s="304" t="n"/>
      <c r="M127" s="71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 ht="24" customHeight="1" s="280">
      <c r="A128" s="69" t="n"/>
      <c r="B128" s="70">
        <f>IF(A128="","",IFERROR(VLOOKUP(A128,'Supplier Register'!$A$6:$L$105,2,FALSE),"Not registered"))</f>
        <v/>
      </c>
      <c r="C128" s="304" t="n"/>
      <c r="D128" s="70" t="n"/>
      <c r="E128" s="70" t="n"/>
      <c r="F128" s="287" t="n"/>
      <c r="G128" s="287" t="n"/>
      <c r="H128" s="287" t="n"/>
      <c r="I128" s="287">
        <f>IF(COUNTA(F128:H128)=0,"",ROUND(F128*G128*H128/125*100,0))</f>
        <v/>
      </c>
      <c r="J128" s="70" t="n"/>
      <c r="K128" s="70" t="n"/>
      <c r="L128" s="304" t="n"/>
      <c r="M128" s="71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 ht="24" customHeight="1" s="280">
      <c r="A129" s="69" t="n"/>
      <c r="B129" s="70">
        <f>IF(A129="","",IFERROR(VLOOKUP(A129,'Supplier Register'!$A$6:$L$105,2,FALSE),"Not registered"))</f>
        <v/>
      </c>
      <c r="C129" s="304" t="n"/>
      <c r="D129" s="70" t="n"/>
      <c r="E129" s="70" t="n"/>
      <c r="F129" s="287" t="n"/>
      <c r="G129" s="287" t="n"/>
      <c r="H129" s="287" t="n"/>
      <c r="I129" s="287">
        <f>IF(COUNTA(F129:H129)=0,"",ROUND(F129*G129*H129/125*100,0))</f>
        <v/>
      </c>
      <c r="J129" s="70" t="n"/>
      <c r="K129" s="70" t="n"/>
      <c r="L129" s="304" t="n"/>
      <c r="M129" s="71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 ht="24" customHeight="1" s="280">
      <c r="A130" s="69" t="n"/>
      <c r="B130" s="70">
        <f>IF(A130="","",IFERROR(VLOOKUP(A130,'Supplier Register'!$A$6:$L$105,2,FALSE),"Not registered"))</f>
        <v/>
      </c>
      <c r="C130" s="304" t="n"/>
      <c r="D130" s="70" t="n"/>
      <c r="E130" s="70" t="n"/>
      <c r="F130" s="287" t="n"/>
      <c r="G130" s="287" t="n"/>
      <c r="H130" s="287" t="n"/>
      <c r="I130" s="287">
        <f>IF(COUNTA(F130:H130)=0,"",ROUND(F130*G130*H130/125*100,0))</f>
        <v/>
      </c>
      <c r="J130" s="70" t="n"/>
      <c r="K130" s="70" t="n"/>
      <c r="L130" s="304" t="n"/>
      <c r="M130" s="71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 ht="24" customHeight="1" s="280">
      <c r="A131" s="69" t="n"/>
      <c r="B131" s="70">
        <f>IF(A131="","",IFERROR(VLOOKUP(A131,'Supplier Register'!$A$6:$L$105,2,FALSE),"Not registered"))</f>
        <v/>
      </c>
      <c r="C131" s="304" t="n"/>
      <c r="D131" s="70" t="n"/>
      <c r="E131" s="70" t="n"/>
      <c r="F131" s="287" t="n"/>
      <c r="G131" s="287" t="n"/>
      <c r="H131" s="287" t="n"/>
      <c r="I131" s="287">
        <f>IF(COUNTA(F131:H131)=0,"",ROUND(F131*G131*H131/125*100,0))</f>
        <v/>
      </c>
      <c r="J131" s="70" t="n"/>
      <c r="K131" s="70" t="n"/>
      <c r="L131" s="304" t="n"/>
      <c r="M131" s="71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 ht="24" customHeight="1" s="280">
      <c r="A132" s="69" t="n"/>
      <c r="B132" s="70">
        <f>IF(A132="","",IFERROR(VLOOKUP(A132,'Supplier Register'!$A$6:$L$105,2,FALSE),"Not registered"))</f>
        <v/>
      </c>
      <c r="C132" s="304" t="n"/>
      <c r="D132" s="70" t="n"/>
      <c r="E132" s="70" t="n"/>
      <c r="F132" s="287" t="n"/>
      <c r="G132" s="287" t="n"/>
      <c r="H132" s="287" t="n"/>
      <c r="I132" s="287">
        <f>IF(COUNTA(F132:H132)=0,"",ROUND(F132*G132*H132/125*100,0))</f>
        <v/>
      </c>
      <c r="J132" s="70" t="n"/>
      <c r="K132" s="70" t="n"/>
      <c r="L132" s="304" t="n"/>
      <c r="M132" s="71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 ht="24" customHeight="1" s="280">
      <c r="A133" s="69" t="n"/>
      <c r="B133" s="70">
        <f>IF(A133="","",IFERROR(VLOOKUP(A133,'Supplier Register'!$A$6:$L$105,2,FALSE),"Not registered"))</f>
        <v/>
      </c>
      <c r="C133" s="304" t="n"/>
      <c r="D133" s="70" t="n"/>
      <c r="E133" s="70" t="n"/>
      <c r="F133" s="287" t="n"/>
      <c r="G133" s="287" t="n"/>
      <c r="H133" s="287" t="n"/>
      <c r="I133" s="287">
        <f>IF(COUNTA(F133:H133)=0,"",ROUND(F133*G133*H133/125*100,0))</f>
        <v/>
      </c>
      <c r="J133" s="70" t="n"/>
      <c r="K133" s="70" t="n"/>
      <c r="L133" s="304" t="n"/>
      <c r="M133" s="71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 ht="24" customHeight="1" s="280">
      <c r="A134" s="69" t="n"/>
      <c r="B134" s="70">
        <f>IF(A134="","",IFERROR(VLOOKUP(A134,'Supplier Register'!$A$6:$L$105,2,FALSE),"Not registered"))</f>
        <v/>
      </c>
      <c r="C134" s="304" t="n"/>
      <c r="D134" s="70" t="n"/>
      <c r="E134" s="70" t="n"/>
      <c r="F134" s="287" t="n"/>
      <c r="G134" s="287" t="n"/>
      <c r="H134" s="287" t="n"/>
      <c r="I134" s="287">
        <f>IF(COUNTA(F134:H134)=0,"",ROUND(F134*G134*H134/125*100,0))</f>
        <v/>
      </c>
      <c r="J134" s="70" t="n"/>
      <c r="K134" s="70" t="n"/>
      <c r="L134" s="304" t="n"/>
      <c r="M134" s="71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 ht="24" customHeight="1" s="280">
      <c r="A135" s="69" t="n"/>
      <c r="B135" s="70">
        <f>IF(A135="","",IFERROR(VLOOKUP(A135,'Supplier Register'!$A$6:$L$105,2,FALSE),"Not registered"))</f>
        <v/>
      </c>
      <c r="C135" s="304" t="n"/>
      <c r="D135" s="70" t="n"/>
      <c r="E135" s="70" t="n"/>
      <c r="F135" s="287" t="n"/>
      <c r="G135" s="287" t="n"/>
      <c r="H135" s="287" t="n"/>
      <c r="I135" s="287">
        <f>IF(COUNTA(F135:H135)=0,"",ROUND(F135*G135*H135/125*100,0))</f>
        <v/>
      </c>
      <c r="J135" s="70" t="n"/>
      <c r="K135" s="70" t="n"/>
      <c r="L135" s="304" t="n"/>
      <c r="M135" s="71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 ht="24" customHeight="1" s="280">
      <c r="A136" s="69" t="n"/>
      <c r="B136" s="70">
        <f>IF(A136="","",IFERROR(VLOOKUP(A136,'Supplier Register'!$A$6:$L$105,2,FALSE),"Not registered"))</f>
        <v/>
      </c>
      <c r="C136" s="304" t="n"/>
      <c r="D136" s="70" t="n"/>
      <c r="E136" s="70" t="n"/>
      <c r="F136" s="287" t="n"/>
      <c r="G136" s="287" t="n"/>
      <c r="H136" s="287" t="n"/>
      <c r="I136" s="287">
        <f>IF(COUNTA(F136:H136)=0,"",ROUND(F136*G136*H136/125*100,0))</f>
        <v/>
      </c>
      <c r="J136" s="70" t="n"/>
      <c r="K136" s="70" t="n"/>
      <c r="L136" s="304" t="n"/>
      <c r="M136" s="71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 ht="24" customHeight="1" s="280">
      <c r="A137" s="69" t="n"/>
      <c r="B137" s="70">
        <f>IF(A137="","",IFERROR(VLOOKUP(A137,'Supplier Register'!$A$6:$L$105,2,FALSE),"Not registered"))</f>
        <v/>
      </c>
      <c r="C137" s="304" t="n"/>
      <c r="D137" s="70" t="n"/>
      <c r="E137" s="70" t="n"/>
      <c r="F137" s="287" t="n"/>
      <c r="G137" s="287" t="n"/>
      <c r="H137" s="287" t="n"/>
      <c r="I137" s="287">
        <f>IF(COUNTA(F137:H137)=0,"",ROUND(F137*G137*H137/125*100,0))</f>
        <v/>
      </c>
      <c r="J137" s="70" t="n"/>
      <c r="K137" s="70" t="n"/>
      <c r="L137" s="304" t="n"/>
      <c r="M137" s="71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 ht="24" customHeight="1" s="280">
      <c r="A138" s="69" t="n"/>
      <c r="B138" s="70">
        <f>IF(A138="","",IFERROR(VLOOKUP(A138,'Supplier Register'!$A$6:$L$105,2,FALSE),"Not registered"))</f>
        <v/>
      </c>
      <c r="C138" s="304" t="n"/>
      <c r="D138" s="70" t="n"/>
      <c r="E138" s="70" t="n"/>
      <c r="F138" s="287" t="n"/>
      <c r="G138" s="287" t="n"/>
      <c r="H138" s="287" t="n"/>
      <c r="I138" s="287">
        <f>IF(COUNTA(F138:H138)=0,"",ROUND(F138*G138*H138/125*100,0))</f>
        <v/>
      </c>
      <c r="J138" s="70" t="n"/>
      <c r="K138" s="70" t="n"/>
      <c r="L138" s="304" t="n"/>
      <c r="M138" s="71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 ht="24" customHeight="1" s="280">
      <c r="A139" s="69" t="n"/>
      <c r="B139" s="70">
        <f>IF(A139="","",IFERROR(VLOOKUP(A139,'Supplier Register'!$A$6:$L$105,2,FALSE),"Not registered"))</f>
        <v/>
      </c>
      <c r="C139" s="304" t="n"/>
      <c r="D139" s="70" t="n"/>
      <c r="E139" s="70" t="n"/>
      <c r="F139" s="287" t="n"/>
      <c r="G139" s="287" t="n"/>
      <c r="H139" s="287" t="n"/>
      <c r="I139" s="287">
        <f>IF(COUNTA(F139:H139)=0,"",ROUND(F139*G139*H139/125*100,0))</f>
        <v/>
      </c>
      <c r="J139" s="70" t="n"/>
      <c r="K139" s="70" t="n"/>
      <c r="L139" s="304" t="n"/>
      <c r="M139" s="71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 ht="24" customHeight="1" s="280">
      <c r="A140" s="69" t="n"/>
      <c r="B140" s="70">
        <f>IF(A140="","",IFERROR(VLOOKUP(A140,'Supplier Register'!$A$6:$L$105,2,FALSE),"Not registered"))</f>
        <v/>
      </c>
      <c r="C140" s="304" t="n"/>
      <c r="D140" s="70" t="n"/>
      <c r="E140" s="70" t="n"/>
      <c r="F140" s="287" t="n"/>
      <c r="G140" s="287" t="n"/>
      <c r="H140" s="287" t="n"/>
      <c r="I140" s="287">
        <f>IF(COUNTA(F140:H140)=0,"",ROUND(F140*G140*H140/125*100,0))</f>
        <v/>
      </c>
      <c r="J140" s="70" t="n"/>
      <c r="K140" s="70" t="n"/>
      <c r="L140" s="304" t="n"/>
      <c r="M140" s="71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 ht="24" customHeight="1" s="280">
      <c r="A141" s="69" t="n"/>
      <c r="B141" s="70">
        <f>IF(A141="","",IFERROR(VLOOKUP(A141,'Supplier Register'!$A$6:$L$105,2,FALSE),"Not registered"))</f>
        <v/>
      </c>
      <c r="C141" s="304" t="n"/>
      <c r="D141" s="70" t="n"/>
      <c r="E141" s="70" t="n"/>
      <c r="F141" s="287" t="n"/>
      <c r="G141" s="287" t="n"/>
      <c r="H141" s="287" t="n"/>
      <c r="I141" s="287">
        <f>IF(COUNTA(F141:H141)=0,"",ROUND(F141*G141*H141/125*100,0))</f>
        <v/>
      </c>
      <c r="J141" s="70" t="n"/>
      <c r="K141" s="70" t="n"/>
      <c r="L141" s="304" t="n"/>
      <c r="M141" s="71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 ht="24" customHeight="1" s="280">
      <c r="A142" s="69" t="n"/>
      <c r="B142" s="70">
        <f>IF(A142="","",IFERROR(VLOOKUP(A142,'Supplier Register'!$A$6:$L$105,2,FALSE),"Not registered"))</f>
        <v/>
      </c>
      <c r="C142" s="304" t="n"/>
      <c r="D142" s="70" t="n"/>
      <c r="E142" s="70" t="n"/>
      <c r="F142" s="287" t="n"/>
      <c r="G142" s="287" t="n"/>
      <c r="H142" s="287" t="n"/>
      <c r="I142" s="287">
        <f>IF(COUNTA(F142:H142)=0,"",ROUND(F142*G142*H142/125*100,0))</f>
        <v/>
      </c>
      <c r="J142" s="70" t="n"/>
      <c r="K142" s="70" t="n"/>
      <c r="L142" s="304" t="n"/>
      <c r="M142" s="71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 ht="24" customHeight="1" s="280">
      <c r="A143" s="69" t="n"/>
      <c r="B143" s="70">
        <f>IF(A143="","",IFERROR(VLOOKUP(A143,'Supplier Register'!$A$6:$L$105,2,FALSE),"Not registered"))</f>
        <v/>
      </c>
      <c r="C143" s="304" t="n"/>
      <c r="D143" s="70" t="n"/>
      <c r="E143" s="70" t="n"/>
      <c r="F143" s="287" t="n"/>
      <c r="G143" s="287" t="n"/>
      <c r="H143" s="287" t="n"/>
      <c r="I143" s="287">
        <f>IF(COUNTA(F143:H143)=0,"",ROUND(F143*G143*H143/125*100,0))</f>
        <v/>
      </c>
      <c r="J143" s="70" t="n"/>
      <c r="K143" s="70" t="n"/>
      <c r="L143" s="304" t="n"/>
      <c r="M143" s="71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 ht="24" customHeight="1" s="280">
      <c r="A144" s="69" t="n"/>
      <c r="B144" s="70">
        <f>IF(A144="","",IFERROR(VLOOKUP(A144,'Supplier Register'!$A$6:$L$105,2,FALSE),"Not registered"))</f>
        <v/>
      </c>
      <c r="C144" s="304" t="n"/>
      <c r="D144" s="70" t="n"/>
      <c r="E144" s="70" t="n"/>
      <c r="F144" s="287" t="n"/>
      <c r="G144" s="287" t="n"/>
      <c r="H144" s="287" t="n"/>
      <c r="I144" s="287">
        <f>IF(COUNTA(F144:H144)=0,"",ROUND(F144*G144*H144/125*100,0))</f>
        <v/>
      </c>
      <c r="J144" s="70" t="n"/>
      <c r="K144" s="70" t="n"/>
      <c r="L144" s="304" t="n"/>
      <c r="M144" s="71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 ht="24" customHeight="1" s="280">
      <c r="A145" s="69" t="n"/>
      <c r="B145" s="70">
        <f>IF(A145="","",IFERROR(VLOOKUP(A145,'Supplier Register'!$A$6:$L$105,2,FALSE),"Not registered"))</f>
        <v/>
      </c>
      <c r="C145" s="304" t="n"/>
      <c r="D145" s="70" t="n"/>
      <c r="E145" s="70" t="n"/>
      <c r="F145" s="287" t="n"/>
      <c r="G145" s="287" t="n"/>
      <c r="H145" s="287" t="n"/>
      <c r="I145" s="287">
        <f>IF(COUNTA(F145:H145)=0,"",ROUND(F145*G145*H145/125*100,0))</f>
        <v/>
      </c>
      <c r="J145" s="70" t="n"/>
      <c r="K145" s="70" t="n"/>
      <c r="L145" s="304" t="n"/>
      <c r="M145" s="71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 ht="24" customHeight="1" s="280">
      <c r="A146" s="69" t="n"/>
      <c r="B146" s="70">
        <f>IF(A146="","",IFERROR(VLOOKUP(A146,'Supplier Register'!$A$6:$L$105,2,FALSE),"Not registered"))</f>
        <v/>
      </c>
      <c r="C146" s="304" t="n"/>
      <c r="D146" s="70" t="n"/>
      <c r="E146" s="70" t="n"/>
      <c r="F146" s="287" t="n"/>
      <c r="G146" s="287" t="n"/>
      <c r="H146" s="287" t="n"/>
      <c r="I146" s="287">
        <f>IF(COUNTA(F146:H146)=0,"",ROUND(F146*G146*H146/125*100,0))</f>
        <v/>
      </c>
      <c r="J146" s="70" t="n"/>
      <c r="K146" s="70" t="n"/>
      <c r="L146" s="304" t="n"/>
      <c r="M146" s="71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 ht="24" customHeight="1" s="280">
      <c r="A147" s="69" t="n"/>
      <c r="B147" s="70">
        <f>IF(A147="","",IFERROR(VLOOKUP(A147,'Supplier Register'!$A$6:$L$105,2,FALSE),"Not registered"))</f>
        <v/>
      </c>
      <c r="C147" s="304" t="n"/>
      <c r="D147" s="70" t="n"/>
      <c r="E147" s="70" t="n"/>
      <c r="F147" s="287" t="n"/>
      <c r="G147" s="287" t="n"/>
      <c r="H147" s="287" t="n"/>
      <c r="I147" s="287">
        <f>IF(COUNTA(F147:H147)=0,"",ROUND(F147*G147*H147/125*100,0))</f>
        <v/>
      </c>
      <c r="J147" s="70" t="n"/>
      <c r="K147" s="70" t="n"/>
      <c r="L147" s="304" t="n"/>
      <c r="M147" s="71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 ht="24" customHeight="1" s="280">
      <c r="A148" s="69" t="n"/>
      <c r="B148" s="70">
        <f>IF(A148="","",IFERROR(VLOOKUP(A148,'Supplier Register'!$A$6:$L$105,2,FALSE),"Not registered"))</f>
        <v/>
      </c>
      <c r="C148" s="304" t="n"/>
      <c r="D148" s="70" t="n"/>
      <c r="E148" s="70" t="n"/>
      <c r="F148" s="287" t="n"/>
      <c r="G148" s="287" t="n"/>
      <c r="H148" s="287" t="n"/>
      <c r="I148" s="287">
        <f>IF(COUNTA(F148:H148)=0,"",ROUND(F148*G148*H148/125*100,0))</f>
        <v/>
      </c>
      <c r="J148" s="70" t="n"/>
      <c r="K148" s="70" t="n"/>
      <c r="L148" s="304" t="n"/>
      <c r="M148" s="71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 ht="24" customHeight="1" s="280">
      <c r="A149" s="69" t="n"/>
      <c r="B149" s="70">
        <f>IF(A149="","",IFERROR(VLOOKUP(A149,'Supplier Register'!$A$6:$L$105,2,FALSE),"Not registered"))</f>
        <v/>
      </c>
      <c r="C149" s="304" t="n"/>
      <c r="D149" s="70" t="n"/>
      <c r="E149" s="70" t="n"/>
      <c r="F149" s="287" t="n"/>
      <c r="G149" s="287" t="n"/>
      <c r="H149" s="287" t="n"/>
      <c r="I149" s="287">
        <f>IF(COUNTA(F149:H149)=0,"",ROUND(F149*G149*H149/125*100,0))</f>
        <v/>
      </c>
      <c r="J149" s="70" t="n"/>
      <c r="K149" s="70" t="n"/>
      <c r="L149" s="304" t="n"/>
      <c r="M149" s="71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 ht="24" customHeight="1" s="280">
      <c r="A150" s="69" t="n"/>
      <c r="B150" s="70">
        <f>IF(A150="","",IFERROR(VLOOKUP(A150,'Supplier Register'!$A$6:$L$105,2,FALSE),"Not registered"))</f>
        <v/>
      </c>
      <c r="C150" s="304" t="n"/>
      <c r="D150" s="70" t="n"/>
      <c r="E150" s="70" t="n"/>
      <c r="F150" s="287" t="n"/>
      <c r="G150" s="287" t="n"/>
      <c r="H150" s="287" t="n"/>
      <c r="I150" s="287">
        <f>IF(COUNTA(F150:H150)=0,"",ROUND(F150*G150*H150/125*100,0))</f>
        <v/>
      </c>
      <c r="J150" s="70" t="n"/>
      <c r="K150" s="70" t="n"/>
      <c r="L150" s="304" t="n"/>
      <c r="M150" s="71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 ht="24" customHeight="1" s="280">
      <c r="A151" s="69" t="n"/>
      <c r="B151" s="70">
        <f>IF(A151="","",IFERROR(VLOOKUP(A151,'Supplier Register'!$A$6:$L$105,2,FALSE),"Not registered"))</f>
        <v/>
      </c>
      <c r="C151" s="304" t="n"/>
      <c r="D151" s="70" t="n"/>
      <c r="E151" s="70" t="n"/>
      <c r="F151" s="287" t="n"/>
      <c r="G151" s="287" t="n"/>
      <c r="H151" s="287" t="n"/>
      <c r="I151" s="287">
        <f>IF(COUNTA(F151:H151)=0,"",ROUND(F151*G151*H151/125*100,0))</f>
        <v/>
      </c>
      <c r="J151" s="70" t="n"/>
      <c r="K151" s="70" t="n"/>
      <c r="L151" s="304" t="n"/>
      <c r="M151" s="71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 ht="24" customHeight="1" s="280">
      <c r="A152" s="69" t="n"/>
      <c r="B152" s="70">
        <f>IF(A152="","",IFERROR(VLOOKUP(A152,'Supplier Register'!$A$6:$L$105,2,FALSE),"Not registered"))</f>
        <v/>
      </c>
      <c r="C152" s="304" t="n"/>
      <c r="D152" s="70" t="n"/>
      <c r="E152" s="70" t="n"/>
      <c r="F152" s="287" t="n"/>
      <c r="G152" s="287" t="n"/>
      <c r="H152" s="287" t="n"/>
      <c r="I152" s="287">
        <f>IF(COUNTA(F152:H152)=0,"",ROUND(F152*G152*H152/125*100,0))</f>
        <v/>
      </c>
      <c r="J152" s="70" t="n"/>
      <c r="K152" s="70" t="n"/>
      <c r="L152" s="304" t="n"/>
      <c r="M152" s="71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 ht="24" customHeight="1" s="280">
      <c r="A153" s="69" t="n"/>
      <c r="B153" s="70">
        <f>IF(A153="","",IFERROR(VLOOKUP(A153,'Supplier Register'!$A$6:$L$105,2,FALSE),"Not registered"))</f>
        <v/>
      </c>
      <c r="C153" s="304" t="n"/>
      <c r="D153" s="70" t="n"/>
      <c r="E153" s="70" t="n"/>
      <c r="F153" s="287" t="n"/>
      <c r="G153" s="287" t="n"/>
      <c r="H153" s="287" t="n"/>
      <c r="I153" s="287">
        <f>IF(COUNTA(F153:H153)=0,"",ROUND(F153*G153*H153/125*100,0))</f>
        <v/>
      </c>
      <c r="J153" s="70" t="n"/>
      <c r="K153" s="70" t="n"/>
      <c r="L153" s="304" t="n"/>
      <c r="M153" s="71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 ht="24" customHeight="1" s="280">
      <c r="A154" s="69" t="n"/>
      <c r="B154" s="70">
        <f>IF(A154="","",IFERROR(VLOOKUP(A154,'Supplier Register'!$A$6:$L$105,2,FALSE),"Not registered"))</f>
        <v/>
      </c>
      <c r="C154" s="304" t="n"/>
      <c r="D154" s="70" t="n"/>
      <c r="E154" s="70" t="n"/>
      <c r="F154" s="287" t="n"/>
      <c r="G154" s="287" t="n"/>
      <c r="H154" s="287" t="n"/>
      <c r="I154" s="287">
        <f>IF(COUNTA(F154:H154)=0,"",ROUND(F154*G154*H154/125*100,0))</f>
        <v/>
      </c>
      <c r="J154" s="70" t="n"/>
      <c r="K154" s="70" t="n"/>
      <c r="L154" s="304" t="n"/>
      <c r="M154" s="71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 ht="24" customHeight="1" s="280">
      <c r="A155" s="69" t="n"/>
      <c r="B155" s="70">
        <f>IF(A155="","",IFERROR(VLOOKUP(A155,'Supplier Register'!$A$6:$L$105,2,FALSE),"Not registered"))</f>
        <v/>
      </c>
      <c r="C155" s="304" t="n"/>
      <c r="D155" s="70" t="n"/>
      <c r="E155" s="70" t="n"/>
      <c r="F155" s="287" t="n"/>
      <c r="G155" s="287" t="n"/>
      <c r="H155" s="287" t="n"/>
      <c r="I155" s="287">
        <f>IF(COUNTA(F155:H155)=0,"",ROUND(F155*G155*H155/125*100,0))</f>
        <v/>
      </c>
      <c r="J155" s="70" t="n"/>
      <c r="K155" s="70" t="n"/>
      <c r="L155" s="304" t="n"/>
      <c r="M155" s="71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 ht="24" customHeight="1" s="280">
      <c r="A156" s="69" t="n"/>
      <c r="B156" s="70">
        <f>IF(A156="","",IFERROR(VLOOKUP(A156,'Supplier Register'!$A$6:$L$105,2,FALSE),"Not registered"))</f>
        <v/>
      </c>
      <c r="C156" s="304" t="n"/>
      <c r="D156" s="70" t="n"/>
      <c r="E156" s="70" t="n"/>
      <c r="F156" s="287" t="n"/>
      <c r="G156" s="287" t="n"/>
      <c r="H156" s="287" t="n"/>
      <c r="I156" s="287">
        <f>IF(COUNTA(F156:H156)=0,"",ROUND(F156*G156*H156/125*100,0))</f>
        <v/>
      </c>
      <c r="J156" s="70" t="n"/>
      <c r="K156" s="70" t="n"/>
      <c r="L156" s="304" t="n"/>
      <c r="M156" s="71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 ht="24" customHeight="1" s="280">
      <c r="A157" s="69" t="n"/>
      <c r="B157" s="70">
        <f>IF(A157="","",IFERROR(VLOOKUP(A157,'Supplier Register'!$A$6:$L$105,2,FALSE),"Not registered"))</f>
        <v/>
      </c>
      <c r="C157" s="304" t="n"/>
      <c r="D157" s="70" t="n"/>
      <c r="E157" s="70" t="n"/>
      <c r="F157" s="287" t="n"/>
      <c r="G157" s="287" t="n"/>
      <c r="H157" s="287" t="n"/>
      <c r="I157" s="287">
        <f>IF(COUNTA(F157:H157)=0,"",ROUND(F157*G157*H157/125*100,0))</f>
        <v/>
      </c>
      <c r="J157" s="70" t="n"/>
      <c r="K157" s="70" t="n"/>
      <c r="L157" s="304" t="n"/>
      <c r="M157" s="71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 ht="24" customHeight="1" s="280">
      <c r="A158" s="69" t="n"/>
      <c r="B158" s="70">
        <f>IF(A158="","",IFERROR(VLOOKUP(A158,'Supplier Register'!$A$6:$L$105,2,FALSE),"Not registered"))</f>
        <v/>
      </c>
      <c r="C158" s="304" t="n"/>
      <c r="D158" s="70" t="n"/>
      <c r="E158" s="70" t="n"/>
      <c r="F158" s="287" t="n"/>
      <c r="G158" s="287" t="n"/>
      <c r="H158" s="287" t="n"/>
      <c r="I158" s="287">
        <f>IF(COUNTA(F158:H158)=0,"",ROUND(F158*G158*H158/125*100,0))</f>
        <v/>
      </c>
      <c r="J158" s="70" t="n"/>
      <c r="K158" s="70" t="n"/>
      <c r="L158" s="304" t="n"/>
      <c r="M158" s="71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 ht="24" customHeight="1" s="280">
      <c r="A159" s="69" t="n"/>
      <c r="B159" s="70">
        <f>IF(A159="","",IFERROR(VLOOKUP(A159,'Supplier Register'!$A$6:$L$105,2,FALSE),"Not registered"))</f>
        <v/>
      </c>
      <c r="C159" s="304" t="n"/>
      <c r="D159" s="70" t="n"/>
      <c r="E159" s="70" t="n"/>
      <c r="F159" s="287" t="n"/>
      <c r="G159" s="287" t="n"/>
      <c r="H159" s="287" t="n"/>
      <c r="I159" s="287">
        <f>IF(COUNTA(F159:H159)=0,"",ROUND(F159*G159*H159/125*100,0))</f>
        <v/>
      </c>
      <c r="J159" s="70" t="n"/>
      <c r="K159" s="70" t="n"/>
      <c r="L159" s="304" t="n"/>
      <c r="M159" s="71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 ht="24" customHeight="1" s="280">
      <c r="A160" s="69" t="n"/>
      <c r="B160" s="70">
        <f>IF(A160="","",IFERROR(VLOOKUP(A160,'Supplier Register'!$A$6:$L$105,2,FALSE),"Not registered"))</f>
        <v/>
      </c>
      <c r="C160" s="304" t="n"/>
      <c r="D160" s="70" t="n"/>
      <c r="E160" s="70" t="n"/>
      <c r="F160" s="287" t="n"/>
      <c r="G160" s="287" t="n"/>
      <c r="H160" s="287" t="n"/>
      <c r="I160" s="287">
        <f>IF(COUNTA(F160:H160)=0,"",ROUND(F160*G160*H160/125*100,0))</f>
        <v/>
      </c>
      <c r="J160" s="70" t="n"/>
      <c r="K160" s="70" t="n"/>
      <c r="L160" s="304" t="n"/>
      <c r="M160" s="71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 ht="24" customHeight="1" s="280">
      <c r="A161" s="69" t="n"/>
      <c r="B161" s="70">
        <f>IF(A161="","",IFERROR(VLOOKUP(A161,'Supplier Register'!$A$6:$L$105,2,FALSE),"Not registered"))</f>
        <v/>
      </c>
      <c r="C161" s="304" t="n"/>
      <c r="D161" s="70" t="n"/>
      <c r="E161" s="70" t="n"/>
      <c r="F161" s="287" t="n"/>
      <c r="G161" s="287" t="n"/>
      <c r="H161" s="287" t="n"/>
      <c r="I161" s="287">
        <f>IF(COUNTA(F161:H161)=0,"",ROUND(F161*G161*H161/125*100,0))</f>
        <v/>
      </c>
      <c r="J161" s="70" t="n"/>
      <c r="K161" s="70" t="n"/>
      <c r="L161" s="304" t="n"/>
      <c r="M161" s="71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 ht="24" customHeight="1" s="280">
      <c r="A162" s="69" t="n"/>
      <c r="B162" s="70">
        <f>IF(A162="","",IFERROR(VLOOKUP(A162,'Supplier Register'!$A$6:$L$105,2,FALSE),"Not registered"))</f>
        <v/>
      </c>
      <c r="C162" s="304" t="n"/>
      <c r="D162" s="70" t="n"/>
      <c r="E162" s="70" t="n"/>
      <c r="F162" s="287" t="n"/>
      <c r="G162" s="287" t="n"/>
      <c r="H162" s="287" t="n"/>
      <c r="I162" s="287">
        <f>IF(COUNTA(F162:H162)=0,"",ROUND(F162*G162*H162/125*100,0))</f>
        <v/>
      </c>
      <c r="J162" s="70" t="n"/>
      <c r="K162" s="70" t="n"/>
      <c r="L162" s="304" t="n"/>
      <c r="M162" s="71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 ht="24" customHeight="1" s="280">
      <c r="A163" s="69" t="n"/>
      <c r="B163" s="70">
        <f>IF(A163="","",IFERROR(VLOOKUP(A163,'Supplier Register'!$A$6:$L$105,2,FALSE),"Not registered"))</f>
        <v/>
      </c>
      <c r="C163" s="304" t="n"/>
      <c r="D163" s="70" t="n"/>
      <c r="E163" s="70" t="n"/>
      <c r="F163" s="287" t="n"/>
      <c r="G163" s="287" t="n"/>
      <c r="H163" s="287" t="n"/>
      <c r="I163" s="287">
        <f>IF(COUNTA(F163:H163)=0,"",ROUND(F163*G163*H163/125*100,0))</f>
        <v/>
      </c>
      <c r="J163" s="70" t="n"/>
      <c r="K163" s="70" t="n"/>
      <c r="L163" s="304" t="n"/>
      <c r="M163" s="71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 ht="24" customHeight="1" s="280">
      <c r="A164" s="69" t="n"/>
      <c r="B164" s="70">
        <f>IF(A164="","",IFERROR(VLOOKUP(A164,'Supplier Register'!$A$6:$L$105,2,FALSE),"Not registered"))</f>
        <v/>
      </c>
      <c r="C164" s="304" t="n"/>
      <c r="D164" s="70" t="n"/>
      <c r="E164" s="70" t="n"/>
      <c r="F164" s="287" t="n"/>
      <c r="G164" s="287" t="n"/>
      <c r="H164" s="287" t="n"/>
      <c r="I164" s="287">
        <f>IF(COUNTA(F164:H164)=0,"",ROUND(F164*G164*H164/125*100,0))</f>
        <v/>
      </c>
      <c r="J164" s="70" t="n"/>
      <c r="K164" s="70" t="n"/>
      <c r="L164" s="304" t="n"/>
      <c r="M164" s="71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 ht="24" customHeight="1" s="280">
      <c r="A165" s="69" t="n"/>
      <c r="B165" s="70">
        <f>IF(A165="","",IFERROR(VLOOKUP(A165,'Supplier Register'!$A$6:$L$105,2,FALSE),"Not registered"))</f>
        <v/>
      </c>
      <c r="C165" s="304" t="n"/>
      <c r="D165" s="70" t="n"/>
      <c r="E165" s="70" t="n"/>
      <c r="F165" s="287" t="n"/>
      <c r="G165" s="287" t="n"/>
      <c r="H165" s="287" t="n"/>
      <c r="I165" s="287">
        <f>IF(COUNTA(F165:H165)=0,"",ROUND(F165*G165*H165/125*100,0))</f>
        <v/>
      </c>
      <c r="J165" s="70" t="n"/>
      <c r="K165" s="70" t="n"/>
      <c r="L165" s="304" t="n"/>
      <c r="M165" s="71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 ht="24" customHeight="1" s="280">
      <c r="A166" s="69" t="n"/>
      <c r="B166" s="70">
        <f>IF(A166="","",IFERROR(VLOOKUP(A166,'Supplier Register'!$A$6:$L$105,2,FALSE),"Not registered"))</f>
        <v/>
      </c>
      <c r="C166" s="304" t="n"/>
      <c r="D166" s="70" t="n"/>
      <c r="E166" s="70" t="n"/>
      <c r="F166" s="287" t="n"/>
      <c r="G166" s="287" t="n"/>
      <c r="H166" s="287" t="n"/>
      <c r="I166" s="287">
        <f>IF(COUNTA(F166:H166)=0,"",ROUND(F166*G166*H166/125*100,0))</f>
        <v/>
      </c>
      <c r="J166" s="70" t="n"/>
      <c r="K166" s="70" t="n"/>
      <c r="L166" s="304" t="n"/>
      <c r="M166" s="71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 ht="24" customHeight="1" s="280">
      <c r="A167" s="69" t="n"/>
      <c r="B167" s="70">
        <f>IF(A167="","",IFERROR(VLOOKUP(A167,'Supplier Register'!$A$6:$L$105,2,FALSE),"Not registered"))</f>
        <v/>
      </c>
      <c r="C167" s="304" t="n"/>
      <c r="D167" s="70" t="n"/>
      <c r="E167" s="70" t="n"/>
      <c r="F167" s="287" t="n"/>
      <c r="G167" s="287" t="n"/>
      <c r="H167" s="287" t="n"/>
      <c r="I167" s="287">
        <f>IF(COUNTA(F167:H167)=0,"",ROUND(F167*G167*H167/125*100,0))</f>
        <v/>
      </c>
      <c r="J167" s="70" t="n"/>
      <c r="K167" s="70" t="n"/>
      <c r="L167" s="304" t="n"/>
      <c r="M167" s="71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 ht="24" customHeight="1" s="280">
      <c r="A168" s="69" t="n"/>
      <c r="B168" s="70">
        <f>IF(A168="","",IFERROR(VLOOKUP(A168,'Supplier Register'!$A$6:$L$105,2,FALSE),"Not registered"))</f>
        <v/>
      </c>
      <c r="C168" s="304" t="n"/>
      <c r="D168" s="70" t="n"/>
      <c r="E168" s="70" t="n"/>
      <c r="F168" s="287" t="n"/>
      <c r="G168" s="287" t="n"/>
      <c r="H168" s="287" t="n"/>
      <c r="I168" s="287">
        <f>IF(COUNTA(F168:H168)=0,"",ROUND(F168*G168*H168/125*100,0))</f>
        <v/>
      </c>
      <c r="J168" s="70" t="n"/>
      <c r="K168" s="70" t="n"/>
      <c r="L168" s="304" t="n"/>
      <c r="M168" s="71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 ht="24" customHeight="1" s="280">
      <c r="A169" s="69" t="n"/>
      <c r="B169" s="70">
        <f>IF(A169="","",IFERROR(VLOOKUP(A169,'Supplier Register'!$A$6:$L$105,2,FALSE),"Not registered"))</f>
        <v/>
      </c>
      <c r="C169" s="304" t="n"/>
      <c r="D169" s="70" t="n"/>
      <c r="E169" s="70" t="n"/>
      <c r="F169" s="287" t="n"/>
      <c r="G169" s="287" t="n"/>
      <c r="H169" s="287" t="n"/>
      <c r="I169" s="287">
        <f>IF(COUNTA(F169:H169)=0,"",ROUND(F169*G169*H169/125*100,0))</f>
        <v/>
      </c>
      <c r="J169" s="70" t="n"/>
      <c r="K169" s="70" t="n"/>
      <c r="L169" s="304" t="n"/>
      <c r="M169" s="71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 ht="24" customHeight="1" s="280">
      <c r="A170" s="69" t="n"/>
      <c r="B170" s="70">
        <f>IF(A170="","",IFERROR(VLOOKUP(A170,'Supplier Register'!$A$6:$L$105,2,FALSE),"Not registered"))</f>
        <v/>
      </c>
      <c r="C170" s="304" t="n"/>
      <c r="D170" s="70" t="n"/>
      <c r="E170" s="70" t="n"/>
      <c r="F170" s="287" t="n"/>
      <c r="G170" s="287" t="n"/>
      <c r="H170" s="287" t="n"/>
      <c r="I170" s="287">
        <f>IF(COUNTA(F170:H170)=0,"",ROUND(F170*G170*H170/125*100,0))</f>
        <v/>
      </c>
      <c r="J170" s="70" t="n"/>
      <c r="K170" s="70" t="n"/>
      <c r="L170" s="304" t="n"/>
      <c r="M170" s="71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 ht="24" customHeight="1" s="280">
      <c r="A171" s="69" t="n"/>
      <c r="B171" s="70">
        <f>IF(A171="","",IFERROR(VLOOKUP(A171,'Supplier Register'!$A$6:$L$105,2,FALSE),"Not registered"))</f>
        <v/>
      </c>
      <c r="C171" s="304" t="n"/>
      <c r="D171" s="70" t="n"/>
      <c r="E171" s="70" t="n"/>
      <c r="F171" s="287" t="n"/>
      <c r="G171" s="287" t="n"/>
      <c r="H171" s="287" t="n"/>
      <c r="I171" s="287">
        <f>IF(COUNTA(F171:H171)=0,"",ROUND(F171*G171*H171/125*100,0))</f>
        <v/>
      </c>
      <c r="J171" s="70" t="n"/>
      <c r="K171" s="70" t="n"/>
      <c r="L171" s="304" t="n"/>
      <c r="M171" s="71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 ht="24" customHeight="1" s="280">
      <c r="A172" s="69" t="n"/>
      <c r="B172" s="70">
        <f>IF(A172="","",IFERROR(VLOOKUP(A172,'Supplier Register'!$A$6:$L$105,2,FALSE),"Not registered"))</f>
        <v/>
      </c>
      <c r="C172" s="304" t="n"/>
      <c r="D172" s="70" t="n"/>
      <c r="E172" s="70" t="n"/>
      <c r="F172" s="287" t="n"/>
      <c r="G172" s="287" t="n"/>
      <c r="H172" s="287" t="n"/>
      <c r="I172" s="287">
        <f>IF(COUNTA(F172:H172)=0,"",ROUND(F172*G172*H172/125*100,0))</f>
        <v/>
      </c>
      <c r="J172" s="70" t="n"/>
      <c r="K172" s="70" t="n"/>
      <c r="L172" s="304" t="n"/>
      <c r="M172" s="71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 ht="24" customHeight="1" s="280">
      <c r="A173" s="69" t="n"/>
      <c r="B173" s="70">
        <f>IF(A173="","",IFERROR(VLOOKUP(A173,'Supplier Register'!$A$6:$L$105,2,FALSE),"Not registered"))</f>
        <v/>
      </c>
      <c r="C173" s="304" t="n"/>
      <c r="D173" s="70" t="n"/>
      <c r="E173" s="70" t="n"/>
      <c r="F173" s="287" t="n"/>
      <c r="G173" s="287" t="n"/>
      <c r="H173" s="287" t="n"/>
      <c r="I173" s="287">
        <f>IF(COUNTA(F173:H173)=0,"",ROUND(F173*G173*H173/125*100,0))</f>
        <v/>
      </c>
      <c r="J173" s="70" t="n"/>
      <c r="K173" s="70" t="n"/>
      <c r="L173" s="304" t="n"/>
      <c r="M173" s="71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 ht="24" customHeight="1" s="280">
      <c r="A174" s="69" t="n"/>
      <c r="B174" s="70">
        <f>IF(A174="","",IFERROR(VLOOKUP(A174,'Supplier Register'!$A$6:$L$105,2,FALSE),"Not registered"))</f>
        <v/>
      </c>
      <c r="C174" s="304" t="n"/>
      <c r="D174" s="70" t="n"/>
      <c r="E174" s="70" t="n"/>
      <c r="F174" s="287" t="n"/>
      <c r="G174" s="287" t="n"/>
      <c r="H174" s="287" t="n"/>
      <c r="I174" s="287">
        <f>IF(COUNTA(F174:H174)=0,"",ROUND(F174*G174*H174/125*100,0))</f>
        <v/>
      </c>
      <c r="J174" s="70" t="n"/>
      <c r="K174" s="70" t="n"/>
      <c r="L174" s="304" t="n"/>
      <c r="M174" s="71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 ht="24" customHeight="1" s="280">
      <c r="A175" s="69" t="n"/>
      <c r="B175" s="70">
        <f>IF(A175="","",IFERROR(VLOOKUP(A175,'Supplier Register'!$A$6:$L$105,2,FALSE),"Not registered"))</f>
        <v/>
      </c>
      <c r="C175" s="304" t="n"/>
      <c r="D175" s="70" t="n"/>
      <c r="E175" s="70" t="n"/>
      <c r="F175" s="287" t="n"/>
      <c r="G175" s="287" t="n"/>
      <c r="H175" s="287" t="n"/>
      <c r="I175" s="287">
        <f>IF(COUNTA(F175:H175)=0,"",ROUND(F175*G175*H175/125*100,0))</f>
        <v/>
      </c>
      <c r="J175" s="70" t="n"/>
      <c r="K175" s="70" t="n"/>
      <c r="L175" s="304" t="n"/>
      <c r="M175" s="71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 ht="24" customHeight="1" s="280">
      <c r="A176" s="69" t="n"/>
      <c r="B176" s="70">
        <f>IF(A176="","",IFERROR(VLOOKUP(A176,'Supplier Register'!$A$6:$L$105,2,FALSE),"Not registered"))</f>
        <v/>
      </c>
      <c r="C176" s="304" t="n"/>
      <c r="D176" s="70" t="n"/>
      <c r="E176" s="70" t="n"/>
      <c r="F176" s="287" t="n"/>
      <c r="G176" s="287" t="n"/>
      <c r="H176" s="287" t="n"/>
      <c r="I176" s="287">
        <f>IF(COUNTA(F176:H176)=0,"",ROUND(F176*G176*H176/125*100,0))</f>
        <v/>
      </c>
      <c r="J176" s="70" t="n"/>
      <c r="K176" s="70" t="n"/>
      <c r="L176" s="304" t="n"/>
      <c r="M176" s="71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 ht="24" customHeight="1" s="280">
      <c r="A177" s="69" t="n"/>
      <c r="B177" s="70">
        <f>IF(A177="","",IFERROR(VLOOKUP(A177,'Supplier Register'!$A$6:$L$105,2,FALSE),"Not registered"))</f>
        <v/>
      </c>
      <c r="C177" s="304" t="n"/>
      <c r="D177" s="70" t="n"/>
      <c r="E177" s="70" t="n"/>
      <c r="F177" s="287" t="n"/>
      <c r="G177" s="287" t="n"/>
      <c r="H177" s="287" t="n"/>
      <c r="I177" s="287">
        <f>IF(COUNTA(F177:H177)=0,"",ROUND(F177*G177*H177/125*100,0))</f>
        <v/>
      </c>
      <c r="J177" s="70" t="n"/>
      <c r="K177" s="70" t="n"/>
      <c r="L177" s="304" t="n"/>
      <c r="M177" s="71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 ht="24" customHeight="1" s="280">
      <c r="A178" s="69" t="n"/>
      <c r="B178" s="70">
        <f>IF(A178="","",IFERROR(VLOOKUP(A178,'Supplier Register'!$A$6:$L$105,2,FALSE),"Not registered"))</f>
        <v/>
      </c>
      <c r="C178" s="304" t="n"/>
      <c r="D178" s="70" t="n"/>
      <c r="E178" s="70" t="n"/>
      <c r="F178" s="287" t="n"/>
      <c r="G178" s="287" t="n"/>
      <c r="H178" s="287" t="n"/>
      <c r="I178" s="287">
        <f>IF(COUNTA(F178:H178)=0,"",ROUND(F178*G178*H178/125*100,0))</f>
        <v/>
      </c>
      <c r="J178" s="70" t="n"/>
      <c r="K178" s="70" t="n"/>
      <c r="L178" s="304" t="n"/>
      <c r="M178" s="71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 ht="24" customHeight="1" s="280">
      <c r="A179" s="69" t="n"/>
      <c r="B179" s="70">
        <f>IF(A179="","",IFERROR(VLOOKUP(A179,'Supplier Register'!$A$6:$L$105,2,FALSE),"Not registered"))</f>
        <v/>
      </c>
      <c r="C179" s="304" t="n"/>
      <c r="D179" s="70" t="n"/>
      <c r="E179" s="70" t="n"/>
      <c r="F179" s="287" t="n"/>
      <c r="G179" s="287" t="n"/>
      <c r="H179" s="287" t="n"/>
      <c r="I179" s="287">
        <f>IF(COUNTA(F179:H179)=0,"",ROUND(F179*G179*H179/125*100,0))</f>
        <v/>
      </c>
      <c r="J179" s="70" t="n"/>
      <c r="K179" s="70" t="n"/>
      <c r="L179" s="304" t="n"/>
      <c r="M179" s="71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 ht="24" customHeight="1" s="280">
      <c r="A180" s="69" t="n"/>
      <c r="B180" s="70">
        <f>IF(A180="","",IFERROR(VLOOKUP(A180,'Supplier Register'!$A$6:$L$105,2,FALSE),"Not registered"))</f>
        <v/>
      </c>
      <c r="C180" s="304" t="n"/>
      <c r="D180" s="70" t="n"/>
      <c r="E180" s="70" t="n"/>
      <c r="F180" s="287" t="n"/>
      <c r="G180" s="287" t="n"/>
      <c r="H180" s="287" t="n"/>
      <c r="I180" s="287">
        <f>IF(COUNTA(F180:H180)=0,"",ROUND(F180*G180*H180/125*100,0))</f>
        <v/>
      </c>
      <c r="J180" s="70" t="n"/>
      <c r="K180" s="70" t="n"/>
      <c r="L180" s="304" t="n"/>
      <c r="M180" s="71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 ht="24" customHeight="1" s="280">
      <c r="A181" s="69" t="n"/>
      <c r="B181" s="70">
        <f>IF(A181="","",IFERROR(VLOOKUP(A181,'Supplier Register'!$A$6:$L$105,2,FALSE),"Not registered"))</f>
        <v/>
      </c>
      <c r="C181" s="304" t="n"/>
      <c r="D181" s="70" t="n"/>
      <c r="E181" s="70" t="n"/>
      <c r="F181" s="287" t="n"/>
      <c r="G181" s="287" t="n"/>
      <c r="H181" s="287" t="n"/>
      <c r="I181" s="287">
        <f>IF(COUNTA(F181:H181)=0,"",ROUND(F181*G181*H181/125*100,0))</f>
        <v/>
      </c>
      <c r="J181" s="70" t="n"/>
      <c r="K181" s="70" t="n"/>
      <c r="L181" s="304" t="n"/>
      <c r="M181" s="71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 ht="24" customHeight="1" s="280">
      <c r="A182" s="69" t="n"/>
      <c r="B182" s="70">
        <f>IF(A182="","",IFERROR(VLOOKUP(A182,'Supplier Register'!$A$6:$L$105,2,FALSE),"Not registered"))</f>
        <v/>
      </c>
      <c r="C182" s="304" t="n"/>
      <c r="D182" s="70" t="n"/>
      <c r="E182" s="70" t="n"/>
      <c r="F182" s="287" t="n"/>
      <c r="G182" s="287" t="n"/>
      <c r="H182" s="287" t="n"/>
      <c r="I182" s="287">
        <f>IF(COUNTA(F182:H182)=0,"",ROUND(F182*G182*H182/125*100,0))</f>
        <v/>
      </c>
      <c r="J182" s="70" t="n"/>
      <c r="K182" s="70" t="n"/>
      <c r="L182" s="304" t="n"/>
      <c r="M182" s="71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 ht="24" customHeight="1" s="280">
      <c r="A183" s="69" t="n"/>
      <c r="B183" s="70">
        <f>IF(A183="","",IFERROR(VLOOKUP(A183,'Supplier Register'!$A$6:$L$105,2,FALSE),"Not registered"))</f>
        <v/>
      </c>
      <c r="C183" s="304" t="n"/>
      <c r="D183" s="70" t="n"/>
      <c r="E183" s="70" t="n"/>
      <c r="F183" s="287" t="n"/>
      <c r="G183" s="287" t="n"/>
      <c r="H183" s="287" t="n"/>
      <c r="I183" s="287">
        <f>IF(COUNTA(F183:H183)=0,"",ROUND(F183*G183*H183/125*100,0))</f>
        <v/>
      </c>
      <c r="J183" s="70" t="n"/>
      <c r="K183" s="70" t="n"/>
      <c r="L183" s="304" t="n"/>
      <c r="M183" s="71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 ht="24" customHeight="1" s="280">
      <c r="A184" s="69" t="n"/>
      <c r="B184" s="70">
        <f>IF(A184="","",IFERROR(VLOOKUP(A184,'Supplier Register'!$A$6:$L$105,2,FALSE),"Not registered"))</f>
        <v/>
      </c>
      <c r="C184" s="304" t="n"/>
      <c r="D184" s="70" t="n"/>
      <c r="E184" s="70" t="n"/>
      <c r="F184" s="287" t="n"/>
      <c r="G184" s="287" t="n"/>
      <c r="H184" s="287" t="n"/>
      <c r="I184" s="287">
        <f>IF(COUNTA(F184:H184)=0,"",ROUND(F184*G184*H184/125*100,0))</f>
        <v/>
      </c>
      <c r="J184" s="70" t="n"/>
      <c r="K184" s="70" t="n"/>
      <c r="L184" s="304" t="n"/>
      <c r="M184" s="71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 ht="24" customHeight="1" s="280">
      <c r="A185" s="69" t="n"/>
      <c r="B185" s="70">
        <f>IF(A185="","",IFERROR(VLOOKUP(A185,'Supplier Register'!$A$6:$L$105,2,FALSE),"Not registered"))</f>
        <v/>
      </c>
      <c r="C185" s="304" t="n"/>
      <c r="D185" s="70" t="n"/>
      <c r="E185" s="70" t="n"/>
      <c r="F185" s="287" t="n"/>
      <c r="G185" s="287" t="n"/>
      <c r="H185" s="287" t="n"/>
      <c r="I185" s="287">
        <f>IF(COUNTA(F185:H185)=0,"",ROUND(F185*G185*H185/125*100,0))</f>
        <v/>
      </c>
      <c r="J185" s="70" t="n"/>
      <c r="K185" s="70" t="n"/>
      <c r="L185" s="304" t="n"/>
      <c r="M185" s="71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 ht="24" customHeight="1" s="280">
      <c r="A186" s="69" t="n"/>
      <c r="B186" s="70">
        <f>IF(A186="","",IFERROR(VLOOKUP(A186,'Supplier Register'!$A$6:$L$105,2,FALSE),"Not registered"))</f>
        <v/>
      </c>
      <c r="C186" s="304" t="n"/>
      <c r="D186" s="70" t="n"/>
      <c r="E186" s="70" t="n"/>
      <c r="F186" s="287" t="n"/>
      <c r="G186" s="287" t="n"/>
      <c r="H186" s="287" t="n"/>
      <c r="I186" s="287">
        <f>IF(COUNTA(F186:H186)=0,"",ROUND(F186*G186*H186/125*100,0))</f>
        <v/>
      </c>
      <c r="J186" s="70" t="n"/>
      <c r="K186" s="70" t="n"/>
      <c r="L186" s="304" t="n"/>
      <c r="M186" s="71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 ht="24" customHeight="1" s="280">
      <c r="A187" s="69" t="n"/>
      <c r="B187" s="70">
        <f>IF(A187="","",IFERROR(VLOOKUP(A187,'Supplier Register'!$A$6:$L$105,2,FALSE),"Not registered"))</f>
        <v/>
      </c>
      <c r="C187" s="304" t="n"/>
      <c r="D187" s="70" t="n"/>
      <c r="E187" s="70" t="n"/>
      <c r="F187" s="287" t="n"/>
      <c r="G187" s="287" t="n"/>
      <c r="H187" s="287" t="n"/>
      <c r="I187" s="287">
        <f>IF(COUNTA(F187:H187)=0,"",ROUND(F187*G187*H187/125*100,0))</f>
        <v/>
      </c>
      <c r="J187" s="70" t="n"/>
      <c r="K187" s="70" t="n"/>
      <c r="L187" s="304" t="n"/>
      <c r="M187" s="71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 ht="24" customHeight="1" s="280">
      <c r="A188" s="69" t="n"/>
      <c r="B188" s="70">
        <f>IF(A188="","",IFERROR(VLOOKUP(A188,'Supplier Register'!$A$6:$L$105,2,FALSE),"Not registered"))</f>
        <v/>
      </c>
      <c r="C188" s="304" t="n"/>
      <c r="D188" s="70" t="n"/>
      <c r="E188" s="70" t="n"/>
      <c r="F188" s="287" t="n"/>
      <c r="G188" s="287" t="n"/>
      <c r="H188" s="287" t="n"/>
      <c r="I188" s="287">
        <f>IF(COUNTA(F188:H188)=0,"",ROUND(F188*G188*H188/125*100,0))</f>
        <v/>
      </c>
      <c r="J188" s="70" t="n"/>
      <c r="K188" s="70" t="n"/>
      <c r="L188" s="304" t="n"/>
      <c r="M188" s="71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 ht="24" customHeight="1" s="280">
      <c r="A189" s="69" t="n"/>
      <c r="B189" s="70">
        <f>IF(A189="","",IFERROR(VLOOKUP(A189,'Supplier Register'!$A$6:$L$105,2,FALSE),"Not registered"))</f>
        <v/>
      </c>
      <c r="C189" s="304" t="n"/>
      <c r="D189" s="70" t="n"/>
      <c r="E189" s="70" t="n"/>
      <c r="F189" s="287" t="n"/>
      <c r="G189" s="287" t="n"/>
      <c r="H189" s="287" t="n"/>
      <c r="I189" s="287">
        <f>IF(COUNTA(F189:H189)=0,"",ROUND(F189*G189*H189/125*100,0))</f>
        <v/>
      </c>
      <c r="J189" s="70" t="n"/>
      <c r="K189" s="70" t="n"/>
      <c r="L189" s="304" t="n"/>
      <c r="M189" s="71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 ht="24" customHeight="1" s="280">
      <c r="A190" s="69" t="n"/>
      <c r="B190" s="70">
        <f>IF(A190="","",IFERROR(VLOOKUP(A190,'Supplier Register'!$A$6:$L$105,2,FALSE),"Not registered"))</f>
        <v/>
      </c>
      <c r="C190" s="304" t="n"/>
      <c r="D190" s="70" t="n"/>
      <c r="E190" s="70" t="n"/>
      <c r="F190" s="287" t="n"/>
      <c r="G190" s="287" t="n"/>
      <c r="H190" s="287" t="n"/>
      <c r="I190" s="287">
        <f>IF(COUNTA(F190:H190)=0,"",ROUND(F190*G190*H190/125*100,0))</f>
        <v/>
      </c>
      <c r="J190" s="70" t="n"/>
      <c r="K190" s="70" t="n"/>
      <c r="L190" s="304" t="n"/>
      <c r="M190" s="71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 ht="24" customHeight="1" s="280">
      <c r="A191" s="69" t="n"/>
      <c r="B191" s="70">
        <f>IF(A191="","",IFERROR(VLOOKUP(A191,'Supplier Register'!$A$6:$L$105,2,FALSE),"Not registered"))</f>
        <v/>
      </c>
      <c r="C191" s="304" t="n"/>
      <c r="D191" s="70" t="n"/>
      <c r="E191" s="70" t="n"/>
      <c r="F191" s="287" t="n"/>
      <c r="G191" s="287" t="n"/>
      <c r="H191" s="287" t="n"/>
      <c r="I191" s="287">
        <f>IF(COUNTA(F191:H191)=0,"",ROUND(F191*G191*H191/125*100,0))</f>
        <v/>
      </c>
      <c r="J191" s="70" t="n"/>
      <c r="K191" s="70" t="n"/>
      <c r="L191" s="304" t="n"/>
      <c r="M191" s="71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 ht="24" customHeight="1" s="280">
      <c r="A192" s="69" t="n"/>
      <c r="B192" s="70">
        <f>IF(A192="","",IFERROR(VLOOKUP(A192,'Supplier Register'!$A$6:$L$105,2,FALSE),"Not registered"))</f>
        <v/>
      </c>
      <c r="C192" s="304" t="n"/>
      <c r="D192" s="70" t="n"/>
      <c r="E192" s="70" t="n"/>
      <c r="F192" s="287" t="n"/>
      <c r="G192" s="287" t="n"/>
      <c r="H192" s="287" t="n"/>
      <c r="I192" s="287">
        <f>IF(COUNTA(F192:H192)=0,"",ROUND(F192*G192*H192/125*100,0))</f>
        <v/>
      </c>
      <c r="J192" s="70" t="n"/>
      <c r="K192" s="70" t="n"/>
      <c r="L192" s="304" t="n"/>
      <c r="M192" s="71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 ht="24" customHeight="1" s="280">
      <c r="A193" s="69" t="n"/>
      <c r="B193" s="70">
        <f>IF(A193="","",IFERROR(VLOOKUP(A193,'Supplier Register'!$A$6:$L$105,2,FALSE),"Not registered"))</f>
        <v/>
      </c>
      <c r="C193" s="304" t="n"/>
      <c r="D193" s="70" t="n"/>
      <c r="E193" s="70" t="n"/>
      <c r="F193" s="287" t="n"/>
      <c r="G193" s="287" t="n"/>
      <c r="H193" s="287" t="n"/>
      <c r="I193" s="287">
        <f>IF(COUNTA(F193:H193)=0,"",ROUND(F193*G193*H193/125*100,0))</f>
        <v/>
      </c>
      <c r="J193" s="70" t="n"/>
      <c r="K193" s="70" t="n"/>
      <c r="L193" s="304" t="n"/>
      <c r="M193" s="71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 ht="24" customHeight="1" s="280">
      <c r="A194" s="69" t="n"/>
      <c r="B194" s="70">
        <f>IF(A194="","",IFERROR(VLOOKUP(A194,'Supplier Register'!$A$6:$L$105,2,FALSE),"Not registered"))</f>
        <v/>
      </c>
      <c r="C194" s="304" t="n"/>
      <c r="D194" s="70" t="n"/>
      <c r="E194" s="70" t="n"/>
      <c r="F194" s="287" t="n"/>
      <c r="G194" s="287" t="n"/>
      <c r="H194" s="287" t="n"/>
      <c r="I194" s="287">
        <f>IF(COUNTA(F194:H194)=0,"",ROUND(F194*G194*H194/125*100,0))</f>
        <v/>
      </c>
      <c r="J194" s="70" t="n"/>
      <c r="K194" s="70" t="n"/>
      <c r="L194" s="304" t="n"/>
      <c r="M194" s="71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 ht="24" customHeight="1" s="280">
      <c r="A195" s="69" t="n"/>
      <c r="B195" s="70">
        <f>IF(A195="","",IFERROR(VLOOKUP(A195,'Supplier Register'!$A$6:$L$105,2,FALSE),"Not registered"))</f>
        <v/>
      </c>
      <c r="C195" s="304" t="n"/>
      <c r="D195" s="70" t="n"/>
      <c r="E195" s="70" t="n"/>
      <c r="F195" s="287" t="n"/>
      <c r="G195" s="287" t="n"/>
      <c r="H195" s="287" t="n"/>
      <c r="I195" s="287">
        <f>IF(COUNTA(F195:H195)=0,"",ROUND(F195*G195*H195/125*100,0))</f>
        <v/>
      </c>
      <c r="J195" s="70" t="n"/>
      <c r="K195" s="70" t="n"/>
      <c r="L195" s="304" t="n"/>
      <c r="M195" s="71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 ht="24" customHeight="1" s="280">
      <c r="A196" s="69" t="n"/>
      <c r="B196" s="70">
        <f>IF(A196="","",IFERROR(VLOOKUP(A196,'Supplier Register'!$A$6:$L$105,2,FALSE),"Not registered"))</f>
        <v/>
      </c>
      <c r="C196" s="304" t="n"/>
      <c r="D196" s="70" t="n"/>
      <c r="E196" s="70" t="n"/>
      <c r="F196" s="287" t="n"/>
      <c r="G196" s="287" t="n"/>
      <c r="H196" s="287" t="n"/>
      <c r="I196" s="287">
        <f>IF(COUNTA(F196:H196)=0,"",ROUND(F196*G196*H196/125*100,0))</f>
        <v/>
      </c>
      <c r="J196" s="70" t="n"/>
      <c r="K196" s="70" t="n"/>
      <c r="L196" s="304" t="n"/>
      <c r="M196" s="71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 ht="24" customHeight="1" s="280">
      <c r="A197" s="69" t="n"/>
      <c r="B197" s="70">
        <f>IF(A197="","",IFERROR(VLOOKUP(A197,'Supplier Register'!$A$6:$L$105,2,FALSE),"Not registered"))</f>
        <v/>
      </c>
      <c r="C197" s="304" t="n"/>
      <c r="D197" s="70" t="n"/>
      <c r="E197" s="70" t="n"/>
      <c r="F197" s="287" t="n"/>
      <c r="G197" s="287" t="n"/>
      <c r="H197" s="287" t="n"/>
      <c r="I197" s="287">
        <f>IF(COUNTA(F197:H197)=0,"",ROUND(F197*G197*H197/125*100,0))</f>
        <v/>
      </c>
      <c r="J197" s="70" t="n"/>
      <c r="K197" s="70" t="n"/>
      <c r="L197" s="304" t="n"/>
      <c r="M197" s="71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 ht="24" customHeight="1" s="280">
      <c r="A198" s="69" t="n"/>
      <c r="B198" s="70">
        <f>IF(A198="","",IFERROR(VLOOKUP(A198,'Supplier Register'!$A$6:$L$105,2,FALSE),"Not registered"))</f>
        <v/>
      </c>
      <c r="C198" s="304" t="n"/>
      <c r="D198" s="70" t="n"/>
      <c r="E198" s="70" t="n"/>
      <c r="F198" s="287" t="n"/>
      <c r="G198" s="287" t="n"/>
      <c r="H198" s="287" t="n"/>
      <c r="I198" s="287">
        <f>IF(COUNTA(F198:H198)=0,"",ROUND(F198*G198*H198/125*100,0))</f>
        <v/>
      </c>
      <c r="J198" s="70" t="n"/>
      <c r="K198" s="70" t="n"/>
      <c r="L198" s="304" t="n"/>
      <c r="M198" s="71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 ht="24" customHeight="1" s="280">
      <c r="A199" s="69" t="n"/>
      <c r="B199" s="70">
        <f>IF(A199="","",IFERROR(VLOOKUP(A199,'Supplier Register'!$A$6:$L$105,2,FALSE),"Not registered"))</f>
        <v/>
      </c>
      <c r="C199" s="304" t="n"/>
      <c r="D199" s="70" t="n"/>
      <c r="E199" s="70" t="n"/>
      <c r="F199" s="287" t="n"/>
      <c r="G199" s="287" t="n"/>
      <c r="H199" s="287" t="n"/>
      <c r="I199" s="287">
        <f>IF(COUNTA(F199:H199)=0,"",ROUND(F199*G199*H199/125*100,0))</f>
        <v/>
      </c>
      <c r="J199" s="70" t="n"/>
      <c r="K199" s="70" t="n"/>
      <c r="L199" s="304" t="n"/>
      <c r="M199" s="71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 ht="24" customHeight="1" s="280">
      <c r="A200" s="69" t="n"/>
      <c r="B200" s="70">
        <f>IF(A200="","",IFERROR(VLOOKUP(A200,'Supplier Register'!$A$6:$L$105,2,FALSE),"Not registered"))</f>
        <v/>
      </c>
      <c r="C200" s="304" t="n"/>
      <c r="D200" s="70" t="n"/>
      <c r="E200" s="70" t="n"/>
      <c r="F200" s="287" t="n"/>
      <c r="G200" s="287" t="n"/>
      <c r="H200" s="287" t="n"/>
      <c r="I200" s="287">
        <f>IF(COUNTA(F200:H200)=0,"",ROUND(F200*G200*H200/125*100,0))</f>
        <v/>
      </c>
      <c r="J200" s="70" t="n"/>
      <c r="K200" s="70" t="n"/>
      <c r="L200" s="304" t="n"/>
      <c r="M200" s="71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 ht="24" customHeight="1" s="280">
      <c r="A201" s="69" t="n"/>
      <c r="B201" s="70">
        <f>IF(A201="","",IFERROR(VLOOKUP(A201,'Supplier Register'!$A$6:$L$105,2,FALSE),"Not registered"))</f>
        <v/>
      </c>
      <c r="C201" s="304" t="n"/>
      <c r="D201" s="70" t="n"/>
      <c r="E201" s="70" t="n"/>
      <c r="F201" s="287" t="n"/>
      <c r="G201" s="287" t="n"/>
      <c r="H201" s="287" t="n"/>
      <c r="I201" s="287">
        <f>IF(COUNTA(F201:H201)=0,"",ROUND(F201*G201*H201/125*100,0))</f>
        <v/>
      </c>
      <c r="J201" s="70" t="n"/>
      <c r="K201" s="70" t="n"/>
      <c r="L201" s="304" t="n"/>
      <c r="M201" s="71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 ht="24" customHeight="1" s="280">
      <c r="A202" s="69" t="n"/>
      <c r="B202" s="70">
        <f>IF(A202="","",IFERROR(VLOOKUP(A202,'Supplier Register'!$A$6:$L$105,2,FALSE),"Not registered"))</f>
        <v/>
      </c>
      <c r="C202" s="304" t="n"/>
      <c r="D202" s="70" t="n"/>
      <c r="E202" s="70" t="n"/>
      <c r="F202" s="287" t="n"/>
      <c r="G202" s="287" t="n"/>
      <c r="H202" s="287" t="n"/>
      <c r="I202" s="287">
        <f>IF(COUNTA(F202:H202)=0,"",ROUND(F202*G202*H202/125*100,0))</f>
        <v/>
      </c>
      <c r="J202" s="70" t="n"/>
      <c r="K202" s="70" t="n"/>
      <c r="L202" s="304" t="n"/>
      <c r="M202" s="71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 ht="24" customHeight="1" s="280">
      <c r="A203" s="69" t="n"/>
      <c r="B203" s="70">
        <f>IF(A203="","",IFERROR(VLOOKUP(A203,'Supplier Register'!$A$6:$L$105,2,FALSE),"Not registered"))</f>
        <v/>
      </c>
      <c r="C203" s="304" t="n"/>
      <c r="D203" s="70" t="n"/>
      <c r="E203" s="70" t="n"/>
      <c r="F203" s="287" t="n"/>
      <c r="G203" s="287" t="n"/>
      <c r="H203" s="287" t="n"/>
      <c r="I203" s="287">
        <f>IF(COUNTA(F203:H203)=0,"",ROUND(F203*G203*H203/125*100,0))</f>
        <v/>
      </c>
      <c r="J203" s="70" t="n"/>
      <c r="K203" s="70" t="n"/>
      <c r="L203" s="304" t="n"/>
      <c r="M203" s="71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 ht="24" customHeight="1" s="280">
      <c r="A204" s="69" t="n"/>
      <c r="B204" s="70">
        <f>IF(A204="","",IFERROR(VLOOKUP(A204,'Supplier Register'!$A$6:$L$105,2,FALSE),"Not registered"))</f>
        <v/>
      </c>
      <c r="C204" s="304" t="n"/>
      <c r="D204" s="70" t="n"/>
      <c r="E204" s="70" t="n"/>
      <c r="F204" s="287" t="n"/>
      <c r="G204" s="287" t="n"/>
      <c r="H204" s="287" t="n"/>
      <c r="I204" s="287">
        <f>IF(COUNTA(F204:H204)=0,"",ROUND(F204*G204*H204/125*100,0))</f>
        <v/>
      </c>
      <c r="J204" s="70" t="n"/>
      <c r="K204" s="70" t="n"/>
      <c r="L204" s="304" t="n"/>
      <c r="M204" s="71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 ht="24" customHeight="1" s="280">
      <c r="A205" s="72" t="n"/>
      <c r="B205" s="73">
        <f>IF(A205="","",IFERROR(VLOOKUP(A205,'Supplier Register'!$A$6:$L$105,2,FALSE),"Not registered"))</f>
        <v/>
      </c>
      <c r="C205" s="306" t="n"/>
      <c r="D205" s="73" t="n"/>
      <c r="E205" s="73" t="n"/>
      <c r="F205" s="288" t="n"/>
      <c r="G205" s="288" t="n"/>
      <c r="H205" s="288" t="n"/>
      <c r="I205" s="288">
        <f>IF(COUNTA(F205:H205)=0,"",ROUND(F205*G205*H205/125*100,0))</f>
        <v/>
      </c>
      <c r="J205" s="73" t="n"/>
      <c r="K205" s="73" t="n"/>
      <c r="L205" s="306" t="n"/>
      <c r="M205" s="74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2">
    <mergeCell ref="A2:M2"/>
    <mergeCell ref="A1:M1"/>
  </mergeCells>
  <conditionalFormatting sqref="J6:J205">
    <cfRule type="containsText" priority="2" operator="containsText" dxfId="0" text="Closed"/>
  </conditionalFormatting>
  <conditionalFormatting sqref="I6:I205">
    <cfRule type="expression" priority="3" dxfId="8">
      <formula>AND(I6&lt;&gt;"",I6&lt;=30)</formula>
    </cfRule>
    <cfRule type="expression" priority="4" dxfId="7">
      <formula>AND(I6&gt;30,I6&lt;=50)</formula>
    </cfRule>
    <cfRule type="expression" priority="5" dxfId="6">
      <formula>AND(I6&gt;50,I6&lt;=70)</formula>
    </cfRule>
    <cfRule type="expression" priority="6" dxfId="5">
      <formula>AND(I6&gt;70)</formula>
    </cfRule>
  </conditionalFormatting>
  <dataValidations count="4">
    <dataValidation sqref="A6:A205" showDropDown="0" showInputMessage="0" showErrorMessage="0" allowBlank="1" type="list">
      <formula1>'Supplier Register'!$A$6:$A$105</formula1>
    </dataValidation>
    <dataValidation sqref="D6:D205" showDropDown="0" showInputMessage="0" showErrorMessage="0" allowBlank="1" type="list">
      <formula1>"Quality / Consistency,Delivery / Fulfillment,Cost / Commercials,Service / Collaboration,Operations / Capacity,Financial Health,Compliance / Legal,ESG / Sustainability,Cybersecurity / Data Protection,Geopolitical / External"</formula1>
    </dataValidation>
    <dataValidation sqref="F6:H205" showDropDown="0" showInputMessage="0" showErrorMessage="1" allowBlank="1" errorTitle="Risk Score Range" error="Enter an integer from 1 to 5." type="whole" errorStyle="warning" operator="between">
      <formula1>1</formula1>
      <formula2>5</formula2>
    </dataValidation>
    <dataValidation sqref="J6:J205" showDropDown="0" showInputMessage="0" showErrorMessage="0" allowBlank="1" type="list">
      <formula1>"Open,In Progress,Monitoring,Closed,Risk Accepted"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3" customWidth="1" style="280" min="1" max="1"/>
    <col width="26" customWidth="1" style="280" min="2" max="2"/>
    <col width="15" customWidth="1" style="280" min="3" max="3"/>
    <col width="10" customWidth="1" style="280" min="4" max="4"/>
    <col width="14" customWidth="1" style="280" min="5" max="5"/>
    <col width="14" customWidth="1" style="280" min="6" max="6"/>
    <col width="14" customWidth="1" style="280" min="7" max="7"/>
    <col width="14" customWidth="1" style="280" min="8" max="8"/>
    <col width="12" customWidth="1" style="280" min="9" max="9"/>
    <col width="12" customWidth="1" style="280" min="10" max="10"/>
    <col width="12" customWidth="1" style="280" min="11" max="11"/>
    <col width="12" customWidth="1" style="280" min="12" max="12"/>
    <col width="24" customWidth="1" style="280" min="13" max="13"/>
    <col width="42" customWidth="1" style="280" min="14" max="14"/>
    <col width="12" customWidth="1" style="280" min="15" max="15"/>
    <col width="14" customWidth="1" style="280" min="16" max="16"/>
    <col width="14" customWidth="1" style="280" min="17" max="17"/>
    <col width="30" customWidth="1" style="280" min="18" max="18"/>
    <col width="2" customWidth="1" style="280" min="19" max="19"/>
  </cols>
  <sheetData>
    <row r="1">
      <c r="A1" s="257" t="inlineStr">
        <is>
          <t>Final Score and Tiering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Automatically summarizes the supplier register, 360 scores, and open risk events, then outputs tiers and governance recommendations.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>
      <c r="A4" s="253" t="n"/>
      <c r="B4" s="253" t="n"/>
      <c r="C4" s="253" t="n"/>
      <c r="D4" s="253" t="n"/>
      <c r="E4" s="253" t="n"/>
      <c r="F4" s="253" t="n"/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6" customHeight="1" s="280">
      <c r="A5" s="31" t="inlineStr">
        <is>
          <t>Supplier ID</t>
        </is>
      </c>
      <c r="B5" s="32" t="inlineStr">
        <is>
          <t>Supplier Name</t>
        </is>
      </c>
      <c r="C5" s="32" t="inlineStr">
        <is>
          <t>Supplier Category</t>
        </is>
      </c>
      <c r="D5" s="32" t="inlineStr">
        <is>
          <t>Criticality</t>
        </is>
      </c>
      <c r="E5" s="32" t="inlineStr">
        <is>
          <t>Annual Spend</t>
        </is>
      </c>
      <c r="F5" s="32" t="inlineStr">
        <is>
          <t>Average 360 Score</t>
        </is>
      </c>
      <c r="G5" s="32" t="inlineStr">
        <is>
          <t>Open Event Count</t>
        </is>
      </c>
      <c r="H5" s="32" t="inlineStr">
        <is>
          <t>Highest Event Risk</t>
        </is>
      </c>
      <c r="I5" s="32" t="inlineStr">
        <is>
          <t>Criticality Uplift</t>
        </is>
      </c>
      <c r="J5" s="32" t="inlineStr">
        <is>
          <t>Final Risk Score</t>
        </is>
      </c>
      <c r="K5" s="32" t="inlineStr">
        <is>
          <t>Performance Level</t>
        </is>
      </c>
      <c r="L5" s="32" t="inlineStr">
        <is>
          <t>Risk Level</t>
        </is>
      </c>
      <c r="M5" s="32" t="inlineStr">
        <is>
          <t>Final tier / onboarding recommendation</t>
        </is>
      </c>
      <c r="N5" s="32" t="inlineStr">
        <is>
          <t>Recommended Action</t>
        </is>
      </c>
      <c r="O5" s="32" t="inlineStr">
        <is>
          <t>Review Cycle (days)</t>
        </is>
      </c>
      <c r="P5" s="32" t="inlineStr">
        <is>
          <t>Next Review Date</t>
        </is>
      </c>
      <c r="Q5" s="32" t="inlineStr">
        <is>
          <t>Latest Score Date</t>
        </is>
      </c>
      <c r="R5" s="33" t="inlineStr">
        <is>
          <t>Notes</t>
        </is>
      </c>
      <c r="S5" s="282" t="inlineStr">
        <is>
          <t>Sort Key</t>
        </is>
      </c>
      <c r="T5" s="253" t="n"/>
      <c r="U5" s="253" t="n"/>
      <c r="V5" s="253" t="n"/>
      <c r="W5" s="253" t="n"/>
      <c r="X5" s="253" t="n"/>
      <c r="Y5" s="253" t="n"/>
      <c r="Z5" s="253" t="n"/>
    </row>
    <row r="6" ht="24" customHeight="1" s="280">
      <c r="A6" s="66">
        <f>IF('Supplier Register'!A6="","",'Supplier Register'!A6)</f>
        <v/>
      </c>
      <c r="B6" s="67">
        <f>IF(A6="","",IFERROR(VLOOKUP(A6,'Supplier Register'!$A$6:$L$105,2,FALSE),""))</f>
        <v/>
      </c>
      <c r="C6" s="67">
        <f>IF(A6="","",IFERROR(VLOOKUP(A6,'Supplier Register'!$A$6:$L$105,3,FALSE),""))</f>
        <v/>
      </c>
      <c r="D6" s="67">
        <f>IF(A6="","",IFERROR(VLOOKUP(A6,'Supplier Register'!$A$6:$L$105,5,FALSE),""))</f>
        <v/>
      </c>
      <c r="E6" s="301">
        <f>IF(A6="","",IFERROR(VLOOKUP(A6,'Supplier Register'!$A$6:$L$105,6,FALSE),""))</f>
        <v/>
      </c>
      <c r="F6" s="307">
        <f>IF(A6="","",IFERROR(ROUND(AVERAGEIF('360 Score Entry'!$A$6:$A$105,A6,'360 Score Entry'!$O$6:$O$105),1),""))</f>
        <v/>
      </c>
      <c r="G6" s="286">
        <f>IF(A6="","",COUNTIFS('Risk Event Register'!$A$6:$A$205,A6,'Risk Event Register'!$J$6:$J$205,"&lt;&gt;Closed"))</f>
        <v/>
      </c>
      <c r="H6" s="286">
        <f>IF(A6="","",IFERROR(MAXIFS('Risk Event Register'!$I$6:$I$205,'Risk Event Register'!$A$6:$A$205,A6,'Risk Event Register'!$J$6:$J$205,"&lt;&gt;Closed"),0))</f>
        <v/>
      </c>
      <c r="I6" s="286">
        <f>IF(A6="","",IF(D6="Critical",10,IF(D6="Important",5,0)))</f>
        <v/>
      </c>
      <c r="J6" s="286">
        <f>IF(A6="","",MIN(100,H6+I6))</f>
        <v/>
      </c>
      <c r="K6" s="67">
        <f>IF(F6="","",IF(F6&gt;='Settings'!$H$7,"A Preferred",IF(F6&gt;='Settings'!$H$8,"B Qualified",IF(F6&gt;='Settings'!$H$9,"C Needs Improvement","D Not Qualified"))))</f>
        <v/>
      </c>
      <c r="L6" s="67">
        <f>IF(A6="","",IF(J6&lt;='Settings'!$I$7,"Low Risk",IF(J6&lt;='Settings'!$I$8,"Medium Risk",IF(J6&lt;='Settings'!$I$9,"High Risk","Critical Risk"))))</f>
        <v/>
      </c>
      <c r="M6" s="67">
        <f>IF(F6="","",IF(OR(J6&gt;'Settings'!$I$9,F6&lt;'Settings'!$H$9),"D Pause onboarding / restrict purchases",IF(OR(J6&gt;'Settings'!$I$8,F6&lt;'Settings'!$H$8),"C Time-bound remediation / enhanced approval",IF(OR(J6&gt;'Settings'!$I$7,F6&lt;'Settings'!$H$7),"B Qualified / continuous monitoring","A Preferred / eligible to expand"))))</f>
        <v/>
      </c>
      <c r="N6" s="67">
        <f>IF(M6="","",IF(LEFT(M6,1)="A","Add to preferred list; eligible for expanded share or strategic cooperation",IF(LEFT(M6,1)="B","Maintain cooperation; monitor key indicators quarterly",IF(LEFT(M6,1)="C","Start remediation plan; major purchases require procurement, quality, and legal joint approval","Pause new project onboarding; start alternate supplier and exit plan"))))</f>
        <v/>
      </c>
      <c r="O6" s="286">
        <f>IF(M6="","",IF(LEFT(M6,1)="A",'Settings'!$K$7,IF(LEFT(M6,1)="B",'Settings'!$K$8,IF(LEFT(M6,1)="C",'Settings'!$K$9,'Settings'!$K$10))))</f>
        <v/>
      </c>
      <c r="P6" s="302">
        <f>IF(M6="","",IF(Q6="",TODAY(),Q6)+O6)</f>
        <v/>
      </c>
      <c r="Q6" s="302">
        <f>IF(A6="","",IFERROR(MAXIFS('360 Score Entry'!$C$6:$C$105,'360 Score Entry'!$A$6:$A$105,A6),""))</f>
        <v/>
      </c>
      <c r="R6" s="68">
        <f>IF(A6="","",IF(G6=0,"No open events","Review Risk Event Register; close the highest-risk item first"))</f>
        <v/>
      </c>
      <c r="S6" s="282">
        <f>IF(A6="",0,J6+0.0100)</f>
        <v/>
      </c>
      <c r="T6" s="253" t="n"/>
      <c r="U6" s="253" t="n"/>
      <c r="V6" s="253" t="n"/>
      <c r="W6" s="253" t="n"/>
      <c r="X6" s="253" t="n"/>
      <c r="Y6" s="253" t="n"/>
      <c r="Z6" s="253" t="n"/>
    </row>
    <row r="7" ht="24" customHeight="1" s="280">
      <c r="A7" s="69">
        <f>IF('Supplier Register'!A7="","",'Supplier Register'!A7)</f>
        <v/>
      </c>
      <c r="B7" s="70">
        <f>IF(A7="","",IFERROR(VLOOKUP(A7,'Supplier Register'!$A$6:$L$105,2,FALSE),""))</f>
        <v/>
      </c>
      <c r="C7" s="70">
        <f>IF(A7="","",IFERROR(VLOOKUP(A7,'Supplier Register'!$A$6:$L$105,3,FALSE),""))</f>
        <v/>
      </c>
      <c r="D7" s="70">
        <f>IF(A7="","",IFERROR(VLOOKUP(A7,'Supplier Register'!$A$6:$L$105,5,FALSE),""))</f>
        <v/>
      </c>
      <c r="E7" s="303">
        <f>IF(A7="","",IFERROR(VLOOKUP(A7,'Supplier Register'!$A$6:$L$105,6,FALSE),""))</f>
        <v/>
      </c>
      <c r="F7" s="308">
        <f>IF(A7="","",IFERROR(ROUND(AVERAGEIF('360 Score Entry'!$A$6:$A$105,A7,'360 Score Entry'!$O$6:$O$105),1),""))</f>
        <v/>
      </c>
      <c r="G7" s="287">
        <f>IF(A7="","",COUNTIFS('Risk Event Register'!$A$6:$A$205,A7,'Risk Event Register'!$J$6:$J$205,"&lt;&gt;Closed"))</f>
        <v/>
      </c>
      <c r="H7" s="287">
        <f>IF(A7="","",IFERROR(MAXIFS('Risk Event Register'!$I$6:$I$205,'Risk Event Register'!$A$6:$A$205,A7,'Risk Event Register'!$J$6:$J$205,"&lt;&gt;Closed"),0))</f>
        <v/>
      </c>
      <c r="I7" s="287">
        <f>IF(A7="","",IF(D7="Critical",10,IF(D7="Important",5,0)))</f>
        <v/>
      </c>
      <c r="J7" s="287">
        <f>IF(A7="","",MIN(100,H7+I7))</f>
        <v/>
      </c>
      <c r="K7" s="70">
        <f>IF(F7="","",IF(F7&gt;='Settings'!$H$7,"A Preferred",IF(F7&gt;='Settings'!$H$8,"B Qualified",IF(F7&gt;='Settings'!$H$9,"C Needs Improvement","D Not Qualified"))))</f>
        <v/>
      </c>
      <c r="L7" s="70">
        <f>IF(A7="","",IF(J7&lt;='Settings'!$I$7,"Low Risk",IF(J7&lt;='Settings'!$I$8,"Medium Risk",IF(J7&lt;='Settings'!$I$9,"High Risk","Critical Risk"))))</f>
        <v/>
      </c>
      <c r="M7" s="70">
        <f>IF(F7="","",IF(OR(J7&gt;'Settings'!$I$9,F7&lt;'Settings'!$H$9),"D Pause onboarding / restrict purchases",IF(OR(J7&gt;'Settings'!$I$8,F7&lt;'Settings'!$H$8),"C Time-bound remediation / enhanced approval",IF(OR(J7&gt;'Settings'!$I$7,F7&lt;'Settings'!$H$7),"B Qualified / continuous monitoring","A Preferred / eligible to expand"))))</f>
        <v/>
      </c>
      <c r="N7" s="70">
        <f>IF(M7="","",IF(LEFT(M7,1)="A","Add to preferred list; eligible for expanded share or strategic cooperation",IF(LEFT(M7,1)="B","Maintain cooperation; monitor key indicators quarterly",IF(LEFT(M7,1)="C","Start remediation plan; major purchases require procurement, quality, and legal joint approval","Pause new project onboarding; start alternate supplier and exit plan"))))</f>
        <v/>
      </c>
      <c r="O7" s="287">
        <f>IF(M7="","",IF(LEFT(M7,1)="A",'Settings'!$K$7,IF(LEFT(M7,1)="B",'Settings'!$K$8,IF(LEFT(M7,1)="C",'Settings'!$K$9,'Settings'!$K$10))))</f>
        <v/>
      </c>
      <c r="P7" s="304">
        <f>IF(M7="","",IF(Q7="",TODAY(),Q7)+O7)</f>
        <v/>
      </c>
      <c r="Q7" s="304">
        <f>IF(A7="","",IFERROR(MAXIFS('360 Score Entry'!$C$6:$C$105,'360 Score Entry'!$A$6:$A$105,A7),""))</f>
        <v/>
      </c>
      <c r="R7" s="71">
        <f>IF(A7="","",IF(G7=0,"No open events","Review Risk Event Register; close the highest-risk item first"))</f>
        <v/>
      </c>
      <c r="S7" s="282">
        <f>IF(A7="",0,J7+0.0099)</f>
        <v/>
      </c>
      <c r="T7" s="253" t="n"/>
      <c r="U7" s="253" t="n"/>
      <c r="V7" s="253" t="n"/>
      <c r="W7" s="253" t="n"/>
      <c r="X7" s="253" t="n"/>
      <c r="Y7" s="253" t="n"/>
      <c r="Z7" s="253" t="n"/>
    </row>
    <row r="8" ht="24" customHeight="1" s="280">
      <c r="A8" s="69">
        <f>IF('Supplier Register'!A8="","",'Supplier Register'!A8)</f>
        <v/>
      </c>
      <c r="B8" s="70">
        <f>IF(A8="","",IFERROR(VLOOKUP(A8,'Supplier Register'!$A$6:$L$105,2,FALSE),""))</f>
        <v/>
      </c>
      <c r="C8" s="70">
        <f>IF(A8="","",IFERROR(VLOOKUP(A8,'Supplier Register'!$A$6:$L$105,3,FALSE),""))</f>
        <v/>
      </c>
      <c r="D8" s="70">
        <f>IF(A8="","",IFERROR(VLOOKUP(A8,'Supplier Register'!$A$6:$L$105,5,FALSE),""))</f>
        <v/>
      </c>
      <c r="E8" s="303">
        <f>IF(A8="","",IFERROR(VLOOKUP(A8,'Supplier Register'!$A$6:$L$105,6,FALSE),""))</f>
        <v/>
      </c>
      <c r="F8" s="308">
        <f>IF(A8="","",IFERROR(ROUND(AVERAGEIF('360 Score Entry'!$A$6:$A$105,A8,'360 Score Entry'!$O$6:$O$105),1),""))</f>
        <v/>
      </c>
      <c r="G8" s="287">
        <f>IF(A8="","",COUNTIFS('Risk Event Register'!$A$6:$A$205,A8,'Risk Event Register'!$J$6:$J$205,"&lt;&gt;Closed"))</f>
        <v/>
      </c>
      <c r="H8" s="287">
        <f>IF(A8="","",IFERROR(MAXIFS('Risk Event Register'!$I$6:$I$205,'Risk Event Register'!$A$6:$A$205,A8,'Risk Event Register'!$J$6:$J$205,"&lt;&gt;Closed"),0))</f>
        <v/>
      </c>
      <c r="I8" s="287">
        <f>IF(A8="","",IF(D8="Critical",10,IF(D8="Important",5,0)))</f>
        <v/>
      </c>
      <c r="J8" s="287">
        <f>IF(A8="","",MIN(100,H8+I8))</f>
        <v/>
      </c>
      <c r="K8" s="70">
        <f>IF(F8="","",IF(F8&gt;='Settings'!$H$7,"A Preferred",IF(F8&gt;='Settings'!$H$8,"B Qualified",IF(F8&gt;='Settings'!$H$9,"C Needs Improvement","D Not Qualified"))))</f>
        <v/>
      </c>
      <c r="L8" s="70">
        <f>IF(A8="","",IF(J8&lt;='Settings'!$I$7,"Low Risk",IF(J8&lt;='Settings'!$I$8,"Medium Risk",IF(J8&lt;='Settings'!$I$9,"High Risk","Critical Risk"))))</f>
        <v/>
      </c>
      <c r="M8" s="70">
        <f>IF(F8="","",IF(OR(J8&gt;'Settings'!$I$9,F8&lt;'Settings'!$H$9),"D Pause onboarding / restrict purchases",IF(OR(J8&gt;'Settings'!$I$8,F8&lt;'Settings'!$H$8),"C Time-bound remediation / enhanced approval",IF(OR(J8&gt;'Settings'!$I$7,F8&lt;'Settings'!$H$7),"B Qualified / continuous monitoring","A Preferred / eligible to expand"))))</f>
        <v/>
      </c>
      <c r="N8" s="70">
        <f>IF(M8="","",IF(LEFT(M8,1)="A","Add to preferred list; eligible for expanded share or strategic cooperation",IF(LEFT(M8,1)="B","Maintain cooperation; monitor key indicators quarterly",IF(LEFT(M8,1)="C","Start remediation plan; major purchases require procurement, quality, and legal joint approval","Pause new project onboarding; start alternate supplier and exit plan"))))</f>
        <v/>
      </c>
      <c r="O8" s="287">
        <f>IF(M8="","",IF(LEFT(M8,1)="A",'Settings'!$K$7,IF(LEFT(M8,1)="B",'Settings'!$K$8,IF(LEFT(M8,1)="C",'Settings'!$K$9,'Settings'!$K$10))))</f>
        <v/>
      </c>
      <c r="P8" s="304">
        <f>IF(M8="","",IF(Q8="",TODAY(),Q8)+O8)</f>
        <v/>
      </c>
      <c r="Q8" s="304">
        <f>IF(A8="","",IFERROR(MAXIFS('360 Score Entry'!$C$6:$C$105,'360 Score Entry'!$A$6:$A$105,A8),""))</f>
        <v/>
      </c>
      <c r="R8" s="71">
        <f>IF(A8="","",IF(G8=0,"No open events","Review Risk Event Register; close the highest-risk item first"))</f>
        <v/>
      </c>
      <c r="S8" s="282">
        <f>IF(A8="",0,J8+0.0098)</f>
        <v/>
      </c>
      <c r="T8" s="253" t="n"/>
      <c r="U8" s="253" t="n"/>
      <c r="V8" s="253" t="n"/>
      <c r="W8" s="253" t="n"/>
      <c r="X8" s="253" t="n"/>
      <c r="Y8" s="253" t="n"/>
      <c r="Z8" s="253" t="n"/>
    </row>
    <row r="9" ht="24" customHeight="1" s="280">
      <c r="A9" s="69">
        <f>IF('Supplier Register'!A9="","",'Supplier Register'!A9)</f>
        <v/>
      </c>
      <c r="B9" s="70">
        <f>IF(A9="","",IFERROR(VLOOKUP(A9,'Supplier Register'!$A$6:$L$105,2,FALSE),""))</f>
        <v/>
      </c>
      <c r="C9" s="70">
        <f>IF(A9="","",IFERROR(VLOOKUP(A9,'Supplier Register'!$A$6:$L$105,3,FALSE),""))</f>
        <v/>
      </c>
      <c r="D9" s="70">
        <f>IF(A9="","",IFERROR(VLOOKUP(A9,'Supplier Register'!$A$6:$L$105,5,FALSE),""))</f>
        <v/>
      </c>
      <c r="E9" s="303">
        <f>IF(A9="","",IFERROR(VLOOKUP(A9,'Supplier Register'!$A$6:$L$105,6,FALSE),""))</f>
        <v/>
      </c>
      <c r="F9" s="308">
        <f>IF(A9="","",IFERROR(ROUND(AVERAGEIF('360 Score Entry'!$A$6:$A$105,A9,'360 Score Entry'!$O$6:$O$105),1),""))</f>
        <v/>
      </c>
      <c r="G9" s="287">
        <f>IF(A9="","",COUNTIFS('Risk Event Register'!$A$6:$A$205,A9,'Risk Event Register'!$J$6:$J$205,"&lt;&gt;Closed"))</f>
        <v/>
      </c>
      <c r="H9" s="287">
        <f>IF(A9="","",IFERROR(MAXIFS('Risk Event Register'!$I$6:$I$205,'Risk Event Register'!$A$6:$A$205,A9,'Risk Event Register'!$J$6:$J$205,"&lt;&gt;Closed"),0))</f>
        <v/>
      </c>
      <c r="I9" s="287">
        <f>IF(A9="","",IF(D9="Critical",10,IF(D9="Important",5,0)))</f>
        <v/>
      </c>
      <c r="J9" s="287">
        <f>IF(A9="","",MIN(100,H9+I9))</f>
        <v/>
      </c>
      <c r="K9" s="70">
        <f>IF(F9="","",IF(F9&gt;='Settings'!$H$7,"A Preferred",IF(F9&gt;='Settings'!$H$8,"B Qualified",IF(F9&gt;='Settings'!$H$9,"C Needs Improvement","D Not Qualified"))))</f>
        <v/>
      </c>
      <c r="L9" s="70">
        <f>IF(A9="","",IF(J9&lt;='Settings'!$I$7,"Low Risk",IF(J9&lt;='Settings'!$I$8,"Medium Risk",IF(J9&lt;='Settings'!$I$9,"High Risk","Critical Risk"))))</f>
        <v/>
      </c>
      <c r="M9" s="70">
        <f>IF(F9="","",IF(OR(J9&gt;'Settings'!$I$9,F9&lt;'Settings'!$H$9),"D Pause onboarding / restrict purchases",IF(OR(J9&gt;'Settings'!$I$8,F9&lt;'Settings'!$H$8),"C Time-bound remediation / enhanced approval",IF(OR(J9&gt;'Settings'!$I$7,F9&lt;'Settings'!$H$7),"B Qualified / continuous monitoring","A Preferred / eligible to expand"))))</f>
        <v/>
      </c>
      <c r="N9" s="70">
        <f>IF(M9="","",IF(LEFT(M9,1)="A","Add to preferred list; eligible for expanded share or strategic cooperation",IF(LEFT(M9,1)="B","Maintain cooperation; monitor key indicators quarterly",IF(LEFT(M9,1)="C","Start remediation plan; major purchases require procurement, quality, and legal joint approval","Pause new project onboarding; start alternate supplier and exit plan"))))</f>
        <v/>
      </c>
      <c r="O9" s="287">
        <f>IF(M9="","",IF(LEFT(M9,1)="A",'Settings'!$K$7,IF(LEFT(M9,1)="B",'Settings'!$K$8,IF(LEFT(M9,1)="C",'Settings'!$K$9,'Settings'!$K$10))))</f>
        <v/>
      </c>
      <c r="P9" s="304">
        <f>IF(M9="","",IF(Q9="",TODAY(),Q9)+O9)</f>
        <v/>
      </c>
      <c r="Q9" s="304">
        <f>IF(A9="","",IFERROR(MAXIFS('360 Score Entry'!$C$6:$C$105,'360 Score Entry'!$A$6:$A$105,A9),""))</f>
        <v/>
      </c>
      <c r="R9" s="71">
        <f>IF(A9="","",IF(G9=0,"No open events","Review Risk Event Register; close the highest-risk item first"))</f>
        <v/>
      </c>
      <c r="S9" s="282">
        <f>IF(A9="",0,J9+0.0097)</f>
        <v/>
      </c>
      <c r="T9" s="253" t="n"/>
      <c r="U9" s="253" t="n"/>
      <c r="V9" s="253" t="n"/>
      <c r="W9" s="253" t="n"/>
      <c r="X9" s="253" t="n"/>
      <c r="Y9" s="253" t="n"/>
      <c r="Z9" s="253" t="n"/>
    </row>
    <row r="10" ht="24" customHeight="1" s="280">
      <c r="A10" s="69">
        <f>IF('Supplier Register'!A10="","",'Supplier Register'!A10)</f>
        <v/>
      </c>
      <c r="B10" s="70">
        <f>IF(A10="","",IFERROR(VLOOKUP(A10,'Supplier Register'!$A$6:$L$105,2,FALSE),""))</f>
        <v/>
      </c>
      <c r="C10" s="70">
        <f>IF(A10="","",IFERROR(VLOOKUP(A10,'Supplier Register'!$A$6:$L$105,3,FALSE),""))</f>
        <v/>
      </c>
      <c r="D10" s="70">
        <f>IF(A10="","",IFERROR(VLOOKUP(A10,'Supplier Register'!$A$6:$L$105,5,FALSE),""))</f>
        <v/>
      </c>
      <c r="E10" s="303">
        <f>IF(A10="","",IFERROR(VLOOKUP(A10,'Supplier Register'!$A$6:$L$105,6,FALSE),""))</f>
        <v/>
      </c>
      <c r="F10" s="308">
        <f>IF(A10="","",IFERROR(ROUND(AVERAGEIF('360 Score Entry'!$A$6:$A$105,A10,'360 Score Entry'!$O$6:$O$105),1),""))</f>
        <v/>
      </c>
      <c r="G10" s="287">
        <f>IF(A10="","",COUNTIFS('Risk Event Register'!$A$6:$A$205,A10,'Risk Event Register'!$J$6:$J$205,"&lt;&gt;Closed"))</f>
        <v/>
      </c>
      <c r="H10" s="287">
        <f>IF(A10="","",IFERROR(MAXIFS('Risk Event Register'!$I$6:$I$205,'Risk Event Register'!$A$6:$A$205,A10,'Risk Event Register'!$J$6:$J$205,"&lt;&gt;Closed"),0))</f>
        <v/>
      </c>
      <c r="I10" s="287">
        <f>IF(A10="","",IF(D10="Critical",10,IF(D10="Important",5,0)))</f>
        <v/>
      </c>
      <c r="J10" s="287">
        <f>IF(A10="","",MIN(100,H10+I10))</f>
        <v/>
      </c>
      <c r="K10" s="70">
        <f>IF(F10="","",IF(F10&gt;='Settings'!$H$7,"A Preferred",IF(F10&gt;='Settings'!$H$8,"B Qualified",IF(F10&gt;='Settings'!$H$9,"C Needs Improvement","D Not Qualified"))))</f>
        <v/>
      </c>
      <c r="L10" s="70">
        <f>IF(A10="","",IF(J10&lt;='Settings'!$I$7,"Low Risk",IF(J10&lt;='Settings'!$I$8,"Medium Risk",IF(J10&lt;='Settings'!$I$9,"High Risk","Critical Risk"))))</f>
        <v/>
      </c>
      <c r="M10" s="70">
        <f>IF(F10="","",IF(OR(J10&gt;'Settings'!$I$9,F10&lt;'Settings'!$H$9),"D Pause onboarding / restrict purchases",IF(OR(J10&gt;'Settings'!$I$8,F10&lt;'Settings'!$H$8),"C Time-bound remediation / enhanced approval",IF(OR(J10&gt;'Settings'!$I$7,F10&lt;'Settings'!$H$7),"B Qualified / continuous monitoring","A Preferred / eligible to expand"))))</f>
        <v/>
      </c>
      <c r="N10" s="70">
        <f>IF(M10="","",IF(LEFT(M10,1)="A","Add to preferred list; eligible for expanded share or strategic cooperation",IF(LEFT(M10,1)="B","Maintain cooperation; monitor key indicators quarterly",IF(LEFT(M10,1)="C","Start remediation plan; major purchases require procurement, quality, and legal joint approval","Pause new project onboarding; start alternate supplier and exit plan"))))</f>
        <v/>
      </c>
      <c r="O10" s="287">
        <f>IF(M10="","",IF(LEFT(M10,1)="A",'Settings'!$K$7,IF(LEFT(M10,1)="B",'Settings'!$K$8,IF(LEFT(M10,1)="C",'Settings'!$K$9,'Settings'!$K$10))))</f>
        <v/>
      </c>
      <c r="P10" s="304">
        <f>IF(M10="","",IF(Q10="",TODAY(),Q10)+O10)</f>
        <v/>
      </c>
      <c r="Q10" s="304">
        <f>IF(A10="","",IFERROR(MAXIFS('360 Score Entry'!$C$6:$C$105,'360 Score Entry'!$A$6:$A$105,A10),""))</f>
        <v/>
      </c>
      <c r="R10" s="71">
        <f>IF(A10="","",IF(G10=0,"No open events","Review Risk Event Register; close the highest-risk item first"))</f>
        <v/>
      </c>
      <c r="S10" s="282">
        <f>IF(A10="",0,J10+0.0096)</f>
        <v/>
      </c>
      <c r="T10" s="253" t="n"/>
      <c r="U10" s="253" t="n"/>
      <c r="V10" s="253" t="n"/>
      <c r="W10" s="253" t="n"/>
      <c r="X10" s="253" t="n"/>
      <c r="Y10" s="253" t="n"/>
      <c r="Z10" s="253" t="n"/>
    </row>
    <row r="11" ht="24" customHeight="1" s="280">
      <c r="A11" s="69">
        <f>IF('Supplier Register'!A11="","",'Supplier Register'!A11)</f>
        <v/>
      </c>
      <c r="B11" s="70">
        <f>IF(A11="","",IFERROR(VLOOKUP(A11,'Supplier Register'!$A$6:$L$105,2,FALSE),""))</f>
        <v/>
      </c>
      <c r="C11" s="70">
        <f>IF(A11="","",IFERROR(VLOOKUP(A11,'Supplier Register'!$A$6:$L$105,3,FALSE),""))</f>
        <v/>
      </c>
      <c r="D11" s="70">
        <f>IF(A11="","",IFERROR(VLOOKUP(A11,'Supplier Register'!$A$6:$L$105,5,FALSE),""))</f>
        <v/>
      </c>
      <c r="E11" s="303">
        <f>IF(A11="","",IFERROR(VLOOKUP(A11,'Supplier Register'!$A$6:$L$105,6,FALSE),""))</f>
        <v/>
      </c>
      <c r="F11" s="308">
        <f>IF(A11="","",IFERROR(ROUND(AVERAGEIF('360 Score Entry'!$A$6:$A$105,A11,'360 Score Entry'!$O$6:$O$105),1),""))</f>
        <v/>
      </c>
      <c r="G11" s="287">
        <f>IF(A11="","",COUNTIFS('Risk Event Register'!$A$6:$A$205,A11,'Risk Event Register'!$J$6:$J$205,"&lt;&gt;Closed"))</f>
        <v/>
      </c>
      <c r="H11" s="287">
        <f>IF(A11="","",IFERROR(MAXIFS('Risk Event Register'!$I$6:$I$205,'Risk Event Register'!$A$6:$A$205,A11,'Risk Event Register'!$J$6:$J$205,"&lt;&gt;Closed"),0))</f>
        <v/>
      </c>
      <c r="I11" s="287">
        <f>IF(A11="","",IF(D11="Critical",10,IF(D11="Important",5,0)))</f>
        <v/>
      </c>
      <c r="J11" s="287">
        <f>IF(A11="","",MIN(100,H11+I11))</f>
        <v/>
      </c>
      <c r="K11" s="70">
        <f>IF(F11="","",IF(F11&gt;='Settings'!$H$7,"A Preferred",IF(F11&gt;='Settings'!$H$8,"B Qualified",IF(F11&gt;='Settings'!$H$9,"C Needs Improvement","D Not Qualified"))))</f>
        <v/>
      </c>
      <c r="L11" s="70">
        <f>IF(A11="","",IF(J11&lt;='Settings'!$I$7,"Low Risk",IF(J11&lt;='Settings'!$I$8,"Medium Risk",IF(J11&lt;='Settings'!$I$9,"High Risk","Critical Risk"))))</f>
        <v/>
      </c>
      <c r="M11" s="70">
        <f>IF(F11="","",IF(OR(J11&gt;'Settings'!$I$9,F11&lt;'Settings'!$H$9),"D Pause onboarding / restrict purchases",IF(OR(J11&gt;'Settings'!$I$8,F11&lt;'Settings'!$H$8),"C Time-bound remediation / enhanced approval",IF(OR(J11&gt;'Settings'!$I$7,F11&lt;'Settings'!$H$7),"B Qualified / continuous monitoring","A Preferred / eligible to expand"))))</f>
        <v/>
      </c>
      <c r="N11" s="70">
        <f>IF(M11="","",IF(LEFT(M11,1)="A","Add to preferred list; eligible for expanded share or strategic cooperation",IF(LEFT(M11,1)="B","Maintain cooperation; monitor key indicators quarterly",IF(LEFT(M11,1)="C","Start remediation plan; major purchases require procurement, quality, and legal joint approval","Pause new project onboarding; start alternate supplier and exit plan"))))</f>
        <v/>
      </c>
      <c r="O11" s="287">
        <f>IF(M11="","",IF(LEFT(M11,1)="A",'Settings'!$K$7,IF(LEFT(M11,1)="B",'Settings'!$K$8,IF(LEFT(M11,1)="C",'Settings'!$K$9,'Settings'!$K$10))))</f>
        <v/>
      </c>
      <c r="P11" s="304">
        <f>IF(M11="","",IF(Q11="",TODAY(),Q11)+O11)</f>
        <v/>
      </c>
      <c r="Q11" s="304">
        <f>IF(A11="","",IFERROR(MAXIFS('360 Score Entry'!$C$6:$C$105,'360 Score Entry'!$A$6:$A$105,A11),""))</f>
        <v/>
      </c>
      <c r="R11" s="71">
        <f>IF(A11="","",IF(G11=0,"No open events","Review Risk Event Register; close the highest-risk item first"))</f>
        <v/>
      </c>
      <c r="S11" s="282">
        <f>IF(A11="",0,J11+0.0095)</f>
        <v/>
      </c>
      <c r="T11" s="253" t="n"/>
      <c r="U11" s="253" t="n"/>
      <c r="V11" s="253" t="n"/>
      <c r="W11" s="253" t="n"/>
      <c r="X11" s="253" t="n"/>
      <c r="Y11" s="253" t="n"/>
      <c r="Z11" s="253" t="n"/>
    </row>
    <row r="12" ht="24" customHeight="1" s="280">
      <c r="A12" s="69">
        <f>IF('Supplier Register'!A12="","",'Supplier Register'!A12)</f>
        <v/>
      </c>
      <c r="B12" s="70">
        <f>IF(A12="","",IFERROR(VLOOKUP(A12,'Supplier Register'!$A$6:$L$105,2,FALSE),""))</f>
        <v/>
      </c>
      <c r="C12" s="70">
        <f>IF(A12="","",IFERROR(VLOOKUP(A12,'Supplier Register'!$A$6:$L$105,3,FALSE),""))</f>
        <v/>
      </c>
      <c r="D12" s="70">
        <f>IF(A12="","",IFERROR(VLOOKUP(A12,'Supplier Register'!$A$6:$L$105,5,FALSE),""))</f>
        <v/>
      </c>
      <c r="E12" s="303">
        <f>IF(A12="","",IFERROR(VLOOKUP(A12,'Supplier Register'!$A$6:$L$105,6,FALSE),""))</f>
        <v/>
      </c>
      <c r="F12" s="308">
        <f>IF(A12="","",IFERROR(ROUND(AVERAGEIF('360 Score Entry'!$A$6:$A$105,A12,'360 Score Entry'!$O$6:$O$105),1),""))</f>
        <v/>
      </c>
      <c r="G12" s="287">
        <f>IF(A12="","",COUNTIFS('Risk Event Register'!$A$6:$A$205,A12,'Risk Event Register'!$J$6:$J$205,"&lt;&gt;Closed"))</f>
        <v/>
      </c>
      <c r="H12" s="287">
        <f>IF(A12="","",IFERROR(MAXIFS('Risk Event Register'!$I$6:$I$205,'Risk Event Register'!$A$6:$A$205,A12,'Risk Event Register'!$J$6:$J$205,"&lt;&gt;Closed"),0))</f>
        <v/>
      </c>
      <c r="I12" s="287">
        <f>IF(A12="","",IF(D12="Critical",10,IF(D12="Important",5,0)))</f>
        <v/>
      </c>
      <c r="J12" s="287">
        <f>IF(A12="","",MIN(100,H12+I12))</f>
        <v/>
      </c>
      <c r="K12" s="70">
        <f>IF(F12="","",IF(F12&gt;='Settings'!$H$7,"A Preferred",IF(F12&gt;='Settings'!$H$8,"B Qualified",IF(F12&gt;='Settings'!$H$9,"C Needs Improvement","D Not Qualified"))))</f>
        <v/>
      </c>
      <c r="L12" s="70">
        <f>IF(A12="","",IF(J12&lt;='Settings'!$I$7,"Low Risk",IF(J12&lt;='Settings'!$I$8,"Medium Risk",IF(J12&lt;='Settings'!$I$9,"High Risk","Critical Risk"))))</f>
        <v/>
      </c>
      <c r="M12" s="70">
        <f>IF(F12="","",IF(OR(J12&gt;'Settings'!$I$9,F12&lt;'Settings'!$H$9),"D Pause onboarding / restrict purchases",IF(OR(J12&gt;'Settings'!$I$8,F12&lt;'Settings'!$H$8),"C Time-bound remediation / enhanced approval",IF(OR(J12&gt;'Settings'!$I$7,F12&lt;'Settings'!$H$7),"B Qualified / continuous monitoring","A Preferred / eligible to expand"))))</f>
        <v/>
      </c>
      <c r="N12" s="70">
        <f>IF(M12="","",IF(LEFT(M12,1)="A","Add to preferred list; eligible for expanded share or strategic cooperation",IF(LEFT(M12,1)="B","Maintain cooperation; monitor key indicators quarterly",IF(LEFT(M12,1)="C","Start remediation plan; major purchases require procurement, quality, and legal joint approval","Pause new project onboarding; start alternate supplier and exit plan"))))</f>
        <v/>
      </c>
      <c r="O12" s="287">
        <f>IF(M12="","",IF(LEFT(M12,1)="A",'Settings'!$K$7,IF(LEFT(M12,1)="B",'Settings'!$K$8,IF(LEFT(M12,1)="C",'Settings'!$K$9,'Settings'!$K$10))))</f>
        <v/>
      </c>
      <c r="P12" s="304">
        <f>IF(M12="","",IF(Q12="",TODAY(),Q12)+O12)</f>
        <v/>
      </c>
      <c r="Q12" s="304">
        <f>IF(A12="","",IFERROR(MAXIFS('360 Score Entry'!$C$6:$C$105,'360 Score Entry'!$A$6:$A$105,A12),""))</f>
        <v/>
      </c>
      <c r="R12" s="71">
        <f>IF(A12="","",IF(G12=0,"No open events","Review Risk Event Register; close the highest-risk item first"))</f>
        <v/>
      </c>
      <c r="S12" s="282">
        <f>IF(A12="",0,J12+0.0094)</f>
        <v/>
      </c>
      <c r="T12" s="253" t="n"/>
      <c r="U12" s="253" t="n"/>
      <c r="V12" s="253" t="n"/>
      <c r="W12" s="253" t="n"/>
      <c r="X12" s="253" t="n"/>
      <c r="Y12" s="253" t="n"/>
      <c r="Z12" s="253" t="n"/>
    </row>
    <row r="13" ht="24" customHeight="1" s="280">
      <c r="A13" s="69">
        <f>IF('Supplier Register'!A13="","",'Supplier Register'!A13)</f>
        <v/>
      </c>
      <c r="B13" s="70">
        <f>IF(A13="","",IFERROR(VLOOKUP(A13,'Supplier Register'!$A$6:$L$105,2,FALSE),""))</f>
        <v/>
      </c>
      <c r="C13" s="70">
        <f>IF(A13="","",IFERROR(VLOOKUP(A13,'Supplier Register'!$A$6:$L$105,3,FALSE),""))</f>
        <v/>
      </c>
      <c r="D13" s="70">
        <f>IF(A13="","",IFERROR(VLOOKUP(A13,'Supplier Register'!$A$6:$L$105,5,FALSE),""))</f>
        <v/>
      </c>
      <c r="E13" s="303">
        <f>IF(A13="","",IFERROR(VLOOKUP(A13,'Supplier Register'!$A$6:$L$105,6,FALSE),""))</f>
        <v/>
      </c>
      <c r="F13" s="308">
        <f>IF(A13="","",IFERROR(ROUND(AVERAGEIF('360 Score Entry'!$A$6:$A$105,A13,'360 Score Entry'!$O$6:$O$105),1),""))</f>
        <v/>
      </c>
      <c r="G13" s="287">
        <f>IF(A13="","",COUNTIFS('Risk Event Register'!$A$6:$A$205,A13,'Risk Event Register'!$J$6:$J$205,"&lt;&gt;Closed"))</f>
        <v/>
      </c>
      <c r="H13" s="287">
        <f>IF(A13="","",IFERROR(MAXIFS('Risk Event Register'!$I$6:$I$205,'Risk Event Register'!$A$6:$A$205,A13,'Risk Event Register'!$J$6:$J$205,"&lt;&gt;Closed"),0))</f>
        <v/>
      </c>
      <c r="I13" s="287">
        <f>IF(A13="","",IF(D13="Critical",10,IF(D13="Important",5,0)))</f>
        <v/>
      </c>
      <c r="J13" s="287">
        <f>IF(A13="","",MIN(100,H13+I13))</f>
        <v/>
      </c>
      <c r="K13" s="70">
        <f>IF(F13="","",IF(F13&gt;='Settings'!$H$7,"A Preferred",IF(F13&gt;='Settings'!$H$8,"B Qualified",IF(F13&gt;='Settings'!$H$9,"C Needs Improvement","D Not Qualified"))))</f>
        <v/>
      </c>
      <c r="L13" s="70">
        <f>IF(A13="","",IF(J13&lt;='Settings'!$I$7,"Low Risk",IF(J13&lt;='Settings'!$I$8,"Medium Risk",IF(J13&lt;='Settings'!$I$9,"High Risk","Critical Risk"))))</f>
        <v/>
      </c>
      <c r="M13" s="70">
        <f>IF(F13="","",IF(OR(J13&gt;'Settings'!$I$9,F13&lt;'Settings'!$H$9),"D Pause onboarding / restrict purchases",IF(OR(J13&gt;'Settings'!$I$8,F13&lt;'Settings'!$H$8),"C Time-bound remediation / enhanced approval",IF(OR(J13&gt;'Settings'!$I$7,F13&lt;'Settings'!$H$7),"B Qualified / continuous monitoring","A Preferred / eligible to expand"))))</f>
        <v/>
      </c>
      <c r="N13" s="70">
        <f>IF(M13="","",IF(LEFT(M13,1)="A","Add to preferred list; eligible for expanded share or strategic cooperation",IF(LEFT(M13,1)="B","Maintain cooperation; monitor key indicators quarterly",IF(LEFT(M13,1)="C","Start remediation plan; major purchases require procurement, quality, and legal joint approval","Pause new project onboarding; start alternate supplier and exit plan"))))</f>
        <v/>
      </c>
      <c r="O13" s="287">
        <f>IF(M13="","",IF(LEFT(M13,1)="A",'Settings'!$K$7,IF(LEFT(M13,1)="B",'Settings'!$K$8,IF(LEFT(M13,1)="C",'Settings'!$K$9,'Settings'!$K$10))))</f>
        <v/>
      </c>
      <c r="P13" s="304">
        <f>IF(M13="","",IF(Q13="",TODAY(),Q13)+O13)</f>
        <v/>
      </c>
      <c r="Q13" s="304">
        <f>IF(A13="","",IFERROR(MAXIFS('360 Score Entry'!$C$6:$C$105,'360 Score Entry'!$A$6:$A$105,A13),""))</f>
        <v/>
      </c>
      <c r="R13" s="71">
        <f>IF(A13="","",IF(G13=0,"No open events","Review Risk Event Register; close the highest-risk item first"))</f>
        <v/>
      </c>
      <c r="S13" s="282">
        <f>IF(A13="",0,J13+0.0093)</f>
        <v/>
      </c>
      <c r="T13" s="253" t="n"/>
      <c r="U13" s="253" t="n"/>
      <c r="V13" s="253" t="n"/>
      <c r="W13" s="253" t="n"/>
      <c r="X13" s="253" t="n"/>
      <c r="Y13" s="253" t="n"/>
      <c r="Z13" s="253" t="n"/>
    </row>
    <row r="14" ht="24" customHeight="1" s="280">
      <c r="A14" s="69">
        <f>IF('Supplier Register'!A14="","",'Supplier Register'!A14)</f>
        <v/>
      </c>
      <c r="B14" s="70">
        <f>IF(A14="","",IFERROR(VLOOKUP(A14,'Supplier Register'!$A$6:$L$105,2,FALSE),""))</f>
        <v/>
      </c>
      <c r="C14" s="70">
        <f>IF(A14="","",IFERROR(VLOOKUP(A14,'Supplier Register'!$A$6:$L$105,3,FALSE),""))</f>
        <v/>
      </c>
      <c r="D14" s="70">
        <f>IF(A14="","",IFERROR(VLOOKUP(A14,'Supplier Register'!$A$6:$L$105,5,FALSE),""))</f>
        <v/>
      </c>
      <c r="E14" s="303">
        <f>IF(A14="","",IFERROR(VLOOKUP(A14,'Supplier Register'!$A$6:$L$105,6,FALSE),""))</f>
        <v/>
      </c>
      <c r="F14" s="308">
        <f>IF(A14="","",IFERROR(ROUND(AVERAGEIF('360 Score Entry'!$A$6:$A$105,A14,'360 Score Entry'!$O$6:$O$105),1),""))</f>
        <v/>
      </c>
      <c r="G14" s="287">
        <f>IF(A14="","",COUNTIFS('Risk Event Register'!$A$6:$A$205,A14,'Risk Event Register'!$J$6:$J$205,"&lt;&gt;Closed"))</f>
        <v/>
      </c>
      <c r="H14" s="287">
        <f>IF(A14="","",IFERROR(MAXIFS('Risk Event Register'!$I$6:$I$205,'Risk Event Register'!$A$6:$A$205,A14,'Risk Event Register'!$J$6:$J$205,"&lt;&gt;Closed"),0))</f>
        <v/>
      </c>
      <c r="I14" s="287">
        <f>IF(A14="","",IF(D14="Critical",10,IF(D14="Important",5,0)))</f>
        <v/>
      </c>
      <c r="J14" s="287">
        <f>IF(A14="","",MIN(100,H14+I14))</f>
        <v/>
      </c>
      <c r="K14" s="70">
        <f>IF(F14="","",IF(F14&gt;='Settings'!$H$7,"A Preferred",IF(F14&gt;='Settings'!$H$8,"B Qualified",IF(F14&gt;='Settings'!$H$9,"C Needs Improvement","D Not Qualified"))))</f>
        <v/>
      </c>
      <c r="L14" s="70">
        <f>IF(A14="","",IF(J14&lt;='Settings'!$I$7,"Low Risk",IF(J14&lt;='Settings'!$I$8,"Medium Risk",IF(J14&lt;='Settings'!$I$9,"High Risk","Critical Risk"))))</f>
        <v/>
      </c>
      <c r="M14" s="70">
        <f>IF(F14="","",IF(OR(J14&gt;'Settings'!$I$9,F14&lt;'Settings'!$H$9),"D Pause onboarding / restrict purchases",IF(OR(J14&gt;'Settings'!$I$8,F14&lt;'Settings'!$H$8),"C Time-bound remediation / enhanced approval",IF(OR(J14&gt;'Settings'!$I$7,F14&lt;'Settings'!$H$7),"B Qualified / continuous monitoring","A Preferred / eligible to expand"))))</f>
        <v/>
      </c>
      <c r="N14" s="70">
        <f>IF(M14="","",IF(LEFT(M14,1)="A","Add to preferred list; eligible for expanded share or strategic cooperation",IF(LEFT(M14,1)="B","Maintain cooperation; monitor key indicators quarterly",IF(LEFT(M14,1)="C","Start remediation plan; major purchases require procurement, quality, and legal joint approval","Pause new project onboarding; start alternate supplier and exit plan"))))</f>
        <v/>
      </c>
      <c r="O14" s="287">
        <f>IF(M14="","",IF(LEFT(M14,1)="A",'Settings'!$K$7,IF(LEFT(M14,1)="B",'Settings'!$K$8,IF(LEFT(M14,1)="C",'Settings'!$K$9,'Settings'!$K$10))))</f>
        <v/>
      </c>
      <c r="P14" s="304">
        <f>IF(M14="","",IF(Q14="",TODAY(),Q14)+O14)</f>
        <v/>
      </c>
      <c r="Q14" s="304">
        <f>IF(A14="","",IFERROR(MAXIFS('360 Score Entry'!$C$6:$C$105,'360 Score Entry'!$A$6:$A$105,A14),""))</f>
        <v/>
      </c>
      <c r="R14" s="71">
        <f>IF(A14="","",IF(G14=0,"No open events","Review Risk Event Register; close the highest-risk item first"))</f>
        <v/>
      </c>
      <c r="S14" s="282">
        <f>IF(A14="",0,J14+0.0092)</f>
        <v/>
      </c>
      <c r="T14" s="253" t="n"/>
      <c r="U14" s="253" t="n"/>
      <c r="V14" s="253" t="n"/>
      <c r="W14" s="253" t="n"/>
      <c r="X14" s="253" t="n"/>
      <c r="Y14" s="253" t="n"/>
      <c r="Z14" s="253" t="n"/>
    </row>
    <row r="15" ht="24" customHeight="1" s="280">
      <c r="A15" s="69">
        <f>IF('Supplier Register'!A15="","",'Supplier Register'!A15)</f>
        <v/>
      </c>
      <c r="B15" s="70">
        <f>IF(A15="","",IFERROR(VLOOKUP(A15,'Supplier Register'!$A$6:$L$105,2,FALSE),""))</f>
        <v/>
      </c>
      <c r="C15" s="70">
        <f>IF(A15="","",IFERROR(VLOOKUP(A15,'Supplier Register'!$A$6:$L$105,3,FALSE),""))</f>
        <v/>
      </c>
      <c r="D15" s="70">
        <f>IF(A15="","",IFERROR(VLOOKUP(A15,'Supplier Register'!$A$6:$L$105,5,FALSE),""))</f>
        <v/>
      </c>
      <c r="E15" s="303">
        <f>IF(A15="","",IFERROR(VLOOKUP(A15,'Supplier Register'!$A$6:$L$105,6,FALSE),""))</f>
        <v/>
      </c>
      <c r="F15" s="308">
        <f>IF(A15="","",IFERROR(ROUND(AVERAGEIF('360 Score Entry'!$A$6:$A$105,A15,'360 Score Entry'!$O$6:$O$105),1),""))</f>
        <v/>
      </c>
      <c r="G15" s="287">
        <f>IF(A15="","",COUNTIFS('Risk Event Register'!$A$6:$A$205,A15,'Risk Event Register'!$J$6:$J$205,"&lt;&gt;Closed"))</f>
        <v/>
      </c>
      <c r="H15" s="287">
        <f>IF(A15="","",IFERROR(MAXIFS('Risk Event Register'!$I$6:$I$205,'Risk Event Register'!$A$6:$A$205,A15,'Risk Event Register'!$J$6:$J$205,"&lt;&gt;Closed"),0))</f>
        <v/>
      </c>
      <c r="I15" s="287">
        <f>IF(A15="","",IF(D15="Critical",10,IF(D15="Important",5,0)))</f>
        <v/>
      </c>
      <c r="J15" s="287">
        <f>IF(A15="","",MIN(100,H15+I15))</f>
        <v/>
      </c>
      <c r="K15" s="70">
        <f>IF(F15="","",IF(F15&gt;='Settings'!$H$7,"A Preferred",IF(F15&gt;='Settings'!$H$8,"B Qualified",IF(F15&gt;='Settings'!$H$9,"C Needs Improvement","D Not Qualified"))))</f>
        <v/>
      </c>
      <c r="L15" s="70">
        <f>IF(A15="","",IF(J15&lt;='Settings'!$I$7,"Low Risk",IF(J15&lt;='Settings'!$I$8,"Medium Risk",IF(J15&lt;='Settings'!$I$9,"High Risk","Critical Risk"))))</f>
        <v/>
      </c>
      <c r="M15" s="70">
        <f>IF(F15="","",IF(OR(J15&gt;'Settings'!$I$9,F15&lt;'Settings'!$H$9),"D Pause onboarding / restrict purchases",IF(OR(J15&gt;'Settings'!$I$8,F15&lt;'Settings'!$H$8),"C Time-bound remediation / enhanced approval",IF(OR(J15&gt;'Settings'!$I$7,F15&lt;'Settings'!$H$7),"B Qualified / continuous monitoring","A Preferred / eligible to expand"))))</f>
        <v/>
      </c>
      <c r="N15" s="70">
        <f>IF(M15="","",IF(LEFT(M15,1)="A","Add to preferred list; eligible for expanded share or strategic cooperation",IF(LEFT(M15,1)="B","Maintain cooperation; monitor key indicators quarterly",IF(LEFT(M15,1)="C","Start remediation plan; major purchases require procurement, quality, and legal joint approval","Pause new project onboarding; start alternate supplier and exit plan"))))</f>
        <v/>
      </c>
      <c r="O15" s="287">
        <f>IF(M15="","",IF(LEFT(M15,1)="A",'Settings'!$K$7,IF(LEFT(M15,1)="B",'Settings'!$K$8,IF(LEFT(M15,1)="C",'Settings'!$K$9,'Settings'!$K$10))))</f>
        <v/>
      </c>
      <c r="P15" s="304">
        <f>IF(M15="","",IF(Q15="",TODAY(),Q15)+O15)</f>
        <v/>
      </c>
      <c r="Q15" s="304">
        <f>IF(A15="","",IFERROR(MAXIFS('360 Score Entry'!$C$6:$C$105,'360 Score Entry'!$A$6:$A$105,A15),""))</f>
        <v/>
      </c>
      <c r="R15" s="71">
        <f>IF(A15="","",IF(G15=0,"No open events","Review Risk Event Register; close the highest-risk item first"))</f>
        <v/>
      </c>
      <c r="S15" s="282">
        <f>IF(A15="",0,J15+0.0091)</f>
        <v/>
      </c>
      <c r="T15" s="253" t="n"/>
      <c r="U15" s="253" t="n"/>
      <c r="V15" s="253" t="n"/>
      <c r="W15" s="253" t="n"/>
      <c r="X15" s="253" t="n"/>
      <c r="Y15" s="253" t="n"/>
      <c r="Z15" s="253" t="n"/>
    </row>
    <row r="16" ht="24" customHeight="1" s="280">
      <c r="A16" s="69">
        <f>IF('Supplier Register'!A16="","",'Supplier Register'!A16)</f>
        <v/>
      </c>
      <c r="B16" s="70">
        <f>IF(A16="","",IFERROR(VLOOKUP(A16,'Supplier Register'!$A$6:$L$105,2,FALSE),""))</f>
        <v/>
      </c>
      <c r="C16" s="70">
        <f>IF(A16="","",IFERROR(VLOOKUP(A16,'Supplier Register'!$A$6:$L$105,3,FALSE),""))</f>
        <v/>
      </c>
      <c r="D16" s="70">
        <f>IF(A16="","",IFERROR(VLOOKUP(A16,'Supplier Register'!$A$6:$L$105,5,FALSE),""))</f>
        <v/>
      </c>
      <c r="E16" s="303">
        <f>IF(A16="","",IFERROR(VLOOKUP(A16,'Supplier Register'!$A$6:$L$105,6,FALSE),""))</f>
        <v/>
      </c>
      <c r="F16" s="308">
        <f>IF(A16="","",IFERROR(ROUND(AVERAGEIF('360 Score Entry'!$A$6:$A$105,A16,'360 Score Entry'!$O$6:$O$105),1),""))</f>
        <v/>
      </c>
      <c r="G16" s="287">
        <f>IF(A16="","",COUNTIFS('Risk Event Register'!$A$6:$A$205,A16,'Risk Event Register'!$J$6:$J$205,"&lt;&gt;Closed"))</f>
        <v/>
      </c>
      <c r="H16" s="287">
        <f>IF(A16="","",IFERROR(MAXIFS('Risk Event Register'!$I$6:$I$205,'Risk Event Register'!$A$6:$A$205,A16,'Risk Event Register'!$J$6:$J$205,"&lt;&gt;Closed"),0))</f>
        <v/>
      </c>
      <c r="I16" s="287">
        <f>IF(A16="","",IF(D16="Critical",10,IF(D16="Important",5,0)))</f>
        <v/>
      </c>
      <c r="J16" s="287">
        <f>IF(A16="","",MIN(100,H16+I16))</f>
        <v/>
      </c>
      <c r="K16" s="70">
        <f>IF(F16="","",IF(F16&gt;='Settings'!$H$7,"A Preferred",IF(F16&gt;='Settings'!$H$8,"B Qualified",IF(F16&gt;='Settings'!$H$9,"C Needs Improvement","D Not Qualified"))))</f>
        <v/>
      </c>
      <c r="L16" s="70">
        <f>IF(A16="","",IF(J16&lt;='Settings'!$I$7,"Low Risk",IF(J16&lt;='Settings'!$I$8,"Medium Risk",IF(J16&lt;='Settings'!$I$9,"High Risk","Critical Risk"))))</f>
        <v/>
      </c>
      <c r="M16" s="70">
        <f>IF(F16="","",IF(OR(J16&gt;'Settings'!$I$9,F16&lt;'Settings'!$H$9),"D Pause onboarding / restrict purchases",IF(OR(J16&gt;'Settings'!$I$8,F16&lt;'Settings'!$H$8),"C Time-bound remediation / enhanced approval",IF(OR(J16&gt;'Settings'!$I$7,F16&lt;'Settings'!$H$7),"B Qualified / continuous monitoring","A Preferred / eligible to expand"))))</f>
        <v/>
      </c>
      <c r="N16" s="70">
        <f>IF(M16="","",IF(LEFT(M16,1)="A","Add to preferred list; eligible for expanded share or strategic cooperation",IF(LEFT(M16,1)="B","Maintain cooperation; monitor key indicators quarterly",IF(LEFT(M16,1)="C","Start remediation plan; major purchases require procurement, quality, and legal joint approval","Pause new project onboarding; start alternate supplier and exit plan"))))</f>
        <v/>
      </c>
      <c r="O16" s="287">
        <f>IF(M16="","",IF(LEFT(M16,1)="A",'Settings'!$K$7,IF(LEFT(M16,1)="B",'Settings'!$K$8,IF(LEFT(M16,1)="C",'Settings'!$K$9,'Settings'!$K$10))))</f>
        <v/>
      </c>
      <c r="P16" s="304">
        <f>IF(M16="","",IF(Q16="",TODAY(),Q16)+O16)</f>
        <v/>
      </c>
      <c r="Q16" s="304">
        <f>IF(A16="","",IFERROR(MAXIFS('360 Score Entry'!$C$6:$C$105,'360 Score Entry'!$A$6:$A$105,A16),""))</f>
        <v/>
      </c>
      <c r="R16" s="71">
        <f>IF(A16="","",IF(G16=0,"No open events","Review Risk Event Register; close the highest-risk item first"))</f>
        <v/>
      </c>
      <c r="S16" s="282">
        <f>IF(A16="",0,J16+0.0090)</f>
        <v/>
      </c>
      <c r="T16" s="253" t="n"/>
      <c r="U16" s="253" t="n"/>
      <c r="V16" s="253" t="n"/>
      <c r="W16" s="253" t="n"/>
      <c r="X16" s="253" t="n"/>
      <c r="Y16" s="253" t="n"/>
      <c r="Z16" s="253" t="n"/>
    </row>
    <row r="17" ht="24" customHeight="1" s="280">
      <c r="A17" s="69">
        <f>IF('Supplier Register'!A17="","",'Supplier Register'!A17)</f>
        <v/>
      </c>
      <c r="B17" s="70">
        <f>IF(A17="","",IFERROR(VLOOKUP(A17,'Supplier Register'!$A$6:$L$105,2,FALSE),""))</f>
        <v/>
      </c>
      <c r="C17" s="70">
        <f>IF(A17="","",IFERROR(VLOOKUP(A17,'Supplier Register'!$A$6:$L$105,3,FALSE),""))</f>
        <v/>
      </c>
      <c r="D17" s="70">
        <f>IF(A17="","",IFERROR(VLOOKUP(A17,'Supplier Register'!$A$6:$L$105,5,FALSE),""))</f>
        <v/>
      </c>
      <c r="E17" s="303">
        <f>IF(A17="","",IFERROR(VLOOKUP(A17,'Supplier Register'!$A$6:$L$105,6,FALSE),""))</f>
        <v/>
      </c>
      <c r="F17" s="308">
        <f>IF(A17="","",IFERROR(ROUND(AVERAGEIF('360 Score Entry'!$A$6:$A$105,A17,'360 Score Entry'!$O$6:$O$105),1),""))</f>
        <v/>
      </c>
      <c r="G17" s="287">
        <f>IF(A17="","",COUNTIFS('Risk Event Register'!$A$6:$A$205,A17,'Risk Event Register'!$J$6:$J$205,"&lt;&gt;Closed"))</f>
        <v/>
      </c>
      <c r="H17" s="287">
        <f>IF(A17="","",IFERROR(MAXIFS('Risk Event Register'!$I$6:$I$205,'Risk Event Register'!$A$6:$A$205,A17,'Risk Event Register'!$J$6:$J$205,"&lt;&gt;Closed"),0))</f>
        <v/>
      </c>
      <c r="I17" s="287">
        <f>IF(A17="","",IF(D17="Critical",10,IF(D17="Important",5,0)))</f>
        <v/>
      </c>
      <c r="J17" s="287">
        <f>IF(A17="","",MIN(100,H17+I17))</f>
        <v/>
      </c>
      <c r="K17" s="70">
        <f>IF(F17="","",IF(F17&gt;='Settings'!$H$7,"A Preferred",IF(F17&gt;='Settings'!$H$8,"B Qualified",IF(F17&gt;='Settings'!$H$9,"C Needs Improvement","D Not Qualified"))))</f>
        <v/>
      </c>
      <c r="L17" s="70">
        <f>IF(A17="","",IF(J17&lt;='Settings'!$I$7,"Low Risk",IF(J17&lt;='Settings'!$I$8,"Medium Risk",IF(J17&lt;='Settings'!$I$9,"High Risk","Critical Risk"))))</f>
        <v/>
      </c>
      <c r="M17" s="70">
        <f>IF(F17="","",IF(OR(J17&gt;'Settings'!$I$9,F17&lt;'Settings'!$H$9),"D Pause onboarding / restrict purchases",IF(OR(J17&gt;'Settings'!$I$8,F17&lt;'Settings'!$H$8),"C Time-bound remediation / enhanced approval",IF(OR(J17&gt;'Settings'!$I$7,F17&lt;'Settings'!$H$7),"B Qualified / continuous monitoring","A Preferred / eligible to expand"))))</f>
        <v/>
      </c>
      <c r="N17" s="70">
        <f>IF(M17="","",IF(LEFT(M17,1)="A","Add to preferred list; eligible for expanded share or strategic cooperation",IF(LEFT(M17,1)="B","Maintain cooperation; monitor key indicators quarterly",IF(LEFT(M17,1)="C","Start remediation plan; major purchases require procurement, quality, and legal joint approval","Pause new project onboarding; start alternate supplier and exit plan"))))</f>
        <v/>
      </c>
      <c r="O17" s="287">
        <f>IF(M17="","",IF(LEFT(M17,1)="A",'Settings'!$K$7,IF(LEFT(M17,1)="B",'Settings'!$K$8,IF(LEFT(M17,1)="C",'Settings'!$K$9,'Settings'!$K$10))))</f>
        <v/>
      </c>
      <c r="P17" s="304">
        <f>IF(M17="","",IF(Q17="",TODAY(),Q17)+O17)</f>
        <v/>
      </c>
      <c r="Q17" s="304">
        <f>IF(A17="","",IFERROR(MAXIFS('360 Score Entry'!$C$6:$C$105,'360 Score Entry'!$A$6:$A$105,A17),""))</f>
        <v/>
      </c>
      <c r="R17" s="71">
        <f>IF(A17="","",IF(G17=0,"No open events","Review Risk Event Register; close the highest-risk item first"))</f>
        <v/>
      </c>
      <c r="S17" s="282">
        <f>IF(A17="",0,J17+0.0089)</f>
        <v/>
      </c>
      <c r="T17" s="253" t="n"/>
      <c r="U17" s="253" t="n"/>
      <c r="V17" s="253" t="n"/>
      <c r="W17" s="253" t="n"/>
      <c r="X17" s="253" t="n"/>
      <c r="Y17" s="253" t="n"/>
      <c r="Z17" s="253" t="n"/>
    </row>
    <row r="18" ht="24" customHeight="1" s="280">
      <c r="A18" s="69">
        <f>IF('Supplier Register'!A18="","",'Supplier Register'!A18)</f>
        <v/>
      </c>
      <c r="B18" s="70">
        <f>IF(A18="","",IFERROR(VLOOKUP(A18,'Supplier Register'!$A$6:$L$105,2,FALSE),""))</f>
        <v/>
      </c>
      <c r="C18" s="70">
        <f>IF(A18="","",IFERROR(VLOOKUP(A18,'Supplier Register'!$A$6:$L$105,3,FALSE),""))</f>
        <v/>
      </c>
      <c r="D18" s="70">
        <f>IF(A18="","",IFERROR(VLOOKUP(A18,'Supplier Register'!$A$6:$L$105,5,FALSE),""))</f>
        <v/>
      </c>
      <c r="E18" s="303">
        <f>IF(A18="","",IFERROR(VLOOKUP(A18,'Supplier Register'!$A$6:$L$105,6,FALSE),""))</f>
        <v/>
      </c>
      <c r="F18" s="308">
        <f>IF(A18="","",IFERROR(ROUND(AVERAGEIF('360 Score Entry'!$A$6:$A$105,A18,'360 Score Entry'!$O$6:$O$105),1),""))</f>
        <v/>
      </c>
      <c r="G18" s="287">
        <f>IF(A18="","",COUNTIFS('Risk Event Register'!$A$6:$A$205,A18,'Risk Event Register'!$J$6:$J$205,"&lt;&gt;Closed"))</f>
        <v/>
      </c>
      <c r="H18" s="287">
        <f>IF(A18="","",IFERROR(MAXIFS('Risk Event Register'!$I$6:$I$205,'Risk Event Register'!$A$6:$A$205,A18,'Risk Event Register'!$J$6:$J$205,"&lt;&gt;Closed"),0))</f>
        <v/>
      </c>
      <c r="I18" s="287">
        <f>IF(A18="","",IF(D18="Critical",10,IF(D18="Important",5,0)))</f>
        <v/>
      </c>
      <c r="J18" s="287">
        <f>IF(A18="","",MIN(100,H18+I18))</f>
        <v/>
      </c>
      <c r="K18" s="70">
        <f>IF(F18="","",IF(F18&gt;='Settings'!$H$7,"A Preferred",IF(F18&gt;='Settings'!$H$8,"B Qualified",IF(F18&gt;='Settings'!$H$9,"C Needs Improvement","D Not Qualified"))))</f>
        <v/>
      </c>
      <c r="L18" s="70">
        <f>IF(A18="","",IF(J18&lt;='Settings'!$I$7,"Low Risk",IF(J18&lt;='Settings'!$I$8,"Medium Risk",IF(J18&lt;='Settings'!$I$9,"High Risk","Critical Risk"))))</f>
        <v/>
      </c>
      <c r="M18" s="70">
        <f>IF(F18="","",IF(OR(J18&gt;'Settings'!$I$9,F18&lt;'Settings'!$H$9),"D Pause onboarding / restrict purchases",IF(OR(J18&gt;'Settings'!$I$8,F18&lt;'Settings'!$H$8),"C Time-bound remediation / enhanced approval",IF(OR(J18&gt;'Settings'!$I$7,F18&lt;'Settings'!$H$7),"B Qualified / continuous monitoring","A Preferred / eligible to expand"))))</f>
        <v/>
      </c>
      <c r="N18" s="70">
        <f>IF(M18="","",IF(LEFT(M18,1)="A","Add to preferred list; eligible for expanded share or strategic cooperation",IF(LEFT(M18,1)="B","Maintain cooperation; monitor key indicators quarterly",IF(LEFT(M18,1)="C","Start remediation plan; major purchases require procurement, quality, and legal joint approval","Pause new project onboarding; start alternate supplier and exit plan"))))</f>
        <v/>
      </c>
      <c r="O18" s="287">
        <f>IF(M18="","",IF(LEFT(M18,1)="A",'Settings'!$K$7,IF(LEFT(M18,1)="B",'Settings'!$K$8,IF(LEFT(M18,1)="C",'Settings'!$K$9,'Settings'!$K$10))))</f>
        <v/>
      </c>
      <c r="P18" s="304">
        <f>IF(M18="","",IF(Q18="",TODAY(),Q18)+O18)</f>
        <v/>
      </c>
      <c r="Q18" s="304">
        <f>IF(A18="","",IFERROR(MAXIFS('360 Score Entry'!$C$6:$C$105,'360 Score Entry'!$A$6:$A$105,A18),""))</f>
        <v/>
      </c>
      <c r="R18" s="71">
        <f>IF(A18="","",IF(G18=0,"No open events","Review Risk Event Register; close the highest-risk item first"))</f>
        <v/>
      </c>
      <c r="S18" s="282">
        <f>IF(A18="",0,J18+0.0088)</f>
        <v/>
      </c>
      <c r="T18" s="253" t="n"/>
      <c r="U18" s="253" t="n"/>
      <c r="V18" s="253" t="n"/>
      <c r="W18" s="253" t="n"/>
      <c r="X18" s="253" t="n"/>
      <c r="Y18" s="253" t="n"/>
      <c r="Z18" s="253" t="n"/>
    </row>
    <row r="19" ht="24" customHeight="1" s="280">
      <c r="A19" s="69">
        <f>IF('Supplier Register'!A19="","",'Supplier Register'!A19)</f>
        <v/>
      </c>
      <c r="B19" s="70">
        <f>IF(A19="","",IFERROR(VLOOKUP(A19,'Supplier Register'!$A$6:$L$105,2,FALSE),""))</f>
        <v/>
      </c>
      <c r="C19" s="70">
        <f>IF(A19="","",IFERROR(VLOOKUP(A19,'Supplier Register'!$A$6:$L$105,3,FALSE),""))</f>
        <v/>
      </c>
      <c r="D19" s="70">
        <f>IF(A19="","",IFERROR(VLOOKUP(A19,'Supplier Register'!$A$6:$L$105,5,FALSE),""))</f>
        <v/>
      </c>
      <c r="E19" s="303">
        <f>IF(A19="","",IFERROR(VLOOKUP(A19,'Supplier Register'!$A$6:$L$105,6,FALSE),""))</f>
        <v/>
      </c>
      <c r="F19" s="308">
        <f>IF(A19="","",IFERROR(ROUND(AVERAGEIF('360 Score Entry'!$A$6:$A$105,A19,'360 Score Entry'!$O$6:$O$105),1),""))</f>
        <v/>
      </c>
      <c r="G19" s="287">
        <f>IF(A19="","",COUNTIFS('Risk Event Register'!$A$6:$A$205,A19,'Risk Event Register'!$J$6:$J$205,"&lt;&gt;Closed"))</f>
        <v/>
      </c>
      <c r="H19" s="287">
        <f>IF(A19="","",IFERROR(MAXIFS('Risk Event Register'!$I$6:$I$205,'Risk Event Register'!$A$6:$A$205,A19,'Risk Event Register'!$J$6:$J$205,"&lt;&gt;Closed"),0))</f>
        <v/>
      </c>
      <c r="I19" s="287">
        <f>IF(A19="","",IF(D19="Critical",10,IF(D19="Important",5,0)))</f>
        <v/>
      </c>
      <c r="J19" s="287">
        <f>IF(A19="","",MIN(100,H19+I19))</f>
        <v/>
      </c>
      <c r="K19" s="70">
        <f>IF(F19="","",IF(F19&gt;='Settings'!$H$7,"A Preferred",IF(F19&gt;='Settings'!$H$8,"B Qualified",IF(F19&gt;='Settings'!$H$9,"C Needs Improvement","D Not Qualified"))))</f>
        <v/>
      </c>
      <c r="L19" s="70">
        <f>IF(A19="","",IF(J19&lt;='Settings'!$I$7,"Low Risk",IF(J19&lt;='Settings'!$I$8,"Medium Risk",IF(J19&lt;='Settings'!$I$9,"High Risk","Critical Risk"))))</f>
        <v/>
      </c>
      <c r="M19" s="70">
        <f>IF(F19="","",IF(OR(J19&gt;'Settings'!$I$9,F19&lt;'Settings'!$H$9),"D Pause onboarding / restrict purchases",IF(OR(J19&gt;'Settings'!$I$8,F19&lt;'Settings'!$H$8),"C Time-bound remediation / enhanced approval",IF(OR(J19&gt;'Settings'!$I$7,F19&lt;'Settings'!$H$7),"B Qualified / continuous monitoring","A Preferred / eligible to expand"))))</f>
        <v/>
      </c>
      <c r="N19" s="70">
        <f>IF(M19="","",IF(LEFT(M19,1)="A","Add to preferred list; eligible for expanded share or strategic cooperation",IF(LEFT(M19,1)="B","Maintain cooperation; monitor key indicators quarterly",IF(LEFT(M19,1)="C","Start remediation plan; major purchases require procurement, quality, and legal joint approval","Pause new project onboarding; start alternate supplier and exit plan"))))</f>
        <v/>
      </c>
      <c r="O19" s="287">
        <f>IF(M19="","",IF(LEFT(M19,1)="A",'Settings'!$K$7,IF(LEFT(M19,1)="B",'Settings'!$K$8,IF(LEFT(M19,1)="C",'Settings'!$K$9,'Settings'!$K$10))))</f>
        <v/>
      </c>
      <c r="P19" s="304">
        <f>IF(M19="","",IF(Q19="",TODAY(),Q19)+O19)</f>
        <v/>
      </c>
      <c r="Q19" s="304">
        <f>IF(A19="","",IFERROR(MAXIFS('360 Score Entry'!$C$6:$C$105,'360 Score Entry'!$A$6:$A$105,A19),""))</f>
        <v/>
      </c>
      <c r="R19" s="71">
        <f>IF(A19="","",IF(G19=0,"No open events","Review Risk Event Register; close the highest-risk item first"))</f>
        <v/>
      </c>
      <c r="S19" s="282">
        <f>IF(A19="",0,J19+0.0087)</f>
        <v/>
      </c>
      <c r="T19" s="253" t="n"/>
      <c r="U19" s="253" t="n"/>
      <c r="V19" s="253" t="n"/>
      <c r="W19" s="253" t="n"/>
      <c r="X19" s="253" t="n"/>
      <c r="Y19" s="253" t="n"/>
      <c r="Z19" s="253" t="n"/>
    </row>
    <row r="20" ht="24" customHeight="1" s="280">
      <c r="A20" s="69">
        <f>IF('Supplier Register'!A20="","",'Supplier Register'!A20)</f>
        <v/>
      </c>
      <c r="B20" s="70">
        <f>IF(A20="","",IFERROR(VLOOKUP(A20,'Supplier Register'!$A$6:$L$105,2,FALSE),""))</f>
        <v/>
      </c>
      <c r="C20" s="70">
        <f>IF(A20="","",IFERROR(VLOOKUP(A20,'Supplier Register'!$A$6:$L$105,3,FALSE),""))</f>
        <v/>
      </c>
      <c r="D20" s="70">
        <f>IF(A20="","",IFERROR(VLOOKUP(A20,'Supplier Register'!$A$6:$L$105,5,FALSE),""))</f>
        <v/>
      </c>
      <c r="E20" s="303">
        <f>IF(A20="","",IFERROR(VLOOKUP(A20,'Supplier Register'!$A$6:$L$105,6,FALSE),""))</f>
        <v/>
      </c>
      <c r="F20" s="308">
        <f>IF(A20="","",IFERROR(ROUND(AVERAGEIF('360 Score Entry'!$A$6:$A$105,A20,'360 Score Entry'!$O$6:$O$105),1),""))</f>
        <v/>
      </c>
      <c r="G20" s="287">
        <f>IF(A20="","",COUNTIFS('Risk Event Register'!$A$6:$A$205,A20,'Risk Event Register'!$J$6:$J$205,"&lt;&gt;Closed"))</f>
        <v/>
      </c>
      <c r="H20" s="287">
        <f>IF(A20="","",IFERROR(MAXIFS('Risk Event Register'!$I$6:$I$205,'Risk Event Register'!$A$6:$A$205,A20,'Risk Event Register'!$J$6:$J$205,"&lt;&gt;Closed"),0))</f>
        <v/>
      </c>
      <c r="I20" s="287">
        <f>IF(A20="","",IF(D20="Critical",10,IF(D20="Important",5,0)))</f>
        <v/>
      </c>
      <c r="J20" s="287">
        <f>IF(A20="","",MIN(100,H20+I20))</f>
        <v/>
      </c>
      <c r="K20" s="70">
        <f>IF(F20="","",IF(F20&gt;='Settings'!$H$7,"A Preferred",IF(F20&gt;='Settings'!$H$8,"B Qualified",IF(F20&gt;='Settings'!$H$9,"C Needs Improvement","D Not Qualified"))))</f>
        <v/>
      </c>
      <c r="L20" s="70">
        <f>IF(A20="","",IF(J20&lt;='Settings'!$I$7,"Low Risk",IF(J20&lt;='Settings'!$I$8,"Medium Risk",IF(J20&lt;='Settings'!$I$9,"High Risk","Critical Risk"))))</f>
        <v/>
      </c>
      <c r="M20" s="70">
        <f>IF(F20="","",IF(OR(J20&gt;'Settings'!$I$9,F20&lt;'Settings'!$H$9),"D Pause onboarding / restrict purchases",IF(OR(J20&gt;'Settings'!$I$8,F20&lt;'Settings'!$H$8),"C Time-bound remediation / enhanced approval",IF(OR(J20&gt;'Settings'!$I$7,F20&lt;'Settings'!$H$7),"B Qualified / continuous monitoring","A Preferred / eligible to expand"))))</f>
        <v/>
      </c>
      <c r="N20" s="70">
        <f>IF(M20="","",IF(LEFT(M20,1)="A","Add to preferred list; eligible for expanded share or strategic cooperation",IF(LEFT(M20,1)="B","Maintain cooperation; monitor key indicators quarterly",IF(LEFT(M20,1)="C","Start remediation plan; major purchases require procurement, quality, and legal joint approval","Pause new project onboarding; start alternate supplier and exit plan"))))</f>
        <v/>
      </c>
      <c r="O20" s="287">
        <f>IF(M20="","",IF(LEFT(M20,1)="A",'Settings'!$K$7,IF(LEFT(M20,1)="B",'Settings'!$K$8,IF(LEFT(M20,1)="C",'Settings'!$K$9,'Settings'!$K$10))))</f>
        <v/>
      </c>
      <c r="P20" s="304">
        <f>IF(M20="","",IF(Q20="",TODAY(),Q20)+O20)</f>
        <v/>
      </c>
      <c r="Q20" s="304">
        <f>IF(A20="","",IFERROR(MAXIFS('360 Score Entry'!$C$6:$C$105,'360 Score Entry'!$A$6:$A$105,A20),""))</f>
        <v/>
      </c>
      <c r="R20" s="71">
        <f>IF(A20="","",IF(G20=0,"No open events","Review Risk Event Register; close the highest-risk item first"))</f>
        <v/>
      </c>
      <c r="S20" s="282">
        <f>IF(A20="",0,J20+0.0086)</f>
        <v/>
      </c>
      <c r="T20" s="253" t="n"/>
      <c r="U20" s="253" t="n"/>
      <c r="V20" s="253" t="n"/>
      <c r="W20" s="253" t="n"/>
      <c r="X20" s="253" t="n"/>
      <c r="Y20" s="253" t="n"/>
      <c r="Z20" s="253" t="n"/>
    </row>
    <row r="21" ht="24" customHeight="1" s="280">
      <c r="A21" s="69">
        <f>IF('Supplier Register'!A21="","",'Supplier Register'!A21)</f>
        <v/>
      </c>
      <c r="B21" s="70">
        <f>IF(A21="","",IFERROR(VLOOKUP(A21,'Supplier Register'!$A$6:$L$105,2,FALSE),""))</f>
        <v/>
      </c>
      <c r="C21" s="70">
        <f>IF(A21="","",IFERROR(VLOOKUP(A21,'Supplier Register'!$A$6:$L$105,3,FALSE),""))</f>
        <v/>
      </c>
      <c r="D21" s="70">
        <f>IF(A21="","",IFERROR(VLOOKUP(A21,'Supplier Register'!$A$6:$L$105,5,FALSE),""))</f>
        <v/>
      </c>
      <c r="E21" s="303">
        <f>IF(A21="","",IFERROR(VLOOKUP(A21,'Supplier Register'!$A$6:$L$105,6,FALSE),""))</f>
        <v/>
      </c>
      <c r="F21" s="308">
        <f>IF(A21="","",IFERROR(ROUND(AVERAGEIF('360 Score Entry'!$A$6:$A$105,A21,'360 Score Entry'!$O$6:$O$105),1),""))</f>
        <v/>
      </c>
      <c r="G21" s="287">
        <f>IF(A21="","",COUNTIFS('Risk Event Register'!$A$6:$A$205,A21,'Risk Event Register'!$J$6:$J$205,"&lt;&gt;Closed"))</f>
        <v/>
      </c>
      <c r="H21" s="287">
        <f>IF(A21="","",IFERROR(MAXIFS('Risk Event Register'!$I$6:$I$205,'Risk Event Register'!$A$6:$A$205,A21,'Risk Event Register'!$J$6:$J$205,"&lt;&gt;Closed"),0))</f>
        <v/>
      </c>
      <c r="I21" s="287">
        <f>IF(A21="","",IF(D21="Critical",10,IF(D21="Important",5,0)))</f>
        <v/>
      </c>
      <c r="J21" s="287">
        <f>IF(A21="","",MIN(100,H21+I21))</f>
        <v/>
      </c>
      <c r="K21" s="70">
        <f>IF(F21="","",IF(F21&gt;='Settings'!$H$7,"A Preferred",IF(F21&gt;='Settings'!$H$8,"B Qualified",IF(F21&gt;='Settings'!$H$9,"C Needs Improvement","D Not Qualified"))))</f>
        <v/>
      </c>
      <c r="L21" s="70">
        <f>IF(A21="","",IF(J21&lt;='Settings'!$I$7,"Low Risk",IF(J21&lt;='Settings'!$I$8,"Medium Risk",IF(J21&lt;='Settings'!$I$9,"High Risk","Critical Risk"))))</f>
        <v/>
      </c>
      <c r="M21" s="70">
        <f>IF(F21="","",IF(OR(J21&gt;'Settings'!$I$9,F21&lt;'Settings'!$H$9),"D Pause onboarding / restrict purchases",IF(OR(J21&gt;'Settings'!$I$8,F21&lt;'Settings'!$H$8),"C Time-bound remediation / enhanced approval",IF(OR(J21&gt;'Settings'!$I$7,F21&lt;'Settings'!$H$7),"B Qualified / continuous monitoring","A Preferred / eligible to expand"))))</f>
        <v/>
      </c>
      <c r="N21" s="70">
        <f>IF(M21="","",IF(LEFT(M21,1)="A","Add to preferred list; eligible for expanded share or strategic cooperation",IF(LEFT(M21,1)="B","Maintain cooperation; monitor key indicators quarterly",IF(LEFT(M21,1)="C","Start remediation plan; major purchases require procurement, quality, and legal joint approval","Pause new project onboarding; start alternate supplier and exit plan"))))</f>
        <v/>
      </c>
      <c r="O21" s="287">
        <f>IF(M21="","",IF(LEFT(M21,1)="A",'Settings'!$K$7,IF(LEFT(M21,1)="B",'Settings'!$K$8,IF(LEFT(M21,1)="C",'Settings'!$K$9,'Settings'!$K$10))))</f>
        <v/>
      </c>
      <c r="P21" s="304">
        <f>IF(M21="","",IF(Q21="",TODAY(),Q21)+O21)</f>
        <v/>
      </c>
      <c r="Q21" s="304">
        <f>IF(A21="","",IFERROR(MAXIFS('360 Score Entry'!$C$6:$C$105,'360 Score Entry'!$A$6:$A$105,A21),""))</f>
        <v/>
      </c>
      <c r="R21" s="71">
        <f>IF(A21="","",IF(G21=0,"No open events","Review Risk Event Register; close the highest-risk item first"))</f>
        <v/>
      </c>
      <c r="S21" s="282">
        <f>IF(A21="",0,J21+0.0085)</f>
        <v/>
      </c>
      <c r="T21" s="253" t="n"/>
      <c r="U21" s="253" t="n"/>
      <c r="V21" s="253" t="n"/>
      <c r="W21" s="253" t="n"/>
      <c r="X21" s="253" t="n"/>
      <c r="Y21" s="253" t="n"/>
      <c r="Z21" s="253" t="n"/>
    </row>
    <row r="22" ht="24" customHeight="1" s="280">
      <c r="A22" s="69">
        <f>IF('Supplier Register'!A22="","",'Supplier Register'!A22)</f>
        <v/>
      </c>
      <c r="B22" s="70">
        <f>IF(A22="","",IFERROR(VLOOKUP(A22,'Supplier Register'!$A$6:$L$105,2,FALSE),""))</f>
        <v/>
      </c>
      <c r="C22" s="70">
        <f>IF(A22="","",IFERROR(VLOOKUP(A22,'Supplier Register'!$A$6:$L$105,3,FALSE),""))</f>
        <v/>
      </c>
      <c r="D22" s="70">
        <f>IF(A22="","",IFERROR(VLOOKUP(A22,'Supplier Register'!$A$6:$L$105,5,FALSE),""))</f>
        <v/>
      </c>
      <c r="E22" s="303">
        <f>IF(A22="","",IFERROR(VLOOKUP(A22,'Supplier Register'!$A$6:$L$105,6,FALSE),""))</f>
        <v/>
      </c>
      <c r="F22" s="308">
        <f>IF(A22="","",IFERROR(ROUND(AVERAGEIF('360 Score Entry'!$A$6:$A$105,A22,'360 Score Entry'!$O$6:$O$105),1),""))</f>
        <v/>
      </c>
      <c r="G22" s="287">
        <f>IF(A22="","",COUNTIFS('Risk Event Register'!$A$6:$A$205,A22,'Risk Event Register'!$J$6:$J$205,"&lt;&gt;Closed"))</f>
        <v/>
      </c>
      <c r="H22" s="287">
        <f>IF(A22="","",IFERROR(MAXIFS('Risk Event Register'!$I$6:$I$205,'Risk Event Register'!$A$6:$A$205,A22,'Risk Event Register'!$J$6:$J$205,"&lt;&gt;Closed"),0))</f>
        <v/>
      </c>
      <c r="I22" s="287">
        <f>IF(A22="","",IF(D22="Critical",10,IF(D22="Important",5,0)))</f>
        <v/>
      </c>
      <c r="J22" s="287">
        <f>IF(A22="","",MIN(100,H22+I22))</f>
        <v/>
      </c>
      <c r="K22" s="70">
        <f>IF(F22="","",IF(F22&gt;='Settings'!$H$7,"A Preferred",IF(F22&gt;='Settings'!$H$8,"B Qualified",IF(F22&gt;='Settings'!$H$9,"C Needs Improvement","D Not Qualified"))))</f>
        <v/>
      </c>
      <c r="L22" s="70">
        <f>IF(A22="","",IF(J22&lt;='Settings'!$I$7,"Low Risk",IF(J22&lt;='Settings'!$I$8,"Medium Risk",IF(J22&lt;='Settings'!$I$9,"High Risk","Critical Risk"))))</f>
        <v/>
      </c>
      <c r="M22" s="70">
        <f>IF(F22="","",IF(OR(J22&gt;'Settings'!$I$9,F22&lt;'Settings'!$H$9),"D Pause onboarding / restrict purchases",IF(OR(J22&gt;'Settings'!$I$8,F22&lt;'Settings'!$H$8),"C Time-bound remediation / enhanced approval",IF(OR(J22&gt;'Settings'!$I$7,F22&lt;'Settings'!$H$7),"B Qualified / continuous monitoring","A Preferred / eligible to expand"))))</f>
        <v/>
      </c>
      <c r="N22" s="70">
        <f>IF(M22="","",IF(LEFT(M22,1)="A","Add to preferred list; eligible for expanded share or strategic cooperation",IF(LEFT(M22,1)="B","Maintain cooperation; monitor key indicators quarterly",IF(LEFT(M22,1)="C","Start remediation plan; major purchases require procurement, quality, and legal joint approval","Pause new project onboarding; start alternate supplier and exit plan"))))</f>
        <v/>
      </c>
      <c r="O22" s="287">
        <f>IF(M22="","",IF(LEFT(M22,1)="A",'Settings'!$K$7,IF(LEFT(M22,1)="B",'Settings'!$K$8,IF(LEFT(M22,1)="C",'Settings'!$K$9,'Settings'!$K$10))))</f>
        <v/>
      </c>
      <c r="P22" s="304">
        <f>IF(M22="","",IF(Q22="",TODAY(),Q22)+O22)</f>
        <v/>
      </c>
      <c r="Q22" s="304">
        <f>IF(A22="","",IFERROR(MAXIFS('360 Score Entry'!$C$6:$C$105,'360 Score Entry'!$A$6:$A$105,A22),""))</f>
        <v/>
      </c>
      <c r="R22" s="71">
        <f>IF(A22="","",IF(G22=0,"No open events","Review Risk Event Register; close the highest-risk item first"))</f>
        <v/>
      </c>
      <c r="S22" s="282">
        <f>IF(A22="",0,J22+0.0084)</f>
        <v/>
      </c>
      <c r="T22" s="253" t="n"/>
      <c r="U22" s="253" t="n"/>
      <c r="V22" s="253" t="n"/>
      <c r="W22" s="253" t="n"/>
      <c r="X22" s="253" t="n"/>
      <c r="Y22" s="253" t="n"/>
      <c r="Z22" s="253" t="n"/>
    </row>
    <row r="23" ht="24" customHeight="1" s="280">
      <c r="A23" s="69">
        <f>IF('Supplier Register'!A23="","",'Supplier Register'!A23)</f>
        <v/>
      </c>
      <c r="B23" s="70">
        <f>IF(A23="","",IFERROR(VLOOKUP(A23,'Supplier Register'!$A$6:$L$105,2,FALSE),""))</f>
        <v/>
      </c>
      <c r="C23" s="70">
        <f>IF(A23="","",IFERROR(VLOOKUP(A23,'Supplier Register'!$A$6:$L$105,3,FALSE),""))</f>
        <v/>
      </c>
      <c r="D23" s="70">
        <f>IF(A23="","",IFERROR(VLOOKUP(A23,'Supplier Register'!$A$6:$L$105,5,FALSE),""))</f>
        <v/>
      </c>
      <c r="E23" s="303">
        <f>IF(A23="","",IFERROR(VLOOKUP(A23,'Supplier Register'!$A$6:$L$105,6,FALSE),""))</f>
        <v/>
      </c>
      <c r="F23" s="308">
        <f>IF(A23="","",IFERROR(ROUND(AVERAGEIF('360 Score Entry'!$A$6:$A$105,A23,'360 Score Entry'!$O$6:$O$105),1),""))</f>
        <v/>
      </c>
      <c r="G23" s="287">
        <f>IF(A23="","",COUNTIFS('Risk Event Register'!$A$6:$A$205,A23,'Risk Event Register'!$J$6:$J$205,"&lt;&gt;Closed"))</f>
        <v/>
      </c>
      <c r="H23" s="287">
        <f>IF(A23="","",IFERROR(MAXIFS('Risk Event Register'!$I$6:$I$205,'Risk Event Register'!$A$6:$A$205,A23,'Risk Event Register'!$J$6:$J$205,"&lt;&gt;Closed"),0))</f>
        <v/>
      </c>
      <c r="I23" s="287">
        <f>IF(A23="","",IF(D23="Critical",10,IF(D23="Important",5,0)))</f>
        <v/>
      </c>
      <c r="J23" s="287">
        <f>IF(A23="","",MIN(100,H23+I23))</f>
        <v/>
      </c>
      <c r="K23" s="70">
        <f>IF(F23="","",IF(F23&gt;='Settings'!$H$7,"A Preferred",IF(F23&gt;='Settings'!$H$8,"B Qualified",IF(F23&gt;='Settings'!$H$9,"C Needs Improvement","D Not Qualified"))))</f>
        <v/>
      </c>
      <c r="L23" s="70">
        <f>IF(A23="","",IF(J23&lt;='Settings'!$I$7,"Low Risk",IF(J23&lt;='Settings'!$I$8,"Medium Risk",IF(J23&lt;='Settings'!$I$9,"High Risk","Critical Risk"))))</f>
        <v/>
      </c>
      <c r="M23" s="70">
        <f>IF(F23="","",IF(OR(J23&gt;'Settings'!$I$9,F23&lt;'Settings'!$H$9),"D Pause onboarding / restrict purchases",IF(OR(J23&gt;'Settings'!$I$8,F23&lt;'Settings'!$H$8),"C Time-bound remediation / enhanced approval",IF(OR(J23&gt;'Settings'!$I$7,F23&lt;'Settings'!$H$7),"B Qualified / continuous monitoring","A Preferred / eligible to expand"))))</f>
        <v/>
      </c>
      <c r="N23" s="70">
        <f>IF(M23="","",IF(LEFT(M23,1)="A","Add to preferred list; eligible for expanded share or strategic cooperation",IF(LEFT(M23,1)="B","Maintain cooperation; monitor key indicators quarterly",IF(LEFT(M23,1)="C","Start remediation plan; major purchases require procurement, quality, and legal joint approval","Pause new project onboarding; start alternate supplier and exit plan"))))</f>
        <v/>
      </c>
      <c r="O23" s="287">
        <f>IF(M23="","",IF(LEFT(M23,1)="A",'Settings'!$K$7,IF(LEFT(M23,1)="B",'Settings'!$K$8,IF(LEFT(M23,1)="C",'Settings'!$K$9,'Settings'!$K$10))))</f>
        <v/>
      </c>
      <c r="P23" s="304">
        <f>IF(M23="","",IF(Q23="",TODAY(),Q23)+O23)</f>
        <v/>
      </c>
      <c r="Q23" s="304">
        <f>IF(A23="","",IFERROR(MAXIFS('360 Score Entry'!$C$6:$C$105,'360 Score Entry'!$A$6:$A$105,A23),""))</f>
        <v/>
      </c>
      <c r="R23" s="71">
        <f>IF(A23="","",IF(G23=0,"No open events","Review Risk Event Register; close the highest-risk item first"))</f>
        <v/>
      </c>
      <c r="S23" s="282">
        <f>IF(A23="",0,J23+0.0083)</f>
        <v/>
      </c>
      <c r="T23" s="253" t="n"/>
      <c r="U23" s="253" t="n"/>
      <c r="V23" s="253" t="n"/>
      <c r="W23" s="253" t="n"/>
      <c r="X23" s="253" t="n"/>
      <c r="Y23" s="253" t="n"/>
      <c r="Z23" s="253" t="n"/>
    </row>
    <row r="24" ht="24" customHeight="1" s="280">
      <c r="A24" s="69">
        <f>IF('Supplier Register'!A24="","",'Supplier Register'!A24)</f>
        <v/>
      </c>
      <c r="B24" s="70">
        <f>IF(A24="","",IFERROR(VLOOKUP(A24,'Supplier Register'!$A$6:$L$105,2,FALSE),""))</f>
        <v/>
      </c>
      <c r="C24" s="70">
        <f>IF(A24="","",IFERROR(VLOOKUP(A24,'Supplier Register'!$A$6:$L$105,3,FALSE),""))</f>
        <v/>
      </c>
      <c r="D24" s="70">
        <f>IF(A24="","",IFERROR(VLOOKUP(A24,'Supplier Register'!$A$6:$L$105,5,FALSE),""))</f>
        <v/>
      </c>
      <c r="E24" s="303">
        <f>IF(A24="","",IFERROR(VLOOKUP(A24,'Supplier Register'!$A$6:$L$105,6,FALSE),""))</f>
        <v/>
      </c>
      <c r="F24" s="308">
        <f>IF(A24="","",IFERROR(ROUND(AVERAGEIF('360 Score Entry'!$A$6:$A$105,A24,'360 Score Entry'!$O$6:$O$105),1),""))</f>
        <v/>
      </c>
      <c r="G24" s="287">
        <f>IF(A24="","",COUNTIFS('Risk Event Register'!$A$6:$A$205,A24,'Risk Event Register'!$J$6:$J$205,"&lt;&gt;Closed"))</f>
        <v/>
      </c>
      <c r="H24" s="287">
        <f>IF(A24="","",IFERROR(MAXIFS('Risk Event Register'!$I$6:$I$205,'Risk Event Register'!$A$6:$A$205,A24,'Risk Event Register'!$J$6:$J$205,"&lt;&gt;Closed"),0))</f>
        <v/>
      </c>
      <c r="I24" s="287">
        <f>IF(A24="","",IF(D24="Critical",10,IF(D24="Important",5,0)))</f>
        <v/>
      </c>
      <c r="J24" s="287">
        <f>IF(A24="","",MIN(100,H24+I24))</f>
        <v/>
      </c>
      <c r="K24" s="70">
        <f>IF(F24="","",IF(F24&gt;='Settings'!$H$7,"A Preferred",IF(F24&gt;='Settings'!$H$8,"B Qualified",IF(F24&gt;='Settings'!$H$9,"C Needs Improvement","D Not Qualified"))))</f>
        <v/>
      </c>
      <c r="L24" s="70">
        <f>IF(A24="","",IF(J24&lt;='Settings'!$I$7,"Low Risk",IF(J24&lt;='Settings'!$I$8,"Medium Risk",IF(J24&lt;='Settings'!$I$9,"High Risk","Critical Risk"))))</f>
        <v/>
      </c>
      <c r="M24" s="70">
        <f>IF(F24="","",IF(OR(J24&gt;'Settings'!$I$9,F24&lt;'Settings'!$H$9),"D Pause onboarding / restrict purchases",IF(OR(J24&gt;'Settings'!$I$8,F24&lt;'Settings'!$H$8),"C Time-bound remediation / enhanced approval",IF(OR(J24&gt;'Settings'!$I$7,F24&lt;'Settings'!$H$7),"B Qualified / continuous monitoring","A Preferred / eligible to expand"))))</f>
        <v/>
      </c>
      <c r="N24" s="70">
        <f>IF(M24="","",IF(LEFT(M24,1)="A","Add to preferred list; eligible for expanded share or strategic cooperation",IF(LEFT(M24,1)="B","Maintain cooperation; monitor key indicators quarterly",IF(LEFT(M24,1)="C","Start remediation plan; major purchases require procurement, quality, and legal joint approval","Pause new project onboarding; start alternate supplier and exit plan"))))</f>
        <v/>
      </c>
      <c r="O24" s="287">
        <f>IF(M24="","",IF(LEFT(M24,1)="A",'Settings'!$K$7,IF(LEFT(M24,1)="B",'Settings'!$K$8,IF(LEFT(M24,1)="C",'Settings'!$K$9,'Settings'!$K$10))))</f>
        <v/>
      </c>
      <c r="P24" s="304">
        <f>IF(M24="","",IF(Q24="",TODAY(),Q24)+O24)</f>
        <v/>
      </c>
      <c r="Q24" s="304">
        <f>IF(A24="","",IFERROR(MAXIFS('360 Score Entry'!$C$6:$C$105,'360 Score Entry'!$A$6:$A$105,A24),""))</f>
        <v/>
      </c>
      <c r="R24" s="71">
        <f>IF(A24="","",IF(G24=0,"No open events","Review Risk Event Register; close the highest-risk item first"))</f>
        <v/>
      </c>
      <c r="S24" s="282">
        <f>IF(A24="",0,J24+0.0082)</f>
        <v/>
      </c>
      <c r="T24" s="253" t="n"/>
      <c r="U24" s="253" t="n"/>
      <c r="V24" s="253" t="n"/>
      <c r="W24" s="253" t="n"/>
      <c r="X24" s="253" t="n"/>
      <c r="Y24" s="253" t="n"/>
      <c r="Z24" s="253" t="n"/>
    </row>
    <row r="25" ht="24" customHeight="1" s="280">
      <c r="A25" s="69">
        <f>IF('Supplier Register'!A25="","",'Supplier Register'!A25)</f>
        <v/>
      </c>
      <c r="B25" s="70">
        <f>IF(A25="","",IFERROR(VLOOKUP(A25,'Supplier Register'!$A$6:$L$105,2,FALSE),""))</f>
        <v/>
      </c>
      <c r="C25" s="70">
        <f>IF(A25="","",IFERROR(VLOOKUP(A25,'Supplier Register'!$A$6:$L$105,3,FALSE),""))</f>
        <v/>
      </c>
      <c r="D25" s="70">
        <f>IF(A25="","",IFERROR(VLOOKUP(A25,'Supplier Register'!$A$6:$L$105,5,FALSE),""))</f>
        <v/>
      </c>
      <c r="E25" s="303">
        <f>IF(A25="","",IFERROR(VLOOKUP(A25,'Supplier Register'!$A$6:$L$105,6,FALSE),""))</f>
        <v/>
      </c>
      <c r="F25" s="308">
        <f>IF(A25="","",IFERROR(ROUND(AVERAGEIF('360 Score Entry'!$A$6:$A$105,A25,'360 Score Entry'!$O$6:$O$105),1),""))</f>
        <v/>
      </c>
      <c r="G25" s="287">
        <f>IF(A25="","",COUNTIFS('Risk Event Register'!$A$6:$A$205,A25,'Risk Event Register'!$J$6:$J$205,"&lt;&gt;Closed"))</f>
        <v/>
      </c>
      <c r="H25" s="287">
        <f>IF(A25="","",IFERROR(MAXIFS('Risk Event Register'!$I$6:$I$205,'Risk Event Register'!$A$6:$A$205,A25,'Risk Event Register'!$J$6:$J$205,"&lt;&gt;Closed"),0))</f>
        <v/>
      </c>
      <c r="I25" s="287">
        <f>IF(A25="","",IF(D25="Critical",10,IF(D25="Important",5,0)))</f>
        <v/>
      </c>
      <c r="J25" s="287">
        <f>IF(A25="","",MIN(100,H25+I25))</f>
        <v/>
      </c>
      <c r="K25" s="70">
        <f>IF(F25="","",IF(F25&gt;='Settings'!$H$7,"A Preferred",IF(F25&gt;='Settings'!$H$8,"B Qualified",IF(F25&gt;='Settings'!$H$9,"C Needs Improvement","D Not Qualified"))))</f>
        <v/>
      </c>
      <c r="L25" s="70">
        <f>IF(A25="","",IF(J25&lt;='Settings'!$I$7,"Low Risk",IF(J25&lt;='Settings'!$I$8,"Medium Risk",IF(J25&lt;='Settings'!$I$9,"High Risk","Critical Risk"))))</f>
        <v/>
      </c>
      <c r="M25" s="70">
        <f>IF(F25="","",IF(OR(J25&gt;'Settings'!$I$9,F25&lt;'Settings'!$H$9),"D Pause onboarding / restrict purchases",IF(OR(J25&gt;'Settings'!$I$8,F25&lt;'Settings'!$H$8),"C Time-bound remediation / enhanced approval",IF(OR(J25&gt;'Settings'!$I$7,F25&lt;'Settings'!$H$7),"B Qualified / continuous monitoring","A Preferred / eligible to expand"))))</f>
        <v/>
      </c>
      <c r="N25" s="70">
        <f>IF(M25="","",IF(LEFT(M25,1)="A","Add to preferred list; eligible for expanded share or strategic cooperation",IF(LEFT(M25,1)="B","Maintain cooperation; monitor key indicators quarterly",IF(LEFT(M25,1)="C","Start remediation plan; major purchases require procurement, quality, and legal joint approval","Pause new project onboarding; start alternate supplier and exit plan"))))</f>
        <v/>
      </c>
      <c r="O25" s="287">
        <f>IF(M25="","",IF(LEFT(M25,1)="A",'Settings'!$K$7,IF(LEFT(M25,1)="B",'Settings'!$K$8,IF(LEFT(M25,1)="C",'Settings'!$K$9,'Settings'!$K$10))))</f>
        <v/>
      </c>
      <c r="P25" s="304">
        <f>IF(M25="","",IF(Q25="",TODAY(),Q25)+O25)</f>
        <v/>
      </c>
      <c r="Q25" s="304">
        <f>IF(A25="","",IFERROR(MAXIFS('360 Score Entry'!$C$6:$C$105,'360 Score Entry'!$A$6:$A$105,A25),""))</f>
        <v/>
      </c>
      <c r="R25" s="71">
        <f>IF(A25="","",IF(G25=0,"No open events","Review Risk Event Register; close the highest-risk item first"))</f>
        <v/>
      </c>
      <c r="S25" s="282">
        <f>IF(A25="",0,J25+0.0081)</f>
        <v/>
      </c>
      <c r="T25" s="253" t="n"/>
      <c r="U25" s="253" t="n"/>
      <c r="V25" s="253" t="n"/>
      <c r="W25" s="253" t="n"/>
      <c r="X25" s="253" t="n"/>
      <c r="Y25" s="253" t="n"/>
      <c r="Z25" s="253" t="n"/>
    </row>
    <row r="26" ht="24" customHeight="1" s="280">
      <c r="A26" s="69">
        <f>IF('Supplier Register'!A26="","",'Supplier Register'!A26)</f>
        <v/>
      </c>
      <c r="B26" s="70">
        <f>IF(A26="","",IFERROR(VLOOKUP(A26,'Supplier Register'!$A$6:$L$105,2,FALSE),""))</f>
        <v/>
      </c>
      <c r="C26" s="70">
        <f>IF(A26="","",IFERROR(VLOOKUP(A26,'Supplier Register'!$A$6:$L$105,3,FALSE),""))</f>
        <v/>
      </c>
      <c r="D26" s="70">
        <f>IF(A26="","",IFERROR(VLOOKUP(A26,'Supplier Register'!$A$6:$L$105,5,FALSE),""))</f>
        <v/>
      </c>
      <c r="E26" s="303">
        <f>IF(A26="","",IFERROR(VLOOKUP(A26,'Supplier Register'!$A$6:$L$105,6,FALSE),""))</f>
        <v/>
      </c>
      <c r="F26" s="308">
        <f>IF(A26="","",IFERROR(ROUND(AVERAGEIF('360 Score Entry'!$A$6:$A$105,A26,'360 Score Entry'!$O$6:$O$105),1),""))</f>
        <v/>
      </c>
      <c r="G26" s="287">
        <f>IF(A26="","",COUNTIFS('Risk Event Register'!$A$6:$A$205,A26,'Risk Event Register'!$J$6:$J$205,"&lt;&gt;Closed"))</f>
        <v/>
      </c>
      <c r="H26" s="287">
        <f>IF(A26="","",IFERROR(MAXIFS('Risk Event Register'!$I$6:$I$205,'Risk Event Register'!$A$6:$A$205,A26,'Risk Event Register'!$J$6:$J$205,"&lt;&gt;Closed"),0))</f>
        <v/>
      </c>
      <c r="I26" s="287">
        <f>IF(A26="","",IF(D26="Critical",10,IF(D26="Important",5,0)))</f>
        <v/>
      </c>
      <c r="J26" s="287">
        <f>IF(A26="","",MIN(100,H26+I26))</f>
        <v/>
      </c>
      <c r="K26" s="70">
        <f>IF(F26="","",IF(F26&gt;='Settings'!$H$7,"A Preferred",IF(F26&gt;='Settings'!$H$8,"B Qualified",IF(F26&gt;='Settings'!$H$9,"C Needs Improvement","D Not Qualified"))))</f>
        <v/>
      </c>
      <c r="L26" s="70">
        <f>IF(A26="","",IF(J26&lt;='Settings'!$I$7,"Low Risk",IF(J26&lt;='Settings'!$I$8,"Medium Risk",IF(J26&lt;='Settings'!$I$9,"High Risk","Critical Risk"))))</f>
        <v/>
      </c>
      <c r="M26" s="70">
        <f>IF(F26="","",IF(OR(J26&gt;'Settings'!$I$9,F26&lt;'Settings'!$H$9),"D Pause onboarding / restrict purchases",IF(OR(J26&gt;'Settings'!$I$8,F26&lt;'Settings'!$H$8),"C Time-bound remediation / enhanced approval",IF(OR(J26&gt;'Settings'!$I$7,F26&lt;'Settings'!$H$7),"B Qualified / continuous monitoring","A Preferred / eligible to expand"))))</f>
        <v/>
      </c>
      <c r="N26" s="70">
        <f>IF(M26="","",IF(LEFT(M26,1)="A","Add to preferred list; eligible for expanded share or strategic cooperation",IF(LEFT(M26,1)="B","Maintain cooperation; monitor key indicators quarterly",IF(LEFT(M26,1)="C","Start remediation plan; major purchases require procurement, quality, and legal joint approval","Pause new project onboarding; start alternate supplier and exit plan"))))</f>
        <v/>
      </c>
      <c r="O26" s="287">
        <f>IF(M26="","",IF(LEFT(M26,1)="A",'Settings'!$K$7,IF(LEFT(M26,1)="B",'Settings'!$K$8,IF(LEFT(M26,1)="C",'Settings'!$K$9,'Settings'!$K$10))))</f>
        <v/>
      </c>
      <c r="P26" s="304">
        <f>IF(M26="","",IF(Q26="",TODAY(),Q26)+O26)</f>
        <v/>
      </c>
      <c r="Q26" s="304">
        <f>IF(A26="","",IFERROR(MAXIFS('360 Score Entry'!$C$6:$C$105,'360 Score Entry'!$A$6:$A$105,A26),""))</f>
        <v/>
      </c>
      <c r="R26" s="71">
        <f>IF(A26="","",IF(G26=0,"No open events","Review Risk Event Register; close the highest-risk item first"))</f>
        <v/>
      </c>
      <c r="S26" s="282">
        <f>IF(A26="",0,J26+0.0080)</f>
        <v/>
      </c>
      <c r="T26" s="253" t="n"/>
      <c r="U26" s="253" t="n"/>
      <c r="V26" s="253" t="n"/>
      <c r="W26" s="253" t="n"/>
      <c r="X26" s="253" t="n"/>
      <c r="Y26" s="253" t="n"/>
      <c r="Z26" s="253" t="n"/>
    </row>
    <row r="27" ht="24" customHeight="1" s="280">
      <c r="A27" s="69">
        <f>IF('Supplier Register'!A27="","",'Supplier Register'!A27)</f>
        <v/>
      </c>
      <c r="B27" s="70">
        <f>IF(A27="","",IFERROR(VLOOKUP(A27,'Supplier Register'!$A$6:$L$105,2,FALSE),""))</f>
        <v/>
      </c>
      <c r="C27" s="70">
        <f>IF(A27="","",IFERROR(VLOOKUP(A27,'Supplier Register'!$A$6:$L$105,3,FALSE),""))</f>
        <v/>
      </c>
      <c r="D27" s="70">
        <f>IF(A27="","",IFERROR(VLOOKUP(A27,'Supplier Register'!$A$6:$L$105,5,FALSE),""))</f>
        <v/>
      </c>
      <c r="E27" s="303">
        <f>IF(A27="","",IFERROR(VLOOKUP(A27,'Supplier Register'!$A$6:$L$105,6,FALSE),""))</f>
        <v/>
      </c>
      <c r="F27" s="308">
        <f>IF(A27="","",IFERROR(ROUND(AVERAGEIF('360 Score Entry'!$A$6:$A$105,A27,'360 Score Entry'!$O$6:$O$105),1),""))</f>
        <v/>
      </c>
      <c r="G27" s="287">
        <f>IF(A27="","",COUNTIFS('Risk Event Register'!$A$6:$A$205,A27,'Risk Event Register'!$J$6:$J$205,"&lt;&gt;Closed"))</f>
        <v/>
      </c>
      <c r="H27" s="287">
        <f>IF(A27="","",IFERROR(MAXIFS('Risk Event Register'!$I$6:$I$205,'Risk Event Register'!$A$6:$A$205,A27,'Risk Event Register'!$J$6:$J$205,"&lt;&gt;Closed"),0))</f>
        <v/>
      </c>
      <c r="I27" s="287">
        <f>IF(A27="","",IF(D27="Critical",10,IF(D27="Important",5,0)))</f>
        <v/>
      </c>
      <c r="J27" s="287">
        <f>IF(A27="","",MIN(100,H27+I27))</f>
        <v/>
      </c>
      <c r="K27" s="70">
        <f>IF(F27="","",IF(F27&gt;='Settings'!$H$7,"A Preferred",IF(F27&gt;='Settings'!$H$8,"B Qualified",IF(F27&gt;='Settings'!$H$9,"C Needs Improvement","D Not Qualified"))))</f>
        <v/>
      </c>
      <c r="L27" s="70">
        <f>IF(A27="","",IF(J27&lt;='Settings'!$I$7,"Low Risk",IF(J27&lt;='Settings'!$I$8,"Medium Risk",IF(J27&lt;='Settings'!$I$9,"High Risk","Critical Risk"))))</f>
        <v/>
      </c>
      <c r="M27" s="70">
        <f>IF(F27="","",IF(OR(J27&gt;'Settings'!$I$9,F27&lt;'Settings'!$H$9),"D Pause onboarding / restrict purchases",IF(OR(J27&gt;'Settings'!$I$8,F27&lt;'Settings'!$H$8),"C Time-bound remediation / enhanced approval",IF(OR(J27&gt;'Settings'!$I$7,F27&lt;'Settings'!$H$7),"B Qualified / continuous monitoring","A Preferred / eligible to expand"))))</f>
        <v/>
      </c>
      <c r="N27" s="70">
        <f>IF(M27="","",IF(LEFT(M27,1)="A","Add to preferred list; eligible for expanded share or strategic cooperation",IF(LEFT(M27,1)="B","Maintain cooperation; monitor key indicators quarterly",IF(LEFT(M27,1)="C","Start remediation plan; major purchases require procurement, quality, and legal joint approval","Pause new project onboarding; start alternate supplier and exit plan"))))</f>
        <v/>
      </c>
      <c r="O27" s="287">
        <f>IF(M27="","",IF(LEFT(M27,1)="A",'Settings'!$K$7,IF(LEFT(M27,1)="B",'Settings'!$K$8,IF(LEFT(M27,1)="C",'Settings'!$K$9,'Settings'!$K$10))))</f>
        <v/>
      </c>
      <c r="P27" s="304">
        <f>IF(M27="","",IF(Q27="",TODAY(),Q27)+O27)</f>
        <v/>
      </c>
      <c r="Q27" s="304">
        <f>IF(A27="","",IFERROR(MAXIFS('360 Score Entry'!$C$6:$C$105,'360 Score Entry'!$A$6:$A$105,A27),""))</f>
        <v/>
      </c>
      <c r="R27" s="71">
        <f>IF(A27="","",IF(G27=0,"No open events","Review Risk Event Register; close the highest-risk item first"))</f>
        <v/>
      </c>
      <c r="S27" s="282">
        <f>IF(A27="",0,J27+0.0079)</f>
        <v/>
      </c>
      <c r="T27" s="253" t="n"/>
      <c r="U27" s="253" t="n"/>
      <c r="V27" s="253" t="n"/>
      <c r="W27" s="253" t="n"/>
      <c r="X27" s="253" t="n"/>
      <c r="Y27" s="253" t="n"/>
      <c r="Z27" s="253" t="n"/>
    </row>
    <row r="28" ht="24" customHeight="1" s="280">
      <c r="A28" s="69">
        <f>IF('Supplier Register'!A28="","",'Supplier Register'!A28)</f>
        <v/>
      </c>
      <c r="B28" s="70">
        <f>IF(A28="","",IFERROR(VLOOKUP(A28,'Supplier Register'!$A$6:$L$105,2,FALSE),""))</f>
        <v/>
      </c>
      <c r="C28" s="70">
        <f>IF(A28="","",IFERROR(VLOOKUP(A28,'Supplier Register'!$A$6:$L$105,3,FALSE),""))</f>
        <v/>
      </c>
      <c r="D28" s="70">
        <f>IF(A28="","",IFERROR(VLOOKUP(A28,'Supplier Register'!$A$6:$L$105,5,FALSE),""))</f>
        <v/>
      </c>
      <c r="E28" s="303">
        <f>IF(A28="","",IFERROR(VLOOKUP(A28,'Supplier Register'!$A$6:$L$105,6,FALSE),""))</f>
        <v/>
      </c>
      <c r="F28" s="308">
        <f>IF(A28="","",IFERROR(ROUND(AVERAGEIF('360 Score Entry'!$A$6:$A$105,A28,'360 Score Entry'!$O$6:$O$105),1),""))</f>
        <v/>
      </c>
      <c r="G28" s="287">
        <f>IF(A28="","",COUNTIFS('Risk Event Register'!$A$6:$A$205,A28,'Risk Event Register'!$J$6:$J$205,"&lt;&gt;Closed"))</f>
        <v/>
      </c>
      <c r="H28" s="287">
        <f>IF(A28="","",IFERROR(MAXIFS('Risk Event Register'!$I$6:$I$205,'Risk Event Register'!$A$6:$A$205,A28,'Risk Event Register'!$J$6:$J$205,"&lt;&gt;Closed"),0))</f>
        <v/>
      </c>
      <c r="I28" s="287">
        <f>IF(A28="","",IF(D28="Critical",10,IF(D28="Important",5,0)))</f>
        <v/>
      </c>
      <c r="J28" s="287">
        <f>IF(A28="","",MIN(100,H28+I28))</f>
        <v/>
      </c>
      <c r="K28" s="70">
        <f>IF(F28="","",IF(F28&gt;='Settings'!$H$7,"A Preferred",IF(F28&gt;='Settings'!$H$8,"B Qualified",IF(F28&gt;='Settings'!$H$9,"C Needs Improvement","D Not Qualified"))))</f>
        <v/>
      </c>
      <c r="L28" s="70">
        <f>IF(A28="","",IF(J28&lt;='Settings'!$I$7,"Low Risk",IF(J28&lt;='Settings'!$I$8,"Medium Risk",IF(J28&lt;='Settings'!$I$9,"High Risk","Critical Risk"))))</f>
        <v/>
      </c>
      <c r="M28" s="70">
        <f>IF(F28="","",IF(OR(J28&gt;'Settings'!$I$9,F28&lt;'Settings'!$H$9),"D Pause onboarding / restrict purchases",IF(OR(J28&gt;'Settings'!$I$8,F28&lt;'Settings'!$H$8),"C Time-bound remediation / enhanced approval",IF(OR(J28&gt;'Settings'!$I$7,F28&lt;'Settings'!$H$7),"B Qualified / continuous monitoring","A Preferred / eligible to expand"))))</f>
        <v/>
      </c>
      <c r="N28" s="70">
        <f>IF(M28="","",IF(LEFT(M28,1)="A","Add to preferred list; eligible for expanded share or strategic cooperation",IF(LEFT(M28,1)="B","Maintain cooperation; monitor key indicators quarterly",IF(LEFT(M28,1)="C","Start remediation plan; major purchases require procurement, quality, and legal joint approval","Pause new project onboarding; start alternate supplier and exit plan"))))</f>
        <v/>
      </c>
      <c r="O28" s="287">
        <f>IF(M28="","",IF(LEFT(M28,1)="A",'Settings'!$K$7,IF(LEFT(M28,1)="B",'Settings'!$K$8,IF(LEFT(M28,1)="C",'Settings'!$K$9,'Settings'!$K$10))))</f>
        <v/>
      </c>
      <c r="P28" s="304">
        <f>IF(M28="","",IF(Q28="",TODAY(),Q28)+O28)</f>
        <v/>
      </c>
      <c r="Q28" s="304">
        <f>IF(A28="","",IFERROR(MAXIFS('360 Score Entry'!$C$6:$C$105,'360 Score Entry'!$A$6:$A$105,A28),""))</f>
        <v/>
      </c>
      <c r="R28" s="71">
        <f>IF(A28="","",IF(G28=0,"No open events","Review Risk Event Register; close the highest-risk item first"))</f>
        <v/>
      </c>
      <c r="S28" s="282">
        <f>IF(A28="",0,J28+0.0078)</f>
        <v/>
      </c>
      <c r="T28" s="253" t="n"/>
      <c r="U28" s="253" t="n"/>
      <c r="V28" s="253" t="n"/>
      <c r="W28" s="253" t="n"/>
      <c r="X28" s="253" t="n"/>
      <c r="Y28" s="253" t="n"/>
      <c r="Z28" s="253" t="n"/>
    </row>
    <row r="29" ht="24" customHeight="1" s="280">
      <c r="A29" s="69">
        <f>IF('Supplier Register'!A29="","",'Supplier Register'!A29)</f>
        <v/>
      </c>
      <c r="B29" s="70">
        <f>IF(A29="","",IFERROR(VLOOKUP(A29,'Supplier Register'!$A$6:$L$105,2,FALSE),""))</f>
        <v/>
      </c>
      <c r="C29" s="70">
        <f>IF(A29="","",IFERROR(VLOOKUP(A29,'Supplier Register'!$A$6:$L$105,3,FALSE),""))</f>
        <v/>
      </c>
      <c r="D29" s="70">
        <f>IF(A29="","",IFERROR(VLOOKUP(A29,'Supplier Register'!$A$6:$L$105,5,FALSE),""))</f>
        <v/>
      </c>
      <c r="E29" s="303">
        <f>IF(A29="","",IFERROR(VLOOKUP(A29,'Supplier Register'!$A$6:$L$105,6,FALSE),""))</f>
        <v/>
      </c>
      <c r="F29" s="308">
        <f>IF(A29="","",IFERROR(ROUND(AVERAGEIF('360 Score Entry'!$A$6:$A$105,A29,'360 Score Entry'!$O$6:$O$105),1),""))</f>
        <v/>
      </c>
      <c r="G29" s="287">
        <f>IF(A29="","",COUNTIFS('Risk Event Register'!$A$6:$A$205,A29,'Risk Event Register'!$J$6:$J$205,"&lt;&gt;Closed"))</f>
        <v/>
      </c>
      <c r="H29" s="287">
        <f>IF(A29="","",IFERROR(MAXIFS('Risk Event Register'!$I$6:$I$205,'Risk Event Register'!$A$6:$A$205,A29,'Risk Event Register'!$J$6:$J$205,"&lt;&gt;Closed"),0))</f>
        <v/>
      </c>
      <c r="I29" s="287">
        <f>IF(A29="","",IF(D29="Critical",10,IF(D29="Important",5,0)))</f>
        <v/>
      </c>
      <c r="J29" s="287">
        <f>IF(A29="","",MIN(100,H29+I29))</f>
        <v/>
      </c>
      <c r="K29" s="70">
        <f>IF(F29="","",IF(F29&gt;='Settings'!$H$7,"A Preferred",IF(F29&gt;='Settings'!$H$8,"B Qualified",IF(F29&gt;='Settings'!$H$9,"C Needs Improvement","D Not Qualified"))))</f>
        <v/>
      </c>
      <c r="L29" s="70">
        <f>IF(A29="","",IF(J29&lt;='Settings'!$I$7,"Low Risk",IF(J29&lt;='Settings'!$I$8,"Medium Risk",IF(J29&lt;='Settings'!$I$9,"High Risk","Critical Risk"))))</f>
        <v/>
      </c>
      <c r="M29" s="70">
        <f>IF(F29="","",IF(OR(J29&gt;'Settings'!$I$9,F29&lt;'Settings'!$H$9),"D Pause onboarding / restrict purchases",IF(OR(J29&gt;'Settings'!$I$8,F29&lt;'Settings'!$H$8),"C Time-bound remediation / enhanced approval",IF(OR(J29&gt;'Settings'!$I$7,F29&lt;'Settings'!$H$7),"B Qualified / continuous monitoring","A Preferred / eligible to expand"))))</f>
        <v/>
      </c>
      <c r="N29" s="70">
        <f>IF(M29="","",IF(LEFT(M29,1)="A","Add to preferred list; eligible for expanded share or strategic cooperation",IF(LEFT(M29,1)="B","Maintain cooperation; monitor key indicators quarterly",IF(LEFT(M29,1)="C","Start remediation plan; major purchases require procurement, quality, and legal joint approval","Pause new project onboarding; start alternate supplier and exit plan"))))</f>
        <v/>
      </c>
      <c r="O29" s="287">
        <f>IF(M29="","",IF(LEFT(M29,1)="A",'Settings'!$K$7,IF(LEFT(M29,1)="B",'Settings'!$K$8,IF(LEFT(M29,1)="C",'Settings'!$K$9,'Settings'!$K$10))))</f>
        <v/>
      </c>
      <c r="P29" s="304">
        <f>IF(M29="","",IF(Q29="",TODAY(),Q29)+O29)</f>
        <v/>
      </c>
      <c r="Q29" s="304">
        <f>IF(A29="","",IFERROR(MAXIFS('360 Score Entry'!$C$6:$C$105,'360 Score Entry'!$A$6:$A$105,A29),""))</f>
        <v/>
      </c>
      <c r="R29" s="71">
        <f>IF(A29="","",IF(G29=0,"No open events","Review Risk Event Register; close the highest-risk item first"))</f>
        <v/>
      </c>
      <c r="S29" s="282">
        <f>IF(A29="",0,J29+0.0077)</f>
        <v/>
      </c>
      <c r="T29" s="253" t="n"/>
      <c r="U29" s="253" t="n"/>
      <c r="V29" s="253" t="n"/>
      <c r="W29" s="253" t="n"/>
      <c r="X29" s="253" t="n"/>
      <c r="Y29" s="253" t="n"/>
      <c r="Z29" s="253" t="n"/>
    </row>
    <row r="30" ht="24" customHeight="1" s="280">
      <c r="A30" s="69">
        <f>IF('Supplier Register'!A30="","",'Supplier Register'!A30)</f>
        <v/>
      </c>
      <c r="B30" s="70">
        <f>IF(A30="","",IFERROR(VLOOKUP(A30,'Supplier Register'!$A$6:$L$105,2,FALSE),""))</f>
        <v/>
      </c>
      <c r="C30" s="70">
        <f>IF(A30="","",IFERROR(VLOOKUP(A30,'Supplier Register'!$A$6:$L$105,3,FALSE),""))</f>
        <v/>
      </c>
      <c r="D30" s="70">
        <f>IF(A30="","",IFERROR(VLOOKUP(A30,'Supplier Register'!$A$6:$L$105,5,FALSE),""))</f>
        <v/>
      </c>
      <c r="E30" s="303">
        <f>IF(A30="","",IFERROR(VLOOKUP(A30,'Supplier Register'!$A$6:$L$105,6,FALSE),""))</f>
        <v/>
      </c>
      <c r="F30" s="308">
        <f>IF(A30="","",IFERROR(ROUND(AVERAGEIF('360 Score Entry'!$A$6:$A$105,A30,'360 Score Entry'!$O$6:$O$105),1),""))</f>
        <v/>
      </c>
      <c r="G30" s="287">
        <f>IF(A30="","",COUNTIFS('Risk Event Register'!$A$6:$A$205,A30,'Risk Event Register'!$J$6:$J$205,"&lt;&gt;Closed"))</f>
        <v/>
      </c>
      <c r="H30" s="287">
        <f>IF(A30="","",IFERROR(MAXIFS('Risk Event Register'!$I$6:$I$205,'Risk Event Register'!$A$6:$A$205,A30,'Risk Event Register'!$J$6:$J$205,"&lt;&gt;Closed"),0))</f>
        <v/>
      </c>
      <c r="I30" s="287">
        <f>IF(A30="","",IF(D30="Critical",10,IF(D30="Important",5,0)))</f>
        <v/>
      </c>
      <c r="J30" s="287">
        <f>IF(A30="","",MIN(100,H30+I30))</f>
        <v/>
      </c>
      <c r="K30" s="70">
        <f>IF(F30="","",IF(F30&gt;='Settings'!$H$7,"A Preferred",IF(F30&gt;='Settings'!$H$8,"B Qualified",IF(F30&gt;='Settings'!$H$9,"C Needs Improvement","D Not Qualified"))))</f>
        <v/>
      </c>
      <c r="L30" s="70">
        <f>IF(A30="","",IF(J30&lt;='Settings'!$I$7,"Low Risk",IF(J30&lt;='Settings'!$I$8,"Medium Risk",IF(J30&lt;='Settings'!$I$9,"High Risk","Critical Risk"))))</f>
        <v/>
      </c>
      <c r="M30" s="70">
        <f>IF(F30="","",IF(OR(J30&gt;'Settings'!$I$9,F30&lt;'Settings'!$H$9),"D Pause onboarding / restrict purchases",IF(OR(J30&gt;'Settings'!$I$8,F30&lt;'Settings'!$H$8),"C Time-bound remediation / enhanced approval",IF(OR(J30&gt;'Settings'!$I$7,F30&lt;'Settings'!$H$7),"B Qualified / continuous monitoring","A Preferred / eligible to expand"))))</f>
        <v/>
      </c>
      <c r="N30" s="70">
        <f>IF(M30="","",IF(LEFT(M30,1)="A","Add to preferred list; eligible for expanded share or strategic cooperation",IF(LEFT(M30,1)="B","Maintain cooperation; monitor key indicators quarterly",IF(LEFT(M30,1)="C","Start remediation plan; major purchases require procurement, quality, and legal joint approval","Pause new project onboarding; start alternate supplier and exit plan"))))</f>
        <v/>
      </c>
      <c r="O30" s="287">
        <f>IF(M30="","",IF(LEFT(M30,1)="A",'Settings'!$K$7,IF(LEFT(M30,1)="B",'Settings'!$K$8,IF(LEFT(M30,1)="C",'Settings'!$K$9,'Settings'!$K$10))))</f>
        <v/>
      </c>
      <c r="P30" s="304">
        <f>IF(M30="","",IF(Q30="",TODAY(),Q30)+O30)</f>
        <v/>
      </c>
      <c r="Q30" s="304">
        <f>IF(A30="","",IFERROR(MAXIFS('360 Score Entry'!$C$6:$C$105,'360 Score Entry'!$A$6:$A$105,A30),""))</f>
        <v/>
      </c>
      <c r="R30" s="71">
        <f>IF(A30="","",IF(G30=0,"No open events","Review Risk Event Register; close the highest-risk item first"))</f>
        <v/>
      </c>
      <c r="S30" s="282">
        <f>IF(A30="",0,J30+0.0076)</f>
        <v/>
      </c>
      <c r="T30" s="253" t="n"/>
      <c r="U30" s="253" t="n"/>
      <c r="V30" s="253" t="n"/>
      <c r="W30" s="253" t="n"/>
      <c r="X30" s="253" t="n"/>
      <c r="Y30" s="253" t="n"/>
      <c r="Z30" s="253" t="n"/>
    </row>
    <row r="31" ht="24" customHeight="1" s="280">
      <c r="A31" s="69">
        <f>IF('Supplier Register'!A31="","",'Supplier Register'!A31)</f>
        <v/>
      </c>
      <c r="B31" s="70">
        <f>IF(A31="","",IFERROR(VLOOKUP(A31,'Supplier Register'!$A$6:$L$105,2,FALSE),""))</f>
        <v/>
      </c>
      <c r="C31" s="70">
        <f>IF(A31="","",IFERROR(VLOOKUP(A31,'Supplier Register'!$A$6:$L$105,3,FALSE),""))</f>
        <v/>
      </c>
      <c r="D31" s="70">
        <f>IF(A31="","",IFERROR(VLOOKUP(A31,'Supplier Register'!$A$6:$L$105,5,FALSE),""))</f>
        <v/>
      </c>
      <c r="E31" s="303">
        <f>IF(A31="","",IFERROR(VLOOKUP(A31,'Supplier Register'!$A$6:$L$105,6,FALSE),""))</f>
        <v/>
      </c>
      <c r="F31" s="308">
        <f>IF(A31="","",IFERROR(ROUND(AVERAGEIF('360 Score Entry'!$A$6:$A$105,A31,'360 Score Entry'!$O$6:$O$105),1),""))</f>
        <v/>
      </c>
      <c r="G31" s="287">
        <f>IF(A31="","",COUNTIFS('Risk Event Register'!$A$6:$A$205,A31,'Risk Event Register'!$J$6:$J$205,"&lt;&gt;Closed"))</f>
        <v/>
      </c>
      <c r="H31" s="287">
        <f>IF(A31="","",IFERROR(MAXIFS('Risk Event Register'!$I$6:$I$205,'Risk Event Register'!$A$6:$A$205,A31,'Risk Event Register'!$J$6:$J$205,"&lt;&gt;Closed"),0))</f>
        <v/>
      </c>
      <c r="I31" s="287">
        <f>IF(A31="","",IF(D31="Critical",10,IF(D31="Important",5,0)))</f>
        <v/>
      </c>
      <c r="J31" s="287">
        <f>IF(A31="","",MIN(100,H31+I31))</f>
        <v/>
      </c>
      <c r="K31" s="70">
        <f>IF(F31="","",IF(F31&gt;='Settings'!$H$7,"A Preferred",IF(F31&gt;='Settings'!$H$8,"B Qualified",IF(F31&gt;='Settings'!$H$9,"C Needs Improvement","D Not Qualified"))))</f>
        <v/>
      </c>
      <c r="L31" s="70">
        <f>IF(A31="","",IF(J31&lt;='Settings'!$I$7,"Low Risk",IF(J31&lt;='Settings'!$I$8,"Medium Risk",IF(J31&lt;='Settings'!$I$9,"High Risk","Critical Risk"))))</f>
        <v/>
      </c>
      <c r="M31" s="70">
        <f>IF(F31="","",IF(OR(J31&gt;'Settings'!$I$9,F31&lt;'Settings'!$H$9),"D Pause onboarding / restrict purchases",IF(OR(J31&gt;'Settings'!$I$8,F31&lt;'Settings'!$H$8),"C Time-bound remediation / enhanced approval",IF(OR(J31&gt;'Settings'!$I$7,F31&lt;'Settings'!$H$7),"B Qualified / continuous monitoring","A Preferred / eligible to expand"))))</f>
        <v/>
      </c>
      <c r="N31" s="70">
        <f>IF(M31="","",IF(LEFT(M31,1)="A","Add to preferred list; eligible for expanded share or strategic cooperation",IF(LEFT(M31,1)="B","Maintain cooperation; monitor key indicators quarterly",IF(LEFT(M31,1)="C","Start remediation plan; major purchases require procurement, quality, and legal joint approval","Pause new project onboarding; start alternate supplier and exit plan"))))</f>
        <v/>
      </c>
      <c r="O31" s="287">
        <f>IF(M31="","",IF(LEFT(M31,1)="A",'Settings'!$K$7,IF(LEFT(M31,1)="B",'Settings'!$K$8,IF(LEFT(M31,1)="C",'Settings'!$K$9,'Settings'!$K$10))))</f>
        <v/>
      </c>
      <c r="P31" s="304">
        <f>IF(M31="","",IF(Q31="",TODAY(),Q31)+O31)</f>
        <v/>
      </c>
      <c r="Q31" s="304">
        <f>IF(A31="","",IFERROR(MAXIFS('360 Score Entry'!$C$6:$C$105,'360 Score Entry'!$A$6:$A$105,A31),""))</f>
        <v/>
      </c>
      <c r="R31" s="71">
        <f>IF(A31="","",IF(G31=0,"No open events","Review Risk Event Register; close the highest-risk item first"))</f>
        <v/>
      </c>
      <c r="S31" s="282">
        <f>IF(A31="",0,J31+0.0075)</f>
        <v/>
      </c>
      <c r="T31" s="253" t="n"/>
      <c r="U31" s="253" t="n"/>
      <c r="V31" s="253" t="n"/>
      <c r="W31" s="253" t="n"/>
      <c r="X31" s="253" t="n"/>
      <c r="Y31" s="253" t="n"/>
      <c r="Z31" s="253" t="n"/>
    </row>
    <row r="32" ht="24" customHeight="1" s="280">
      <c r="A32" s="69">
        <f>IF('Supplier Register'!A32="","",'Supplier Register'!A32)</f>
        <v/>
      </c>
      <c r="B32" s="70">
        <f>IF(A32="","",IFERROR(VLOOKUP(A32,'Supplier Register'!$A$6:$L$105,2,FALSE),""))</f>
        <v/>
      </c>
      <c r="C32" s="70">
        <f>IF(A32="","",IFERROR(VLOOKUP(A32,'Supplier Register'!$A$6:$L$105,3,FALSE),""))</f>
        <v/>
      </c>
      <c r="D32" s="70">
        <f>IF(A32="","",IFERROR(VLOOKUP(A32,'Supplier Register'!$A$6:$L$105,5,FALSE),""))</f>
        <v/>
      </c>
      <c r="E32" s="303">
        <f>IF(A32="","",IFERROR(VLOOKUP(A32,'Supplier Register'!$A$6:$L$105,6,FALSE),""))</f>
        <v/>
      </c>
      <c r="F32" s="308">
        <f>IF(A32="","",IFERROR(ROUND(AVERAGEIF('360 Score Entry'!$A$6:$A$105,A32,'360 Score Entry'!$O$6:$O$105),1),""))</f>
        <v/>
      </c>
      <c r="G32" s="287">
        <f>IF(A32="","",COUNTIFS('Risk Event Register'!$A$6:$A$205,A32,'Risk Event Register'!$J$6:$J$205,"&lt;&gt;Closed"))</f>
        <v/>
      </c>
      <c r="H32" s="287">
        <f>IF(A32="","",IFERROR(MAXIFS('Risk Event Register'!$I$6:$I$205,'Risk Event Register'!$A$6:$A$205,A32,'Risk Event Register'!$J$6:$J$205,"&lt;&gt;Closed"),0))</f>
        <v/>
      </c>
      <c r="I32" s="287">
        <f>IF(A32="","",IF(D32="Critical",10,IF(D32="Important",5,0)))</f>
        <v/>
      </c>
      <c r="J32" s="287">
        <f>IF(A32="","",MIN(100,H32+I32))</f>
        <v/>
      </c>
      <c r="K32" s="70">
        <f>IF(F32="","",IF(F32&gt;='Settings'!$H$7,"A Preferred",IF(F32&gt;='Settings'!$H$8,"B Qualified",IF(F32&gt;='Settings'!$H$9,"C Needs Improvement","D Not Qualified"))))</f>
        <v/>
      </c>
      <c r="L32" s="70">
        <f>IF(A32="","",IF(J32&lt;='Settings'!$I$7,"Low Risk",IF(J32&lt;='Settings'!$I$8,"Medium Risk",IF(J32&lt;='Settings'!$I$9,"High Risk","Critical Risk"))))</f>
        <v/>
      </c>
      <c r="M32" s="70">
        <f>IF(F32="","",IF(OR(J32&gt;'Settings'!$I$9,F32&lt;'Settings'!$H$9),"D Pause onboarding / restrict purchases",IF(OR(J32&gt;'Settings'!$I$8,F32&lt;'Settings'!$H$8),"C Time-bound remediation / enhanced approval",IF(OR(J32&gt;'Settings'!$I$7,F32&lt;'Settings'!$H$7),"B Qualified / continuous monitoring","A Preferred / eligible to expand"))))</f>
        <v/>
      </c>
      <c r="N32" s="70">
        <f>IF(M32="","",IF(LEFT(M32,1)="A","Add to preferred list; eligible for expanded share or strategic cooperation",IF(LEFT(M32,1)="B","Maintain cooperation; monitor key indicators quarterly",IF(LEFT(M32,1)="C","Start remediation plan; major purchases require procurement, quality, and legal joint approval","Pause new project onboarding; start alternate supplier and exit plan"))))</f>
        <v/>
      </c>
      <c r="O32" s="287">
        <f>IF(M32="","",IF(LEFT(M32,1)="A",'Settings'!$K$7,IF(LEFT(M32,1)="B",'Settings'!$K$8,IF(LEFT(M32,1)="C",'Settings'!$K$9,'Settings'!$K$10))))</f>
        <v/>
      </c>
      <c r="P32" s="304">
        <f>IF(M32="","",IF(Q32="",TODAY(),Q32)+O32)</f>
        <v/>
      </c>
      <c r="Q32" s="304">
        <f>IF(A32="","",IFERROR(MAXIFS('360 Score Entry'!$C$6:$C$105,'360 Score Entry'!$A$6:$A$105,A32),""))</f>
        <v/>
      </c>
      <c r="R32" s="71">
        <f>IF(A32="","",IF(G32=0,"No open events","Review Risk Event Register; close the highest-risk item first"))</f>
        <v/>
      </c>
      <c r="S32" s="282">
        <f>IF(A32="",0,J32+0.0074)</f>
        <v/>
      </c>
      <c r="T32" s="253" t="n"/>
      <c r="U32" s="253" t="n"/>
      <c r="V32" s="253" t="n"/>
      <c r="W32" s="253" t="n"/>
      <c r="X32" s="253" t="n"/>
      <c r="Y32" s="253" t="n"/>
      <c r="Z32" s="253" t="n"/>
    </row>
    <row r="33" ht="24" customHeight="1" s="280">
      <c r="A33" s="69">
        <f>IF('Supplier Register'!A33="","",'Supplier Register'!A33)</f>
        <v/>
      </c>
      <c r="B33" s="70">
        <f>IF(A33="","",IFERROR(VLOOKUP(A33,'Supplier Register'!$A$6:$L$105,2,FALSE),""))</f>
        <v/>
      </c>
      <c r="C33" s="70">
        <f>IF(A33="","",IFERROR(VLOOKUP(A33,'Supplier Register'!$A$6:$L$105,3,FALSE),""))</f>
        <v/>
      </c>
      <c r="D33" s="70">
        <f>IF(A33="","",IFERROR(VLOOKUP(A33,'Supplier Register'!$A$6:$L$105,5,FALSE),""))</f>
        <v/>
      </c>
      <c r="E33" s="303">
        <f>IF(A33="","",IFERROR(VLOOKUP(A33,'Supplier Register'!$A$6:$L$105,6,FALSE),""))</f>
        <v/>
      </c>
      <c r="F33" s="308">
        <f>IF(A33="","",IFERROR(ROUND(AVERAGEIF('360 Score Entry'!$A$6:$A$105,A33,'360 Score Entry'!$O$6:$O$105),1),""))</f>
        <v/>
      </c>
      <c r="G33" s="287">
        <f>IF(A33="","",COUNTIFS('Risk Event Register'!$A$6:$A$205,A33,'Risk Event Register'!$J$6:$J$205,"&lt;&gt;Closed"))</f>
        <v/>
      </c>
      <c r="H33" s="287">
        <f>IF(A33="","",IFERROR(MAXIFS('Risk Event Register'!$I$6:$I$205,'Risk Event Register'!$A$6:$A$205,A33,'Risk Event Register'!$J$6:$J$205,"&lt;&gt;Closed"),0))</f>
        <v/>
      </c>
      <c r="I33" s="287">
        <f>IF(A33="","",IF(D33="Critical",10,IF(D33="Important",5,0)))</f>
        <v/>
      </c>
      <c r="J33" s="287">
        <f>IF(A33="","",MIN(100,H33+I33))</f>
        <v/>
      </c>
      <c r="K33" s="70">
        <f>IF(F33="","",IF(F33&gt;='Settings'!$H$7,"A Preferred",IF(F33&gt;='Settings'!$H$8,"B Qualified",IF(F33&gt;='Settings'!$H$9,"C Needs Improvement","D Not Qualified"))))</f>
        <v/>
      </c>
      <c r="L33" s="70">
        <f>IF(A33="","",IF(J33&lt;='Settings'!$I$7,"Low Risk",IF(J33&lt;='Settings'!$I$8,"Medium Risk",IF(J33&lt;='Settings'!$I$9,"High Risk","Critical Risk"))))</f>
        <v/>
      </c>
      <c r="M33" s="70">
        <f>IF(F33="","",IF(OR(J33&gt;'Settings'!$I$9,F33&lt;'Settings'!$H$9),"D Pause onboarding / restrict purchases",IF(OR(J33&gt;'Settings'!$I$8,F33&lt;'Settings'!$H$8),"C Time-bound remediation / enhanced approval",IF(OR(J33&gt;'Settings'!$I$7,F33&lt;'Settings'!$H$7),"B Qualified / continuous monitoring","A Preferred / eligible to expand"))))</f>
        <v/>
      </c>
      <c r="N33" s="70">
        <f>IF(M33="","",IF(LEFT(M33,1)="A","Add to preferred list; eligible for expanded share or strategic cooperation",IF(LEFT(M33,1)="B","Maintain cooperation; monitor key indicators quarterly",IF(LEFT(M33,1)="C","Start remediation plan; major purchases require procurement, quality, and legal joint approval","Pause new project onboarding; start alternate supplier and exit plan"))))</f>
        <v/>
      </c>
      <c r="O33" s="287">
        <f>IF(M33="","",IF(LEFT(M33,1)="A",'Settings'!$K$7,IF(LEFT(M33,1)="B",'Settings'!$K$8,IF(LEFT(M33,1)="C",'Settings'!$K$9,'Settings'!$K$10))))</f>
        <v/>
      </c>
      <c r="P33" s="304">
        <f>IF(M33="","",IF(Q33="",TODAY(),Q33)+O33)</f>
        <v/>
      </c>
      <c r="Q33" s="304">
        <f>IF(A33="","",IFERROR(MAXIFS('360 Score Entry'!$C$6:$C$105,'360 Score Entry'!$A$6:$A$105,A33),""))</f>
        <v/>
      </c>
      <c r="R33" s="71">
        <f>IF(A33="","",IF(G33=0,"No open events","Review Risk Event Register; close the highest-risk item first"))</f>
        <v/>
      </c>
      <c r="S33" s="282">
        <f>IF(A33="",0,J33+0.0073)</f>
        <v/>
      </c>
      <c r="T33" s="253" t="n"/>
      <c r="U33" s="253" t="n"/>
      <c r="V33" s="253" t="n"/>
      <c r="W33" s="253" t="n"/>
      <c r="X33" s="253" t="n"/>
      <c r="Y33" s="253" t="n"/>
      <c r="Z33" s="253" t="n"/>
    </row>
    <row r="34" ht="24" customHeight="1" s="280">
      <c r="A34" s="69">
        <f>IF('Supplier Register'!A34="","",'Supplier Register'!A34)</f>
        <v/>
      </c>
      <c r="B34" s="70">
        <f>IF(A34="","",IFERROR(VLOOKUP(A34,'Supplier Register'!$A$6:$L$105,2,FALSE),""))</f>
        <v/>
      </c>
      <c r="C34" s="70">
        <f>IF(A34="","",IFERROR(VLOOKUP(A34,'Supplier Register'!$A$6:$L$105,3,FALSE),""))</f>
        <v/>
      </c>
      <c r="D34" s="70">
        <f>IF(A34="","",IFERROR(VLOOKUP(A34,'Supplier Register'!$A$6:$L$105,5,FALSE),""))</f>
        <v/>
      </c>
      <c r="E34" s="303">
        <f>IF(A34="","",IFERROR(VLOOKUP(A34,'Supplier Register'!$A$6:$L$105,6,FALSE),""))</f>
        <v/>
      </c>
      <c r="F34" s="308">
        <f>IF(A34="","",IFERROR(ROUND(AVERAGEIF('360 Score Entry'!$A$6:$A$105,A34,'360 Score Entry'!$O$6:$O$105),1),""))</f>
        <v/>
      </c>
      <c r="G34" s="287">
        <f>IF(A34="","",COUNTIFS('Risk Event Register'!$A$6:$A$205,A34,'Risk Event Register'!$J$6:$J$205,"&lt;&gt;Closed"))</f>
        <v/>
      </c>
      <c r="H34" s="287">
        <f>IF(A34="","",IFERROR(MAXIFS('Risk Event Register'!$I$6:$I$205,'Risk Event Register'!$A$6:$A$205,A34,'Risk Event Register'!$J$6:$J$205,"&lt;&gt;Closed"),0))</f>
        <v/>
      </c>
      <c r="I34" s="287">
        <f>IF(A34="","",IF(D34="Critical",10,IF(D34="Important",5,0)))</f>
        <v/>
      </c>
      <c r="J34" s="287">
        <f>IF(A34="","",MIN(100,H34+I34))</f>
        <v/>
      </c>
      <c r="K34" s="70">
        <f>IF(F34="","",IF(F34&gt;='Settings'!$H$7,"A Preferred",IF(F34&gt;='Settings'!$H$8,"B Qualified",IF(F34&gt;='Settings'!$H$9,"C Needs Improvement","D Not Qualified"))))</f>
        <v/>
      </c>
      <c r="L34" s="70">
        <f>IF(A34="","",IF(J34&lt;='Settings'!$I$7,"Low Risk",IF(J34&lt;='Settings'!$I$8,"Medium Risk",IF(J34&lt;='Settings'!$I$9,"High Risk","Critical Risk"))))</f>
        <v/>
      </c>
      <c r="M34" s="70">
        <f>IF(F34="","",IF(OR(J34&gt;'Settings'!$I$9,F34&lt;'Settings'!$H$9),"D Pause onboarding / restrict purchases",IF(OR(J34&gt;'Settings'!$I$8,F34&lt;'Settings'!$H$8),"C Time-bound remediation / enhanced approval",IF(OR(J34&gt;'Settings'!$I$7,F34&lt;'Settings'!$H$7),"B Qualified / continuous monitoring","A Preferred / eligible to expand"))))</f>
        <v/>
      </c>
      <c r="N34" s="70">
        <f>IF(M34="","",IF(LEFT(M34,1)="A","Add to preferred list; eligible for expanded share or strategic cooperation",IF(LEFT(M34,1)="B","Maintain cooperation; monitor key indicators quarterly",IF(LEFT(M34,1)="C","Start remediation plan; major purchases require procurement, quality, and legal joint approval","Pause new project onboarding; start alternate supplier and exit plan"))))</f>
        <v/>
      </c>
      <c r="O34" s="287">
        <f>IF(M34="","",IF(LEFT(M34,1)="A",'Settings'!$K$7,IF(LEFT(M34,1)="B",'Settings'!$K$8,IF(LEFT(M34,1)="C",'Settings'!$K$9,'Settings'!$K$10))))</f>
        <v/>
      </c>
      <c r="P34" s="304">
        <f>IF(M34="","",IF(Q34="",TODAY(),Q34)+O34)</f>
        <v/>
      </c>
      <c r="Q34" s="304">
        <f>IF(A34="","",IFERROR(MAXIFS('360 Score Entry'!$C$6:$C$105,'360 Score Entry'!$A$6:$A$105,A34),""))</f>
        <v/>
      </c>
      <c r="R34" s="71">
        <f>IF(A34="","",IF(G34=0,"No open events","Review Risk Event Register; close the highest-risk item first"))</f>
        <v/>
      </c>
      <c r="S34" s="282">
        <f>IF(A34="",0,J34+0.0072)</f>
        <v/>
      </c>
      <c r="T34" s="253" t="n"/>
      <c r="U34" s="253" t="n"/>
      <c r="V34" s="253" t="n"/>
      <c r="W34" s="253" t="n"/>
      <c r="X34" s="253" t="n"/>
      <c r="Y34" s="253" t="n"/>
      <c r="Z34" s="253" t="n"/>
    </row>
    <row r="35" ht="24" customHeight="1" s="280">
      <c r="A35" s="69">
        <f>IF('Supplier Register'!A35="","",'Supplier Register'!A35)</f>
        <v/>
      </c>
      <c r="B35" s="70">
        <f>IF(A35="","",IFERROR(VLOOKUP(A35,'Supplier Register'!$A$6:$L$105,2,FALSE),""))</f>
        <v/>
      </c>
      <c r="C35" s="70">
        <f>IF(A35="","",IFERROR(VLOOKUP(A35,'Supplier Register'!$A$6:$L$105,3,FALSE),""))</f>
        <v/>
      </c>
      <c r="D35" s="70">
        <f>IF(A35="","",IFERROR(VLOOKUP(A35,'Supplier Register'!$A$6:$L$105,5,FALSE),""))</f>
        <v/>
      </c>
      <c r="E35" s="303">
        <f>IF(A35="","",IFERROR(VLOOKUP(A35,'Supplier Register'!$A$6:$L$105,6,FALSE),""))</f>
        <v/>
      </c>
      <c r="F35" s="308">
        <f>IF(A35="","",IFERROR(ROUND(AVERAGEIF('360 Score Entry'!$A$6:$A$105,A35,'360 Score Entry'!$O$6:$O$105),1),""))</f>
        <v/>
      </c>
      <c r="G35" s="287">
        <f>IF(A35="","",COUNTIFS('Risk Event Register'!$A$6:$A$205,A35,'Risk Event Register'!$J$6:$J$205,"&lt;&gt;Closed"))</f>
        <v/>
      </c>
      <c r="H35" s="287">
        <f>IF(A35="","",IFERROR(MAXIFS('Risk Event Register'!$I$6:$I$205,'Risk Event Register'!$A$6:$A$205,A35,'Risk Event Register'!$J$6:$J$205,"&lt;&gt;Closed"),0))</f>
        <v/>
      </c>
      <c r="I35" s="287">
        <f>IF(A35="","",IF(D35="Critical",10,IF(D35="Important",5,0)))</f>
        <v/>
      </c>
      <c r="J35" s="287">
        <f>IF(A35="","",MIN(100,H35+I35))</f>
        <v/>
      </c>
      <c r="K35" s="70">
        <f>IF(F35="","",IF(F35&gt;='Settings'!$H$7,"A Preferred",IF(F35&gt;='Settings'!$H$8,"B Qualified",IF(F35&gt;='Settings'!$H$9,"C Needs Improvement","D Not Qualified"))))</f>
        <v/>
      </c>
      <c r="L35" s="70">
        <f>IF(A35="","",IF(J35&lt;='Settings'!$I$7,"Low Risk",IF(J35&lt;='Settings'!$I$8,"Medium Risk",IF(J35&lt;='Settings'!$I$9,"High Risk","Critical Risk"))))</f>
        <v/>
      </c>
      <c r="M35" s="70">
        <f>IF(F35="","",IF(OR(J35&gt;'Settings'!$I$9,F35&lt;'Settings'!$H$9),"D Pause onboarding / restrict purchases",IF(OR(J35&gt;'Settings'!$I$8,F35&lt;'Settings'!$H$8),"C Time-bound remediation / enhanced approval",IF(OR(J35&gt;'Settings'!$I$7,F35&lt;'Settings'!$H$7),"B Qualified / continuous monitoring","A Preferred / eligible to expand"))))</f>
        <v/>
      </c>
      <c r="N35" s="70">
        <f>IF(M35="","",IF(LEFT(M35,1)="A","Add to preferred list; eligible for expanded share or strategic cooperation",IF(LEFT(M35,1)="B","Maintain cooperation; monitor key indicators quarterly",IF(LEFT(M35,1)="C","Start remediation plan; major purchases require procurement, quality, and legal joint approval","Pause new project onboarding; start alternate supplier and exit plan"))))</f>
        <v/>
      </c>
      <c r="O35" s="287">
        <f>IF(M35="","",IF(LEFT(M35,1)="A",'Settings'!$K$7,IF(LEFT(M35,1)="B",'Settings'!$K$8,IF(LEFT(M35,1)="C",'Settings'!$K$9,'Settings'!$K$10))))</f>
        <v/>
      </c>
      <c r="P35" s="304">
        <f>IF(M35="","",IF(Q35="",TODAY(),Q35)+O35)</f>
        <v/>
      </c>
      <c r="Q35" s="304">
        <f>IF(A35="","",IFERROR(MAXIFS('360 Score Entry'!$C$6:$C$105,'360 Score Entry'!$A$6:$A$105,A35),""))</f>
        <v/>
      </c>
      <c r="R35" s="71">
        <f>IF(A35="","",IF(G35=0,"No open events","Review Risk Event Register; close the highest-risk item first"))</f>
        <v/>
      </c>
      <c r="S35" s="282">
        <f>IF(A35="",0,J35+0.0071)</f>
        <v/>
      </c>
      <c r="T35" s="253" t="n"/>
      <c r="U35" s="253" t="n"/>
      <c r="V35" s="253" t="n"/>
      <c r="W35" s="253" t="n"/>
      <c r="X35" s="253" t="n"/>
      <c r="Y35" s="253" t="n"/>
      <c r="Z35" s="253" t="n"/>
    </row>
    <row r="36" ht="24" customHeight="1" s="280">
      <c r="A36" s="69">
        <f>IF('Supplier Register'!A36="","",'Supplier Register'!A36)</f>
        <v/>
      </c>
      <c r="B36" s="70">
        <f>IF(A36="","",IFERROR(VLOOKUP(A36,'Supplier Register'!$A$6:$L$105,2,FALSE),""))</f>
        <v/>
      </c>
      <c r="C36" s="70">
        <f>IF(A36="","",IFERROR(VLOOKUP(A36,'Supplier Register'!$A$6:$L$105,3,FALSE),""))</f>
        <v/>
      </c>
      <c r="D36" s="70">
        <f>IF(A36="","",IFERROR(VLOOKUP(A36,'Supplier Register'!$A$6:$L$105,5,FALSE),""))</f>
        <v/>
      </c>
      <c r="E36" s="303">
        <f>IF(A36="","",IFERROR(VLOOKUP(A36,'Supplier Register'!$A$6:$L$105,6,FALSE),""))</f>
        <v/>
      </c>
      <c r="F36" s="308">
        <f>IF(A36="","",IFERROR(ROUND(AVERAGEIF('360 Score Entry'!$A$6:$A$105,A36,'360 Score Entry'!$O$6:$O$105),1),""))</f>
        <v/>
      </c>
      <c r="G36" s="287">
        <f>IF(A36="","",COUNTIFS('Risk Event Register'!$A$6:$A$205,A36,'Risk Event Register'!$J$6:$J$205,"&lt;&gt;Closed"))</f>
        <v/>
      </c>
      <c r="H36" s="287">
        <f>IF(A36="","",IFERROR(MAXIFS('Risk Event Register'!$I$6:$I$205,'Risk Event Register'!$A$6:$A$205,A36,'Risk Event Register'!$J$6:$J$205,"&lt;&gt;Closed"),0))</f>
        <v/>
      </c>
      <c r="I36" s="287">
        <f>IF(A36="","",IF(D36="Critical",10,IF(D36="Important",5,0)))</f>
        <v/>
      </c>
      <c r="J36" s="287">
        <f>IF(A36="","",MIN(100,H36+I36))</f>
        <v/>
      </c>
      <c r="K36" s="70">
        <f>IF(F36="","",IF(F36&gt;='Settings'!$H$7,"A Preferred",IF(F36&gt;='Settings'!$H$8,"B Qualified",IF(F36&gt;='Settings'!$H$9,"C Needs Improvement","D Not Qualified"))))</f>
        <v/>
      </c>
      <c r="L36" s="70">
        <f>IF(A36="","",IF(J36&lt;='Settings'!$I$7,"Low Risk",IF(J36&lt;='Settings'!$I$8,"Medium Risk",IF(J36&lt;='Settings'!$I$9,"High Risk","Critical Risk"))))</f>
        <v/>
      </c>
      <c r="M36" s="70">
        <f>IF(F36="","",IF(OR(J36&gt;'Settings'!$I$9,F36&lt;'Settings'!$H$9),"D Pause onboarding / restrict purchases",IF(OR(J36&gt;'Settings'!$I$8,F36&lt;'Settings'!$H$8),"C Time-bound remediation / enhanced approval",IF(OR(J36&gt;'Settings'!$I$7,F36&lt;'Settings'!$H$7),"B Qualified / continuous monitoring","A Preferred / eligible to expand"))))</f>
        <v/>
      </c>
      <c r="N36" s="70">
        <f>IF(M36="","",IF(LEFT(M36,1)="A","Add to preferred list; eligible for expanded share or strategic cooperation",IF(LEFT(M36,1)="B","Maintain cooperation; monitor key indicators quarterly",IF(LEFT(M36,1)="C","Start remediation plan; major purchases require procurement, quality, and legal joint approval","Pause new project onboarding; start alternate supplier and exit plan"))))</f>
        <v/>
      </c>
      <c r="O36" s="287">
        <f>IF(M36="","",IF(LEFT(M36,1)="A",'Settings'!$K$7,IF(LEFT(M36,1)="B",'Settings'!$K$8,IF(LEFT(M36,1)="C",'Settings'!$K$9,'Settings'!$K$10))))</f>
        <v/>
      </c>
      <c r="P36" s="304">
        <f>IF(M36="","",IF(Q36="",TODAY(),Q36)+O36)</f>
        <v/>
      </c>
      <c r="Q36" s="304">
        <f>IF(A36="","",IFERROR(MAXIFS('360 Score Entry'!$C$6:$C$105,'360 Score Entry'!$A$6:$A$105,A36),""))</f>
        <v/>
      </c>
      <c r="R36" s="71">
        <f>IF(A36="","",IF(G36=0,"No open events","Review Risk Event Register; close the highest-risk item first"))</f>
        <v/>
      </c>
      <c r="S36" s="282">
        <f>IF(A36="",0,J36+0.0070)</f>
        <v/>
      </c>
      <c r="T36" s="253" t="n"/>
      <c r="U36" s="253" t="n"/>
      <c r="V36" s="253" t="n"/>
      <c r="W36" s="253" t="n"/>
      <c r="X36" s="253" t="n"/>
      <c r="Y36" s="253" t="n"/>
      <c r="Z36" s="253" t="n"/>
    </row>
    <row r="37" ht="24" customHeight="1" s="280">
      <c r="A37" s="69">
        <f>IF('Supplier Register'!A37="","",'Supplier Register'!A37)</f>
        <v/>
      </c>
      <c r="B37" s="70">
        <f>IF(A37="","",IFERROR(VLOOKUP(A37,'Supplier Register'!$A$6:$L$105,2,FALSE),""))</f>
        <v/>
      </c>
      <c r="C37" s="70">
        <f>IF(A37="","",IFERROR(VLOOKUP(A37,'Supplier Register'!$A$6:$L$105,3,FALSE),""))</f>
        <v/>
      </c>
      <c r="D37" s="70">
        <f>IF(A37="","",IFERROR(VLOOKUP(A37,'Supplier Register'!$A$6:$L$105,5,FALSE),""))</f>
        <v/>
      </c>
      <c r="E37" s="303">
        <f>IF(A37="","",IFERROR(VLOOKUP(A37,'Supplier Register'!$A$6:$L$105,6,FALSE),""))</f>
        <v/>
      </c>
      <c r="F37" s="308">
        <f>IF(A37="","",IFERROR(ROUND(AVERAGEIF('360 Score Entry'!$A$6:$A$105,A37,'360 Score Entry'!$O$6:$O$105),1),""))</f>
        <v/>
      </c>
      <c r="G37" s="287">
        <f>IF(A37="","",COUNTIFS('Risk Event Register'!$A$6:$A$205,A37,'Risk Event Register'!$J$6:$J$205,"&lt;&gt;Closed"))</f>
        <v/>
      </c>
      <c r="H37" s="287">
        <f>IF(A37="","",IFERROR(MAXIFS('Risk Event Register'!$I$6:$I$205,'Risk Event Register'!$A$6:$A$205,A37,'Risk Event Register'!$J$6:$J$205,"&lt;&gt;Closed"),0))</f>
        <v/>
      </c>
      <c r="I37" s="287">
        <f>IF(A37="","",IF(D37="Critical",10,IF(D37="Important",5,0)))</f>
        <v/>
      </c>
      <c r="J37" s="287">
        <f>IF(A37="","",MIN(100,H37+I37))</f>
        <v/>
      </c>
      <c r="K37" s="70">
        <f>IF(F37="","",IF(F37&gt;='Settings'!$H$7,"A Preferred",IF(F37&gt;='Settings'!$H$8,"B Qualified",IF(F37&gt;='Settings'!$H$9,"C Needs Improvement","D Not Qualified"))))</f>
        <v/>
      </c>
      <c r="L37" s="70">
        <f>IF(A37="","",IF(J37&lt;='Settings'!$I$7,"Low Risk",IF(J37&lt;='Settings'!$I$8,"Medium Risk",IF(J37&lt;='Settings'!$I$9,"High Risk","Critical Risk"))))</f>
        <v/>
      </c>
      <c r="M37" s="70">
        <f>IF(F37="","",IF(OR(J37&gt;'Settings'!$I$9,F37&lt;'Settings'!$H$9),"D Pause onboarding / restrict purchases",IF(OR(J37&gt;'Settings'!$I$8,F37&lt;'Settings'!$H$8),"C Time-bound remediation / enhanced approval",IF(OR(J37&gt;'Settings'!$I$7,F37&lt;'Settings'!$H$7),"B Qualified / continuous monitoring","A Preferred / eligible to expand"))))</f>
        <v/>
      </c>
      <c r="N37" s="70">
        <f>IF(M37="","",IF(LEFT(M37,1)="A","Add to preferred list; eligible for expanded share or strategic cooperation",IF(LEFT(M37,1)="B","Maintain cooperation; monitor key indicators quarterly",IF(LEFT(M37,1)="C","Start remediation plan; major purchases require procurement, quality, and legal joint approval","Pause new project onboarding; start alternate supplier and exit plan"))))</f>
        <v/>
      </c>
      <c r="O37" s="287">
        <f>IF(M37="","",IF(LEFT(M37,1)="A",'Settings'!$K$7,IF(LEFT(M37,1)="B",'Settings'!$K$8,IF(LEFT(M37,1)="C",'Settings'!$K$9,'Settings'!$K$10))))</f>
        <v/>
      </c>
      <c r="P37" s="304">
        <f>IF(M37="","",IF(Q37="",TODAY(),Q37)+O37)</f>
        <v/>
      </c>
      <c r="Q37" s="304">
        <f>IF(A37="","",IFERROR(MAXIFS('360 Score Entry'!$C$6:$C$105,'360 Score Entry'!$A$6:$A$105,A37),""))</f>
        <v/>
      </c>
      <c r="R37" s="71">
        <f>IF(A37="","",IF(G37=0,"No open events","Review Risk Event Register; close the highest-risk item first"))</f>
        <v/>
      </c>
      <c r="S37" s="282">
        <f>IF(A37="",0,J37+0.0069)</f>
        <v/>
      </c>
      <c r="T37" s="253" t="n"/>
      <c r="U37" s="253" t="n"/>
      <c r="V37" s="253" t="n"/>
      <c r="W37" s="253" t="n"/>
      <c r="X37" s="253" t="n"/>
      <c r="Y37" s="253" t="n"/>
      <c r="Z37" s="253" t="n"/>
    </row>
    <row r="38" ht="24" customHeight="1" s="280">
      <c r="A38" s="69">
        <f>IF('Supplier Register'!A38="","",'Supplier Register'!A38)</f>
        <v/>
      </c>
      <c r="B38" s="70">
        <f>IF(A38="","",IFERROR(VLOOKUP(A38,'Supplier Register'!$A$6:$L$105,2,FALSE),""))</f>
        <v/>
      </c>
      <c r="C38" s="70">
        <f>IF(A38="","",IFERROR(VLOOKUP(A38,'Supplier Register'!$A$6:$L$105,3,FALSE),""))</f>
        <v/>
      </c>
      <c r="D38" s="70">
        <f>IF(A38="","",IFERROR(VLOOKUP(A38,'Supplier Register'!$A$6:$L$105,5,FALSE),""))</f>
        <v/>
      </c>
      <c r="E38" s="303">
        <f>IF(A38="","",IFERROR(VLOOKUP(A38,'Supplier Register'!$A$6:$L$105,6,FALSE),""))</f>
        <v/>
      </c>
      <c r="F38" s="308">
        <f>IF(A38="","",IFERROR(ROUND(AVERAGEIF('360 Score Entry'!$A$6:$A$105,A38,'360 Score Entry'!$O$6:$O$105),1),""))</f>
        <v/>
      </c>
      <c r="G38" s="287">
        <f>IF(A38="","",COUNTIFS('Risk Event Register'!$A$6:$A$205,A38,'Risk Event Register'!$J$6:$J$205,"&lt;&gt;Closed"))</f>
        <v/>
      </c>
      <c r="H38" s="287">
        <f>IF(A38="","",IFERROR(MAXIFS('Risk Event Register'!$I$6:$I$205,'Risk Event Register'!$A$6:$A$205,A38,'Risk Event Register'!$J$6:$J$205,"&lt;&gt;Closed"),0))</f>
        <v/>
      </c>
      <c r="I38" s="287">
        <f>IF(A38="","",IF(D38="Critical",10,IF(D38="Important",5,0)))</f>
        <v/>
      </c>
      <c r="J38" s="287">
        <f>IF(A38="","",MIN(100,H38+I38))</f>
        <v/>
      </c>
      <c r="K38" s="70">
        <f>IF(F38="","",IF(F38&gt;='Settings'!$H$7,"A Preferred",IF(F38&gt;='Settings'!$H$8,"B Qualified",IF(F38&gt;='Settings'!$H$9,"C Needs Improvement","D Not Qualified"))))</f>
        <v/>
      </c>
      <c r="L38" s="70">
        <f>IF(A38="","",IF(J38&lt;='Settings'!$I$7,"Low Risk",IF(J38&lt;='Settings'!$I$8,"Medium Risk",IF(J38&lt;='Settings'!$I$9,"High Risk","Critical Risk"))))</f>
        <v/>
      </c>
      <c r="M38" s="70">
        <f>IF(F38="","",IF(OR(J38&gt;'Settings'!$I$9,F38&lt;'Settings'!$H$9),"D Pause onboarding / restrict purchases",IF(OR(J38&gt;'Settings'!$I$8,F38&lt;'Settings'!$H$8),"C Time-bound remediation / enhanced approval",IF(OR(J38&gt;'Settings'!$I$7,F38&lt;'Settings'!$H$7),"B Qualified / continuous monitoring","A Preferred / eligible to expand"))))</f>
        <v/>
      </c>
      <c r="N38" s="70">
        <f>IF(M38="","",IF(LEFT(M38,1)="A","Add to preferred list; eligible for expanded share or strategic cooperation",IF(LEFT(M38,1)="B","Maintain cooperation; monitor key indicators quarterly",IF(LEFT(M38,1)="C","Start remediation plan; major purchases require procurement, quality, and legal joint approval","Pause new project onboarding; start alternate supplier and exit plan"))))</f>
        <v/>
      </c>
      <c r="O38" s="287">
        <f>IF(M38="","",IF(LEFT(M38,1)="A",'Settings'!$K$7,IF(LEFT(M38,1)="B",'Settings'!$K$8,IF(LEFT(M38,1)="C",'Settings'!$K$9,'Settings'!$K$10))))</f>
        <v/>
      </c>
      <c r="P38" s="304">
        <f>IF(M38="","",IF(Q38="",TODAY(),Q38)+O38)</f>
        <v/>
      </c>
      <c r="Q38" s="304">
        <f>IF(A38="","",IFERROR(MAXIFS('360 Score Entry'!$C$6:$C$105,'360 Score Entry'!$A$6:$A$105,A38),""))</f>
        <v/>
      </c>
      <c r="R38" s="71">
        <f>IF(A38="","",IF(G38=0,"No open events","Review Risk Event Register; close the highest-risk item first"))</f>
        <v/>
      </c>
      <c r="S38" s="282">
        <f>IF(A38="",0,J38+0.0068)</f>
        <v/>
      </c>
      <c r="T38" s="253" t="n"/>
      <c r="U38" s="253" t="n"/>
      <c r="V38" s="253" t="n"/>
      <c r="W38" s="253" t="n"/>
      <c r="X38" s="253" t="n"/>
      <c r="Y38" s="253" t="n"/>
      <c r="Z38" s="253" t="n"/>
    </row>
    <row r="39" ht="24" customHeight="1" s="280">
      <c r="A39" s="69">
        <f>IF('Supplier Register'!A39="","",'Supplier Register'!A39)</f>
        <v/>
      </c>
      <c r="B39" s="70">
        <f>IF(A39="","",IFERROR(VLOOKUP(A39,'Supplier Register'!$A$6:$L$105,2,FALSE),""))</f>
        <v/>
      </c>
      <c r="C39" s="70">
        <f>IF(A39="","",IFERROR(VLOOKUP(A39,'Supplier Register'!$A$6:$L$105,3,FALSE),""))</f>
        <v/>
      </c>
      <c r="D39" s="70">
        <f>IF(A39="","",IFERROR(VLOOKUP(A39,'Supplier Register'!$A$6:$L$105,5,FALSE),""))</f>
        <v/>
      </c>
      <c r="E39" s="303">
        <f>IF(A39="","",IFERROR(VLOOKUP(A39,'Supplier Register'!$A$6:$L$105,6,FALSE),""))</f>
        <v/>
      </c>
      <c r="F39" s="308">
        <f>IF(A39="","",IFERROR(ROUND(AVERAGEIF('360 Score Entry'!$A$6:$A$105,A39,'360 Score Entry'!$O$6:$O$105),1),""))</f>
        <v/>
      </c>
      <c r="G39" s="287">
        <f>IF(A39="","",COUNTIFS('Risk Event Register'!$A$6:$A$205,A39,'Risk Event Register'!$J$6:$J$205,"&lt;&gt;Closed"))</f>
        <v/>
      </c>
      <c r="H39" s="287">
        <f>IF(A39="","",IFERROR(MAXIFS('Risk Event Register'!$I$6:$I$205,'Risk Event Register'!$A$6:$A$205,A39,'Risk Event Register'!$J$6:$J$205,"&lt;&gt;Closed"),0))</f>
        <v/>
      </c>
      <c r="I39" s="287">
        <f>IF(A39="","",IF(D39="Critical",10,IF(D39="Important",5,0)))</f>
        <v/>
      </c>
      <c r="J39" s="287">
        <f>IF(A39="","",MIN(100,H39+I39))</f>
        <v/>
      </c>
      <c r="K39" s="70">
        <f>IF(F39="","",IF(F39&gt;='Settings'!$H$7,"A Preferred",IF(F39&gt;='Settings'!$H$8,"B Qualified",IF(F39&gt;='Settings'!$H$9,"C Needs Improvement","D Not Qualified"))))</f>
        <v/>
      </c>
      <c r="L39" s="70">
        <f>IF(A39="","",IF(J39&lt;='Settings'!$I$7,"Low Risk",IF(J39&lt;='Settings'!$I$8,"Medium Risk",IF(J39&lt;='Settings'!$I$9,"High Risk","Critical Risk"))))</f>
        <v/>
      </c>
      <c r="M39" s="70">
        <f>IF(F39="","",IF(OR(J39&gt;'Settings'!$I$9,F39&lt;'Settings'!$H$9),"D Pause onboarding / restrict purchases",IF(OR(J39&gt;'Settings'!$I$8,F39&lt;'Settings'!$H$8),"C Time-bound remediation / enhanced approval",IF(OR(J39&gt;'Settings'!$I$7,F39&lt;'Settings'!$H$7),"B Qualified / continuous monitoring","A Preferred / eligible to expand"))))</f>
        <v/>
      </c>
      <c r="N39" s="70">
        <f>IF(M39="","",IF(LEFT(M39,1)="A","Add to preferred list; eligible for expanded share or strategic cooperation",IF(LEFT(M39,1)="B","Maintain cooperation; monitor key indicators quarterly",IF(LEFT(M39,1)="C","Start remediation plan; major purchases require procurement, quality, and legal joint approval","Pause new project onboarding; start alternate supplier and exit plan"))))</f>
        <v/>
      </c>
      <c r="O39" s="287">
        <f>IF(M39="","",IF(LEFT(M39,1)="A",'Settings'!$K$7,IF(LEFT(M39,1)="B",'Settings'!$K$8,IF(LEFT(M39,1)="C",'Settings'!$K$9,'Settings'!$K$10))))</f>
        <v/>
      </c>
      <c r="P39" s="304">
        <f>IF(M39="","",IF(Q39="",TODAY(),Q39)+O39)</f>
        <v/>
      </c>
      <c r="Q39" s="304">
        <f>IF(A39="","",IFERROR(MAXIFS('360 Score Entry'!$C$6:$C$105,'360 Score Entry'!$A$6:$A$105,A39),""))</f>
        <v/>
      </c>
      <c r="R39" s="71">
        <f>IF(A39="","",IF(G39=0,"No open events","Review Risk Event Register; close the highest-risk item first"))</f>
        <v/>
      </c>
      <c r="S39" s="282">
        <f>IF(A39="",0,J39+0.0067)</f>
        <v/>
      </c>
      <c r="T39" s="253" t="n"/>
      <c r="U39" s="253" t="n"/>
      <c r="V39" s="253" t="n"/>
      <c r="W39" s="253" t="n"/>
      <c r="X39" s="253" t="n"/>
      <c r="Y39" s="253" t="n"/>
      <c r="Z39" s="253" t="n"/>
    </row>
    <row r="40" ht="24" customHeight="1" s="280">
      <c r="A40" s="69">
        <f>IF('Supplier Register'!A40="","",'Supplier Register'!A40)</f>
        <v/>
      </c>
      <c r="B40" s="70">
        <f>IF(A40="","",IFERROR(VLOOKUP(A40,'Supplier Register'!$A$6:$L$105,2,FALSE),""))</f>
        <v/>
      </c>
      <c r="C40" s="70">
        <f>IF(A40="","",IFERROR(VLOOKUP(A40,'Supplier Register'!$A$6:$L$105,3,FALSE),""))</f>
        <v/>
      </c>
      <c r="D40" s="70">
        <f>IF(A40="","",IFERROR(VLOOKUP(A40,'Supplier Register'!$A$6:$L$105,5,FALSE),""))</f>
        <v/>
      </c>
      <c r="E40" s="303">
        <f>IF(A40="","",IFERROR(VLOOKUP(A40,'Supplier Register'!$A$6:$L$105,6,FALSE),""))</f>
        <v/>
      </c>
      <c r="F40" s="308">
        <f>IF(A40="","",IFERROR(ROUND(AVERAGEIF('360 Score Entry'!$A$6:$A$105,A40,'360 Score Entry'!$O$6:$O$105),1),""))</f>
        <v/>
      </c>
      <c r="G40" s="287">
        <f>IF(A40="","",COUNTIFS('Risk Event Register'!$A$6:$A$205,A40,'Risk Event Register'!$J$6:$J$205,"&lt;&gt;Closed"))</f>
        <v/>
      </c>
      <c r="H40" s="287">
        <f>IF(A40="","",IFERROR(MAXIFS('Risk Event Register'!$I$6:$I$205,'Risk Event Register'!$A$6:$A$205,A40,'Risk Event Register'!$J$6:$J$205,"&lt;&gt;Closed"),0))</f>
        <v/>
      </c>
      <c r="I40" s="287">
        <f>IF(A40="","",IF(D40="Critical",10,IF(D40="Important",5,0)))</f>
        <v/>
      </c>
      <c r="J40" s="287">
        <f>IF(A40="","",MIN(100,H40+I40))</f>
        <v/>
      </c>
      <c r="K40" s="70">
        <f>IF(F40="","",IF(F40&gt;='Settings'!$H$7,"A Preferred",IF(F40&gt;='Settings'!$H$8,"B Qualified",IF(F40&gt;='Settings'!$H$9,"C Needs Improvement","D Not Qualified"))))</f>
        <v/>
      </c>
      <c r="L40" s="70">
        <f>IF(A40="","",IF(J40&lt;='Settings'!$I$7,"Low Risk",IF(J40&lt;='Settings'!$I$8,"Medium Risk",IF(J40&lt;='Settings'!$I$9,"High Risk","Critical Risk"))))</f>
        <v/>
      </c>
      <c r="M40" s="70">
        <f>IF(F40="","",IF(OR(J40&gt;'Settings'!$I$9,F40&lt;'Settings'!$H$9),"D Pause onboarding / restrict purchases",IF(OR(J40&gt;'Settings'!$I$8,F40&lt;'Settings'!$H$8),"C Time-bound remediation / enhanced approval",IF(OR(J40&gt;'Settings'!$I$7,F40&lt;'Settings'!$H$7),"B Qualified / continuous monitoring","A Preferred / eligible to expand"))))</f>
        <v/>
      </c>
      <c r="N40" s="70">
        <f>IF(M40="","",IF(LEFT(M40,1)="A","Add to preferred list; eligible for expanded share or strategic cooperation",IF(LEFT(M40,1)="B","Maintain cooperation; monitor key indicators quarterly",IF(LEFT(M40,1)="C","Start remediation plan; major purchases require procurement, quality, and legal joint approval","Pause new project onboarding; start alternate supplier and exit plan"))))</f>
        <v/>
      </c>
      <c r="O40" s="287">
        <f>IF(M40="","",IF(LEFT(M40,1)="A",'Settings'!$K$7,IF(LEFT(M40,1)="B",'Settings'!$K$8,IF(LEFT(M40,1)="C",'Settings'!$K$9,'Settings'!$K$10))))</f>
        <v/>
      </c>
      <c r="P40" s="304">
        <f>IF(M40="","",IF(Q40="",TODAY(),Q40)+O40)</f>
        <v/>
      </c>
      <c r="Q40" s="304">
        <f>IF(A40="","",IFERROR(MAXIFS('360 Score Entry'!$C$6:$C$105,'360 Score Entry'!$A$6:$A$105,A40),""))</f>
        <v/>
      </c>
      <c r="R40" s="71">
        <f>IF(A40="","",IF(G40=0,"No open events","Review Risk Event Register; close the highest-risk item first"))</f>
        <v/>
      </c>
      <c r="S40" s="282">
        <f>IF(A40="",0,J40+0.0066)</f>
        <v/>
      </c>
      <c r="T40" s="253" t="n"/>
      <c r="U40" s="253" t="n"/>
      <c r="V40" s="253" t="n"/>
      <c r="W40" s="253" t="n"/>
      <c r="X40" s="253" t="n"/>
      <c r="Y40" s="253" t="n"/>
      <c r="Z40" s="253" t="n"/>
    </row>
    <row r="41" ht="24" customHeight="1" s="280">
      <c r="A41" s="69">
        <f>IF('Supplier Register'!A41="","",'Supplier Register'!A41)</f>
        <v/>
      </c>
      <c r="B41" s="70">
        <f>IF(A41="","",IFERROR(VLOOKUP(A41,'Supplier Register'!$A$6:$L$105,2,FALSE),""))</f>
        <v/>
      </c>
      <c r="C41" s="70">
        <f>IF(A41="","",IFERROR(VLOOKUP(A41,'Supplier Register'!$A$6:$L$105,3,FALSE),""))</f>
        <v/>
      </c>
      <c r="D41" s="70">
        <f>IF(A41="","",IFERROR(VLOOKUP(A41,'Supplier Register'!$A$6:$L$105,5,FALSE),""))</f>
        <v/>
      </c>
      <c r="E41" s="303">
        <f>IF(A41="","",IFERROR(VLOOKUP(A41,'Supplier Register'!$A$6:$L$105,6,FALSE),""))</f>
        <v/>
      </c>
      <c r="F41" s="308">
        <f>IF(A41="","",IFERROR(ROUND(AVERAGEIF('360 Score Entry'!$A$6:$A$105,A41,'360 Score Entry'!$O$6:$O$105),1),""))</f>
        <v/>
      </c>
      <c r="G41" s="287">
        <f>IF(A41="","",COUNTIFS('Risk Event Register'!$A$6:$A$205,A41,'Risk Event Register'!$J$6:$J$205,"&lt;&gt;Closed"))</f>
        <v/>
      </c>
      <c r="H41" s="287">
        <f>IF(A41="","",IFERROR(MAXIFS('Risk Event Register'!$I$6:$I$205,'Risk Event Register'!$A$6:$A$205,A41,'Risk Event Register'!$J$6:$J$205,"&lt;&gt;Closed"),0))</f>
        <v/>
      </c>
      <c r="I41" s="287">
        <f>IF(A41="","",IF(D41="Critical",10,IF(D41="Important",5,0)))</f>
        <v/>
      </c>
      <c r="J41" s="287">
        <f>IF(A41="","",MIN(100,H41+I41))</f>
        <v/>
      </c>
      <c r="K41" s="70">
        <f>IF(F41="","",IF(F41&gt;='Settings'!$H$7,"A Preferred",IF(F41&gt;='Settings'!$H$8,"B Qualified",IF(F41&gt;='Settings'!$H$9,"C Needs Improvement","D Not Qualified"))))</f>
        <v/>
      </c>
      <c r="L41" s="70">
        <f>IF(A41="","",IF(J41&lt;='Settings'!$I$7,"Low Risk",IF(J41&lt;='Settings'!$I$8,"Medium Risk",IF(J41&lt;='Settings'!$I$9,"High Risk","Critical Risk"))))</f>
        <v/>
      </c>
      <c r="M41" s="70">
        <f>IF(F41="","",IF(OR(J41&gt;'Settings'!$I$9,F41&lt;'Settings'!$H$9),"D Pause onboarding / restrict purchases",IF(OR(J41&gt;'Settings'!$I$8,F41&lt;'Settings'!$H$8),"C Time-bound remediation / enhanced approval",IF(OR(J41&gt;'Settings'!$I$7,F41&lt;'Settings'!$H$7),"B Qualified / continuous monitoring","A Preferred / eligible to expand"))))</f>
        <v/>
      </c>
      <c r="N41" s="70">
        <f>IF(M41="","",IF(LEFT(M41,1)="A","Add to preferred list; eligible for expanded share or strategic cooperation",IF(LEFT(M41,1)="B","Maintain cooperation; monitor key indicators quarterly",IF(LEFT(M41,1)="C","Start remediation plan; major purchases require procurement, quality, and legal joint approval","Pause new project onboarding; start alternate supplier and exit plan"))))</f>
        <v/>
      </c>
      <c r="O41" s="287">
        <f>IF(M41="","",IF(LEFT(M41,1)="A",'Settings'!$K$7,IF(LEFT(M41,1)="B",'Settings'!$K$8,IF(LEFT(M41,1)="C",'Settings'!$K$9,'Settings'!$K$10))))</f>
        <v/>
      </c>
      <c r="P41" s="304">
        <f>IF(M41="","",IF(Q41="",TODAY(),Q41)+O41)</f>
        <v/>
      </c>
      <c r="Q41" s="304">
        <f>IF(A41="","",IFERROR(MAXIFS('360 Score Entry'!$C$6:$C$105,'360 Score Entry'!$A$6:$A$105,A41),""))</f>
        <v/>
      </c>
      <c r="R41" s="71">
        <f>IF(A41="","",IF(G41=0,"No open events","Review Risk Event Register; close the highest-risk item first"))</f>
        <v/>
      </c>
      <c r="S41" s="282">
        <f>IF(A41="",0,J41+0.0065)</f>
        <v/>
      </c>
      <c r="T41" s="253" t="n"/>
      <c r="U41" s="253" t="n"/>
      <c r="V41" s="253" t="n"/>
      <c r="W41" s="253" t="n"/>
      <c r="X41" s="253" t="n"/>
      <c r="Y41" s="253" t="n"/>
      <c r="Z41" s="253" t="n"/>
    </row>
    <row r="42" ht="24" customHeight="1" s="280">
      <c r="A42" s="69">
        <f>IF('Supplier Register'!A42="","",'Supplier Register'!A42)</f>
        <v/>
      </c>
      <c r="B42" s="70">
        <f>IF(A42="","",IFERROR(VLOOKUP(A42,'Supplier Register'!$A$6:$L$105,2,FALSE),""))</f>
        <v/>
      </c>
      <c r="C42" s="70">
        <f>IF(A42="","",IFERROR(VLOOKUP(A42,'Supplier Register'!$A$6:$L$105,3,FALSE),""))</f>
        <v/>
      </c>
      <c r="D42" s="70">
        <f>IF(A42="","",IFERROR(VLOOKUP(A42,'Supplier Register'!$A$6:$L$105,5,FALSE),""))</f>
        <v/>
      </c>
      <c r="E42" s="303">
        <f>IF(A42="","",IFERROR(VLOOKUP(A42,'Supplier Register'!$A$6:$L$105,6,FALSE),""))</f>
        <v/>
      </c>
      <c r="F42" s="308">
        <f>IF(A42="","",IFERROR(ROUND(AVERAGEIF('360 Score Entry'!$A$6:$A$105,A42,'360 Score Entry'!$O$6:$O$105),1),""))</f>
        <v/>
      </c>
      <c r="G42" s="287">
        <f>IF(A42="","",COUNTIFS('Risk Event Register'!$A$6:$A$205,A42,'Risk Event Register'!$J$6:$J$205,"&lt;&gt;Closed"))</f>
        <v/>
      </c>
      <c r="H42" s="287">
        <f>IF(A42="","",IFERROR(MAXIFS('Risk Event Register'!$I$6:$I$205,'Risk Event Register'!$A$6:$A$205,A42,'Risk Event Register'!$J$6:$J$205,"&lt;&gt;Closed"),0))</f>
        <v/>
      </c>
      <c r="I42" s="287">
        <f>IF(A42="","",IF(D42="Critical",10,IF(D42="Important",5,0)))</f>
        <v/>
      </c>
      <c r="J42" s="287">
        <f>IF(A42="","",MIN(100,H42+I42))</f>
        <v/>
      </c>
      <c r="K42" s="70">
        <f>IF(F42="","",IF(F42&gt;='Settings'!$H$7,"A Preferred",IF(F42&gt;='Settings'!$H$8,"B Qualified",IF(F42&gt;='Settings'!$H$9,"C Needs Improvement","D Not Qualified"))))</f>
        <v/>
      </c>
      <c r="L42" s="70">
        <f>IF(A42="","",IF(J42&lt;='Settings'!$I$7,"Low Risk",IF(J42&lt;='Settings'!$I$8,"Medium Risk",IF(J42&lt;='Settings'!$I$9,"High Risk","Critical Risk"))))</f>
        <v/>
      </c>
      <c r="M42" s="70">
        <f>IF(F42="","",IF(OR(J42&gt;'Settings'!$I$9,F42&lt;'Settings'!$H$9),"D Pause onboarding / restrict purchases",IF(OR(J42&gt;'Settings'!$I$8,F42&lt;'Settings'!$H$8),"C Time-bound remediation / enhanced approval",IF(OR(J42&gt;'Settings'!$I$7,F42&lt;'Settings'!$H$7),"B Qualified / continuous monitoring","A Preferred / eligible to expand"))))</f>
        <v/>
      </c>
      <c r="N42" s="70">
        <f>IF(M42="","",IF(LEFT(M42,1)="A","Add to preferred list; eligible for expanded share or strategic cooperation",IF(LEFT(M42,1)="B","Maintain cooperation; monitor key indicators quarterly",IF(LEFT(M42,1)="C","Start remediation plan; major purchases require procurement, quality, and legal joint approval","Pause new project onboarding; start alternate supplier and exit plan"))))</f>
        <v/>
      </c>
      <c r="O42" s="287">
        <f>IF(M42="","",IF(LEFT(M42,1)="A",'Settings'!$K$7,IF(LEFT(M42,1)="B",'Settings'!$K$8,IF(LEFT(M42,1)="C",'Settings'!$K$9,'Settings'!$K$10))))</f>
        <v/>
      </c>
      <c r="P42" s="304">
        <f>IF(M42="","",IF(Q42="",TODAY(),Q42)+O42)</f>
        <v/>
      </c>
      <c r="Q42" s="304">
        <f>IF(A42="","",IFERROR(MAXIFS('360 Score Entry'!$C$6:$C$105,'360 Score Entry'!$A$6:$A$105,A42),""))</f>
        <v/>
      </c>
      <c r="R42" s="71">
        <f>IF(A42="","",IF(G42=0,"No open events","Review Risk Event Register; close the highest-risk item first"))</f>
        <v/>
      </c>
      <c r="S42" s="282">
        <f>IF(A42="",0,J42+0.0064)</f>
        <v/>
      </c>
      <c r="T42" s="253" t="n"/>
      <c r="U42" s="253" t="n"/>
      <c r="V42" s="253" t="n"/>
      <c r="W42" s="253" t="n"/>
      <c r="X42" s="253" t="n"/>
      <c r="Y42" s="253" t="n"/>
      <c r="Z42" s="253" t="n"/>
    </row>
    <row r="43" ht="24" customHeight="1" s="280">
      <c r="A43" s="69">
        <f>IF('Supplier Register'!A43="","",'Supplier Register'!A43)</f>
        <v/>
      </c>
      <c r="B43" s="70">
        <f>IF(A43="","",IFERROR(VLOOKUP(A43,'Supplier Register'!$A$6:$L$105,2,FALSE),""))</f>
        <v/>
      </c>
      <c r="C43" s="70">
        <f>IF(A43="","",IFERROR(VLOOKUP(A43,'Supplier Register'!$A$6:$L$105,3,FALSE),""))</f>
        <v/>
      </c>
      <c r="D43" s="70">
        <f>IF(A43="","",IFERROR(VLOOKUP(A43,'Supplier Register'!$A$6:$L$105,5,FALSE),""))</f>
        <v/>
      </c>
      <c r="E43" s="303">
        <f>IF(A43="","",IFERROR(VLOOKUP(A43,'Supplier Register'!$A$6:$L$105,6,FALSE),""))</f>
        <v/>
      </c>
      <c r="F43" s="308">
        <f>IF(A43="","",IFERROR(ROUND(AVERAGEIF('360 Score Entry'!$A$6:$A$105,A43,'360 Score Entry'!$O$6:$O$105),1),""))</f>
        <v/>
      </c>
      <c r="G43" s="287">
        <f>IF(A43="","",COUNTIFS('Risk Event Register'!$A$6:$A$205,A43,'Risk Event Register'!$J$6:$J$205,"&lt;&gt;Closed"))</f>
        <v/>
      </c>
      <c r="H43" s="287">
        <f>IF(A43="","",IFERROR(MAXIFS('Risk Event Register'!$I$6:$I$205,'Risk Event Register'!$A$6:$A$205,A43,'Risk Event Register'!$J$6:$J$205,"&lt;&gt;Closed"),0))</f>
        <v/>
      </c>
      <c r="I43" s="287">
        <f>IF(A43="","",IF(D43="Critical",10,IF(D43="Important",5,0)))</f>
        <v/>
      </c>
      <c r="J43" s="287">
        <f>IF(A43="","",MIN(100,H43+I43))</f>
        <v/>
      </c>
      <c r="K43" s="70">
        <f>IF(F43="","",IF(F43&gt;='Settings'!$H$7,"A Preferred",IF(F43&gt;='Settings'!$H$8,"B Qualified",IF(F43&gt;='Settings'!$H$9,"C Needs Improvement","D Not Qualified"))))</f>
        <v/>
      </c>
      <c r="L43" s="70">
        <f>IF(A43="","",IF(J43&lt;='Settings'!$I$7,"Low Risk",IF(J43&lt;='Settings'!$I$8,"Medium Risk",IF(J43&lt;='Settings'!$I$9,"High Risk","Critical Risk"))))</f>
        <v/>
      </c>
      <c r="M43" s="70">
        <f>IF(F43="","",IF(OR(J43&gt;'Settings'!$I$9,F43&lt;'Settings'!$H$9),"D Pause onboarding / restrict purchases",IF(OR(J43&gt;'Settings'!$I$8,F43&lt;'Settings'!$H$8),"C Time-bound remediation / enhanced approval",IF(OR(J43&gt;'Settings'!$I$7,F43&lt;'Settings'!$H$7),"B Qualified / continuous monitoring","A Preferred / eligible to expand"))))</f>
        <v/>
      </c>
      <c r="N43" s="70">
        <f>IF(M43="","",IF(LEFT(M43,1)="A","Add to preferred list; eligible for expanded share or strategic cooperation",IF(LEFT(M43,1)="B","Maintain cooperation; monitor key indicators quarterly",IF(LEFT(M43,1)="C","Start remediation plan; major purchases require procurement, quality, and legal joint approval","Pause new project onboarding; start alternate supplier and exit plan"))))</f>
        <v/>
      </c>
      <c r="O43" s="287">
        <f>IF(M43="","",IF(LEFT(M43,1)="A",'Settings'!$K$7,IF(LEFT(M43,1)="B",'Settings'!$K$8,IF(LEFT(M43,1)="C",'Settings'!$K$9,'Settings'!$K$10))))</f>
        <v/>
      </c>
      <c r="P43" s="304">
        <f>IF(M43="","",IF(Q43="",TODAY(),Q43)+O43)</f>
        <v/>
      </c>
      <c r="Q43" s="304">
        <f>IF(A43="","",IFERROR(MAXIFS('360 Score Entry'!$C$6:$C$105,'360 Score Entry'!$A$6:$A$105,A43),""))</f>
        <v/>
      </c>
      <c r="R43" s="71">
        <f>IF(A43="","",IF(G43=0,"No open events","Review Risk Event Register; close the highest-risk item first"))</f>
        <v/>
      </c>
      <c r="S43" s="282">
        <f>IF(A43="",0,J43+0.0063)</f>
        <v/>
      </c>
      <c r="T43" s="253" t="n"/>
      <c r="U43" s="253" t="n"/>
      <c r="V43" s="253" t="n"/>
      <c r="W43" s="253" t="n"/>
      <c r="X43" s="253" t="n"/>
      <c r="Y43" s="253" t="n"/>
      <c r="Z43" s="253" t="n"/>
    </row>
    <row r="44" ht="24" customHeight="1" s="280">
      <c r="A44" s="69">
        <f>IF('Supplier Register'!A44="","",'Supplier Register'!A44)</f>
        <v/>
      </c>
      <c r="B44" s="70">
        <f>IF(A44="","",IFERROR(VLOOKUP(A44,'Supplier Register'!$A$6:$L$105,2,FALSE),""))</f>
        <v/>
      </c>
      <c r="C44" s="70">
        <f>IF(A44="","",IFERROR(VLOOKUP(A44,'Supplier Register'!$A$6:$L$105,3,FALSE),""))</f>
        <v/>
      </c>
      <c r="D44" s="70">
        <f>IF(A44="","",IFERROR(VLOOKUP(A44,'Supplier Register'!$A$6:$L$105,5,FALSE),""))</f>
        <v/>
      </c>
      <c r="E44" s="303">
        <f>IF(A44="","",IFERROR(VLOOKUP(A44,'Supplier Register'!$A$6:$L$105,6,FALSE),""))</f>
        <v/>
      </c>
      <c r="F44" s="308">
        <f>IF(A44="","",IFERROR(ROUND(AVERAGEIF('360 Score Entry'!$A$6:$A$105,A44,'360 Score Entry'!$O$6:$O$105),1),""))</f>
        <v/>
      </c>
      <c r="G44" s="287">
        <f>IF(A44="","",COUNTIFS('Risk Event Register'!$A$6:$A$205,A44,'Risk Event Register'!$J$6:$J$205,"&lt;&gt;Closed"))</f>
        <v/>
      </c>
      <c r="H44" s="287">
        <f>IF(A44="","",IFERROR(MAXIFS('Risk Event Register'!$I$6:$I$205,'Risk Event Register'!$A$6:$A$205,A44,'Risk Event Register'!$J$6:$J$205,"&lt;&gt;Closed"),0))</f>
        <v/>
      </c>
      <c r="I44" s="287">
        <f>IF(A44="","",IF(D44="Critical",10,IF(D44="Important",5,0)))</f>
        <v/>
      </c>
      <c r="J44" s="287">
        <f>IF(A44="","",MIN(100,H44+I44))</f>
        <v/>
      </c>
      <c r="K44" s="70">
        <f>IF(F44="","",IF(F44&gt;='Settings'!$H$7,"A Preferred",IF(F44&gt;='Settings'!$H$8,"B Qualified",IF(F44&gt;='Settings'!$H$9,"C Needs Improvement","D Not Qualified"))))</f>
        <v/>
      </c>
      <c r="L44" s="70">
        <f>IF(A44="","",IF(J44&lt;='Settings'!$I$7,"Low Risk",IF(J44&lt;='Settings'!$I$8,"Medium Risk",IF(J44&lt;='Settings'!$I$9,"High Risk","Critical Risk"))))</f>
        <v/>
      </c>
      <c r="M44" s="70">
        <f>IF(F44="","",IF(OR(J44&gt;'Settings'!$I$9,F44&lt;'Settings'!$H$9),"D Pause onboarding / restrict purchases",IF(OR(J44&gt;'Settings'!$I$8,F44&lt;'Settings'!$H$8),"C Time-bound remediation / enhanced approval",IF(OR(J44&gt;'Settings'!$I$7,F44&lt;'Settings'!$H$7),"B Qualified / continuous monitoring","A Preferred / eligible to expand"))))</f>
        <v/>
      </c>
      <c r="N44" s="70">
        <f>IF(M44="","",IF(LEFT(M44,1)="A","Add to preferred list; eligible for expanded share or strategic cooperation",IF(LEFT(M44,1)="B","Maintain cooperation; monitor key indicators quarterly",IF(LEFT(M44,1)="C","Start remediation plan; major purchases require procurement, quality, and legal joint approval","Pause new project onboarding; start alternate supplier and exit plan"))))</f>
        <v/>
      </c>
      <c r="O44" s="287">
        <f>IF(M44="","",IF(LEFT(M44,1)="A",'Settings'!$K$7,IF(LEFT(M44,1)="B",'Settings'!$K$8,IF(LEFT(M44,1)="C",'Settings'!$K$9,'Settings'!$K$10))))</f>
        <v/>
      </c>
      <c r="P44" s="304">
        <f>IF(M44="","",IF(Q44="",TODAY(),Q44)+O44)</f>
        <v/>
      </c>
      <c r="Q44" s="304">
        <f>IF(A44="","",IFERROR(MAXIFS('360 Score Entry'!$C$6:$C$105,'360 Score Entry'!$A$6:$A$105,A44),""))</f>
        <v/>
      </c>
      <c r="R44" s="71">
        <f>IF(A44="","",IF(G44=0,"No open events","Review Risk Event Register; close the highest-risk item first"))</f>
        <v/>
      </c>
      <c r="S44" s="282">
        <f>IF(A44="",0,J44+0.0062)</f>
        <v/>
      </c>
      <c r="T44" s="253" t="n"/>
      <c r="U44" s="253" t="n"/>
      <c r="V44" s="253" t="n"/>
      <c r="W44" s="253" t="n"/>
      <c r="X44" s="253" t="n"/>
      <c r="Y44" s="253" t="n"/>
      <c r="Z44" s="253" t="n"/>
    </row>
    <row r="45" ht="24" customHeight="1" s="280">
      <c r="A45" s="69">
        <f>IF('Supplier Register'!A45="","",'Supplier Register'!A45)</f>
        <v/>
      </c>
      <c r="B45" s="70">
        <f>IF(A45="","",IFERROR(VLOOKUP(A45,'Supplier Register'!$A$6:$L$105,2,FALSE),""))</f>
        <v/>
      </c>
      <c r="C45" s="70">
        <f>IF(A45="","",IFERROR(VLOOKUP(A45,'Supplier Register'!$A$6:$L$105,3,FALSE),""))</f>
        <v/>
      </c>
      <c r="D45" s="70">
        <f>IF(A45="","",IFERROR(VLOOKUP(A45,'Supplier Register'!$A$6:$L$105,5,FALSE),""))</f>
        <v/>
      </c>
      <c r="E45" s="303">
        <f>IF(A45="","",IFERROR(VLOOKUP(A45,'Supplier Register'!$A$6:$L$105,6,FALSE),""))</f>
        <v/>
      </c>
      <c r="F45" s="308">
        <f>IF(A45="","",IFERROR(ROUND(AVERAGEIF('360 Score Entry'!$A$6:$A$105,A45,'360 Score Entry'!$O$6:$O$105),1),""))</f>
        <v/>
      </c>
      <c r="G45" s="287">
        <f>IF(A45="","",COUNTIFS('Risk Event Register'!$A$6:$A$205,A45,'Risk Event Register'!$J$6:$J$205,"&lt;&gt;Closed"))</f>
        <v/>
      </c>
      <c r="H45" s="287">
        <f>IF(A45="","",IFERROR(MAXIFS('Risk Event Register'!$I$6:$I$205,'Risk Event Register'!$A$6:$A$205,A45,'Risk Event Register'!$J$6:$J$205,"&lt;&gt;Closed"),0))</f>
        <v/>
      </c>
      <c r="I45" s="287">
        <f>IF(A45="","",IF(D45="Critical",10,IF(D45="Important",5,0)))</f>
        <v/>
      </c>
      <c r="J45" s="287">
        <f>IF(A45="","",MIN(100,H45+I45))</f>
        <v/>
      </c>
      <c r="K45" s="70">
        <f>IF(F45="","",IF(F45&gt;='Settings'!$H$7,"A Preferred",IF(F45&gt;='Settings'!$H$8,"B Qualified",IF(F45&gt;='Settings'!$H$9,"C Needs Improvement","D Not Qualified"))))</f>
        <v/>
      </c>
      <c r="L45" s="70">
        <f>IF(A45="","",IF(J45&lt;='Settings'!$I$7,"Low Risk",IF(J45&lt;='Settings'!$I$8,"Medium Risk",IF(J45&lt;='Settings'!$I$9,"High Risk","Critical Risk"))))</f>
        <v/>
      </c>
      <c r="M45" s="70">
        <f>IF(F45="","",IF(OR(J45&gt;'Settings'!$I$9,F45&lt;'Settings'!$H$9),"D Pause onboarding / restrict purchases",IF(OR(J45&gt;'Settings'!$I$8,F45&lt;'Settings'!$H$8),"C Time-bound remediation / enhanced approval",IF(OR(J45&gt;'Settings'!$I$7,F45&lt;'Settings'!$H$7),"B Qualified / continuous monitoring","A Preferred / eligible to expand"))))</f>
        <v/>
      </c>
      <c r="N45" s="70">
        <f>IF(M45="","",IF(LEFT(M45,1)="A","Add to preferred list; eligible for expanded share or strategic cooperation",IF(LEFT(M45,1)="B","Maintain cooperation; monitor key indicators quarterly",IF(LEFT(M45,1)="C","Start remediation plan; major purchases require procurement, quality, and legal joint approval","Pause new project onboarding; start alternate supplier and exit plan"))))</f>
        <v/>
      </c>
      <c r="O45" s="287">
        <f>IF(M45="","",IF(LEFT(M45,1)="A",'Settings'!$K$7,IF(LEFT(M45,1)="B",'Settings'!$K$8,IF(LEFT(M45,1)="C",'Settings'!$K$9,'Settings'!$K$10))))</f>
        <v/>
      </c>
      <c r="P45" s="304">
        <f>IF(M45="","",IF(Q45="",TODAY(),Q45)+O45)</f>
        <v/>
      </c>
      <c r="Q45" s="304">
        <f>IF(A45="","",IFERROR(MAXIFS('360 Score Entry'!$C$6:$C$105,'360 Score Entry'!$A$6:$A$105,A45),""))</f>
        <v/>
      </c>
      <c r="R45" s="71">
        <f>IF(A45="","",IF(G45=0,"No open events","Review Risk Event Register; close the highest-risk item first"))</f>
        <v/>
      </c>
      <c r="S45" s="282">
        <f>IF(A45="",0,J45+0.0061)</f>
        <v/>
      </c>
      <c r="T45" s="253" t="n"/>
      <c r="U45" s="253" t="n"/>
      <c r="V45" s="253" t="n"/>
      <c r="W45" s="253" t="n"/>
      <c r="X45" s="253" t="n"/>
      <c r="Y45" s="253" t="n"/>
      <c r="Z45" s="253" t="n"/>
    </row>
    <row r="46" ht="24" customHeight="1" s="280">
      <c r="A46" s="69">
        <f>IF('Supplier Register'!A46="","",'Supplier Register'!A46)</f>
        <v/>
      </c>
      <c r="B46" s="70">
        <f>IF(A46="","",IFERROR(VLOOKUP(A46,'Supplier Register'!$A$6:$L$105,2,FALSE),""))</f>
        <v/>
      </c>
      <c r="C46" s="70">
        <f>IF(A46="","",IFERROR(VLOOKUP(A46,'Supplier Register'!$A$6:$L$105,3,FALSE),""))</f>
        <v/>
      </c>
      <c r="D46" s="70">
        <f>IF(A46="","",IFERROR(VLOOKUP(A46,'Supplier Register'!$A$6:$L$105,5,FALSE),""))</f>
        <v/>
      </c>
      <c r="E46" s="303">
        <f>IF(A46="","",IFERROR(VLOOKUP(A46,'Supplier Register'!$A$6:$L$105,6,FALSE),""))</f>
        <v/>
      </c>
      <c r="F46" s="308">
        <f>IF(A46="","",IFERROR(ROUND(AVERAGEIF('360 Score Entry'!$A$6:$A$105,A46,'360 Score Entry'!$O$6:$O$105),1),""))</f>
        <v/>
      </c>
      <c r="G46" s="287">
        <f>IF(A46="","",COUNTIFS('Risk Event Register'!$A$6:$A$205,A46,'Risk Event Register'!$J$6:$J$205,"&lt;&gt;Closed"))</f>
        <v/>
      </c>
      <c r="H46" s="287">
        <f>IF(A46="","",IFERROR(MAXIFS('Risk Event Register'!$I$6:$I$205,'Risk Event Register'!$A$6:$A$205,A46,'Risk Event Register'!$J$6:$J$205,"&lt;&gt;Closed"),0))</f>
        <v/>
      </c>
      <c r="I46" s="287">
        <f>IF(A46="","",IF(D46="Critical",10,IF(D46="Important",5,0)))</f>
        <v/>
      </c>
      <c r="J46" s="287">
        <f>IF(A46="","",MIN(100,H46+I46))</f>
        <v/>
      </c>
      <c r="K46" s="70">
        <f>IF(F46="","",IF(F46&gt;='Settings'!$H$7,"A Preferred",IF(F46&gt;='Settings'!$H$8,"B Qualified",IF(F46&gt;='Settings'!$H$9,"C Needs Improvement","D Not Qualified"))))</f>
        <v/>
      </c>
      <c r="L46" s="70">
        <f>IF(A46="","",IF(J46&lt;='Settings'!$I$7,"Low Risk",IF(J46&lt;='Settings'!$I$8,"Medium Risk",IF(J46&lt;='Settings'!$I$9,"High Risk","Critical Risk"))))</f>
        <v/>
      </c>
      <c r="M46" s="70">
        <f>IF(F46="","",IF(OR(J46&gt;'Settings'!$I$9,F46&lt;'Settings'!$H$9),"D Pause onboarding / restrict purchases",IF(OR(J46&gt;'Settings'!$I$8,F46&lt;'Settings'!$H$8),"C Time-bound remediation / enhanced approval",IF(OR(J46&gt;'Settings'!$I$7,F46&lt;'Settings'!$H$7),"B Qualified / continuous monitoring","A Preferred / eligible to expand"))))</f>
        <v/>
      </c>
      <c r="N46" s="70">
        <f>IF(M46="","",IF(LEFT(M46,1)="A","Add to preferred list; eligible for expanded share or strategic cooperation",IF(LEFT(M46,1)="B","Maintain cooperation; monitor key indicators quarterly",IF(LEFT(M46,1)="C","Start remediation plan; major purchases require procurement, quality, and legal joint approval","Pause new project onboarding; start alternate supplier and exit plan"))))</f>
        <v/>
      </c>
      <c r="O46" s="287">
        <f>IF(M46="","",IF(LEFT(M46,1)="A",'Settings'!$K$7,IF(LEFT(M46,1)="B",'Settings'!$K$8,IF(LEFT(M46,1)="C",'Settings'!$K$9,'Settings'!$K$10))))</f>
        <v/>
      </c>
      <c r="P46" s="304">
        <f>IF(M46="","",IF(Q46="",TODAY(),Q46)+O46)</f>
        <v/>
      </c>
      <c r="Q46" s="304">
        <f>IF(A46="","",IFERROR(MAXIFS('360 Score Entry'!$C$6:$C$105,'360 Score Entry'!$A$6:$A$105,A46),""))</f>
        <v/>
      </c>
      <c r="R46" s="71">
        <f>IF(A46="","",IF(G46=0,"No open events","Review Risk Event Register; close the highest-risk item first"))</f>
        <v/>
      </c>
      <c r="S46" s="282">
        <f>IF(A46="",0,J46+0.0060)</f>
        <v/>
      </c>
      <c r="T46" s="253" t="n"/>
      <c r="U46" s="253" t="n"/>
      <c r="V46" s="253" t="n"/>
      <c r="W46" s="253" t="n"/>
      <c r="X46" s="253" t="n"/>
      <c r="Y46" s="253" t="n"/>
      <c r="Z46" s="253" t="n"/>
    </row>
    <row r="47" ht="24" customHeight="1" s="280">
      <c r="A47" s="69">
        <f>IF('Supplier Register'!A47="","",'Supplier Register'!A47)</f>
        <v/>
      </c>
      <c r="B47" s="70">
        <f>IF(A47="","",IFERROR(VLOOKUP(A47,'Supplier Register'!$A$6:$L$105,2,FALSE),""))</f>
        <v/>
      </c>
      <c r="C47" s="70">
        <f>IF(A47="","",IFERROR(VLOOKUP(A47,'Supplier Register'!$A$6:$L$105,3,FALSE),""))</f>
        <v/>
      </c>
      <c r="D47" s="70">
        <f>IF(A47="","",IFERROR(VLOOKUP(A47,'Supplier Register'!$A$6:$L$105,5,FALSE),""))</f>
        <v/>
      </c>
      <c r="E47" s="303">
        <f>IF(A47="","",IFERROR(VLOOKUP(A47,'Supplier Register'!$A$6:$L$105,6,FALSE),""))</f>
        <v/>
      </c>
      <c r="F47" s="308">
        <f>IF(A47="","",IFERROR(ROUND(AVERAGEIF('360 Score Entry'!$A$6:$A$105,A47,'360 Score Entry'!$O$6:$O$105),1),""))</f>
        <v/>
      </c>
      <c r="G47" s="287">
        <f>IF(A47="","",COUNTIFS('Risk Event Register'!$A$6:$A$205,A47,'Risk Event Register'!$J$6:$J$205,"&lt;&gt;Closed"))</f>
        <v/>
      </c>
      <c r="H47" s="287">
        <f>IF(A47="","",IFERROR(MAXIFS('Risk Event Register'!$I$6:$I$205,'Risk Event Register'!$A$6:$A$205,A47,'Risk Event Register'!$J$6:$J$205,"&lt;&gt;Closed"),0))</f>
        <v/>
      </c>
      <c r="I47" s="287">
        <f>IF(A47="","",IF(D47="Critical",10,IF(D47="Important",5,0)))</f>
        <v/>
      </c>
      <c r="J47" s="287">
        <f>IF(A47="","",MIN(100,H47+I47))</f>
        <v/>
      </c>
      <c r="K47" s="70">
        <f>IF(F47="","",IF(F47&gt;='Settings'!$H$7,"A Preferred",IF(F47&gt;='Settings'!$H$8,"B Qualified",IF(F47&gt;='Settings'!$H$9,"C Needs Improvement","D Not Qualified"))))</f>
        <v/>
      </c>
      <c r="L47" s="70">
        <f>IF(A47="","",IF(J47&lt;='Settings'!$I$7,"Low Risk",IF(J47&lt;='Settings'!$I$8,"Medium Risk",IF(J47&lt;='Settings'!$I$9,"High Risk","Critical Risk"))))</f>
        <v/>
      </c>
      <c r="M47" s="70">
        <f>IF(F47="","",IF(OR(J47&gt;'Settings'!$I$9,F47&lt;'Settings'!$H$9),"D Pause onboarding / restrict purchases",IF(OR(J47&gt;'Settings'!$I$8,F47&lt;'Settings'!$H$8),"C Time-bound remediation / enhanced approval",IF(OR(J47&gt;'Settings'!$I$7,F47&lt;'Settings'!$H$7),"B Qualified / continuous monitoring","A Preferred / eligible to expand"))))</f>
        <v/>
      </c>
      <c r="N47" s="70">
        <f>IF(M47="","",IF(LEFT(M47,1)="A","Add to preferred list; eligible for expanded share or strategic cooperation",IF(LEFT(M47,1)="B","Maintain cooperation; monitor key indicators quarterly",IF(LEFT(M47,1)="C","Start remediation plan; major purchases require procurement, quality, and legal joint approval","Pause new project onboarding; start alternate supplier and exit plan"))))</f>
        <v/>
      </c>
      <c r="O47" s="287">
        <f>IF(M47="","",IF(LEFT(M47,1)="A",'Settings'!$K$7,IF(LEFT(M47,1)="B",'Settings'!$K$8,IF(LEFT(M47,1)="C",'Settings'!$K$9,'Settings'!$K$10))))</f>
        <v/>
      </c>
      <c r="P47" s="304">
        <f>IF(M47="","",IF(Q47="",TODAY(),Q47)+O47)</f>
        <v/>
      </c>
      <c r="Q47" s="304">
        <f>IF(A47="","",IFERROR(MAXIFS('360 Score Entry'!$C$6:$C$105,'360 Score Entry'!$A$6:$A$105,A47),""))</f>
        <v/>
      </c>
      <c r="R47" s="71">
        <f>IF(A47="","",IF(G47=0,"No open events","Review Risk Event Register; close the highest-risk item first"))</f>
        <v/>
      </c>
      <c r="S47" s="282">
        <f>IF(A47="",0,J47+0.0059)</f>
        <v/>
      </c>
      <c r="T47" s="253" t="n"/>
      <c r="U47" s="253" t="n"/>
      <c r="V47" s="253" t="n"/>
      <c r="W47" s="253" t="n"/>
      <c r="X47" s="253" t="n"/>
      <c r="Y47" s="253" t="n"/>
      <c r="Z47" s="253" t="n"/>
    </row>
    <row r="48" ht="24" customHeight="1" s="280">
      <c r="A48" s="69">
        <f>IF('Supplier Register'!A48="","",'Supplier Register'!A48)</f>
        <v/>
      </c>
      <c r="B48" s="70">
        <f>IF(A48="","",IFERROR(VLOOKUP(A48,'Supplier Register'!$A$6:$L$105,2,FALSE),""))</f>
        <v/>
      </c>
      <c r="C48" s="70">
        <f>IF(A48="","",IFERROR(VLOOKUP(A48,'Supplier Register'!$A$6:$L$105,3,FALSE),""))</f>
        <v/>
      </c>
      <c r="D48" s="70">
        <f>IF(A48="","",IFERROR(VLOOKUP(A48,'Supplier Register'!$A$6:$L$105,5,FALSE),""))</f>
        <v/>
      </c>
      <c r="E48" s="303">
        <f>IF(A48="","",IFERROR(VLOOKUP(A48,'Supplier Register'!$A$6:$L$105,6,FALSE),""))</f>
        <v/>
      </c>
      <c r="F48" s="308">
        <f>IF(A48="","",IFERROR(ROUND(AVERAGEIF('360 Score Entry'!$A$6:$A$105,A48,'360 Score Entry'!$O$6:$O$105),1),""))</f>
        <v/>
      </c>
      <c r="G48" s="287">
        <f>IF(A48="","",COUNTIFS('Risk Event Register'!$A$6:$A$205,A48,'Risk Event Register'!$J$6:$J$205,"&lt;&gt;Closed"))</f>
        <v/>
      </c>
      <c r="H48" s="287">
        <f>IF(A48="","",IFERROR(MAXIFS('Risk Event Register'!$I$6:$I$205,'Risk Event Register'!$A$6:$A$205,A48,'Risk Event Register'!$J$6:$J$205,"&lt;&gt;Closed"),0))</f>
        <v/>
      </c>
      <c r="I48" s="287">
        <f>IF(A48="","",IF(D48="Critical",10,IF(D48="Important",5,0)))</f>
        <v/>
      </c>
      <c r="J48" s="287">
        <f>IF(A48="","",MIN(100,H48+I48))</f>
        <v/>
      </c>
      <c r="K48" s="70">
        <f>IF(F48="","",IF(F48&gt;='Settings'!$H$7,"A Preferred",IF(F48&gt;='Settings'!$H$8,"B Qualified",IF(F48&gt;='Settings'!$H$9,"C Needs Improvement","D Not Qualified"))))</f>
        <v/>
      </c>
      <c r="L48" s="70">
        <f>IF(A48="","",IF(J48&lt;='Settings'!$I$7,"Low Risk",IF(J48&lt;='Settings'!$I$8,"Medium Risk",IF(J48&lt;='Settings'!$I$9,"High Risk","Critical Risk"))))</f>
        <v/>
      </c>
      <c r="M48" s="70">
        <f>IF(F48="","",IF(OR(J48&gt;'Settings'!$I$9,F48&lt;'Settings'!$H$9),"D Pause onboarding / restrict purchases",IF(OR(J48&gt;'Settings'!$I$8,F48&lt;'Settings'!$H$8),"C Time-bound remediation / enhanced approval",IF(OR(J48&gt;'Settings'!$I$7,F48&lt;'Settings'!$H$7),"B Qualified / continuous monitoring","A Preferred / eligible to expand"))))</f>
        <v/>
      </c>
      <c r="N48" s="70">
        <f>IF(M48="","",IF(LEFT(M48,1)="A","Add to preferred list; eligible for expanded share or strategic cooperation",IF(LEFT(M48,1)="B","Maintain cooperation; monitor key indicators quarterly",IF(LEFT(M48,1)="C","Start remediation plan; major purchases require procurement, quality, and legal joint approval","Pause new project onboarding; start alternate supplier and exit plan"))))</f>
        <v/>
      </c>
      <c r="O48" s="287">
        <f>IF(M48="","",IF(LEFT(M48,1)="A",'Settings'!$K$7,IF(LEFT(M48,1)="B",'Settings'!$K$8,IF(LEFT(M48,1)="C",'Settings'!$K$9,'Settings'!$K$10))))</f>
        <v/>
      </c>
      <c r="P48" s="304">
        <f>IF(M48="","",IF(Q48="",TODAY(),Q48)+O48)</f>
        <v/>
      </c>
      <c r="Q48" s="304">
        <f>IF(A48="","",IFERROR(MAXIFS('360 Score Entry'!$C$6:$C$105,'360 Score Entry'!$A$6:$A$105,A48),""))</f>
        <v/>
      </c>
      <c r="R48" s="71">
        <f>IF(A48="","",IF(G48=0,"No open events","Review Risk Event Register; close the highest-risk item first"))</f>
        <v/>
      </c>
      <c r="S48" s="282">
        <f>IF(A48="",0,J48+0.0058)</f>
        <v/>
      </c>
      <c r="T48" s="253" t="n"/>
      <c r="U48" s="253" t="n"/>
      <c r="V48" s="253" t="n"/>
      <c r="W48" s="253" t="n"/>
      <c r="X48" s="253" t="n"/>
      <c r="Y48" s="253" t="n"/>
      <c r="Z48" s="253" t="n"/>
    </row>
    <row r="49" ht="24" customHeight="1" s="280">
      <c r="A49" s="69">
        <f>IF('Supplier Register'!A49="","",'Supplier Register'!A49)</f>
        <v/>
      </c>
      <c r="B49" s="70">
        <f>IF(A49="","",IFERROR(VLOOKUP(A49,'Supplier Register'!$A$6:$L$105,2,FALSE),""))</f>
        <v/>
      </c>
      <c r="C49" s="70">
        <f>IF(A49="","",IFERROR(VLOOKUP(A49,'Supplier Register'!$A$6:$L$105,3,FALSE),""))</f>
        <v/>
      </c>
      <c r="D49" s="70">
        <f>IF(A49="","",IFERROR(VLOOKUP(A49,'Supplier Register'!$A$6:$L$105,5,FALSE),""))</f>
        <v/>
      </c>
      <c r="E49" s="303">
        <f>IF(A49="","",IFERROR(VLOOKUP(A49,'Supplier Register'!$A$6:$L$105,6,FALSE),""))</f>
        <v/>
      </c>
      <c r="F49" s="308">
        <f>IF(A49="","",IFERROR(ROUND(AVERAGEIF('360 Score Entry'!$A$6:$A$105,A49,'360 Score Entry'!$O$6:$O$105),1),""))</f>
        <v/>
      </c>
      <c r="G49" s="287">
        <f>IF(A49="","",COUNTIFS('Risk Event Register'!$A$6:$A$205,A49,'Risk Event Register'!$J$6:$J$205,"&lt;&gt;Closed"))</f>
        <v/>
      </c>
      <c r="H49" s="287">
        <f>IF(A49="","",IFERROR(MAXIFS('Risk Event Register'!$I$6:$I$205,'Risk Event Register'!$A$6:$A$205,A49,'Risk Event Register'!$J$6:$J$205,"&lt;&gt;Closed"),0))</f>
        <v/>
      </c>
      <c r="I49" s="287">
        <f>IF(A49="","",IF(D49="Critical",10,IF(D49="Important",5,0)))</f>
        <v/>
      </c>
      <c r="J49" s="287">
        <f>IF(A49="","",MIN(100,H49+I49))</f>
        <v/>
      </c>
      <c r="K49" s="70">
        <f>IF(F49="","",IF(F49&gt;='Settings'!$H$7,"A Preferred",IF(F49&gt;='Settings'!$H$8,"B Qualified",IF(F49&gt;='Settings'!$H$9,"C Needs Improvement","D Not Qualified"))))</f>
        <v/>
      </c>
      <c r="L49" s="70">
        <f>IF(A49="","",IF(J49&lt;='Settings'!$I$7,"Low Risk",IF(J49&lt;='Settings'!$I$8,"Medium Risk",IF(J49&lt;='Settings'!$I$9,"High Risk","Critical Risk"))))</f>
        <v/>
      </c>
      <c r="M49" s="70">
        <f>IF(F49="","",IF(OR(J49&gt;'Settings'!$I$9,F49&lt;'Settings'!$H$9),"D Pause onboarding / restrict purchases",IF(OR(J49&gt;'Settings'!$I$8,F49&lt;'Settings'!$H$8),"C Time-bound remediation / enhanced approval",IF(OR(J49&gt;'Settings'!$I$7,F49&lt;'Settings'!$H$7),"B Qualified / continuous monitoring","A Preferred / eligible to expand"))))</f>
        <v/>
      </c>
      <c r="N49" s="70">
        <f>IF(M49="","",IF(LEFT(M49,1)="A","Add to preferred list; eligible for expanded share or strategic cooperation",IF(LEFT(M49,1)="B","Maintain cooperation; monitor key indicators quarterly",IF(LEFT(M49,1)="C","Start remediation plan; major purchases require procurement, quality, and legal joint approval","Pause new project onboarding; start alternate supplier and exit plan"))))</f>
        <v/>
      </c>
      <c r="O49" s="287">
        <f>IF(M49="","",IF(LEFT(M49,1)="A",'Settings'!$K$7,IF(LEFT(M49,1)="B",'Settings'!$K$8,IF(LEFT(M49,1)="C",'Settings'!$K$9,'Settings'!$K$10))))</f>
        <v/>
      </c>
      <c r="P49" s="304">
        <f>IF(M49="","",IF(Q49="",TODAY(),Q49)+O49)</f>
        <v/>
      </c>
      <c r="Q49" s="304">
        <f>IF(A49="","",IFERROR(MAXIFS('360 Score Entry'!$C$6:$C$105,'360 Score Entry'!$A$6:$A$105,A49),""))</f>
        <v/>
      </c>
      <c r="R49" s="71">
        <f>IF(A49="","",IF(G49=0,"No open events","Review Risk Event Register; close the highest-risk item first"))</f>
        <v/>
      </c>
      <c r="S49" s="282">
        <f>IF(A49="",0,J49+0.0057)</f>
        <v/>
      </c>
      <c r="T49" s="253" t="n"/>
      <c r="U49" s="253" t="n"/>
      <c r="V49" s="253" t="n"/>
      <c r="W49" s="253" t="n"/>
      <c r="X49" s="253" t="n"/>
      <c r="Y49" s="253" t="n"/>
      <c r="Z49" s="253" t="n"/>
    </row>
    <row r="50" ht="24" customHeight="1" s="280">
      <c r="A50" s="69">
        <f>IF('Supplier Register'!A50="","",'Supplier Register'!A50)</f>
        <v/>
      </c>
      <c r="B50" s="70">
        <f>IF(A50="","",IFERROR(VLOOKUP(A50,'Supplier Register'!$A$6:$L$105,2,FALSE),""))</f>
        <v/>
      </c>
      <c r="C50" s="70">
        <f>IF(A50="","",IFERROR(VLOOKUP(A50,'Supplier Register'!$A$6:$L$105,3,FALSE),""))</f>
        <v/>
      </c>
      <c r="D50" s="70">
        <f>IF(A50="","",IFERROR(VLOOKUP(A50,'Supplier Register'!$A$6:$L$105,5,FALSE),""))</f>
        <v/>
      </c>
      <c r="E50" s="303">
        <f>IF(A50="","",IFERROR(VLOOKUP(A50,'Supplier Register'!$A$6:$L$105,6,FALSE),""))</f>
        <v/>
      </c>
      <c r="F50" s="308">
        <f>IF(A50="","",IFERROR(ROUND(AVERAGEIF('360 Score Entry'!$A$6:$A$105,A50,'360 Score Entry'!$O$6:$O$105),1),""))</f>
        <v/>
      </c>
      <c r="G50" s="287">
        <f>IF(A50="","",COUNTIFS('Risk Event Register'!$A$6:$A$205,A50,'Risk Event Register'!$J$6:$J$205,"&lt;&gt;Closed"))</f>
        <v/>
      </c>
      <c r="H50" s="287">
        <f>IF(A50="","",IFERROR(MAXIFS('Risk Event Register'!$I$6:$I$205,'Risk Event Register'!$A$6:$A$205,A50,'Risk Event Register'!$J$6:$J$205,"&lt;&gt;Closed"),0))</f>
        <v/>
      </c>
      <c r="I50" s="287">
        <f>IF(A50="","",IF(D50="Critical",10,IF(D50="Important",5,0)))</f>
        <v/>
      </c>
      <c r="J50" s="287">
        <f>IF(A50="","",MIN(100,H50+I50))</f>
        <v/>
      </c>
      <c r="K50" s="70">
        <f>IF(F50="","",IF(F50&gt;='Settings'!$H$7,"A Preferred",IF(F50&gt;='Settings'!$H$8,"B Qualified",IF(F50&gt;='Settings'!$H$9,"C Needs Improvement","D Not Qualified"))))</f>
        <v/>
      </c>
      <c r="L50" s="70">
        <f>IF(A50="","",IF(J50&lt;='Settings'!$I$7,"Low Risk",IF(J50&lt;='Settings'!$I$8,"Medium Risk",IF(J50&lt;='Settings'!$I$9,"High Risk","Critical Risk"))))</f>
        <v/>
      </c>
      <c r="M50" s="70">
        <f>IF(F50="","",IF(OR(J50&gt;'Settings'!$I$9,F50&lt;'Settings'!$H$9),"D Pause onboarding / restrict purchases",IF(OR(J50&gt;'Settings'!$I$8,F50&lt;'Settings'!$H$8),"C Time-bound remediation / enhanced approval",IF(OR(J50&gt;'Settings'!$I$7,F50&lt;'Settings'!$H$7),"B Qualified / continuous monitoring","A Preferred / eligible to expand"))))</f>
        <v/>
      </c>
      <c r="N50" s="70">
        <f>IF(M50="","",IF(LEFT(M50,1)="A","Add to preferred list; eligible for expanded share or strategic cooperation",IF(LEFT(M50,1)="B","Maintain cooperation; monitor key indicators quarterly",IF(LEFT(M50,1)="C","Start remediation plan; major purchases require procurement, quality, and legal joint approval","Pause new project onboarding; start alternate supplier and exit plan"))))</f>
        <v/>
      </c>
      <c r="O50" s="287">
        <f>IF(M50="","",IF(LEFT(M50,1)="A",'Settings'!$K$7,IF(LEFT(M50,1)="B",'Settings'!$K$8,IF(LEFT(M50,1)="C",'Settings'!$K$9,'Settings'!$K$10))))</f>
        <v/>
      </c>
      <c r="P50" s="304">
        <f>IF(M50="","",IF(Q50="",TODAY(),Q50)+O50)</f>
        <v/>
      </c>
      <c r="Q50" s="304">
        <f>IF(A50="","",IFERROR(MAXIFS('360 Score Entry'!$C$6:$C$105,'360 Score Entry'!$A$6:$A$105,A50),""))</f>
        <v/>
      </c>
      <c r="R50" s="71">
        <f>IF(A50="","",IF(G50=0,"No open events","Review Risk Event Register; close the highest-risk item first"))</f>
        <v/>
      </c>
      <c r="S50" s="282">
        <f>IF(A50="",0,J50+0.0056)</f>
        <v/>
      </c>
      <c r="T50" s="253" t="n"/>
      <c r="U50" s="253" t="n"/>
      <c r="V50" s="253" t="n"/>
      <c r="W50" s="253" t="n"/>
      <c r="X50" s="253" t="n"/>
      <c r="Y50" s="253" t="n"/>
      <c r="Z50" s="253" t="n"/>
    </row>
    <row r="51" ht="24" customHeight="1" s="280">
      <c r="A51" s="69">
        <f>IF('Supplier Register'!A51="","",'Supplier Register'!A51)</f>
        <v/>
      </c>
      <c r="B51" s="70">
        <f>IF(A51="","",IFERROR(VLOOKUP(A51,'Supplier Register'!$A$6:$L$105,2,FALSE),""))</f>
        <v/>
      </c>
      <c r="C51" s="70">
        <f>IF(A51="","",IFERROR(VLOOKUP(A51,'Supplier Register'!$A$6:$L$105,3,FALSE),""))</f>
        <v/>
      </c>
      <c r="D51" s="70">
        <f>IF(A51="","",IFERROR(VLOOKUP(A51,'Supplier Register'!$A$6:$L$105,5,FALSE),""))</f>
        <v/>
      </c>
      <c r="E51" s="303">
        <f>IF(A51="","",IFERROR(VLOOKUP(A51,'Supplier Register'!$A$6:$L$105,6,FALSE),""))</f>
        <v/>
      </c>
      <c r="F51" s="308">
        <f>IF(A51="","",IFERROR(ROUND(AVERAGEIF('360 Score Entry'!$A$6:$A$105,A51,'360 Score Entry'!$O$6:$O$105),1),""))</f>
        <v/>
      </c>
      <c r="G51" s="287">
        <f>IF(A51="","",COUNTIFS('Risk Event Register'!$A$6:$A$205,A51,'Risk Event Register'!$J$6:$J$205,"&lt;&gt;Closed"))</f>
        <v/>
      </c>
      <c r="H51" s="287">
        <f>IF(A51="","",IFERROR(MAXIFS('Risk Event Register'!$I$6:$I$205,'Risk Event Register'!$A$6:$A$205,A51,'Risk Event Register'!$J$6:$J$205,"&lt;&gt;Closed"),0))</f>
        <v/>
      </c>
      <c r="I51" s="287">
        <f>IF(A51="","",IF(D51="Critical",10,IF(D51="Important",5,0)))</f>
        <v/>
      </c>
      <c r="J51" s="287">
        <f>IF(A51="","",MIN(100,H51+I51))</f>
        <v/>
      </c>
      <c r="K51" s="70">
        <f>IF(F51="","",IF(F51&gt;='Settings'!$H$7,"A Preferred",IF(F51&gt;='Settings'!$H$8,"B Qualified",IF(F51&gt;='Settings'!$H$9,"C Needs Improvement","D Not Qualified"))))</f>
        <v/>
      </c>
      <c r="L51" s="70">
        <f>IF(A51="","",IF(J51&lt;='Settings'!$I$7,"Low Risk",IF(J51&lt;='Settings'!$I$8,"Medium Risk",IF(J51&lt;='Settings'!$I$9,"High Risk","Critical Risk"))))</f>
        <v/>
      </c>
      <c r="M51" s="70">
        <f>IF(F51="","",IF(OR(J51&gt;'Settings'!$I$9,F51&lt;'Settings'!$H$9),"D Pause onboarding / restrict purchases",IF(OR(J51&gt;'Settings'!$I$8,F51&lt;'Settings'!$H$8),"C Time-bound remediation / enhanced approval",IF(OR(J51&gt;'Settings'!$I$7,F51&lt;'Settings'!$H$7),"B Qualified / continuous monitoring","A Preferred / eligible to expand"))))</f>
        <v/>
      </c>
      <c r="N51" s="70">
        <f>IF(M51="","",IF(LEFT(M51,1)="A","Add to preferred list; eligible for expanded share or strategic cooperation",IF(LEFT(M51,1)="B","Maintain cooperation; monitor key indicators quarterly",IF(LEFT(M51,1)="C","Start remediation plan; major purchases require procurement, quality, and legal joint approval","Pause new project onboarding; start alternate supplier and exit plan"))))</f>
        <v/>
      </c>
      <c r="O51" s="287">
        <f>IF(M51="","",IF(LEFT(M51,1)="A",'Settings'!$K$7,IF(LEFT(M51,1)="B",'Settings'!$K$8,IF(LEFT(M51,1)="C",'Settings'!$K$9,'Settings'!$K$10))))</f>
        <v/>
      </c>
      <c r="P51" s="304">
        <f>IF(M51="","",IF(Q51="",TODAY(),Q51)+O51)</f>
        <v/>
      </c>
      <c r="Q51" s="304">
        <f>IF(A51="","",IFERROR(MAXIFS('360 Score Entry'!$C$6:$C$105,'360 Score Entry'!$A$6:$A$105,A51),""))</f>
        <v/>
      </c>
      <c r="R51" s="71">
        <f>IF(A51="","",IF(G51=0,"No open events","Review Risk Event Register; close the highest-risk item first"))</f>
        <v/>
      </c>
      <c r="S51" s="282">
        <f>IF(A51="",0,J51+0.0055)</f>
        <v/>
      </c>
      <c r="T51" s="253" t="n"/>
      <c r="U51" s="253" t="n"/>
      <c r="V51" s="253" t="n"/>
      <c r="W51" s="253" t="n"/>
      <c r="X51" s="253" t="n"/>
      <c r="Y51" s="253" t="n"/>
      <c r="Z51" s="253" t="n"/>
    </row>
    <row r="52" ht="24" customHeight="1" s="280">
      <c r="A52" s="69">
        <f>IF('Supplier Register'!A52="","",'Supplier Register'!A52)</f>
        <v/>
      </c>
      <c r="B52" s="70">
        <f>IF(A52="","",IFERROR(VLOOKUP(A52,'Supplier Register'!$A$6:$L$105,2,FALSE),""))</f>
        <v/>
      </c>
      <c r="C52" s="70">
        <f>IF(A52="","",IFERROR(VLOOKUP(A52,'Supplier Register'!$A$6:$L$105,3,FALSE),""))</f>
        <v/>
      </c>
      <c r="D52" s="70">
        <f>IF(A52="","",IFERROR(VLOOKUP(A52,'Supplier Register'!$A$6:$L$105,5,FALSE),""))</f>
        <v/>
      </c>
      <c r="E52" s="303">
        <f>IF(A52="","",IFERROR(VLOOKUP(A52,'Supplier Register'!$A$6:$L$105,6,FALSE),""))</f>
        <v/>
      </c>
      <c r="F52" s="308">
        <f>IF(A52="","",IFERROR(ROUND(AVERAGEIF('360 Score Entry'!$A$6:$A$105,A52,'360 Score Entry'!$O$6:$O$105),1),""))</f>
        <v/>
      </c>
      <c r="G52" s="287">
        <f>IF(A52="","",COUNTIFS('Risk Event Register'!$A$6:$A$205,A52,'Risk Event Register'!$J$6:$J$205,"&lt;&gt;Closed"))</f>
        <v/>
      </c>
      <c r="H52" s="287">
        <f>IF(A52="","",IFERROR(MAXIFS('Risk Event Register'!$I$6:$I$205,'Risk Event Register'!$A$6:$A$205,A52,'Risk Event Register'!$J$6:$J$205,"&lt;&gt;Closed"),0))</f>
        <v/>
      </c>
      <c r="I52" s="287">
        <f>IF(A52="","",IF(D52="Critical",10,IF(D52="Important",5,0)))</f>
        <v/>
      </c>
      <c r="J52" s="287">
        <f>IF(A52="","",MIN(100,H52+I52))</f>
        <v/>
      </c>
      <c r="K52" s="70">
        <f>IF(F52="","",IF(F52&gt;='Settings'!$H$7,"A Preferred",IF(F52&gt;='Settings'!$H$8,"B Qualified",IF(F52&gt;='Settings'!$H$9,"C Needs Improvement","D Not Qualified"))))</f>
        <v/>
      </c>
      <c r="L52" s="70">
        <f>IF(A52="","",IF(J52&lt;='Settings'!$I$7,"Low Risk",IF(J52&lt;='Settings'!$I$8,"Medium Risk",IF(J52&lt;='Settings'!$I$9,"High Risk","Critical Risk"))))</f>
        <v/>
      </c>
      <c r="M52" s="70">
        <f>IF(F52="","",IF(OR(J52&gt;'Settings'!$I$9,F52&lt;'Settings'!$H$9),"D Pause onboarding / restrict purchases",IF(OR(J52&gt;'Settings'!$I$8,F52&lt;'Settings'!$H$8),"C Time-bound remediation / enhanced approval",IF(OR(J52&gt;'Settings'!$I$7,F52&lt;'Settings'!$H$7),"B Qualified / continuous monitoring","A Preferred / eligible to expand"))))</f>
        <v/>
      </c>
      <c r="N52" s="70">
        <f>IF(M52="","",IF(LEFT(M52,1)="A","Add to preferred list; eligible for expanded share or strategic cooperation",IF(LEFT(M52,1)="B","Maintain cooperation; monitor key indicators quarterly",IF(LEFT(M52,1)="C","Start remediation plan; major purchases require procurement, quality, and legal joint approval","Pause new project onboarding; start alternate supplier and exit plan"))))</f>
        <v/>
      </c>
      <c r="O52" s="287">
        <f>IF(M52="","",IF(LEFT(M52,1)="A",'Settings'!$K$7,IF(LEFT(M52,1)="B",'Settings'!$K$8,IF(LEFT(M52,1)="C",'Settings'!$K$9,'Settings'!$K$10))))</f>
        <v/>
      </c>
      <c r="P52" s="304">
        <f>IF(M52="","",IF(Q52="",TODAY(),Q52)+O52)</f>
        <v/>
      </c>
      <c r="Q52" s="304">
        <f>IF(A52="","",IFERROR(MAXIFS('360 Score Entry'!$C$6:$C$105,'360 Score Entry'!$A$6:$A$105,A52),""))</f>
        <v/>
      </c>
      <c r="R52" s="71">
        <f>IF(A52="","",IF(G52=0,"No open events","Review Risk Event Register; close the highest-risk item first"))</f>
        <v/>
      </c>
      <c r="S52" s="282">
        <f>IF(A52="",0,J52+0.0054)</f>
        <v/>
      </c>
      <c r="T52" s="253" t="n"/>
      <c r="U52" s="253" t="n"/>
      <c r="V52" s="253" t="n"/>
      <c r="W52" s="253" t="n"/>
      <c r="X52" s="253" t="n"/>
      <c r="Y52" s="253" t="n"/>
      <c r="Z52" s="253" t="n"/>
    </row>
    <row r="53" ht="24" customHeight="1" s="280">
      <c r="A53" s="69">
        <f>IF('Supplier Register'!A53="","",'Supplier Register'!A53)</f>
        <v/>
      </c>
      <c r="B53" s="70">
        <f>IF(A53="","",IFERROR(VLOOKUP(A53,'Supplier Register'!$A$6:$L$105,2,FALSE),""))</f>
        <v/>
      </c>
      <c r="C53" s="70">
        <f>IF(A53="","",IFERROR(VLOOKUP(A53,'Supplier Register'!$A$6:$L$105,3,FALSE),""))</f>
        <v/>
      </c>
      <c r="D53" s="70">
        <f>IF(A53="","",IFERROR(VLOOKUP(A53,'Supplier Register'!$A$6:$L$105,5,FALSE),""))</f>
        <v/>
      </c>
      <c r="E53" s="303">
        <f>IF(A53="","",IFERROR(VLOOKUP(A53,'Supplier Register'!$A$6:$L$105,6,FALSE),""))</f>
        <v/>
      </c>
      <c r="F53" s="308">
        <f>IF(A53="","",IFERROR(ROUND(AVERAGEIF('360 Score Entry'!$A$6:$A$105,A53,'360 Score Entry'!$O$6:$O$105),1),""))</f>
        <v/>
      </c>
      <c r="G53" s="287">
        <f>IF(A53="","",COUNTIFS('Risk Event Register'!$A$6:$A$205,A53,'Risk Event Register'!$J$6:$J$205,"&lt;&gt;Closed"))</f>
        <v/>
      </c>
      <c r="H53" s="287">
        <f>IF(A53="","",IFERROR(MAXIFS('Risk Event Register'!$I$6:$I$205,'Risk Event Register'!$A$6:$A$205,A53,'Risk Event Register'!$J$6:$J$205,"&lt;&gt;Closed"),0))</f>
        <v/>
      </c>
      <c r="I53" s="287">
        <f>IF(A53="","",IF(D53="Critical",10,IF(D53="Important",5,0)))</f>
        <v/>
      </c>
      <c r="J53" s="287">
        <f>IF(A53="","",MIN(100,H53+I53))</f>
        <v/>
      </c>
      <c r="K53" s="70">
        <f>IF(F53="","",IF(F53&gt;='Settings'!$H$7,"A Preferred",IF(F53&gt;='Settings'!$H$8,"B Qualified",IF(F53&gt;='Settings'!$H$9,"C Needs Improvement","D Not Qualified"))))</f>
        <v/>
      </c>
      <c r="L53" s="70">
        <f>IF(A53="","",IF(J53&lt;='Settings'!$I$7,"Low Risk",IF(J53&lt;='Settings'!$I$8,"Medium Risk",IF(J53&lt;='Settings'!$I$9,"High Risk","Critical Risk"))))</f>
        <v/>
      </c>
      <c r="M53" s="70">
        <f>IF(F53="","",IF(OR(J53&gt;'Settings'!$I$9,F53&lt;'Settings'!$H$9),"D Pause onboarding / restrict purchases",IF(OR(J53&gt;'Settings'!$I$8,F53&lt;'Settings'!$H$8),"C Time-bound remediation / enhanced approval",IF(OR(J53&gt;'Settings'!$I$7,F53&lt;'Settings'!$H$7),"B Qualified / continuous monitoring","A Preferred / eligible to expand"))))</f>
        <v/>
      </c>
      <c r="N53" s="70">
        <f>IF(M53="","",IF(LEFT(M53,1)="A","Add to preferred list; eligible for expanded share or strategic cooperation",IF(LEFT(M53,1)="B","Maintain cooperation; monitor key indicators quarterly",IF(LEFT(M53,1)="C","Start remediation plan; major purchases require procurement, quality, and legal joint approval","Pause new project onboarding; start alternate supplier and exit plan"))))</f>
        <v/>
      </c>
      <c r="O53" s="287">
        <f>IF(M53="","",IF(LEFT(M53,1)="A",'Settings'!$K$7,IF(LEFT(M53,1)="B",'Settings'!$K$8,IF(LEFT(M53,1)="C",'Settings'!$K$9,'Settings'!$K$10))))</f>
        <v/>
      </c>
      <c r="P53" s="304">
        <f>IF(M53="","",IF(Q53="",TODAY(),Q53)+O53)</f>
        <v/>
      </c>
      <c r="Q53" s="304">
        <f>IF(A53="","",IFERROR(MAXIFS('360 Score Entry'!$C$6:$C$105,'360 Score Entry'!$A$6:$A$105,A53),""))</f>
        <v/>
      </c>
      <c r="R53" s="71">
        <f>IF(A53="","",IF(G53=0,"No open events","Review Risk Event Register; close the highest-risk item first"))</f>
        <v/>
      </c>
      <c r="S53" s="282">
        <f>IF(A53="",0,J53+0.0053)</f>
        <v/>
      </c>
      <c r="T53" s="253" t="n"/>
      <c r="U53" s="253" t="n"/>
      <c r="V53" s="253" t="n"/>
      <c r="W53" s="253" t="n"/>
      <c r="X53" s="253" t="n"/>
      <c r="Y53" s="253" t="n"/>
      <c r="Z53" s="253" t="n"/>
    </row>
    <row r="54" ht="24" customHeight="1" s="280">
      <c r="A54" s="69">
        <f>IF('Supplier Register'!A54="","",'Supplier Register'!A54)</f>
        <v/>
      </c>
      <c r="B54" s="70">
        <f>IF(A54="","",IFERROR(VLOOKUP(A54,'Supplier Register'!$A$6:$L$105,2,FALSE),""))</f>
        <v/>
      </c>
      <c r="C54" s="70">
        <f>IF(A54="","",IFERROR(VLOOKUP(A54,'Supplier Register'!$A$6:$L$105,3,FALSE),""))</f>
        <v/>
      </c>
      <c r="D54" s="70">
        <f>IF(A54="","",IFERROR(VLOOKUP(A54,'Supplier Register'!$A$6:$L$105,5,FALSE),""))</f>
        <v/>
      </c>
      <c r="E54" s="303">
        <f>IF(A54="","",IFERROR(VLOOKUP(A54,'Supplier Register'!$A$6:$L$105,6,FALSE),""))</f>
        <v/>
      </c>
      <c r="F54" s="308">
        <f>IF(A54="","",IFERROR(ROUND(AVERAGEIF('360 Score Entry'!$A$6:$A$105,A54,'360 Score Entry'!$O$6:$O$105),1),""))</f>
        <v/>
      </c>
      <c r="G54" s="287">
        <f>IF(A54="","",COUNTIFS('Risk Event Register'!$A$6:$A$205,A54,'Risk Event Register'!$J$6:$J$205,"&lt;&gt;Closed"))</f>
        <v/>
      </c>
      <c r="H54" s="287">
        <f>IF(A54="","",IFERROR(MAXIFS('Risk Event Register'!$I$6:$I$205,'Risk Event Register'!$A$6:$A$205,A54,'Risk Event Register'!$J$6:$J$205,"&lt;&gt;Closed"),0))</f>
        <v/>
      </c>
      <c r="I54" s="287">
        <f>IF(A54="","",IF(D54="Critical",10,IF(D54="Important",5,0)))</f>
        <v/>
      </c>
      <c r="J54" s="287">
        <f>IF(A54="","",MIN(100,H54+I54))</f>
        <v/>
      </c>
      <c r="K54" s="70">
        <f>IF(F54="","",IF(F54&gt;='Settings'!$H$7,"A Preferred",IF(F54&gt;='Settings'!$H$8,"B Qualified",IF(F54&gt;='Settings'!$H$9,"C Needs Improvement","D Not Qualified"))))</f>
        <v/>
      </c>
      <c r="L54" s="70">
        <f>IF(A54="","",IF(J54&lt;='Settings'!$I$7,"Low Risk",IF(J54&lt;='Settings'!$I$8,"Medium Risk",IF(J54&lt;='Settings'!$I$9,"High Risk","Critical Risk"))))</f>
        <v/>
      </c>
      <c r="M54" s="70">
        <f>IF(F54="","",IF(OR(J54&gt;'Settings'!$I$9,F54&lt;'Settings'!$H$9),"D Pause onboarding / restrict purchases",IF(OR(J54&gt;'Settings'!$I$8,F54&lt;'Settings'!$H$8),"C Time-bound remediation / enhanced approval",IF(OR(J54&gt;'Settings'!$I$7,F54&lt;'Settings'!$H$7),"B Qualified / continuous monitoring","A Preferred / eligible to expand"))))</f>
        <v/>
      </c>
      <c r="N54" s="70">
        <f>IF(M54="","",IF(LEFT(M54,1)="A","Add to preferred list; eligible for expanded share or strategic cooperation",IF(LEFT(M54,1)="B","Maintain cooperation; monitor key indicators quarterly",IF(LEFT(M54,1)="C","Start remediation plan; major purchases require procurement, quality, and legal joint approval","Pause new project onboarding; start alternate supplier and exit plan"))))</f>
        <v/>
      </c>
      <c r="O54" s="287">
        <f>IF(M54="","",IF(LEFT(M54,1)="A",'Settings'!$K$7,IF(LEFT(M54,1)="B",'Settings'!$K$8,IF(LEFT(M54,1)="C",'Settings'!$K$9,'Settings'!$K$10))))</f>
        <v/>
      </c>
      <c r="P54" s="304">
        <f>IF(M54="","",IF(Q54="",TODAY(),Q54)+O54)</f>
        <v/>
      </c>
      <c r="Q54" s="304">
        <f>IF(A54="","",IFERROR(MAXIFS('360 Score Entry'!$C$6:$C$105,'360 Score Entry'!$A$6:$A$105,A54),""))</f>
        <v/>
      </c>
      <c r="R54" s="71">
        <f>IF(A54="","",IF(G54=0,"No open events","Review Risk Event Register; close the highest-risk item first"))</f>
        <v/>
      </c>
      <c r="S54" s="282">
        <f>IF(A54="",0,J54+0.0052)</f>
        <v/>
      </c>
      <c r="T54" s="253" t="n"/>
      <c r="U54" s="253" t="n"/>
      <c r="V54" s="253" t="n"/>
      <c r="W54" s="253" t="n"/>
      <c r="X54" s="253" t="n"/>
      <c r="Y54" s="253" t="n"/>
      <c r="Z54" s="253" t="n"/>
    </row>
    <row r="55" ht="24" customHeight="1" s="280">
      <c r="A55" s="69">
        <f>IF('Supplier Register'!A55="","",'Supplier Register'!A55)</f>
        <v/>
      </c>
      <c r="B55" s="70">
        <f>IF(A55="","",IFERROR(VLOOKUP(A55,'Supplier Register'!$A$6:$L$105,2,FALSE),""))</f>
        <v/>
      </c>
      <c r="C55" s="70">
        <f>IF(A55="","",IFERROR(VLOOKUP(A55,'Supplier Register'!$A$6:$L$105,3,FALSE),""))</f>
        <v/>
      </c>
      <c r="D55" s="70">
        <f>IF(A55="","",IFERROR(VLOOKUP(A55,'Supplier Register'!$A$6:$L$105,5,FALSE),""))</f>
        <v/>
      </c>
      <c r="E55" s="303">
        <f>IF(A55="","",IFERROR(VLOOKUP(A55,'Supplier Register'!$A$6:$L$105,6,FALSE),""))</f>
        <v/>
      </c>
      <c r="F55" s="308">
        <f>IF(A55="","",IFERROR(ROUND(AVERAGEIF('360 Score Entry'!$A$6:$A$105,A55,'360 Score Entry'!$O$6:$O$105),1),""))</f>
        <v/>
      </c>
      <c r="G55" s="287">
        <f>IF(A55="","",COUNTIFS('Risk Event Register'!$A$6:$A$205,A55,'Risk Event Register'!$J$6:$J$205,"&lt;&gt;Closed"))</f>
        <v/>
      </c>
      <c r="H55" s="287">
        <f>IF(A55="","",IFERROR(MAXIFS('Risk Event Register'!$I$6:$I$205,'Risk Event Register'!$A$6:$A$205,A55,'Risk Event Register'!$J$6:$J$205,"&lt;&gt;Closed"),0))</f>
        <v/>
      </c>
      <c r="I55" s="287">
        <f>IF(A55="","",IF(D55="Critical",10,IF(D55="Important",5,0)))</f>
        <v/>
      </c>
      <c r="J55" s="287">
        <f>IF(A55="","",MIN(100,H55+I55))</f>
        <v/>
      </c>
      <c r="K55" s="70">
        <f>IF(F55="","",IF(F55&gt;='Settings'!$H$7,"A Preferred",IF(F55&gt;='Settings'!$H$8,"B Qualified",IF(F55&gt;='Settings'!$H$9,"C Needs Improvement","D Not Qualified"))))</f>
        <v/>
      </c>
      <c r="L55" s="70">
        <f>IF(A55="","",IF(J55&lt;='Settings'!$I$7,"Low Risk",IF(J55&lt;='Settings'!$I$8,"Medium Risk",IF(J55&lt;='Settings'!$I$9,"High Risk","Critical Risk"))))</f>
        <v/>
      </c>
      <c r="M55" s="70">
        <f>IF(F55="","",IF(OR(J55&gt;'Settings'!$I$9,F55&lt;'Settings'!$H$9),"D Pause onboarding / restrict purchases",IF(OR(J55&gt;'Settings'!$I$8,F55&lt;'Settings'!$H$8),"C Time-bound remediation / enhanced approval",IF(OR(J55&gt;'Settings'!$I$7,F55&lt;'Settings'!$H$7),"B Qualified / continuous monitoring","A Preferred / eligible to expand"))))</f>
        <v/>
      </c>
      <c r="N55" s="70">
        <f>IF(M55="","",IF(LEFT(M55,1)="A","Add to preferred list; eligible for expanded share or strategic cooperation",IF(LEFT(M55,1)="B","Maintain cooperation; monitor key indicators quarterly",IF(LEFT(M55,1)="C","Start remediation plan; major purchases require procurement, quality, and legal joint approval","Pause new project onboarding; start alternate supplier and exit plan"))))</f>
        <v/>
      </c>
      <c r="O55" s="287">
        <f>IF(M55="","",IF(LEFT(M55,1)="A",'Settings'!$K$7,IF(LEFT(M55,1)="B",'Settings'!$K$8,IF(LEFT(M55,1)="C",'Settings'!$K$9,'Settings'!$K$10))))</f>
        <v/>
      </c>
      <c r="P55" s="304">
        <f>IF(M55="","",IF(Q55="",TODAY(),Q55)+O55)</f>
        <v/>
      </c>
      <c r="Q55" s="304">
        <f>IF(A55="","",IFERROR(MAXIFS('360 Score Entry'!$C$6:$C$105,'360 Score Entry'!$A$6:$A$105,A55),""))</f>
        <v/>
      </c>
      <c r="R55" s="71">
        <f>IF(A55="","",IF(G55=0,"No open events","Review Risk Event Register; close the highest-risk item first"))</f>
        <v/>
      </c>
      <c r="S55" s="282">
        <f>IF(A55="",0,J55+0.0051)</f>
        <v/>
      </c>
      <c r="T55" s="253" t="n"/>
      <c r="U55" s="253" t="n"/>
      <c r="V55" s="253" t="n"/>
      <c r="W55" s="253" t="n"/>
      <c r="X55" s="253" t="n"/>
      <c r="Y55" s="253" t="n"/>
      <c r="Z55" s="253" t="n"/>
    </row>
    <row r="56" ht="24" customHeight="1" s="280">
      <c r="A56" s="69">
        <f>IF('Supplier Register'!A56="","",'Supplier Register'!A56)</f>
        <v/>
      </c>
      <c r="B56" s="70">
        <f>IF(A56="","",IFERROR(VLOOKUP(A56,'Supplier Register'!$A$6:$L$105,2,FALSE),""))</f>
        <v/>
      </c>
      <c r="C56" s="70">
        <f>IF(A56="","",IFERROR(VLOOKUP(A56,'Supplier Register'!$A$6:$L$105,3,FALSE),""))</f>
        <v/>
      </c>
      <c r="D56" s="70">
        <f>IF(A56="","",IFERROR(VLOOKUP(A56,'Supplier Register'!$A$6:$L$105,5,FALSE),""))</f>
        <v/>
      </c>
      <c r="E56" s="303">
        <f>IF(A56="","",IFERROR(VLOOKUP(A56,'Supplier Register'!$A$6:$L$105,6,FALSE),""))</f>
        <v/>
      </c>
      <c r="F56" s="308">
        <f>IF(A56="","",IFERROR(ROUND(AVERAGEIF('360 Score Entry'!$A$6:$A$105,A56,'360 Score Entry'!$O$6:$O$105),1),""))</f>
        <v/>
      </c>
      <c r="G56" s="287">
        <f>IF(A56="","",COUNTIFS('Risk Event Register'!$A$6:$A$205,A56,'Risk Event Register'!$J$6:$J$205,"&lt;&gt;Closed"))</f>
        <v/>
      </c>
      <c r="H56" s="287">
        <f>IF(A56="","",IFERROR(MAXIFS('Risk Event Register'!$I$6:$I$205,'Risk Event Register'!$A$6:$A$205,A56,'Risk Event Register'!$J$6:$J$205,"&lt;&gt;Closed"),0))</f>
        <v/>
      </c>
      <c r="I56" s="287">
        <f>IF(A56="","",IF(D56="Critical",10,IF(D56="Important",5,0)))</f>
        <v/>
      </c>
      <c r="J56" s="287">
        <f>IF(A56="","",MIN(100,H56+I56))</f>
        <v/>
      </c>
      <c r="K56" s="70">
        <f>IF(F56="","",IF(F56&gt;='Settings'!$H$7,"A Preferred",IF(F56&gt;='Settings'!$H$8,"B Qualified",IF(F56&gt;='Settings'!$H$9,"C Needs Improvement","D Not Qualified"))))</f>
        <v/>
      </c>
      <c r="L56" s="70">
        <f>IF(A56="","",IF(J56&lt;='Settings'!$I$7,"Low Risk",IF(J56&lt;='Settings'!$I$8,"Medium Risk",IF(J56&lt;='Settings'!$I$9,"High Risk","Critical Risk"))))</f>
        <v/>
      </c>
      <c r="M56" s="70">
        <f>IF(F56="","",IF(OR(J56&gt;'Settings'!$I$9,F56&lt;'Settings'!$H$9),"D Pause onboarding / restrict purchases",IF(OR(J56&gt;'Settings'!$I$8,F56&lt;'Settings'!$H$8),"C Time-bound remediation / enhanced approval",IF(OR(J56&gt;'Settings'!$I$7,F56&lt;'Settings'!$H$7),"B Qualified / continuous monitoring","A Preferred / eligible to expand"))))</f>
        <v/>
      </c>
      <c r="N56" s="70">
        <f>IF(M56="","",IF(LEFT(M56,1)="A","Add to preferred list; eligible for expanded share or strategic cooperation",IF(LEFT(M56,1)="B","Maintain cooperation; monitor key indicators quarterly",IF(LEFT(M56,1)="C","Start remediation plan; major purchases require procurement, quality, and legal joint approval","Pause new project onboarding; start alternate supplier and exit plan"))))</f>
        <v/>
      </c>
      <c r="O56" s="287">
        <f>IF(M56="","",IF(LEFT(M56,1)="A",'Settings'!$K$7,IF(LEFT(M56,1)="B",'Settings'!$K$8,IF(LEFT(M56,1)="C",'Settings'!$K$9,'Settings'!$K$10))))</f>
        <v/>
      </c>
      <c r="P56" s="304">
        <f>IF(M56="","",IF(Q56="",TODAY(),Q56)+O56)</f>
        <v/>
      </c>
      <c r="Q56" s="304">
        <f>IF(A56="","",IFERROR(MAXIFS('360 Score Entry'!$C$6:$C$105,'360 Score Entry'!$A$6:$A$105,A56),""))</f>
        <v/>
      </c>
      <c r="R56" s="71">
        <f>IF(A56="","",IF(G56=0,"No open events","Review Risk Event Register; close the highest-risk item first"))</f>
        <v/>
      </c>
      <c r="S56" s="282">
        <f>IF(A56="",0,J56+0.0050)</f>
        <v/>
      </c>
      <c r="T56" s="253" t="n"/>
      <c r="U56" s="253" t="n"/>
      <c r="V56" s="253" t="n"/>
      <c r="W56" s="253" t="n"/>
      <c r="X56" s="253" t="n"/>
      <c r="Y56" s="253" t="n"/>
      <c r="Z56" s="253" t="n"/>
    </row>
    <row r="57" ht="24" customHeight="1" s="280">
      <c r="A57" s="69">
        <f>IF('Supplier Register'!A57="","",'Supplier Register'!A57)</f>
        <v/>
      </c>
      <c r="B57" s="70">
        <f>IF(A57="","",IFERROR(VLOOKUP(A57,'Supplier Register'!$A$6:$L$105,2,FALSE),""))</f>
        <v/>
      </c>
      <c r="C57" s="70">
        <f>IF(A57="","",IFERROR(VLOOKUP(A57,'Supplier Register'!$A$6:$L$105,3,FALSE),""))</f>
        <v/>
      </c>
      <c r="D57" s="70">
        <f>IF(A57="","",IFERROR(VLOOKUP(A57,'Supplier Register'!$A$6:$L$105,5,FALSE),""))</f>
        <v/>
      </c>
      <c r="E57" s="303">
        <f>IF(A57="","",IFERROR(VLOOKUP(A57,'Supplier Register'!$A$6:$L$105,6,FALSE),""))</f>
        <v/>
      </c>
      <c r="F57" s="308">
        <f>IF(A57="","",IFERROR(ROUND(AVERAGEIF('360 Score Entry'!$A$6:$A$105,A57,'360 Score Entry'!$O$6:$O$105),1),""))</f>
        <v/>
      </c>
      <c r="G57" s="287">
        <f>IF(A57="","",COUNTIFS('Risk Event Register'!$A$6:$A$205,A57,'Risk Event Register'!$J$6:$J$205,"&lt;&gt;Closed"))</f>
        <v/>
      </c>
      <c r="H57" s="287">
        <f>IF(A57="","",IFERROR(MAXIFS('Risk Event Register'!$I$6:$I$205,'Risk Event Register'!$A$6:$A$205,A57,'Risk Event Register'!$J$6:$J$205,"&lt;&gt;Closed"),0))</f>
        <v/>
      </c>
      <c r="I57" s="287">
        <f>IF(A57="","",IF(D57="Critical",10,IF(D57="Important",5,0)))</f>
        <v/>
      </c>
      <c r="J57" s="287">
        <f>IF(A57="","",MIN(100,H57+I57))</f>
        <v/>
      </c>
      <c r="K57" s="70">
        <f>IF(F57="","",IF(F57&gt;='Settings'!$H$7,"A Preferred",IF(F57&gt;='Settings'!$H$8,"B Qualified",IF(F57&gt;='Settings'!$H$9,"C Needs Improvement","D Not Qualified"))))</f>
        <v/>
      </c>
      <c r="L57" s="70">
        <f>IF(A57="","",IF(J57&lt;='Settings'!$I$7,"Low Risk",IF(J57&lt;='Settings'!$I$8,"Medium Risk",IF(J57&lt;='Settings'!$I$9,"High Risk","Critical Risk"))))</f>
        <v/>
      </c>
      <c r="M57" s="70">
        <f>IF(F57="","",IF(OR(J57&gt;'Settings'!$I$9,F57&lt;'Settings'!$H$9),"D Pause onboarding / restrict purchases",IF(OR(J57&gt;'Settings'!$I$8,F57&lt;'Settings'!$H$8),"C Time-bound remediation / enhanced approval",IF(OR(J57&gt;'Settings'!$I$7,F57&lt;'Settings'!$H$7),"B Qualified / continuous monitoring","A Preferred / eligible to expand"))))</f>
        <v/>
      </c>
      <c r="N57" s="70">
        <f>IF(M57="","",IF(LEFT(M57,1)="A","Add to preferred list; eligible for expanded share or strategic cooperation",IF(LEFT(M57,1)="B","Maintain cooperation; monitor key indicators quarterly",IF(LEFT(M57,1)="C","Start remediation plan; major purchases require procurement, quality, and legal joint approval","Pause new project onboarding; start alternate supplier and exit plan"))))</f>
        <v/>
      </c>
      <c r="O57" s="287">
        <f>IF(M57="","",IF(LEFT(M57,1)="A",'Settings'!$K$7,IF(LEFT(M57,1)="B",'Settings'!$K$8,IF(LEFT(M57,1)="C",'Settings'!$K$9,'Settings'!$K$10))))</f>
        <v/>
      </c>
      <c r="P57" s="304">
        <f>IF(M57="","",IF(Q57="",TODAY(),Q57)+O57)</f>
        <v/>
      </c>
      <c r="Q57" s="304">
        <f>IF(A57="","",IFERROR(MAXIFS('360 Score Entry'!$C$6:$C$105,'360 Score Entry'!$A$6:$A$105,A57),""))</f>
        <v/>
      </c>
      <c r="R57" s="71">
        <f>IF(A57="","",IF(G57=0,"No open events","Review Risk Event Register; close the highest-risk item first"))</f>
        <v/>
      </c>
      <c r="S57" s="282">
        <f>IF(A57="",0,J57+0.0049)</f>
        <v/>
      </c>
      <c r="T57" s="253" t="n"/>
      <c r="U57" s="253" t="n"/>
      <c r="V57" s="253" t="n"/>
      <c r="W57" s="253" t="n"/>
      <c r="X57" s="253" t="n"/>
      <c r="Y57" s="253" t="n"/>
      <c r="Z57" s="253" t="n"/>
    </row>
    <row r="58" ht="24" customHeight="1" s="280">
      <c r="A58" s="69">
        <f>IF('Supplier Register'!A58="","",'Supplier Register'!A58)</f>
        <v/>
      </c>
      <c r="B58" s="70">
        <f>IF(A58="","",IFERROR(VLOOKUP(A58,'Supplier Register'!$A$6:$L$105,2,FALSE),""))</f>
        <v/>
      </c>
      <c r="C58" s="70">
        <f>IF(A58="","",IFERROR(VLOOKUP(A58,'Supplier Register'!$A$6:$L$105,3,FALSE),""))</f>
        <v/>
      </c>
      <c r="D58" s="70">
        <f>IF(A58="","",IFERROR(VLOOKUP(A58,'Supplier Register'!$A$6:$L$105,5,FALSE),""))</f>
        <v/>
      </c>
      <c r="E58" s="303">
        <f>IF(A58="","",IFERROR(VLOOKUP(A58,'Supplier Register'!$A$6:$L$105,6,FALSE),""))</f>
        <v/>
      </c>
      <c r="F58" s="308">
        <f>IF(A58="","",IFERROR(ROUND(AVERAGEIF('360 Score Entry'!$A$6:$A$105,A58,'360 Score Entry'!$O$6:$O$105),1),""))</f>
        <v/>
      </c>
      <c r="G58" s="287">
        <f>IF(A58="","",COUNTIFS('Risk Event Register'!$A$6:$A$205,A58,'Risk Event Register'!$J$6:$J$205,"&lt;&gt;Closed"))</f>
        <v/>
      </c>
      <c r="H58" s="287">
        <f>IF(A58="","",IFERROR(MAXIFS('Risk Event Register'!$I$6:$I$205,'Risk Event Register'!$A$6:$A$205,A58,'Risk Event Register'!$J$6:$J$205,"&lt;&gt;Closed"),0))</f>
        <v/>
      </c>
      <c r="I58" s="287">
        <f>IF(A58="","",IF(D58="Critical",10,IF(D58="Important",5,0)))</f>
        <v/>
      </c>
      <c r="J58" s="287">
        <f>IF(A58="","",MIN(100,H58+I58))</f>
        <v/>
      </c>
      <c r="K58" s="70">
        <f>IF(F58="","",IF(F58&gt;='Settings'!$H$7,"A Preferred",IF(F58&gt;='Settings'!$H$8,"B Qualified",IF(F58&gt;='Settings'!$H$9,"C Needs Improvement","D Not Qualified"))))</f>
        <v/>
      </c>
      <c r="L58" s="70">
        <f>IF(A58="","",IF(J58&lt;='Settings'!$I$7,"Low Risk",IF(J58&lt;='Settings'!$I$8,"Medium Risk",IF(J58&lt;='Settings'!$I$9,"High Risk","Critical Risk"))))</f>
        <v/>
      </c>
      <c r="M58" s="70">
        <f>IF(F58="","",IF(OR(J58&gt;'Settings'!$I$9,F58&lt;'Settings'!$H$9),"D Pause onboarding / restrict purchases",IF(OR(J58&gt;'Settings'!$I$8,F58&lt;'Settings'!$H$8),"C Time-bound remediation / enhanced approval",IF(OR(J58&gt;'Settings'!$I$7,F58&lt;'Settings'!$H$7),"B Qualified / continuous monitoring","A Preferred / eligible to expand"))))</f>
        <v/>
      </c>
      <c r="N58" s="70">
        <f>IF(M58="","",IF(LEFT(M58,1)="A","Add to preferred list; eligible for expanded share or strategic cooperation",IF(LEFT(M58,1)="B","Maintain cooperation; monitor key indicators quarterly",IF(LEFT(M58,1)="C","Start remediation plan; major purchases require procurement, quality, and legal joint approval","Pause new project onboarding; start alternate supplier and exit plan"))))</f>
        <v/>
      </c>
      <c r="O58" s="287">
        <f>IF(M58="","",IF(LEFT(M58,1)="A",'Settings'!$K$7,IF(LEFT(M58,1)="B",'Settings'!$K$8,IF(LEFT(M58,1)="C",'Settings'!$K$9,'Settings'!$K$10))))</f>
        <v/>
      </c>
      <c r="P58" s="304">
        <f>IF(M58="","",IF(Q58="",TODAY(),Q58)+O58)</f>
        <v/>
      </c>
      <c r="Q58" s="304">
        <f>IF(A58="","",IFERROR(MAXIFS('360 Score Entry'!$C$6:$C$105,'360 Score Entry'!$A$6:$A$105,A58),""))</f>
        <v/>
      </c>
      <c r="R58" s="71">
        <f>IF(A58="","",IF(G58=0,"No open events","Review Risk Event Register; close the highest-risk item first"))</f>
        <v/>
      </c>
      <c r="S58" s="282">
        <f>IF(A58="",0,J58+0.0048)</f>
        <v/>
      </c>
      <c r="T58" s="253" t="n"/>
      <c r="U58" s="253" t="n"/>
      <c r="V58" s="253" t="n"/>
      <c r="W58" s="253" t="n"/>
      <c r="X58" s="253" t="n"/>
      <c r="Y58" s="253" t="n"/>
      <c r="Z58" s="253" t="n"/>
    </row>
    <row r="59" ht="24" customHeight="1" s="280">
      <c r="A59" s="69">
        <f>IF('Supplier Register'!A59="","",'Supplier Register'!A59)</f>
        <v/>
      </c>
      <c r="B59" s="70">
        <f>IF(A59="","",IFERROR(VLOOKUP(A59,'Supplier Register'!$A$6:$L$105,2,FALSE),""))</f>
        <v/>
      </c>
      <c r="C59" s="70">
        <f>IF(A59="","",IFERROR(VLOOKUP(A59,'Supplier Register'!$A$6:$L$105,3,FALSE),""))</f>
        <v/>
      </c>
      <c r="D59" s="70">
        <f>IF(A59="","",IFERROR(VLOOKUP(A59,'Supplier Register'!$A$6:$L$105,5,FALSE),""))</f>
        <v/>
      </c>
      <c r="E59" s="303">
        <f>IF(A59="","",IFERROR(VLOOKUP(A59,'Supplier Register'!$A$6:$L$105,6,FALSE),""))</f>
        <v/>
      </c>
      <c r="F59" s="308">
        <f>IF(A59="","",IFERROR(ROUND(AVERAGEIF('360 Score Entry'!$A$6:$A$105,A59,'360 Score Entry'!$O$6:$O$105),1),""))</f>
        <v/>
      </c>
      <c r="G59" s="287">
        <f>IF(A59="","",COUNTIFS('Risk Event Register'!$A$6:$A$205,A59,'Risk Event Register'!$J$6:$J$205,"&lt;&gt;Closed"))</f>
        <v/>
      </c>
      <c r="H59" s="287">
        <f>IF(A59="","",IFERROR(MAXIFS('Risk Event Register'!$I$6:$I$205,'Risk Event Register'!$A$6:$A$205,A59,'Risk Event Register'!$J$6:$J$205,"&lt;&gt;Closed"),0))</f>
        <v/>
      </c>
      <c r="I59" s="287">
        <f>IF(A59="","",IF(D59="Critical",10,IF(D59="Important",5,0)))</f>
        <v/>
      </c>
      <c r="J59" s="287">
        <f>IF(A59="","",MIN(100,H59+I59))</f>
        <v/>
      </c>
      <c r="K59" s="70">
        <f>IF(F59="","",IF(F59&gt;='Settings'!$H$7,"A Preferred",IF(F59&gt;='Settings'!$H$8,"B Qualified",IF(F59&gt;='Settings'!$H$9,"C Needs Improvement","D Not Qualified"))))</f>
        <v/>
      </c>
      <c r="L59" s="70">
        <f>IF(A59="","",IF(J59&lt;='Settings'!$I$7,"Low Risk",IF(J59&lt;='Settings'!$I$8,"Medium Risk",IF(J59&lt;='Settings'!$I$9,"High Risk","Critical Risk"))))</f>
        <v/>
      </c>
      <c r="M59" s="70">
        <f>IF(F59="","",IF(OR(J59&gt;'Settings'!$I$9,F59&lt;'Settings'!$H$9),"D Pause onboarding / restrict purchases",IF(OR(J59&gt;'Settings'!$I$8,F59&lt;'Settings'!$H$8),"C Time-bound remediation / enhanced approval",IF(OR(J59&gt;'Settings'!$I$7,F59&lt;'Settings'!$H$7),"B Qualified / continuous monitoring","A Preferred / eligible to expand"))))</f>
        <v/>
      </c>
      <c r="N59" s="70">
        <f>IF(M59="","",IF(LEFT(M59,1)="A","Add to preferred list; eligible for expanded share or strategic cooperation",IF(LEFT(M59,1)="B","Maintain cooperation; monitor key indicators quarterly",IF(LEFT(M59,1)="C","Start remediation plan; major purchases require procurement, quality, and legal joint approval","Pause new project onboarding; start alternate supplier and exit plan"))))</f>
        <v/>
      </c>
      <c r="O59" s="287">
        <f>IF(M59="","",IF(LEFT(M59,1)="A",'Settings'!$K$7,IF(LEFT(M59,1)="B",'Settings'!$K$8,IF(LEFT(M59,1)="C",'Settings'!$K$9,'Settings'!$K$10))))</f>
        <v/>
      </c>
      <c r="P59" s="304">
        <f>IF(M59="","",IF(Q59="",TODAY(),Q59)+O59)</f>
        <v/>
      </c>
      <c r="Q59" s="304">
        <f>IF(A59="","",IFERROR(MAXIFS('360 Score Entry'!$C$6:$C$105,'360 Score Entry'!$A$6:$A$105,A59),""))</f>
        <v/>
      </c>
      <c r="R59" s="71">
        <f>IF(A59="","",IF(G59=0,"No open events","Review Risk Event Register; close the highest-risk item first"))</f>
        <v/>
      </c>
      <c r="S59" s="282">
        <f>IF(A59="",0,J59+0.0047)</f>
        <v/>
      </c>
      <c r="T59" s="253" t="n"/>
      <c r="U59" s="253" t="n"/>
      <c r="V59" s="253" t="n"/>
      <c r="W59" s="253" t="n"/>
      <c r="X59" s="253" t="n"/>
      <c r="Y59" s="253" t="n"/>
      <c r="Z59" s="253" t="n"/>
    </row>
    <row r="60" ht="24" customHeight="1" s="280">
      <c r="A60" s="69">
        <f>IF('Supplier Register'!A60="","",'Supplier Register'!A60)</f>
        <v/>
      </c>
      <c r="B60" s="70">
        <f>IF(A60="","",IFERROR(VLOOKUP(A60,'Supplier Register'!$A$6:$L$105,2,FALSE),""))</f>
        <v/>
      </c>
      <c r="C60" s="70">
        <f>IF(A60="","",IFERROR(VLOOKUP(A60,'Supplier Register'!$A$6:$L$105,3,FALSE),""))</f>
        <v/>
      </c>
      <c r="D60" s="70">
        <f>IF(A60="","",IFERROR(VLOOKUP(A60,'Supplier Register'!$A$6:$L$105,5,FALSE),""))</f>
        <v/>
      </c>
      <c r="E60" s="303">
        <f>IF(A60="","",IFERROR(VLOOKUP(A60,'Supplier Register'!$A$6:$L$105,6,FALSE),""))</f>
        <v/>
      </c>
      <c r="F60" s="308">
        <f>IF(A60="","",IFERROR(ROUND(AVERAGEIF('360 Score Entry'!$A$6:$A$105,A60,'360 Score Entry'!$O$6:$O$105),1),""))</f>
        <v/>
      </c>
      <c r="G60" s="287">
        <f>IF(A60="","",COUNTIFS('Risk Event Register'!$A$6:$A$205,A60,'Risk Event Register'!$J$6:$J$205,"&lt;&gt;Closed"))</f>
        <v/>
      </c>
      <c r="H60" s="287">
        <f>IF(A60="","",IFERROR(MAXIFS('Risk Event Register'!$I$6:$I$205,'Risk Event Register'!$A$6:$A$205,A60,'Risk Event Register'!$J$6:$J$205,"&lt;&gt;Closed"),0))</f>
        <v/>
      </c>
      <c r="I60" s="287">
        <f>IF(A60="","",IF(D60="Critical",10,IF(D60="Important",5,0)))</f>
        <v/>
      </c>
      <c r="J60" s="287">
        <f>IF(A60="","",MIN(100,H60+I60))</f>
        <v/>
      </c>
      <c r="K60" s="70">
        <f>IF(F60="","",IF(F60&gt;='Settings'!$H$7,"A Preferred",IF(F60&gt;='Settings'!$H$8,"B Qualified",IF(F60&gt;='Settings'!$H$9,"C Needs Improvement","D Not Qualified"))))</f>
        <v/>
      </c>
      <c r="L60" s="70">
        <f>IF(A60="","",IF(J60&lt;='Settings'!$I$7,"Low Risk",IF(J60&lt;='Settings'!$I$8,"Medium Risk",IF(J60&lt;='Settings'!$I$9,"High Risk","Critical Risk"))))</f>
        <v/>
      </c>
      <c r="M60" s="70">
        <f>IF(F60="","",IF(OR(J60&gt;'Settings'!$I$9,F60&lt;'Settings'!$H$9),"D Pause onboarding / restrict purchases",IF(OR(J60&gt;'Settings'!$I$8,F60&lt;'Settings'!$H$8),"C Time-bound remediation / enhanced approval",IF(OR(J60&gt;'Settings'!$I$7,F60&lt;'Settings'!$H$7),"B Qualified / continuous monitoring","A Preferred / eligible to expand"))))</f>
        <v/>
      </c>
      <c r="N60" s="70">
        <f>IF(M60="","",IF(LEFT(M60,1)="A","Add to preferred list; eligible for expanded share or strategic cooperation",IF(LEFT(M60,1)="B","Maintain cooperation; monitor key indicators quarterly",IF(LEFT(M60,1)="C","Start remediation plan; major purchases require procurement, quality, and legal joint approval","Pause new project onboarding; start alternate supplier and exit plan"))))</f>
        <v/>
      </c>
      <c r="O60" s="287">
        <f>IF(M60="","",IF(LEFT(M60,1)="A",'Settings'!$K$7,IF(LEFT(M60,1)="B",'Settings'!$K$8,IF(LEFT(M60,1)="C",'Settings'!$K$9,'Settings'!$K$10))))</f>
        <v/>
      </c>
      <c r="P60" s="304">
        <f>IF(M60="","",IF(Q60="",TODAY(),Q60)+O60)</f>
        <v/>
      </c>
      <c r="Q60" s="304">
        <f>IF(A60="","",IFERROR(MAXIFS('360 Score Entry'!$C$6:$C$105,'360 Score Entry'!$A$6:$A$105,A60),""))</f>
        <v/>
      </c>
      <c r="R60" s="71">
        <f>IF(A60="","",IF(G60=0,"No open events","Review Risk Event Register; close the highest-risk item first"))</f>
        <v/>
      </c>
      <c r="S60" s="282">
        <f>IF(A60="",0,J60+0.0046)</f>
        <v/>
      </c>
      <c r="T60" s="253" t="n"/>
      <c r="U60" s="253" t="n"/>
      <c r="V60" s="253" t="n"/>
      <c r="W60" s="253" t="n"/>
      <c r="X60" s="253" t="n"/>
      <c r="Y60" s="253" t="n"/>
      <c r="Z60" s="253" t="n"/>
    </row>
    <row r="61" ht="24" customHeight="1" s="280">
      <c r="A61" s="69">
        <f>IF('Supplier Register'!A61="","",'Supplier Register'!A61)</f>
        <v/>
      </c>
      <c r="B61" s="70">
        <f>IF(A61="","",IFERROR(VLOOKUP(A61,'Supplier Register'!$A$6:$L$105,2,FALSE),""))</f>
        <v/>
      </c>
      <c r="C61" s="70">
        <f>IF(A61="","",IFERROR(VLOOKUP(A61,'Supplier Register'!$A$6:$L$105,3,FALSE),""))</f>
        <v/>
      </c>
      <c r="D61" s="70">
        <f>IF(A61="","",IFERROR(VLOOKUP(A61,'Supplier Register'!$A$6:$L$105,5,FALSE),""))</f>
        <v/>
      </c>
      <c r="E61" s="303">
        <f>IF(A61="","",IFERROR(VLOOKUP(A61,'Supplier Register'!$A$6:$L$105,6,FALSE),""))</f>
        <v/>
      </c>
      <c r="F61" s="308">
        <f>IF(A61="","",IFERROR(ROUND(AVERAGEIF('360 Score Entry'!$A$6:$A$105,A61,'360 Score Entry'!$O$6:$O$105),1),""))</f>
        <v/>
      </c>
      <c r="G61" s="287">
        <f>IF(A61="","",COUNTIFS('Risk Event Register'!$A$6:$A$205,A61,'Risk Event Register'!$J$6:$J$205,"&lt;&gt;Closed"))</f>
        <v/>
      </c>
      <c r="H61" s="287">
        <f>IF(A61="","",IFERROR(MAXIFS('Risk Event Register'!$I$6:$I$205,'Risk Event Register'!$A$6:$A$205,A61,'Risk Event Register'!$J$6:$J$205,"&lt;&gt;Closed"),0))</f>
        <v/>
      </c>
      <c r="I61" s="287">
        <f>IF(A61="","",IF(D61="Critical",10,IF(D61="Important",5,0)))</f>
        <v/>
      </c>
      <c r="J61" s="287">
        <f>IF(A61="","",MIN(100,H61+I61))</f>
        <v/>
      </c>
      <c r="K61" s="70">
        <f>IF(F61="","",IF(F61&gt;='Settings'!$H$7,"A Preferred",IF(F61&gt;='Settings'!$H$8,"B Qualified",IF(F61&gt;='Settings'!$H$9,"C Needs Improvement","D Not Qualified"))))</f>
        <v/>
      </c>
      <c r="L61" s="70">
        <f>IF(A61="","",IF(J61&lt;='Settings'!$I$7,"Low Risk",IF(J61&lt;='Settings'!$I$8,"Medium Risk",IF(J61&lt;='Settings'!$I$9,"High Risk","Critical Risk"))))</f>
        <v/>
      </c>
      <c r="M61" s="70">
        <f>IF(F61="","",IF(OR(J61&gt;'Settings'!$I$9,F61&lt;'Settings'!$H$9),"D Pause onboarding / restrict purchases",IF(OR(J61&gt;'Settings'!$I$8,F61&lt;'Settings'!$H$8),"C Time-bound remediation / enhanced approval",IF(OR(J61&gt;'Settings'!$I$7,F61&lt;'Settings'!$H$7),"B Qualified / continuous monitoring","A Preferred / eligible to expand"))))</f>
        <v/>
      </c>
      <c r="N61" s="70">
        <f>IF(M61="","",IF(LEFT(M61,1)="A","Add to preferred list; eligible for expanded share or strategic cooperation",IF(LEFT(M61,1)="B","Maintain cooperation; monitor key indicators quarterly",IF(LEFT(M61,1)="C","Start remediation plan; major purchases require procurement, quality, and legal joint approval","Pause new project onboarding; start alternate supplier and exit plan"))))</f>
        <v/>
      </c>
      <c r="O61" s="287">
        <f>IF(M61="","",IF(LEFT(M61,1)="A",'Settings'!$K$7,IF(LEFT(M61,1)="B",'Settings'!$K$8,IF(LEFT(M61,1)="C",'Settings'!$K$9,'Settings'!$K$10))))</f>
        <v/>
      </c>
      <c r="P61" s="304">
        <f>IF(M61="","",IF(Q61="",TODAY(),Q61)+O61)</f>
        <v/>
      </c>
      <c r="Q61" s="304">
        <f>IF(A61="","",IFERROR(MAXIFS('360 Score Entry'!$C$6:$C$105,'360 Score Entry'!$A$6:$A$105,A61),""))</f>
        <v/>
      </c>
      <c r="R61" s="71">
        <f>IF(A61="","",IF(G61=0,"No open events","Review Risk Event Register; close the highest-risk item first"))</f>
        <v/>
      </c>
      <c r="S61" s="282">
        <f>IF(A61="",0,J61+0.0045)</f>
        <v/>
      </c>
      <c r="T61" s="253" t="n"/>
      <c r="U61" s="253" t="n"/>
      <c r="V61" s="253" t="n"/>
      <c r="W61" s="253" t="n"/>
      <c r="X61" s="253" t="n"/>
      <c r="Y61" s="253" t="n"/>
      <c r="Z61" s="253" t="n"/>
    </row>
    <row r="62" ht="24" customHeight="1" s="280">
      <c r="A62" s="69">
        <f>IF('Supplier Register'!A62="","",'Supplier Register'!A62)</f>
        <v/>
      </c>
      <c r="B62" s="70">
        <f>IF(A62="","",IFERROR(VLOOKUP(A62,'Supplier Register'!$A$6:$L$105,2,FALSE),""))</f>
        <v/>
      </c>
      <c r="C62" s="70">
        <f>IF(A62="","",IFERROR(VLOOKUP(A62,'Supplier Register'!$A$6:$L$105,3,FALSE),""))</f>
        <v/>
      </c>
      <c r="D62" s="70">
        <f>IF(A62="","",IFERROR(VLOOKUP(A62,'Supplier Register'!$A$6:$L$105,5,FALSE),""))</f>
        <v/>
      </c>
      <c r="E62" s="303">
        <f>IF(A62="","",IFERROR(VLOOKUP(A62,'Supplier Register'!$A$6:$L$105,6,FALSE),""))</f>
        <v/>
      </c>
      <c r="F62" s="308">
        <f>IF(A62="","",IFERROR(ROUND(AVERAGEIF('360 Score Entry'!$A$6:$A$105,A62,'360 Score Entry'!$O$6:$O$105),1),""))</f>
        <v/>
      </c>
      <c r="G62" s="287">
        <f>IF(A62="","",COUNTIFS('Risk Event Register'!$A$6:$A$205,A62,'Risk Event Register'!$J$6:$J$205,"&lt;&gt;Closed"))</f>
        <v/>
      </c>
      <c r="H62" s="287">
        <f>IF(A62="","",IFERROR(MAXIFS('Risk Event Register'!$I$6:$I$205,'Risk Event Register'!$A$6:$A$205,A62,'Risk Event Register'!$J$6:$J$205,"&lt;&gt;Closed"),0))</f>
        <v/>
      </c>
      <c r="I62" s="287">
        <f>IF(A62="","",IF(D62="Critical",10,IF(D62="Important",5,0)))</f>
        <v/>
      </c>
      <c r="J62" s="287">
        <f>IF(A62="","",MIN(100,H62+I62))</f>
        <v/>
      </c>
      <c r="K62" s="70">
        <f>IF(F62="","",IF(F62&gt;='Settings'!$H$7,"A Preferred",IF(F62&gt;='Settings'!$H$8,"B Qualified",IF(F62&gt;='Settings'!$H$9,"C Needs Improvement","D Not Qualified"))))</f>
        <v/>
      </c>
      <c r="L62" s="70">
        <f>IF(A62="","",IF(J62&lt;='Settings'!$I$7,"Low Risk",IF(J62&lt;='Settings'!$I$8,"Medium Risk",IF(J62&lt;='Settings'!$I$9,"High Risk","Critical Risk"))))</f>
        <v/>
      </c>
      <c r="M62" s="70">
        <f>IF(F62="","",IF(OR(J62&gt;'Settings'!$I$9,F62&lt;'Settings'!$H$9),"D Pause onboarding / restrict purchases",IF(OR(J62&gt;'Settings'!$I$8,F62&lt;'Settings'!$H$8),"C Time-bound remediation / enhanced approval",IF(OR(J62&gt;'Settings'!$I$7,F62&lt;'Settings'!$H$7),"B Qualified / continuous monitoring","A Preferred / eligible to expand"))))</f>
        <v/>
      </c>
      <c r="N62" s="70">
        <f>IF(M62="","",IF(LEFT(M62,1)="A","Add to preferred list; eligible for expanded share or strategic cooperation",IF(LEFT(M62,1)="B","Maintain cooperation; monitor key indicators quarterly",IF(LEFT(M62,1)="C","Start remediation plan; major purchases require procurement, quality, and legal joint approval","Pause new project onboarding; start alternate supplier and exit plan"))))</f>
        <v/>
      </c>
      <c r="O62" s="287">
        <f>IF(M62="","",IF(LEFT(M62,1)="A",'Settings'!$K$7,IF(LEFT(M62,1)="B",'Settings'!$K$8,IF(LEFT(M62,1)="C",'Settings'!$K$9,'Settings'!$K$10))))</f>
        <v/>
      </c>
      <c r="P62" s="304">
        <f>IF(M62="","",IF(Q62="",TODAY(),Q62)+O62)</f>
        <v/>
      </c>
      <c r="Q62" s="304">
        <f>IF(A62="","",IFERROR(MAXIFS('360 Score Entry'!$C$6:$C$105,'360 Score Entry'!$A$6:$A$105,A62),""))</f>
        <v/>
      </c>
      <c r="R62" s="71">
        <f>IF(A62="","",IF(G62=0,"No open events","Review Risk Event Register; close the highest-risk item first"))</f>
        <v/>
      </c>
      <c r="S62" s="282">
        <f>IF(A62="",0,J62+0.0044)</f>
        <v/>
      </c>
      <c r="T62" s="253" t="n"/>
      <c r="U62" s="253" t="n"/>
      <c r="V62" s="253" t="n"/>
      <c r="W62" s="253" t="n"/>
      <c r="X62" s="253" t="n"/>
      <c r="Y62" s="253" t="n"/>
      <c r="Z62" s="253" t="n"/>
    </row>
    <row r="63" ht="24" customHeight="1" s="280">
      <c r="A63" s="69">
        <f>IF('Supplier Register'!A63="","",'Supplier Register'!A63)</f>
        <v/>
      </c>
      <c r="B63" s="70">
        <f>IF(A63="","",IFERROR(VLOOKUP(A63,'Supplier Register'!$A$6:$L$105,2,FALSE),""))</f>
        <v/>
      </c>
      <c r="C63" s="70">
        <f>IF(A63="","",IFERROR(VLOOKUP(A63,'Supplier Register'!$A$6:$L$105,3,FALSE),""))</f>
        <v/>
      </c>
      <c r="D63" s="70">
        <f>IF(A63="","",IFERROR(VLOOKUP(A63,'Supplier Register'!$A$6:$L$105,5,FALSE),""))</f>
        <v/>
      </c>
      <c r="E63" s="303">
        <f>IF(A63="","",IFERROR(VLOOKUP(A63,'Supplier Register'!$A$6:$L$105,6,FALSE),""))</f>
        <v/>
      </c>
      <c r="F63" s="308">
        <f>IF(A63="","",IFERROR(ROUND(AVERAGEIF('360 Score Entry'!$A$6:$A$105,A63,'360 Score Entry'!$O$6:$O$105),1),""))</f>
        <v/>
      </c>
      <c r="G63" s="287">
        <f>IF(A63="","",COUNTIFS('Risk Event Register'!$A$6:$A$205,A63,'Risk Event Register'!$J$6:$J$205,"&lt;&gt;Closed"))</f>
        <v/>
      </c>
      <c r="H63" s="287">
        <f>IF(A63="","",IFERROR(MAXIFS('Risk Event Register'!$I$6:$I$205,'Risk Event Register'!$A$6:$A$205,A63,'Risk Event Register'!$J$6:$J$205,"&lt;&gt;Closed"),0))</f>
        <v/>
      </c>
      <c r="I63" s="287">
        <f>IF(A63="","",IF(D63="Critical",10,IF(D63="Important",5,0)))</f>
        <v/>
      </c>
      <c r="J63" s="287">
        <f>IF(A63="","",MIN(100,H63+I63))</f>
        <v/>
      </c>
      <c r="K63" s="70">
        <f>IF(F63="","",IF(F63&gt;='Settings'!$H$7,"A Preferred",IF(F63&gt;='Settings'!$H$8,"B Qualified",IF(F63&gt;='Settings'!$H$9,"C Needs Improvement","D Not Qualified"))))</f>
        <v/>
      </c>
      <c r="L63" s="70">
        <f>IF(A63="","",IF(J63&lt;='Settings'!$I$7,"Low Risk",IF(J63&lt;='Settings'!$I$8,"Medium Risk",IF(J63&lt;='Settings'!$I$9,"High Risk","Critical Risk"))))</f>
        <v/>
      </c>
      <c r="M63" s="70">
        <f>IF(F63="","",IF(OR(J63&gt;'Settings'!$I$9,F63&lt;'Settings'!$H$9),"D Pause onboarding / restrict purchases",IF(OR(J63&gt;'Settings'!$I$8,F63&lt;'Settings'!$H$8),"C Time-bound remediation / enhanced approval",IF(OR(J63&gt;'Settings'!$I$7,F63&lt;'Settings'!$H$7),"B Qualified / continuous monitoring","A Preferred / eligible to expand"))))</f>
        <v/>
      </c>
      <c r="N63" s="70">
        <f>IF(M63="","",IF(LEFT(M63,1)="A","Add to preferred list; eligible for expanded share or strategic cooperation",IF(LEFT(M63,1)="B","Maintain cooperation; monitor key indicators quarterly",IF(LEFT(M63,1)="C","Start remediation plan; major purchases require procurement, quality, and legal joint approval","Pause new project onboarding; start alternate supplier and exit plan"))))</f>
        <v/>
      </c>
      <c r="O63" s="287">
        <f>IF(M63="","",IF(LEFT(M63,1)="A",'Settings'!$K$7,IF(LEFT(M63,1)="B",'Settings'!$K$8,IF(LEFT(M63,1)="C",'Settings'!$K$9,'Settings'!$K$10))))</f>
        <v/>
      </c>
      <c r="P63" s="304">
        <f>IF(M63="","",IF(Q63="",TODAY(),Q63)+O63)</f>
        <v/>
      </c>
      <c r="Q63" s="304">
        <f>IF(A63="","",IFERROR(MAXIFS('360 Score Entry'!$C$6:$C$105,'360 Score Entry'!$A$6:$A$105,A63),""))</f>
        <v/>
      </c>
      <c r="R63" s="71">
        <f>IF(A63="","",IF(G63=0,"No open events","Review Risk Event Register; close the highest-risk item first"))</f>
        <v/>
      </c>
      <c r="S63" s="282">
        <f>IF(A63="",0,J63+0.0043)</f>
        <v/>
      </c>
      <c r="T63" s="253" t="n"/>
      <c r="U63" s="253" t="n"/>
      <c r="V63" s="253" t="n"/>
      <c r="W63" s="253" t="n"/>
      <c r="X63" s="253" t="n"/>
      <c r="Y63" s="253" t="n"/>
      <c r="Z63" s="253" t="n"/>
    </row>
    <row r="64" ht="24" customHeight="1" s="280">
      <c r="A64" s="69">
        <f>IF('Supplier Register'!A64="","",'Supplier Register'!A64)</f>
        <v/>
      </c>
      <c r="B64" s="70">
        <f>IF(A64="","",IFERROR(VLOOKUP(A64,'Supplier Register'!$A$6:$L$105,2,FALSE),""))</f>
        <v/>
      </c>
      <c r="C64" s="70">
        <f>IF(A64="","",IFERROR(VLOOKUP(A64,'Supplier Register'!$A$6:$L$105,3,FALSE),""))</f>
        <v/>
      </c>
      <c r="D64" s="70">
        <f>IF(A64="","",IFERROR(VLOOKUP(A64,'Supplier Register'!$A$6:$L$105,5,FALSE),""))</f>
        <v/>
      </c>
      <c r="E64" s="303">
        <f>IF(A64="","",IFERROR(VLOOKUP(A64,'Supplier Register'!$A$6:$L$105,6,FALSE),""))</f>
        <v/>
      </c>
      <c r="F64" s="308">
        <f>IF(A64="","",IFERROR(ROUND(AVERAGEIF('360 Score Entry'!$A$6:$A$105,A64,'360 Score Entry'!$O$6:$O$105),1),""))</f>
        <v/>
      </c>
      <c r="G64" s="287">
        <f>IF(A64="","",COUNTIFS('Risk Event Register'!$A$6:$A$205,A64,'Risk Event Register'!$J$6:$J$205,"&lt;&gt;Closed"))</f>
        <v/>
      </c>
      <c r="H64" s="287">
        <f>IF(A64="","",IFERROR(MAXIFS('Risk Event Register'!$I$6:$I$205,'Risk Event Register'!$A$6:$A$205,A64,'Risk Event Register'!$J$6:$J$205,"&lt;&gt;Closed"),0))</f>
        <v/>
      </c>
      <c r="I64" s="287">
        <f>IF(A64="","",IF(D64="Critical",10,IF(D64="Important",5,0)))</f>
        <v/>
      </c>
      <c r="J64" s="287">
        <f>IF(A64="","",MIN(100,H64+I64))</f>
        <v/>
      </c>
      <c r="K64" s="70">
        <f>IF(F64="","",IF(F64&gt;='Settings'!$H$7,"A Preferred",IF(F64&gt;='Settings'!$H$8,"B Qualified",IF(F64&gt;='Settings'!$H$9,"C Needs Improvement","D Not Qualified"))))</f>
        <v/>
      </c>
      <c r="L64" s="70">
        <f>IF(A64="","",IF(J64&lt;='Settings'!$I$7,"Low Risk",IF(J64&lt;='Settings'!$I$8,"Medium Risk",IF(J64&lt;='Settings'!$I$9,"High Risk","Critical Risk"))))</f>
        <v/>
      </c>
      <c r="M64" s="70">
        <f>IF(F64="","",IF(OR(J64&gt;'Settings'!$I$9,F64&lt;'Settings'!$H$9),"D Pause onboarding / restrict purchases",IF(OR(J64&gt;'Settings'!$I$8,F64&lt;'Settings'!$H$8),"C Time-bound remediation / enhanced approval",IF(OR(J64&gt;'Settings'!$I$7,F64&lt;'Settings'!$H$7),"B Qualified / continuous monitoring","A Preferred / eligible to expand"))))</f>
        <v/>
      </c>
      <c r="N64" s="70">
        <f>IF(M64="","",IF(LEFT(M64,1)="A","Add to preferred list; eligible for expanded share or strategic cooperation",IF(LEFT(M64,1)="B","Maintain cooperation; monitor key indicators quarterly",IF(LEFT(M64,1)="C","Start remediation plan; major purchases require procurement, quality, and legal joint approval","Pause new project onboarding; start alternate supplier and exit plan"))))</f>
        <v/>
      </c>
      <c r="O64" s="287">
        <f>IF(M64="","",IF(LEFT(M64,1)="A",'Settings'!$K$7,IF(LEFT(M64,1)="B",'Settings'!$K$8,IF(LEFT(M64,1)="C",'Settings'!$K$9,'Settings'!$K$10))))</f>
        <v/>
      </c>
      <c r="P64" s="304">
        <f>IF(M64="","",IF(Q64="",TODAY(),Q64)+O64)</f>
        <v/>
      </c>
      <c r="Q64" s="304">
        <f>IF(A64="","",IFERROR(MAXIFS('360 Score Entry'!$C$6:$C$105,'360 Score Entry'!$A$6:$A$105,A64),""))</f>
        <v/>
      </c>
      <c r="R64" s="71">
        <f>IF(A64="","",IF(G64=0,"No open events","Review Risk Event Register; close the highest-risk item first"))</f>
        <v/>
      </c>
      <c r="S64" s="282">
        <f>IF(A64="",0,J64+0.0042)</f>
        <v/>
      </c>
      <c r="T64" s="253" t="n"/>
      <c r="U64" s="253" t="n"/>
      <c r="V64" s="253" t="n"/>
      <c r="W64" s="253" t="n"/>
      <c r="X64" s="253" t="n"/>
      <c r="Y64" s="253" t="n"/>
      <c r="Z64" s="253" t="n"/>
    </row>
    <row r="65" ht="24" customHeight="1" s="280">
      <c r="A65" s="69">
        <f>IF('Supplier Register'!A65="","",'Supplier Register'!A65)</f>
        <v/>
      </c>
      <c r="B65" s="70">
        <f>IF(A65="","",IFERROR(VLOOKUP(A65,'Supplier Register'!$A$6:$L$105,2,FALSE),""))</f>
        <v/>
      </c>
      <c r="C65" s="70">
        <f>IF(A65="","",IFERROR(VLOOKUP(A65,'Supplier Register'!$A$6:$L$105,3,FALSE),""))</f>
        <v/>
      </c>
      <c r="D65" s="70">
        <f>IF(A65="","",IFERROR(VLOOKUP(A65,'Supplier Register'!$A$6:$L$105,5,FALSE),""))</f>
        <v/>
      </c>
      <c r="E65" s="303">
        <f>IF(A65="","",IFERROR(VLOOKUP(A65,'Supplier Register'!$A$6:$L$105,6,FALSE),""))</f>
        <v/>
      </c>
      <c r="F65" s="308">
        <f>IF(A65="","",IFERROR(ROUND(AVERAGEIF('360 Score Entry'!$A$6:$A$105,A65,'360 Score Entry'!$O$6:$O$105),1),""))</f>
        <v/>
      </c>
      <c r="G65" s="287">
        <f>IF(A65="","",COUNTIFS('Risk Event Register'!$A$6:$A$205,A65,'Risk Event Register'!$J$6:$J$205,"&lt;&gt;Closed"))</f>
        <v/>
      </c>
      <c r="H65" s="287">
        <f>IF(A65="","",IFERROR(MAXIFS('Risk Event Register'!$I$6:$I$205,'Risk Event Register'!$A$6:$A$205,A65,'Risk Event Register'!$J$6:$J$205,"&lt;&gt;Closed"),0))</f>
        <v/>
      </c>
      <c r="I65" s="287">
        <f>IF(A65="","",IF(D65="Critical",10,IF(D65="Important",5,0)))</f>
        <v/>
      </c>
      <c r="J65" s="287">
        <f>IF(A65="","",MIN(100,H65+I65))</f>
        <v/>
      </c>
      <c r="K65" s="70">
        <f>IF(F65="","",IF(F65&gt;='Settings'!$H$7,"A Preferred",IF(F65&gt;='Settings'!$H$8,"B Qualified",IF(F65&gt;='Settings'!$H$9,"C Needs Improvement","D Not Qualified"))))</f>
        <v/>
      </c>
      <c r="L65" s="70">
        <f>IF(A65="","",IF(J65&lt;='Settings'!$I$7,"Low Risk",IF(J65&lt;='Settings'!$I$8,"Medium Risk",IF(J65&lt;='Settings'!$I$9,"High Risk","Critical Risk"))))</f>
        <v/>
      </c>
      <c r="M65" s="70">
        <f>IF(F65="","",IF(OR(J65&gt;'Settings'!$I$9,F65&lt;'Settings'!$H$9),"D Pause onboarding / restrict purchases",IF(OR(J65&gt;'Settings'!$I$8,F65&lt;'Settings'!$H$8),"C Time-bound remediation / enhanced approval",IF(OR(J65&gt;'Settings'!$I$7,F65&lt;'Settings'!$H$7),"B Qualified / continuous monitoring","A Preferred / eligible to expand"))))</f>
        <v/>
      </c>
      <c r="N65" s="70">
        <f>IF(M65="","",IF(LEFT(M65,1)="A","Add to preferred list; eligible for expanded share or strategic cooperation",IF(LEFT(M65,1)="B","Maintain cooperation; monitor key indicators quarterly",IF(LEFT(M65,1)="C","Start remediation plan; major purchases require procurement, quality, and legal joint approval","Pause new project onboarding; start alternate supplier and exit plan"))))</f>
        <v/>
      </c>
      <c r="O65" s="287">
        <f>IF(M65="","",IF(LEFT(M65,1)="A",'Settings'!$K$7,IF(LEFT(M65,1)="B",'Settings'!$K$8,IF(LEFT(M65,1)="C",'Settings'!$K$9,'Settings'!$K$10))))</f>
        <v/>
      </c>
      <c r="P65" s="304">
        <f>IF(M65="","",IF(Q65="",TODAY(),Q65)+O65)</f>
        <v/>
      </c>
      <c r="Q65" s="304">
        <f>IF(A65="","",IFERROR(MAXIFS('360 Score Entry'!$C$6:$C$105,'360 Score Entry'!$A$6:$A$105,A65),""))</f>
        <v/>
      </c>
      <c r="R65" s="71">
        <f>IF(A65="","",IF(G65=0,"No open events","Review Risk Event Register; close the highest-risk item first"))</f>
        <v/>
      </c>
      <c r="S65" s="282">
        <f>IF(A65="",0,J65+0.0041)</f>
        <v/>
      </c>
      <c r="T65" s="253" t="n"/>
      <c r="U65" s="253" t="n"/>
      <c r="V65" s="253" t="n"/>
      <c r="W65" s="253" t="n"/>
      <c r="X65" s="253" t="n"/>
      <c r="Y65" s="253" t="n"/>
      <c r="Z65" s="253" t="n"/>
    </row>
    <row r="66" ht="24" customHeight="1" s="280">
      <c r="A66" s="69">
        <f>IF('Supplier Register'!A66="","",'Supplier Register'!A66)</f>
        <v/>
      </c>
      <c r="B66" s="70">
        <f>IF(A66="","",IFERROR(VLOOKUP(A66,'Supplier Register'!$A$6:$L$105,2,FALSE),""))</f>
        <v/>
      </c>
      <c r="C66" s="70">
        <f>IF(A66="","",IFERROR(VLOOKUP(A66,'Supplier Register'!$A$6:$L$105,3,FALSE),""))</f>
        <v/>
      </c>
      <c r="D66" s="70">
        <f>IF(A66="","",IFERROR(VLOOKUP(A66,'Supplier Register'!$A$6:$L$105,5,FALSE),""))</f>
        <v/>
      </c>
      <c r="E66" s="303">
        <f>IF(A66="","",IFERROR(VLOOKUP(A66,'Supplier Register'!$A$6:$L$105,6,FALSE),""))</f>
        <v/>
      </c>
      <c r="F66" s="308">
        <f>IF(A66="","",IFERROR(ROUND(AVERAGEIF('360 Score Entry'!$A$6:$A$105,A66,'360 Score Entry'!$O$6:$O$105),1),""))</f>
        <v/>
      </c>
      <c r="G66" s="287">
        <f>IF(A66="","",COUNTIFS('Risk Event Register'!$A$6:$A$205,A66,'Risk Event Register'!$J$6:$J$205,"&lt;&gt;Closed"))</f>
        <v/>
      </c>
      <c r="H66" s="287">
        <f>IF(A66="","",IFERROR(MAXIFS('Risk Event Register'!$I$6:$I$205,'Risk Event Register'!$A$6:$A$205,A66,'Risk Event Register'!$J$6:$J$205,"&lt;&gt;Closed"),0))</f>
        <v/>
      </c>
      <c r="I66" s="287">
        <f>IF(A66="","",IF(D66="Critical",10,IF(D66="Important",5,0)))</f>
        <v/>
      </c>
      <c r="J66" s="287">
        <f>IF(A66="","",MIN(100,H66+I66))</f>
        <v/>
      </c>
      <c r="K66" s="70">
        <f>IF(F66="","",IF(F66&gt;='Settings'!$H$7,"A Preferred",IF(F66&gt;='Settings'!$H$8,"B Qualified",IF(F66&gt;='Settings'!$H$9,"C Needs Improvement","D Not Qualified"))))</f>
        <v/>
      </c>
      <c r="L66" s="70">
        <f>IF(A66="","",IF(J66&lt;='Settings'!$I$7,"Low Risk",IF(J66&lt;='Settings'!$I$8,"Medium Risk",IF(J66&lt;='Settings'!$I$9,"High Risk","Critical Risk"))))</f>
        <v/>
      </c>
      <c r="M66" s="70">
        <f>IF(F66="","",IF(OR(J66&gt;'Settings'!$I$9,F66&lt;'Settings'!$H$9),"D Pause onboarding / restrict purchases",IF(OR(J66&gt;'Settings'!$I$8,F66&lt;'Settings'!$H$8),"C Time-bound remediation / enhanced approval",IF(OR(J66&gt;'Settings'!$I$7,F66&lt;'Settings'!$H$7),"B Qualified / continuous monitoring","A Preferred / eligible to expand"))))</f>
        <v/>
      </c>
      <c r="N66" s="70">
        <f>IF(M66="","",IF(LEFT(M66,1)="A","Add to preferred list; eligible for expanded share or strategic cooperation",IF(LEFT(M66,1)="B","Maintain cooperation; monitor key indicators quarterly",IF(LEFT(M66,1)="C","Start remediation plan; major purchases require procurement, quality, and legal joint approval","Pause new project onboarding; start alternate supplier and exit plan"))))</f>
        <v/>
      </c>
      <c r="O66" s="287">
        <f>IF(M66="","",IF(LEFT(M66,1)="A",'Settings'!$K$7,IF(LEFT(M66,1)="B",'Settings'!$K$8,IF(LEFT(M66,1)="C",'Settings'!$K$9,'Settings'!$K$10))))</f>
        <v/>
      </c>
      <c r="P66" s="304">
        <f>IF(M66="","",IF(Q66="",TODAY(),Q66)+O66)</f>
        <v/>
      </c>
      <c r="Q66" s="304">
        <f>IF(A66="","",IFERROR(MAXIFS('360 Score Entry'!$C$6:$C$105,'360 Score Entry'!$A$6:$A$105,A66),""))</f>
        <v/>
      </c>
      <c r="R66" s="71">
        <f>IF(A66="","",IF(G66=0,"No open events","Review Risk Event Register; close the highest-risk item first"))</f>
        <v/>
      </c>
      <c r="S66" s="282">
        <f>IF(A66="",0,J66+0.0040)</f>
        <v/>
      </c>
      <c r="T66" s="253" t="n"/>
      <c r="U66" s="253" t="n"/>
      <c r="V66" s="253" t="n"/>
      <c r="W66" s="253" t="n"/>
      <c r="X66" s="253" t="n"/>
      <c r="Y66" s="253" t="n"/>
      <c r="Z66" s="253" t="n"/>
    </row>
    <row r="67" ht="24" customHeight="1" s="280">
      <c r="A67" s="69">
        <f>IF('Supplier Register'!A67="","",'Supplier Register'!A67)</f>
        <v/>
      </c>
      <c r="B67" s="70">
        <f>IF(A67="","",IFERROR(VLOOKUP(A67,'Supplier Register'!$A$6:$L$105,2,FALSE),""))</f>
        <v/>
      </c>
      <c r="C67" s="70">
        <f>IF(A67="","",IFERROR(VLOOKUP(A67,'Supplier Register'!$A$6:$L$105,3,FALSE),""))</f>
        <v/>
      </c>
      <c r="D67" s="70">
        <f>IF(A67="","",IFERROR(VLOOKUP(A67,'Supplier Register'!$A$6:$L$105,5,FALSE),""))</f>
        <v/>
      </c>
      <c r="E67" s="303">
        <f>IF(A67="","",IFERROR(VLOOKUP(A67,'Supplier Register'!$A$6:$L$105,6,FALSE),""))</f>
        <v/>
      </c>
      <c r="F67" s="308">
        <f>IF(A67="","",IFERROR(ROUND(AVERAGEIF('360 Score Entry'!$A$6:$A$105,A67,'360 Score Entry'!$O$6:$O$105),1),""))</f>
        <v/>
      </c>
      <c r="G67" s="287">
        <f>IF(A67="","",COUNTIFS('Risk Event Register'!$A$6:$A$205,A67,'Risk Event Register'!$J$6:$J$205,"&lt;&gt;Closed"))</f>
        <v/>
      </c>
      <c r="H67" s="287">
        <f>IF(A67="","",IFERROR(MAXIFS('Risk Event Register'!$I$6:$I$205,'Risk Event Register'!$A$6:$A$205,A67,'Risk Event Register'!$J$6:$J$205,"&lt;&gt;Closed"),0))</f>
        <v/>
      </c>
      <c r="I67" s="287">
        <f>IF(A67="","",IF(D67="Critical",10,IF(D67="Important",5,0)))</f>
        <v/>
      </c>
      <c r="J67" s="287">
        <f>IF(A67="","",MIN(100,H67+I67))</f>
        <v/>
      </c>
      <c r="K67" s="70">
        <f>IF(F67="","",IF(F67&gt;='Settings'!$H$7,"A Preferred",IF(F67&gt;='Settings'!$H$8,"B Qualified",IF(F67&gt;='Settings'!$H$9,"C Needs Improvement","D Not Qualified"))))</f>
        <v/>
      </c>
      <c r="L67" s="70">
        <f>IF(A67="","",IF(J67&lt;='Settings'!$I$7,"Low Risk",IF(J67&lt;='Settings'!$I$8,"Medium Risk",IF(J67&lt;='Settings'!$I$9,"High Risk","Critical Risk"))))</f>
        <v/>
      </c>
      <c r="M67" s="70">
        <f>IF(F67="","",IF(OR(J67&gt;'Settings'!$I$9,F67&lt;'Settings'!$H$9),"D Pause onboarding / restrict purchases",IF(OR(J67&gt;'Settings'!$I$8,F67&lt;'Settings'!$H$8),"C Time-bound remediation / enhanced approval",IF(OR(J67&gt;'Settings'!$I$7,F67&lt;'Settings'!$H$7),"B Qualified / continuous monitoring","A Preferred / eligible to expand"))))</f>
        <v/>
      </c>
      <c r="N67" s="70">
        <f>IF(M67="","",IF(LEFT(M67,1)="A","Add to preferred list; eligible for expanded share or strategic cooperation",IF(LEFT(M67,1)="B","Maintain cooperation; monitor key indicators quarterly",IF(LEFT(M67,1)="C","Start remediation plan; major purchases require procurement, quality, and legal joint approval","Pause new project onboarding; start alternate supplier and exit plan"))))</f>
        <v/>
      </c>
      <c r="O67" s="287">
        <f>IF(M67="","",IF(LEFT(M67,1)="A",'Settings'!$K$7,IF(LEFT(M67,1)="B",'Settings'!$K$8,IF(LEFT(M67,1)="C",'Settings'!$K$9,'Settings'!$K$10))))</f>
        <v/>
      </c>
      <c r="P67" s="304">
        <f>IF(M67="","",IF(Q67="",TODAY(),Q67)+O67)</f>
        <v/>
      </c>
      <c r="Q67" s="304">
        <f>IF(A67="","",IFERROR(MAXIFS('360 Score Entry'!$C$6:$C$105,'360 Score Entry'!$A$6:$A$105,A67),""))</f>
        <v/>
      </c>
      <c r="R67" s="71">
        <f>IF(A67="","",IF(G67=0,"No open events","Review Risk Event Register; close the highest-risk item first"))</f>
        <v/>
      </c>
      <c r="S67" s="282">
        <f>IF(A67="",0,J67+0.0039)</f>
        <v/>
      </c>
      <c r="T67" s="253" t="n"/>
      <c r="U67" s="253" t="n"/>
      <c r="V67" s="253" t="n"/>
      <c r="W67" s="253" t="n"/>
      <c r="X67" s="253" t="n"/>
      <c r="Y67" s="253" t="n"/>
      <c r="Z67" s="253" t="n"/>
    </row>
    <row r="68" ht="24" customHeight="1" s="280">
      <c r="A68" s="69">
        <f>IF('Supplier Register'!A68="","",'Supplier Register'!A68)</f>
        <v/>
      </c>
      <c r="B68" s="70">
        <f>IF(A68="","",IFERROR(VLOOKUP(A68,'Supplier Register'!$A$6:$L$105,2,FALSE),""))</f>
        <v/>
      </c>
      <c r="C68" s="70">
        <f>IF(A68="","",IFERROR(VLOOKUP(A68,'Supplier Register'!$A$6:$L$105,3,FALSE),""))</f>
        <v/>
      </c>
      <c r="D68" s="70">
        <f>IF(A68="","",IFERROR(VLOOKUP(A68,'Supplier Register'!$A$6:$L$105,5,FALSE),""))</f>
        <v/>
      </c>
      <c r="E68" s="303">
        <f>IF(A68="","",IFERROR(VLOOKUP(A68,'Supplier Register'!$A$6:$L$105,6,FALSE),""))</f>
        <v/>
      </c>
      <c r="F68" s="308">
        <f>IF(A68="","",IFERROR(ROUND(AVERAGEIF('360 Score Entry'!$A$6:$A$105,A68,'360 Score Entry'!$O$6:$O$105),1),""))</f>
        <v/>
      </c>
      <c r="G68" s="287">
        <f>IF(A68="","",COUNTIFS('Risk Event Register'!$A$6:$A$205,A68,'Risk Event Register'!$J$6:$J$205,"&lt;&gt;Closed"))</f>
        <v/>
      </c>
      <c r="H68" s="287">
        <f>IF(A68="","",IFERROR(MAXIFS('Risk Event Register'!$I$6:$I$205,'Risk Event Register'!$A$6:$A$205,A68,'Risk Event Register'!$J$6:$J$205,"&lt;&gt;Closed"),0))</f>
        <v/>
      </c>
      <c r="I68" s="287">
        <f>IF(A68="","",IF(D68="Critical",10,IF(D68="Important",5,0)))</f>
        <v/>
      </c>
      <c r="J68" s="287">
        <f>IF(A68="","",MIN(100,H68+I68))</f>
        <v/>
      </c>
      <c r="K68" s="70">
        <f>IF(F68="","",IF(F68&gt;='Settings'!$H$7,"A Preferred",IF(F68&gt;='Settings'!$H$8,"B Qualified",IF(F68&gt;='Settings'!$H$9,"C Needs Improvement","D Not Qualified"))))</f>
        <v/>
      </c>
      <c r="L68" s="70">
        <f>IF(A68="","",IF(J68&lt;='Settings'!$I$7,"Low Risk",IF(J68&lt;='Settings'!$I$8,"Medium Risk",IF(J68&lt;='Settings'!$I$9,"High Risk","Critical Risk"))))</f>
        <v/>
      </c>
      <c r="M68" s="70">
        <f>IF(F68="","",IF(OR(J68&gt;'Settings'!$I$9,F68&lt;'Settings'!$H$9),"D Pause onboarding / restrict purchases",IF(OR(J68&gt;'Settings'!$I$8,F68&lt;'Settings'!$H$8),"C Time-bound remediation / enhanced approval",IF(OR(J68&gt;'Settings'!$I$7,F68&lt;'Settings'!$H$7),"B Qualified / continuous monitoring","A Preferred / eligible to expand"))))</f>
        <v/>
      </c>
      <c r="N68" s="70">
        <f>IF(M68="","",IF(LEFT(M68,1)="A","Add to preferred list; eligible for expanded share or strategic cooperation",IF(LEFT(M68,1)="B","Maintain cooperation; monitor key indicators quarterly",IF(LEFT(M68,1)="C","Start remediation plan; major purchases require procurement, quality, and legal joint approval","Pause new project onboarding; start alternate supplier and exit plan"))))</f>
        <v/>
      </c>
      <c r="O68" s="287">
        <f>IF(M68="","",IF(LEFT(M68,1)="A",'Settings'!$K$7,IF(LEFT(M68,1)="B",'Settings'!$K$8,IF(LEFT(M68,1)="C",'Settings'!$K$9,'Settings'!$K$10))))</f>
        <v/>
      </c>
      <c r="P68" s="304">
        <f>IF(M68="","",IF(Q68="",TODAY(),Q68)+O68)</f>
        <v/>
      </c>
      <c r="Q68" s="304">
        <f>IF(A68="","",IFERROR(MAXIFS('360 Score Entry'!$C$6:$C$105,'360 Score Entry'!$A$6:$A$105,A68),""))</f>
        <v/>
      </c>
      <c r="R68" s="71">
        <f>IF(A68="","",IF(G68=0,"No open events","Review Risk Event Register; close the highest-risk item first"))</f>
        <v/>
      </c>
      <c r="S68" s="282">
        <f>IF(A68="",0,J68+0.0038)</f>
        <v/>
      </c>
      <c r="T68" s="253" t="n"/>
      <c r="U68" s="253" t="n"/>
      <c r="V68" s="253" t="n"/>
      <c r="W68" s="253" t="n"/>
      <c r="X68" s="253" t="n"/>
      <c r="Y68" s="253" t="n"/>
      <c r="Z68" s="253" t="n"/>
    </row>
    <row r="69" ht="24" customHeight="1" s="280">
      <c r="A69" s="69">
        <f>IF('Supplier Register'!A69="","",'Supplier Register'!A69)</f>
        <v/>
      </c>
      <c r="B69" s="70">
        <f>IF(A69="","",IFERROR(VLOOKUP(A69,'Supplier Register'!$A$6:$L$105,2,FALSE),""))</f>
        <v/>
      </c>
      <c r="C69" s="70">
        <f>IF(A69="","",IFERROR(VLOOKUP(A69,'Supplier Register'!$A$6:$L$105,3,FALSE),""))</f>
        <v/>
      </c>
      <c r="D69" s="70">
        <f>IF(A69="","",IFERROR(VLOOKUP(A69,'Supplier Register'!$A$6:$L$105,5,FALSE),""))</f>
        <v/>
      </c>
      <c r="E69" s="303">
        <f>IF(A69="","",IFERROR(VLOOKUP(A69,'Supplier Register'!$A$6:$L$105,6,FALSE),""))</f>
        <v/>
      </c>
      <c r="F69" s="308">
        <f>IF(A69="","",IFERROR(ROUND(AVERAGEIF('360 Score Entry'!$A$6:$A$105,A69,'360 Score Entry'!$O$6:$O$105),1),""))</f>
        <v/>
      </c>
      <c r="G69" s="287">
        <f>IF(A69="","",COUNTIFS('Risk Event Register'!$A$6:$A$205,A69,'Risk Event Register'!$J$6:$J$205,"&lt;&gt;Closed"))</f>
        <v/>
      </c>
      <c r="H69" s="287">
        <f>IF(A69="","",IFERROR(MAXIFS('Risk Event Register'!$I$6:$I$205,'Risk Event Register'!$A$6:$A$205,A69,'Risk Event Register'!$J$6:$J$205,"&lt;&gt;Closed"),0))</f>
        <v/>
      </c>
      <c r="I69" s="287">
        <f>IF(A69="","",IF(D69="Critical",10,IF(D69="Important",5,0)))</f>
        <v/>
      </c>
      <c r="J69" s="287">
        <f>IF(A69="","",MIN(100,H69+I69))</f>
        <v/>
      </c>
      <c r="K69" s="70">
        <f>IF(F69="","",IF(F69&gt;='Settings'!$H$7,"A Preferred",IF(F69&gt;='Settings'!$H$8,"B Qualified",IF(F69&gt;='Settings'!$H$9,"C Needs Improvement","D Not Qualified"))))</f>
        <v/>
      </c>
      <c r="L69" s="70">
        <f>IF(A69="","",IF(J69&lt;='Settings'!$I$7,"Low Risk",IF(J69&lt;='Settings'!$I$8,"Medium Risk",IF(J69&lt;='Settings'!$I$9,"High Risk","Critical Risk"))))</f>
        <v/>
      </c>
      <c r="M69" s="70">
        <f>IF(F69="","",IF(OR(J69&gt;'Settings'!$I$9,F69&lt;'Settings'!$H$9),"D Pause onboarding / restrict purchases",IF(OR(J69&gt;'Settings'!$I$8,F69&lt;'Settings'!$H$8),"C Time-bound remediation / enhanced approval",IF(OR(J69&gt;'Settings'!$I$7,F69&lt;'Settings'!$H$7),"B Qualified / continuous monitoring","A Preferred / eligible to expand"))))</f>
        <v/>
      </c>
      <c r="N69" s="70">
        <f>IF(M69="","",IF(LEFT(M69,1)="A","Add to preferred list; eligible for expanded share or strategic cooperation",IF(LEFT(M69,1)="B","Maintain cooperation; monitor key indicators quarterly",IF(LEFT(M69,1)="C","Start remediation plan; major purchases require procurement, quality, and legal joint approval","Pause new project onboarding; start alternate supplier and exit plan"))))</f>
        <v/>
      </c>
      <c r="O69" s="287">
        <f>IF(M69="","",IF(LEFT(M69,1)="A",'Settings'!$K$7,IF(LEFT(M69,1)="B",'Settings'!$K$8,IF(LEFT(M69,1)="C",'Settings'!$K$9,'Settings'!$K$10))))</f>
        <v/>
      </c>
      <c r="P69" s="304">
        <f>IF(M69="","",IF(Q69="",TODAY(),Q69)+O69)</f>
        <v/>
      </c>
      <c r="Q69" s="304">
        <f>IF(A69="","",IFERROR(MAXIFS('360 Score Entry'!$C$6:$C$105,'360 Score Entry'!$A$6:$A$105,A69),""))</f>
        <v/>
      </c>
      <c r="R69" s="71">
        <f>IF(A69="","",IF(G69=0,"No open events","Review Risk Event Register; close the highest-risk item first"))</f>
        <v/>
      </c>
      <c r="S69" s="282">
        <f>IF(A69="",0,J69+0.0037)</f>
        <v/>
      </c>
      <c r="T69" s="253" t="n"/>
      <c r="U69" s="253" t="n"/>
      <c r="V69" s="253" t="n"/>
      <c r="W69" s="253" t="n"/>
      <c r="X69" s="253" t="n"/>
      <c r="Y69" s="253" t="n"/>
      <c r="Z69" s="253" t="n"/>
    </row>
    <row r="70" ht="24" customHeight="1" s="280">
      <c r="A70" s="69">
        <f>IF('Supplier Register'!A70="","",'Supplier Register'!A70)</f>
        <v/>
      </c>
      <c r="B70" s="70">
        <f>IF(A70="","",IFERROR(VLOOKUP(A70,'Supplier Register'!$A$6:$L$105,2,FALSE),""))</f>
        <v/>
      </c>
      <c r="C70" s="70">
        <f>IF(A70="","",IFERROR(VLOOKUP(A70,'Supplier Register'!$A$6:$L$105,3,FALSE),""))</f>
        <v/>
      </c>
      <c r="D70" s="70">
        <f>IF(A70="","",IFERROR(VLOOKUP(A70,'Supplier Register'!$A$6:$L$105,5,FALSE),""))</f>
        <v/>
      </c>
      <c r="E70" s="303">
        <f>IF(A70="","",IFERROR(VLOOKUP(A70,'Supplier Register'!$A$6:$L$105,6,FALSE),""))</f>
        <v/>
      </c>
      <c r="F70" s="308">
        <f>IF(A70="","",IFERROR(ROUND(AVERAGEIF('360 Score Entry'!$A$6:$A$105,A70,'360 Score Entry'!$O$6:$O$105),1),""))</f>
        <v/>
      </c>
      <c r="G70" s="287">
        <f>IF(A70="","",COUNTIFS('Risk Event Register'!$A$6:$A$205,A70,'Risk Event Register'!$J$6:$J$205,"&lt;&gt;Closed"))</f>
        <v/>
      </c>
      <c r="H70" s="287">
        <f>IF(A70="","",IFERROR(MAXIFS('Risk Event Register'!$I$6:$I$205,'Risk Event Register'!$A$6:$A$205,A70,'Risk Event Register'!$J$6:$J$205,"&lt;&gt;Closed"),0))</f>
        <v/>
      </c>
      <c r="I70" s="287">
        <f>IF(A70="","",IF(D70="Critical",10,IF(D70="Important",5,0)))</f>
        <v/>
      </c>
      <c r="J70" s="287">
        <f>IF(A70="","",MIN(100,H70+I70))</f>
        <v/>
      </c>
      <c r="K70" s="70">
        <f>IF(F70="","",IF(F70&gt;='Settings'!$H$7,"A Preferred",IF(F70&gt;='Settings'!$H$8,"B Qualified",IF(F70&gt;='Settings'!$H$9,"C Needs Improvement","D Not Qualified"))))</f>
        <v/>
      </c>
      <c r="L70" s="70">
        <f>IF(A70="","",IF(J70&lt;='Settings'!$I$7,"Low Risk",IF(J70&lt;='Settings'!$I$8,"Medium Risk",IF(J70&lt;='Settings'!$I$9,"High Risk","Critical Risk"))))</f>
        <v/>
      </c>
      <c r="M70" s="70">
        <f>IF(F70="","",IF(OR(J70&gt;'Settings'!$I$9,F70&lt;'Settings'!$H$9),"D Pause onboarding / restrict purchases",IF(OR(J70&gt;'Settings'!$I$8,F70&lt;'Settings'!$H$8),"C Time-bound remediation / enhanced approval",IF(OR(J70&gt;'Settings'!$I$7,F70&lt;'Settings'!$H$7),"B Qualified / continuous monitoring","A Preferred / eligible to expand"))))</f>
        <v/>
      </c>
      <c r="N70" s="70">
        <f>IF(M70="","",IF(LEFT(M70,1)="A","Add to preferred list; eligible for expanded share or strategic cooperation",IF(LEFT(M70,1)="B","Maintain cooperation; monitor key indicators quarterly",IF(LEFT(M70,1)="C","Start remediation plan; major purchases require procurement, quality, and legal joint approval","Pause new project onboarding; start alternate supplier and exit plan"))))</f>
        <v/>
      </c>
      <c r="O70" s="287">
        <f>IF(M70="","",IF(LEFT(M70,1)="A",'Settings'!$K$7,IF(LEFT(M70,1)="B",'Settings'!$K$8,IF(LEFT(M70,1)="C",'Settings'!$K$9,'Settings'!$K$10))))</f>
        <v/>
      </c>
      <c r="P70" s="304">
        <f>IF(M70="","",IF(Q70="",TODAY(),Q70)+O70)</f>
        <v/>
      </c>
      <c r="Q70" s="304">
        <f>IF(A70="","",IFERROR(MAXIFS('360 Score Entry'!$C$6:$C$105,'360 Score Entry'!$A$6:$A$105,A70),""))</f>
        <v/>
      </c>
      <c r="R70" s="71">
        <f>IF(A70="","",IF(G70=0,"No open events","Review Risk Event Register; close the highest-risk item first"))</f>
        <v/>
      </c>
      <c r="S70" s="282">
        <f>IF(A70="",0,J70+0.0036)</f>
        <v/>
      </c>
      <c r="T70" s="253" t="n"/>
      <c r="U70" s="253" t="n"/>
      <c r="V70" s="253" t="n"/>
      <c r="W70" s="253" t="n"/>
      <c r="X70" s="253" t="n"/>
      <c r="Y70" s="253" t="n"/>
      <c r="Z70" s="253" t="n"/>
    </row>
    <row r="71" ht="24" customHeight="1" s="280">
      <c r="A71" s="69">
        <f>IF('Supplier Register'!A71="","",'Supplier Register'!A71)</f>
        <v/>
      </c>
      <c r="B71" s="70">
        <f>IF(A71="","",IFERROR(VLOOKUP(A71,'Supplier Register'!$A$6:$L$105,2,FALSE),""))</f>
        <v/>
      </c>
      <c r="C71" s="70">
        <f>IF(A71="","",IFERROR(VLOOKUP(A71,'Supplier Register'!$A$6:$L$105,3,FALSE),""))</f>
        <v/>
      </c>
      <c r="D71" s="70">
        <f>IF(A71="","",IFERROR(VLOOKUP(A71,'Supplier Register'!$A$6:$L$105,5,FALSE),""))</f>
        <v/>
      </c>
      <c r="E71" s="303">
        <f>IF(A71="","",IFERROR(VLOOKUP(A71,'Supplier Register'!$A$6:$L$105,6,FALSE),""))</f>
        <v/>
      </c>
      <c r="F71" s="308">
        <f>IF(A71="","",IFERROR(ROUND(AVERAGEIF('360 Score Entry'!$A$6:$A$105,A71,'360 Score Entry'!$O$6:$O$105),1),""))</f>
        <v/>
      </c>
      <c r="G71" s="287">
        <f>IF(A71="","",COUNTIFS('Risk Event Register'!$A$6:$A$205,A71,'Risk Event Register'!$J$6:$J$205,"&lt;&gt;Closed"))</f>
        <v/>
      </c>
      <c r="H71" s="287">
        <f>IF(A71="","",IFERROR(MAXIFS('Risk Event Register'!$I$6:$I$205,'Risk Event Register'!$A$6:$A$205,A71,'Risk Event Register'!$J$6:$J$205,"&lt;&gt;Closed"),0))</f>
        <v/>
      </c>
      <c r="I71" s="287">
        <f>IF(A71="","",IF(D71="Critical",10,IF(D71="Important",5,0)))</f>
        <v/>
      </c>
      <c r="J71" s="287">
        <f>IF(A71="","",MIN(100,H71+I71))</f>
        <v/>
      </c>
      <c r="K71" s="70">
        <f>IF(F71="","",IF(F71&gt;='Settings'!$H$7,"A Preferred",IF(F71&gt;='Settings'!$H$8,"B Qualified",IF(F71&gt;='Settings'!$H$9,"C Needs Improvement","D Not Qualified"))))</f>
        <v/>
      </c>
      <c r="L71" s="70">
        <f>IF(A71="","",IF(J71&lt;='Settings'!$I$7,"Low Risk",IF(J71&lt;='Settings'!$I$8,"Medium Risk",IF(J71&lt;='Settings'!$I$9,"High Risk","Critical Risk"))))</f>
        <v/>
      </c>
      <c r="M71" s="70">
        <f>IF(F71="","",IF(OR(J71&gt;'Settings'!$I$9,F71&lt;'Settings'!$H$9),"D Pause onboarding / restrict purchases",IF(OR(J71&gt;'Settings'!$I$8,F71&lt;'Settings'!$H$8),"C Time-bound remediation / enhanced approval",IF(OR(J71&gt;'Settings'!$I$7,F71&lt;'Settings'!$H$7),"B Qualified / continuous monitoring","A Preferred / eligible to expand"))))</f>
        <v/>
      </c>
      <c r="N71" s="70">
        <f>IF(M71="","",IF(LEFT(M71,1)="A","Add to preferred list; eligible for expanded share or strategic cooperation",IF(LEFT(M71,1)="B","Maintain cooperation; monitor key indicators quarterly",IF(LEFT(M71,1)="C","Start remediation plan; major purchases require procurement, quality, and legal joint approval","Pause new project onboarding; start alternate supplier and exit plan"))))</f>
        <v/>
      </c>
      <c r="O71" s="287">
        <f>IF(M71="","",IF(LEFT(M71,1)="A",'Settings'!$K$7,IF(LEFT(M71,1)="B",'Settings'!$K$8,IF(LEFT(M71,1)="C",'Settings'!$K$9,'Settings'!$K$10))))</f>
        <v/>
      </c>
      <c r="P71" s="304">
        <f>IF(M71="","",IF(Q71="",TODAY(),Q71)+O71)</f>
        <v/>
      </c>
      <c r="Q71" s="304">
        <f>IF(A71="","",IFERROR(MAXIFS('360 Score Entry'!$C$6:$C$105,'360 Score Entry'!$A$6:$A$105,A71),""))</f>
        <v/>
      </c>
      <c r="R71" s="71">
        <f>IF(A71="","",IF(G71=0,"No open events","Review Risk Event Register; close the highest-risk item first"))</f>
        <v/>
      </c>
      <c r="S71" s="282">
        <f>IF(A71="",0,J71+0.0035)</f>
        <v/>
      </c>
      <c r="T71" s="253" t="n"/>
      <c r="U71" s="253" t="n"/>
      <c r="V71" s="253" t="n"/>
      <c r="W71" s="253" t="n"/>
      <c r="X71" s="253" t="n"/>
      <c r="Y71" s="253" t="n"/>
      <c r="Z71" s="253" t="n"/>
    </row>
    <row r="72" ht="24" customHeight="1" s="280">
      <c r="A72" s="69">
        <f>IF('Supplier Register'!A72="","",'Supplier Register'!A72)</f>
        <v/>
      </c>
      <c r="B72" s="70">
        <f>IF(A72="","",IFERROR(VLOOKUP(A72,'Supplier Register'!$A$6:$L$105,2,FALSE),""))</f>
        <v/>
      </c>
      <c r="C72" s="70">
        <f>IF(A72="","",IFERROR(VLOOKUP(A72,'Supplier Register'!$A$6:$L$105,3,FALSE),""))</f>
        <v/>
      </c>
      <c r="D72" s="70">
        <f>IF(A72="","",IFERROR(VLOOKUP(A72,'Supplier Register'!$A$6:$L$105,5,FALSE),""))</f>
        <v/>
      </c>
      <c r="E72" s="303">
        <f>IF(A72="","",IFERROR(VLOOKUP(A72,'Supplier Register'!$A$6:$L$105,6,FALSE),""))</f>
        <v/>
      </c>
      <c r="F72" s="308">
        <f>IF(A72="","",IFERROR(ROUND(AVERAGEIF('360 Score Entry'!$A$6:$A$105,A72,'360 Score Entry'!$O$6:$O$105),1),""))</f>
        <v/>
      </c>
      <c r="G72" s="287">
        <f>IF(A72="","",COUNTIFS('Risk Event Register'!$A$6:$A$205,A72,'Risk Event Register'!$J$6:$J$205,"&lt;&gt;Closed"))</f>
        <v/>
      </c>
      <c r="H72" s="287">
        <f>IF(A72="","",IFERROR(MAXIFS('Risk Event Register'!$I$6:$I$205,'Risk Event Register'!$A$6:$A$205,A72,'Risk Event Register'!$J$6:$J$205,"&lt;&gt;Closed"),0))</f>
        <v/>
      </c>
      <c r="I72" s="287">
        <f>IF(A72="","",IF(D72="Critical",10,IF(D72="Important",5,0)))</f>
        <v/>
      </c>
      <c r="J72" s="287">
        <f>IF(A72="","",MIN(100,H72+I72))</f>
        <v/>
      </c>
      <c r="K72" s="70">
        <f>IF(F72="","",IF(F72&gt;='Settings'!$H$7,"A Preferred",IF(F72&gt;='Settings'!$H$8,"B Qualified",IF(F72&gt;='Settings'!$H$9,"C Needs Improvement","D Not Qualified"))))</f>
        <v/>
      </c>
      <c r="L72" s="70">
        <f>IF(A72="","",IF(J72&lt;='Settings'!$I$7,"Low Risk",IF(J72&lt;='Settings'!$I$8,"Medium Risk",IF(J72&lt;='Settings'!$I$9,"High Risk","Critical Risk"))))</f>
        <v/>
      </c>
      <c r="M72" s="70">
        <f>IF(F72="","",IF(OR(J72&gt;'Settings'!$I$9,F72&lt;'Settings'!$H$9),"D Pause onboarding / restrict purchases",IF(OR(J72&gt;'Settings'!$I$8,F72&lt;'Settings'!$H$8),"C Time-bound remediation / enhanced approval",IF(OR(J72&gt;'Settings'!$I$7,F72&lt;'Settings'!$H$7),"B Qualified / continuous monitoring","A Preferred / eligible to expand"))))</f>
        <v/>
      </c>
      <c r="N72" s="70">
        <f>IF(M72="","",IF(LEFT(M72,1)="A","Add to preferred list; eligible for expanded share or strategic cooperation",IF(LEFT(M72,1)="B","Maintain cooperation; monitor key indicators quarterly",IF(LEFT(M72,1)="C","Start remediation plan; major purchases require procurement, quality, and legal joint approval","Pause new project onboarding; start alternate supplier and exit plan"))))</f>
        <v/>
      </c>
      <c r="O72" s="287">
        <f>IF(M72="","",IF(LEFT(M72,1)="A",'Settings'!$K$7,IF(LEFT(M72,1)="B",'Settings'!$K$8,IF(LEFT(M72,1)="C",'Settings'!$K$9,'Settings'!$K$10))))</f>
        <v/>
      </c>
      <c r="P72" s="304">
        <f>IF(M72="","",IF(Q72="",TODAY(),Q72)+O72)</f>
        <v/>
      </c>
      <c r="Q72" s="304">
        <f>IF(A72="","",IFERROR(MAXIFS('360 Score Entry'!$C$6:$C$105,'360 Score Entry'!$A$6:$A$105,A72),""))</f>
        <v/>
      </c>
      <c r="R72" s="71">
        <f>IF(A72="","",IF(G72=0,"No open events","Review Risk Event Register; close the highest-risk item first"))</f>
        <v/>
      </c>
      <c r="S72" s="282">
        <f>IF(A72="",0,J72+0.0034)</f>
        <v/>
      </c>
      <c r="T72" s="253" t="n"/>
      <c r="U72" s="253" t="n"/>
      <c r="V72" s="253" t="n"/>
      <c r="W72" s="253" t="n"/>
      <c r="X72" s="253" t="n"/>
      <c r="Y72" s="253" t="n"/>
      <c r="Z72" s="253" t="n"/>
    </row>
    <row r="73" ht="24" customHeight="1" s="280">
      <c r="A73" s="69">
        <f>IF('Supplier Register'!A73="","",'Supplier Register'!A73)</f>
        <v/>
      </c>
      <c r="B73" s="70">
        <f>IF(A73="","",IFERROR(VLOOKUP(A73,'Supplier Register'!$A$6:$L$105,2,FALSE),""))</f>
        <v/>
      </c>
      <c r="C73" s="70">
        <f>IF(A73="","",IFERROR(VLOOKUP(A73,'Supplier Register'!$A$6:$L$105,3,FALSE),""))</f>
        <v/>
      </c>
      <c r="D73" s="70">
        <f>IF(A73="","",IFERROR(VLOOKUP(A73,'Supplier Register'!$A$6:$L$105,5,FALSE),""))</f>
        <v/>
      </c>
      <c r="E73" s="303">
        <f>IF(A73="","",IFERROR(VLOOKUP(A73,'Supplier Register'!$A$6:$L$105,6,FALSE),""))</f>
        <v/>
      </c>
      <c r="F73" s="308">
        <f>IF(A73="","",IFERROR(ROUND(AVERAGEIF('360 Score Entry'!$A$6:$A$105,A73,'360 Score Entry'!$O$6:$O$105),1),""))</f>
        <v/>
      </c>
      <c r="G73" s="287">
        <f>IF(A73="","",COUNTIFS('Risk Event Register'!$A$6:$A$205,A73,'Risk Event Register'!$J$6:$J$205,"&lt;&gt;Closed"))</f>
        <v/>
      </c>
      <c r="H73" s="287">
        <f>IF(A73="","",IFERROR(MAXIFS('Risk Event Register'!$I$6:$I$205,'Risk Event Register'!$A$6:$A$205,A73,'Risk Event Register'!$J$6:$J$205,"&lt;&gt;Closed"),0))</f>
        <v/>
      </c>
      <c r="I73" s="287">
        <f>IF(A73="","",IF(D73="Critical",10,IF(D73="Important",5,0)))</f>
        <v/>
      </c>
      <c r="J73" s="287">
        <f>IF(A73="","",MIN(100,H73+I73))</f>
        <v/>
      </c>
      <c r="K73" s="70">
        <f>IF(F73="","",IF(F73&gt;='Settings'!$H$7,"A Preferred",IF(F73&gt;='Settings'!$H$8,"B Qualified",IF(F73&gt;='Settings'!$H$9,"C Needs Improvement","D Not Qualified"))))</f>
        <v/>
      </c>
      <c r="L73" s="70">
        <f>IF(A73="","",IF(J73&lt;='Settings'!$I$7,"Low Risk",IF(J73&lt;='Settings'!$I$8,"Medium Risk",IF(J73&lt;='Settings'!$I$9,"High Risk","Critical Risk"))))</f>
        <v/>
      </c>
      <c r="M73" s="70">
        <f>IF(F73="","",IF(OR(J73&gt;'Settings'!$I$9,F73&lt;'Settings'!$H$9),"D Pause onboarding / restrict purchases",IF(OR(J73&gt;'Settings'!$I$8,F73&lt;'Settings'!$H$8),"C Time-bound remediation / enhanced approval",IF(OR(J73&gt;'Settings'!$I$7,F73&lt;'Settings'!$H$7),"B Qualified / continuous monitoring","A Preferred / eligible to expand"))))</f>
        <v/>
      </c>
      <c r="N73" s="70">
        <f>IF(M73="","",IF(LEFT(M73,1)="A","Add to preferred list; eligible for expanded share or strategic cooperation",IF(LEFT(M73,1)="B","Maintain cooperation; monitor key indicators quarterly",IF(LEFT(M73,1)="C","Start remediation plan; major purchases require procurement, quality, and legal joint approval","Pause new project onboarding; start alternate supplier and exit plan"))))</f>
        <v/>
      </c>
      <c r="O73" s="287">
        <f>IF(M73="","",IF(LEFT(M73,1)="A",'Settings'!$K$7,IF(LEFT(M73,1)="B",'Settings'!$K$8,IF(LEFT(M73,1)="C",'Settings'!$K$9,'Settings'!$K$10))))</f>
        <v/>
      </c>
      <c r="P73" s="304">
        <f>IF(M73="","",IF(Q73="",TODAY(),Q73)+O73)</f>
        <v/>
      </c>
      <c r="Q73" s="304">
        <f>IF(A73="","",IFERROR(MAXIFS('360 Score Entry'!$C$6:$C$105,'360 Score Entry'!$A$6:$A$105,A73),""))</f>
        <v/>
      </c>
      <c r="R73" s="71">
        <f>IF(A73="","",IF(G73=0,"No open events","Review Risk Event Register; close the highest-risk item first"))</f>
        <v/>
      </c>
      <c r="S73" s="282">
        <f>IF(A73="",0,J73+0.0033)</f>
        <v/>
      </c>
      <c r="T73" s="253" t="n"/>
      <c r="U73" s="253" t="n"/>
      <c r="V73" s="253" t="n"/>
      <c r="W73" s="253" t="n"/>
      <c r="X73" s="253" t="n"/>
      <c r="Y73" s="253" t="n"/>
      <c r="Z73" s="253" t="n"/>
    </row>
    <row r="74" ht="24" customHeight="1" s="280">
      <c r="A74" s="69">
        <f>IF('Supplier Register'!A74="","",'Supplier Register'!A74)</f>
        <v/>
      </c>
      <c r="B74" s="70">
        <f>IF(A74="","",IFERROR(VLOOKUP(A74,'Supplier Register'!$A$6:$L$105,2,FALSE),""))</f>
        <v/>
      </c>
      <c r="C74" s="70">
        <f>IF(A74="","",IFERROR(VLOOKUP(A74,'Supplier Register'!$A$6:$L$105,3,FALSE),""))</f>
        <v/>
      </c>
      <c r="D74" s="70">
        <f>IF(A74="","",IFERROR(VLOOKUP(A74,'Supplier Register'!$A$6:$L$105,5,FALSE),""))</f>
        <v/>
      </c>
      <c r="E74" s="303">
        <f>IF(A74="","",IFERROR(VLOOKUP(A74,'Supplier Register'!$A$6:$L$105,6,FALSE),""))</f>
        <v/>
      </c>
      <c r="F74" s="308">
        <f>IF(A74="","",IFERROR(ROUND(AVERAGEIF('360 Score Entry'!$A$6:$A$105,A74,'360 Score Entry'!$O$6:$O$105),1),""))</f>
        <v/>
      </c>
      <c r="G74" s="287">
        <f>IF(A74="","",COUNTIFS('Risk Event Register'!$A$6:$A$205,A74,'Risk Event Register'!$J$6:$J$205,"&lt;&gt;Closed"))</f>
        <v/>
      </c>
      <c r="H74" s="287">
        <f>IF(A74="","",IFERROR(MAXIFS('Risk Event Register'!$I$6:$I$205,'Risk Event Register'!$A$6:$A$205,A74,'Risk Event Register'!$J$6:$J$205,"&lt;&gt;Closed"),0))</f>
        <v/>
      </c>
      <c r="I74" s="287">
        <f>IF(A74="","",IF(D74="Critical",10,IF(D74="Important",5,0)))</f>
        <v/>
      </c>
      <c r="J74" s="287">
        <f>IF(A74="","",MIN(100,H74+I74))</f>
        <v/>
      </c>
      <c r="K74" s="70">
        <f>IF(F74="","",IF(F74&gt;='Settings'!$H$7,"A Preferred",IF(F74&gt;='Settings'!$H$8,"B Qualified",IF(F74&gt;='Settings'!$H$9,"C Needs Improvement","D Not Qualified"))))</f>
        <v/>
      </c>
      <c r="L74" s="70">
        <f>IF(A74="","",IF(J74&lt;='Settings'!$I$7,"Low Risk",IF(J74&lt;='Settings'!$I$8,"Medium Risk",IF(J74&lt;='Settings'!$I$9,"High Risk","Critical Risk"))))</f>
        <v/>
      </c>
      <c r="M74" s="70">
        <f>IF(F74="","",IF(OR(J74&gt;'Settings'!$I$9,F74&lt;'Settings'!$H$9),"D Pause onboarding / restrict purchases",IF(OR(J74&gt;'Settings'!$I$8,F74&lt;'Settings'!$H$8),"C Time-bound remediation / enhanced approval",IF(OR(J74&gt;'Settings'!$I$7,F74&lt;'Settings'!$H$7),"B Qualified / continuous monitoring","A Preferred / eligible to expand"))))</f>
        <v/>
      </c>
      <c r="N74" s="70">
        <f>IF(M74="","",IF(LEFT(M74,1)="A","Add to preferred list; eligible for expanded share or strategic cooperation",IF(LEFT(M74,1)="B","Maintain cooperation; monitor key indicators quarterly",IF(LEFT(M74,1)="C","Start remediation plan; major purchases require procurement, quality, and legal joint approval","Pause new project onboarding; start alternate supplier and exit plan"))))</f>
        <v/>
      </c>
      <c r="O74" s="287">
        <f>IF(M74="","",IF(LEFT(M74,1)="A",'Settings'!$K$7,IF(LEFT(M74,1)="B",'Settings'!$K$8,IF(LEFT(M74,1)="C",'Settings'!$K$9,'Settings'!$K$10))))</f>
        <v/>
      </c>
      <c r="P74" s="304">
        <f>IF(M74="","",IF(Q74="",TODAY(),Q74)+O74)</f>
        <v/>
      </c>
      <c r="Q74" s="304">
        <f>IF(A74="","",IFERROR(MAXIFS('360 Score Entry'!$C$6:$C$105,'360 Score Entry'!$A$6:$A$105,A74),""))</f>
        <v/>
      </c>
      <c r="R74" s="71">
        <f>IF(A74="","",IF(G74=0,"No open events","Review Risk Event Register; close the highest-risk item first"))</f>
        <v/>
      </c>
      <c r="S74" s="282">
        <f>IF(A74="",0,J74+0.0032)</f>
        <v/>
      </c>
      <c r="T74" s="253" t="n"/>
      <c r="U74" s="253" t="n"/>
      <c r="V74" s="253" t="n"/>
      <c r="W74" s="253" t="n"/>
      <c r="X74" s="253" t="n"/>
      <c r="Y74" s="253" t="n"/>
      <c r="Z74" s="253" t="n"/>
    </row>
    <row r="75" ht="24" customHeight="1" s="280">
      <c r="A75" s="69">
        <f>IF('Supplier Register'!A75="","",'Supplier Register'!A75)</f>
        <v/>
      </c>
      <c r="B75" s="70">
        <f>IF(A75="","",IFERROR(VLOOKUP(A75,'Supplier Register'!$A$6:$L$105,2,FALSE),""))</f>
        <v/>
      </c>
      <c r="C75" s="70">
        <f>IF(A75="","",IFERROR(VLOOKUP(A75,'Supplier Register'!$A$6:$L$105,3,FALSE),""))</f>
        <v/>
      </c>
      <c r="D75" s="70">
        <f>IF(A75="","",IFERROR(VLOOKUP(A75,'Supplier Register'!$A$6:$L$105,5,FALSE),""))</f>
        <v/>
      </c>
      <c r="E75" s="303">
        <f>IF(A75="","",IFERROR(VLOOKUP(A75,'Supplier Register'!$A$6:$L$105,6,FALSE),""))</f>
        <v/>
      </c>
      <c r="F75" s="308">
        <f>IF(A75="","",IFERROR(ROUND(AVERAGEIF('360 Score Entry'!$A$6:$A$105,A75,'360 Score Entry'!$O$6:$O$105),1),""))</f>
        <v/>
      </c>
      <c r="G75" s="287">
        <f>IF(A75="","",COUNTIFS('Risk Event Register'!$A$6:$A$205,A75,'Risk Event Register'!$J$6:$J$205,"&lt;&gt;Closed"))</f>
        <v/>
      </c>
      <c r="H75" s="287">
        <f>IF(A75="","",IFERROR(MAXIFS('Risk Event Register'!$I$6:$I$205,'Risk Event Register'!$A$6:$A$205,A75,'Risk Event Register'!$J$6:$J$205,"&lt;&gt;Closed"),0))</f>
        <v/>
      </c>
      <c r="I75" s="287">
        <f>IF(A75="","",IF(D75="Critical",10,IF(D75="Important",5,0)))</f>
        <v/>
      </c>
      <c r="J75" s="287">
        <f>IF(A75="","",MIN(100,H75+I75))</f>
        <v/>
      </c>
      <c r="K75" s="70">
        <f>IF(F75="","",IF(F75&gt;='Settings'!$H$7,"A Preferred",IF(F75&gt;='Settings'!$H$8,"B Qualified",IF(F75&gt;='Settings'!$H$9,"C Needs Improvement","D Not Qualified"))))</f>
        <v/>
      </c>
      <c r="L75" s="70">
        <f>IF(A75="","",IF(J75&lt;='Settings'!$I$7,"Low Risk",IF(J75&lt;='Settings'!$I$8,"Medium Risk",IF(J75&lt;='Settings'!$I$9,"High Risk","Critical Risk"))))</f>
        <v/>
      </c>
      <c r="M75" s="70">
        <f>IF(F75="","",IF(OR(J75&gt;'Settings'!$I$9,F75&lt;'Settings'!$H$9),"D Pause onboarding / restrict purchases",IF(OR(J75&gt;'Settings'!$I$8,F75&lt;'Settings'!$H$8),"C Time-bound remediation / enhanced approval",IF(OR(J75&gt;'Settings'!$I$7,F75&lt;'Settings'!$H$7),"B Qualified / continuous monitoring","A Preferred / eligible to expand"))))</f>
        <v/>
      </c>
      <c r="N75" s="70">
        <f>IF(M75="","",IF(LEFT(M75,1)="A","Add to preferred list; eligible for expanded share or strategic cooperation",IF(LEFT(M75,1)="B","Maintain cooperation; monitor key indicators quarterly",IF(LEFT(M75,1)="C","Start remediation plan; major purchases require procurement, quality, and legal joint approval","Pause new project onboarding; start alternate supplier and exit plan"))))</f>
        <v/>
      </c>
      <c r="O75" s="287">
        <f>IF(M75="","",IF(LEFT(M75,1)="A",'Settings'!$K$7,IF(LEFT(M75,1)="B",'Settings'!$K$8,IF(LEFT(M75,1)="C",'Settings'!$K$9,'Settings'!$K$10))))</f>
        <v/>
      </c>
      <c r="P75" s="304">
        <f>IF(M75="","",IF(Q75="",TODAY(),Q75)+O75)</f>
        <v/>
      </c>
      <c r="Q75" s="304">
        <f>IF(A75="","",IFERROR(MAXIFS('360 Score Entry'!$C$6:$C$105,'360 Score Entry'!$A$6:$A$105,A75),""))</f>
        <v/>
      </c>
      <c r="R75" s="71">
        <f>IF(A75="","",IF(G75=0,"No open events","Review Risk Event Register; close the highest-risk item first"))</f>
        <v/>
      </c>
      <c r="S75" s="282">
        <f>IF(A75="",0,J75+0.0031)</f>
        <v/>
      </c>
      <c r="T75" s="253" t="n"/>
      <c r="U75" s="253" t="n"/>
      <c r="V75" s="253" t="n"/>
      <c r="W75" s="253" t="n"/>
      <c r="X75" s="253" t="n"/>
      <c r="Y75" s="253" t="n"/>
      <c r="Z75" s="253" t="n"/>
    </row>
    <row r="76" ht="24" customHeight="1" s="280">
      <c r="A76" s="69">
        <f>IF('Supplier Register'!A76="","",'Supplier Register'!A76)</f>
        <v/>
      </c>
      <c r="B76" s="70">
        <f>IF(A76="","",IFERROR(VLOOKUP(A76,'Supplier Register'!$A$6:$L$105,2,FALSE),""))</f>
        <v/>
      </c>
      <c r="C76" s="70">
        <f>IF(A76="","",IFERROR(VLOOKUP(A76,'Supplier Register'!$A$6:$L$105,3,FALSE),""))</f>
        <v/>
      </c>
      <c r="D76" s="70">
        <f>IF(A76="","",IFERROR(VLOOKUP(A76,'Supplier Register'!$A$6:$L$105,5,FALSE),""))</f>
        <v/>
      </c>
      <c r="E76" s="303">
        <f>IF(A76="","",IFERROR(VLOOKUP(A76,'Supplier Register'!$A$6:$L$105,6,FALSE),""))</f>
        <v/>
      </c>
      <c r="F76" s="308">
        <f>IF(A76="","",IFERROR(ROUND(AVERAGEIF('360 Score Entry'!$A$6:$A$105,A76,'360 Score Entry'!$O$6:$O$105),1),""))</f>
        <v/>
      </c>
      <c r="G76" s="287">
        <f>IF(A76="","",COUNTIFS('Risk Event Register'!$A$6:$A$205,A76,'Risk Event Register'!$J$6:$J$205,"&lt;&gt;Closed"))</f>
        <v/>
      </c>
      <c r="H76" s="287">
        <f>IF(A76="","",IFERROR(MAXIFS('Risk Event Register'!$I$6:$I$205,'Risk Event Register'!$A$6:$A$205,A76,'Risk Event Register'!$J$6:$J$205,"&lt;&gt;Closed"),0))</f>
        <v/>
      </c>
      <c r="I76" s="287">
        <f>IF(A76="","",IF(D76="Critical",10,IF(D76="Important",5,0)))</f>
        <v/>
      </c>
      <c r="J76" s="287">
        <f>IF(A76="","",MIN(100,H76+I76))</f>
        <v/>
      </c>
      <c r="K76" s="70">
        <f>IF(F76="","",IF(F76&gt;='Settings'!$H$7,"A Preferred",IF(F76&gt;='Settings'!$H$8,"B Qualified",IF(F76&gt;='Settings'!$H$9,"C Needs Improvement","D Not Qualified"))))</f>
        <v/>
      </c>
      <c r="L76" s="70">
        <f>IF(A76="","",IF(J76&lt;='Settings'!$I$7,"Low Risk",IF(J76&lt;='Settings'!$I$8,"Medium Risk",IF(J76&lt;='Settings'!$I$9,"High Risk","Critical Risk"))))</f>
        <v/>
      </c>
      <c r="M76" s="70">
        <f>IF(F76="","",IF(OR(J76&gt;'Settings'!$I$9,F76&lt;'Settings'!$H$9),"D Pause onboarding / restrict purchases",IF(OR(J76&gt;'Settings'!$I$8,F76&lt;'Settings'!$H$8),"C Time-bound remediation / enhanced approval",IF(OR(J76&gt;'Settings'!$I$7,F76&lt;'Settings'!$H$7),"B Qualified / continuous monitoring","A Preferred / eligible to expand"))))</f>
        <v/>
      </c>
      <c r="N76" s="70">
        <f>IF(M76="","",IF(LEFT(M76,1)="A","Add to preferred list; eligible for expanded share or strategic cooperation",IF(LEFT(M76,1)="B","Maintain cooperation; monitor key indicators quarterly",IF(LEFT(M76,1)="C","Start remediation plan; major purchases require procurement, quality, and legal joint approval","Pause new project onboarding; start alternate supplier and exit plan"))))</f>
        <v/>
      </c>
      <c r="O76" s="287">
        <f>IF(M76="","",IF(LEFT(M76,1)="A",'Settings'!$K$7,IF(LEFT(M76,1)="B",'Settings'!$K$8,IF(LEFT(M76,1)="C",'Settings'!$K$9,'Settings'!$K$10))))</f>
        <v/>
      </c>
      <c r="P76" s="304">
        <f>IF(M76="","",IF(Q76="",TODAY(),Q76)+O76)</f>
        <v/>
      </c>
      <c r="Q76" s="304">
        <f>IF(A76="","",IFERROR(MAXIFS('360 Score Entry'!$C$6:$C$105,'360 Score Entry'!$A$6:$A$105,A76),""))</f>
        <v/>
      </c>
      <c r="R76" s="71">
        <f>IF(A76="","",IF(G76=0,"No open events","Review Risk Event Register; close the highest-risk item first"))</f>
        <v/>
      </c>
      <c r="S76" s="282">
        <f>IF(A76="",0,J76+0.0030)</f>
        <v/>
      </c>
      <c r="T76" s="253" t="n"/>
      <c r="U76" s="253" t="n"/>
      <c r="V76" s="253" t="n"/>
      <c r="W76" s="253" t="n"/>
      <c r="X76" s="253" t="n"/>
      <c r="Y76" s="253" t="n"/>
      <c r="Z76" s="253" t="n"/>
    </row>
    <row r="77" ht="24" customHeight="1" s="280">
      <c r="A77" s="69">
        <f>IF('Supplier Register'!A77="","",'Supplier Register'!A77)</f>
        <v/>
      </c>
      <c r="B77" s="70">
        <f>IF(A77="","",IFERROR(VLOOKUP(A77,'Supplier Register'!$A$6:$L$105,2,FALSE),""))</f>
        <v/>
      </c>
      <c r="C77" s="70">
        <f>IF(A77="","",IFERROR(VLOOKUP(A77,'Supplier Register'!$A$6:$L$105,3,FALSE),""))</f>
        <v/>
      </c>
      <c r="D77" s="70">
        <f>IF(A77="","",IFERROR(VLOOKUP(A77,'Supplier Register'!$A$6:$L$105,5,FALSE),""))</f>
        <v/>
      </c>
      <c r="E77" s="303">
        <f>IF(A77="","",IFERROR(VLOOKUP(A77,'Supplier Register'!$A$6:$L$105,6,FALSE),""))</f>
        <v/>
      </c>
      <c r="F77" s="308">
        <f>IF(A77="","",IFERROR(ROUND(AVERAGEIF('360 Score Entry'!$A$6:$A$105,A77,'360 Score Entry'!$O$6:$O$105),1),""))</f>
        <v/>
      </c>
      <c r="G77" s="287">
        <f>IF(A77="","",COUNTIFS('Risk Event Register'!$A$6:$A$205,A77,'Risk Event Register'!$J$6:$J$205,"&lt;&gt;Closed"))</f>
        <v/>
      </c>
      <c r="H77" s="287">
        <f>IF(A77="","",IFERROR(MAXIFS('Risk Event Register'!$I$6:$I$205,'Risk Event Register'!$A$6:$A$205,A77,'Risk Event Register'!$J$6:$J$205,"&lt;&gt;Closed"),0))</f>
        <v/>
      </c>
      <c r="I77" s="287">
        <f>IF(A77="","",IF(D77="Critical",10,IF(D77="Important",5,0)))</f>
        <v/>
      </c>
      <c r="J77" s="287">
        <f>IF(A77="","",MIN(100,H77+I77))</f>
        <v/>
      </c>
      <c r="K77" s="70">
        <f>IF(F77="","",IF(F77&gt;='Settings'!$H$7,"A Preferred",IF(F77&gt;='Settings'!$H$8,"B Qualified",IF(F77&gt;='Settings'!$H$9,"C Needs Improvement","D Not Qualified"))))</f>
        <v/>
      </c>
      <c r="L77" s="70">
        <f>IF(A77="","",IF(J77&lt;='Settings'!$I$7,"Low Risk",IF(J77&lt;='Settings'!$I$8,"Medium Risk",IF(J77&lt;='Settings'!$I$9,"High Risk","Critical Risk"))))</f>
        <v/>
      </c>
      <c r="M77" s="70">
        <f>IF(F77="","",IF(OR(J77&gt;'Settings'!$I$9,F77&lt;'Settings'!$H$9),"D Pause onboarding / restrict purchases",IF(OR(J77&gt;'Settings'!$I$8,F77&lt;'Settings'!$H$8),"C Time-bound remediation / enhanced approval",IF(OR(J77&gt;'Settings'!$I$7,F77&lt;'Settings'!$H$7),"B Qualified / continuous monitoring","A Preferred / eligible to expand"))))</f>
        <v/>
      </c>
      <c r="N77" s="70">
        <f>IF(M77="","",IF(LEFT(M77,1)="A","Add to preferred list; eligible for expanded share or strategic cooperation",IF(LEFT(M77,1)="B","Maintain cooperation; monitor key indicators quarterly",IF(LEFT(M77,1)="C","Start remediation plan; major purchases require procurement, quality, and legal joint approval","Pause new project onboarding; start alternate supplier and exit plan"))))</f>
        <v/>
      </c>
      <c r="O77" s="287">
        <f>IF(M77="","",IF(LEFT(M77,1)="A",'Settings'!$K$7,IF(LEFT(M77,1)="B",'Settings'!$K$8,IF(LEFT(M77,1)="C",'Settings'!$K$9,'Settings'!$K$10))))</f>
        <v/>
      </c>
      <c r="P77" s="304">
        <f>IF(M77="","",IF(Q77="",TODAY(),Q77)+O77)</f>
        <v/>
      </c>
      <c r="Q77" s="304">
        <f>IF(A77="","",IFERROR(MAXIFS('360 Score Entry'!$C$6:$C$105,'360 Score Entry'!$A$6:$A$105,A77),""))</f>
        <v/>
      </c>
      <c r="R77" s="71">
        <f>IF(A77="","",IF(G77=0,"No open events","Review Risk Event Register; close the highest-risk item first"))</f>
        <v/>
      </c>
      <c r="S77" s="282">
        <f>IF(A77="",0,J77+0.0029)</f>
        <v/>
      </c>
      <c r="T77" s="253" t="n"/>
      <c r="U77" s="253" t="n"/>
      <c r="V77" s="253" t="n"/>
      <c r="W77" s="253" t="n"/>
      <c r="X77" s="253" t="n"/>
      <c r="Y77" s="253" t="n"/>
      <c r="Z77" s="253" t="n"/>
    </row>
    <row r="78" ht="24" customHeight="1" s="280">
      <c r="A78" s="69">
        <f>IF('Supplier Register'!A78="","",'Supplier Register'!A78)</f>
        <v/>
      </c>
      <c r="B78" s="70">
        <f>IF(A78="","",IFERROR(VLOOKUP(A78,'Supplier Register'!$A$6:$L$105,2,FALSE),""))</f>
        <v/>
      </c>
      <c r="C78" s="70">
        <f>IF(A78="","",IFERROR(VLOOKUP(A78,'Supplier Register'!$A$6:$L$105,3,FALSE),""))</f>
        <v/>
      </c>
      <c r="D78" s="70">
        <f>IF(A78="","",IFERROR(VLOOKUP(A78,'Supplier Register'!$A$6:$L$105,5,FALSE),""))</f>
        <v/>
      </c>
      <c r="E78" s="303">
        <f>IF(A78="","",IFERROR(VLOOKUP(A78,'Supplier Register'!$A$6:$L$105,6,FALSE),""))</f>
        <v/>
      </c>
      <c r="F78" s="308">
        <f>IF(A78="","",IFERROR(ROUND(AVERAGEIF('360 Score Entry'!$A$6:$A$105,A78,'360 Score Entry'!$O$6:$O$105),1),""))</f>
        <v/>
      </c>
      <c r="G78" s="287">
        <f>IF(A78="","",COUNTIFS('Risk Event Register'!$A$6:$A$205,A78,'Risk Event Register'!$J$6:$J$205,"&lt;&gt;Closed"))</f>
        <v/>
      </c>
      <c r="H78" s="287">
        <f>IF(A78="","",IFERROR(MAXIFS('Risk Event Register'!$I$6:$I$205,'Risk Event Register'!$A$6:$A$205,A78,'Risk Event Register'!$J$6:$J$205,"&lt;&gt;Closed"),0))</f>
        <v/>
      </c>
      <c r="I78" s="287">
        <f>IF(A78="","",IF(D78="Critical",10,IF(D78="Important",5,0)))</f>
        <v/>
      </c>
      <c r="J78" s="287">
        <f>IF(A78="","",MIN(100,H78+I78))</f>
        <v/>
      </c>
      <c r="K78" s="70">
        <f>IF(F78="","",IF(F78&gt;='Settings'!$H$7,"A Preferred",IF(F78&gt;='Settings'!$H$8,"B Qualified",IF(F78&gt;='Settings'!$H$9,"C Needs Improvement","D Not Qualified"))))</f>
        <v/>
      </c>
      <c r="L78" s="70">
        <f>IF(A78="","",IF(J78&lt;='Settings'!$I$7,"Low Risk",IF(J78&lt;='Settings'!$I$8,"Medium Risk",IF(J78&lt;='Settings'!$I$9,"High Risk","Critical Risk"))))</f>
        <v/>
      </c>
      <c r="M78" s="70">
        <f>IF(F78="","",IF(OR(J78&gt;'Settings'!$I$9,F78&lt;'Settings'!$H$9),"D Pause onboarding / restrict purchases",IF(OR(J78&gt;'Settings'!$I$8,F78&lt;'Settings'!$H$8),"C Time-bound remediation / enhanced approval",IF(OR(J78&gt;'Settings'!$I$7,F78&lt;'Settings'!$H$7),"B Qualified / continuous monitoring","A Preferred / eligible to expand"))))</f>
        <v/>
      </c>
      <c r="N78" s="70">
        <f>IF(M78="","",IF(LEFT(M78,1)="A","Add to preferred list; eligible for expanded share or strategic cooperation",IF(LEFT(M78,1)="B","Maintain cooperation; monitor key indicators quarterly",IF(LEFT(M78,1)="C","Start remediation plan; major purchases require procurement, quality, and legal joint approval","Pause new project onboarding; start alternate supplier and exit plan"))))</f>
        <v/>
      </c>
      <c r="O78" s="287">
        <f>IF(M78="","",IF(LEFT(M78,1)="A",'Settings'!$K$7,IF(LEFT(M78,1)="B",'Settings'!$K$8,IF(LEFT(M78,1)="C",'Settings'!$K$9,'Settings'!$K$10))))</f>
        <v/>
      </c>
      <c r="P78" s="304">
        <f>IF(M78="","",IF(Q78="",TODAY(),Q78)+O78)</f>
        <v/>
      </c>
      <c r="Q78" s="304">
        <f>IF(A78="","",IFERROR(MAXIFS('360 Score Entry'!$C$6:$C$105,'360 Score Entry'!$A$6:$A$105,A78),""))</f>
        <v/>
      </c>
      <c r="R78" s="71">
        <f>IF(A78="","",IF(G78=0,"No open events","Review Risk Event Register; close the highest-risk item first"))</f>
        <v/>
      </c>
      <c r="S78" s="282">
        <f>IF(A78="",0,J78+0.0028)</f>
        <v/>
      </c>
      <c r="T78" s="253" t="n"/>
      <c r="U78" s="253" t="n"/>
      <c r="V78" s="253" t="n"/>
      <c r="W78" s="253" t="n"/>
      <c r="X78" s="253" t="n"/>
      <c r="Y78" s="253" t="n"/>
      <c r="Z78" s="253" t="n"/>
    </row>
    <row r="79" ht="24" customHeight="1" s="280">
      <c r="A79" s="69">
        <f>IF('Supplier Register'!A79="","",'Supplier Register'!A79)</f>
        <v/>
      </c>
      <c r="B79" s="70">
        <f>IF(A79="","",IFERROR(VLOOKUP(A79,'Supplier Register'!$A$6:$L$105,2,FALSE),""))</f>
        <v/>
      </c>
      <c r="C79" s="70">
        <f>IF(A79="","",IFERROR(VLOOKUP(A79,'Supplier Register'!$A$6:$L$105,3,FALSE),""))</f>
        <v/>
      </c>
      <c r="D79" s="70">
        <f>IF(A79="","",IFERROR(VLOOKUP(A79,'Supplier Register'!$A$6:$L$105,5,FALSE),""))</f>
        <v/>
      </c>
      <c r="E79" s="303">
        <f>IF(A79="","",IFERROR(VLOOKUP(A79,'Supplier Register'!$A$6:$L$105,6,FALSE),""))</f>
        <v/>
      </c>
      <c r="F79" s="308">
        <f>IF(A79="","",IFERROR(ROUND(AVERAGEIF('360 Score Entry'!$A$6:$A$105,A79,'360 Score Entry'!$O$6:$O$105),1),""))</f>
        <v/>
      </c>
      <c r="G79" s="287">
        <f>IF(A79="","",COUNTIFS('Risk Event Register'!$A$6:$A$205,A79,'Risk Event Register'!$J$6:$J$205,"&lt;&gt;Closed"))</f>
        <v/>
      </c>
      <c r="H79" s="287">
        <f>IF(A79="","",IFERROR(MAXIFS('Risk Event Register'!$I$6:$I$205,'Risk Event Register'!$A$6:$A$205,A79,'Risk Event Register'!$J$6:$J$205,"&lt;&gt;Closed"),0))</f>
        <v/>
      </c>
      <c r="I79" s="287">
        <f>IF(A79="","",IF(D79="Critical",10,IF(D79="Important",5,0)))</f>
        <v/>
      </c>
      <c r="J79" s="287">
        <f>IF(A79="","",MIN(100,H79+I79))</f>
        <v/>
      </c>
      <c r="K79" s="70">
        <f>IF(F79="","",IF(F79&gt;='Settings'!$H$7,"A Preferred",IF(F79&gt;='Settings'!$H$8,"B Qualified",IF(F79&gt;='Settings'!$H$9,"C Needs Improvement","D Not Qualified"))))</f>
        <v/>
      </c>
      <c r="L79" s="70">
        <f>IF(A79="","",IF(J79&lt;='Settings'!$I$7,"Low Risk",IF(J79&lt;='Settings'!$I$8,"Medium Risk",IF(J79&lt;='Settings'!$I$9,"High Risk","Critical Risk"))))</f>
        <v/>
      </c>
      <c r="M79" s="70">
        <f>IF(F79="","",IF(OR(J79&gt;'Settings'!$I$9,F79&lt;'Settings'!$H$9),"D Pause onboarding / restrict purchases",IF(OR(J79&gt;'Settings'!$I$8,F79&lt;'Settings'!$H$8),"C Time-bound remediation / enhanced approval",IF(OR(J79&gt;'Settings'!$I$7,F79&lt;'Settings'!$H$7),"B Qualified / continuous monitoring","A Preferred / eligible to expand"))))</f>
        <v/>
      </c>
      <c r="N79" s="70">
        <f>IF(M79="","",IF(LEFT(M79,1)="A","Add to preferred list; eligible for expanded share or strategic cooperation",IF(LEFT(M79,1)="B","Maintain cooperation; monitor key indicators quarterly",IF(LEFT(M79,1)="C","Start remediation plan; major purchases require procurement, quality, and legal joint approval","Pause new project onboarding; start alternate supplier and exit plan"))))</f>
        <v/>
      </c>
      <c r="O79" s="287">
        <f>IF(M79="","",IF(LEFT(M79,1)="A",'Settings'!$K$7,IF(LEFT(M79,1)="B",'Settings'!$K$8,IF(LEFT(M79,1)="C",'Settings'!$K$9,'Settings'!$K$10))))</f>
        <v/>
      </c>
      <c r="P79" s="304">
        <f>IF(M79="","",IF(Q79="",TODAY(),Q79)+O79)</f>
        <v/>
      </c>
      <c r="Q79" s="304">
        <f>IF(A79="","",IFERROR(MAXIFS('360 Score Entry'!$C$6:$C$105,'360 Score Entry'!$A$6:$A$105,A79),""))</f>
        <v/>
      </c>
      <c r="R79" s="71">
        <f>IF(A79="","",IF(G79=0,"No open events","Review Risk Event Register; close the highest-risk item first"))</f>
        <v/>
      </c>
      <c r="S79" s="282">
        <f>IF(A79="",0,J79+0.0027)</f>
        <v/>
      </c>
      <c r="T79" s="253" t="n"/>
      <c r="U79" s="253" t="n"/>
      <c r="V79" s="253" t="n"/>
      <c r="W79" s="253" t="n"/>
      <c r="X79" s="253" t="n"/>
      <c r="Y79" s="253" t="n"/>
      <c r="Z79" s="253" t="n"/>
    </row>
    <row r="80" ht="24" customHeight="1" s="280">
      <c r="A80" s="69">
        <f>IF('Supplier Register'!A80="","",'Supplier Register'!A80)</f>
        <v/>
      </c>
      <c r="B80" s="70">
        <f>IF(A80="","",IFERROR(VLOOKUP(A80,'Supplier Register'!$A$6:$L$105,2,FALSE),""))</f>
        <v/>
      </c>
      <c r="C80" s="70">
        <f>IF(A80="","",IFERROR(VLOOKUP(A80,'Supplier Register'!$A$6:$L$105,3,FALSE),""))</f>
        <v/>
      </c>
      <c r="D80" s="70">
        <f>IF(A80="","",IFERROR(VLOOKUP(A80,'Supplier Register'!$A$6:$L$105,5,FALSE),""))</f>
        <v/>
      </c>
      <c r="E80" s="303">
        <f>IF(A80="","",IFERROR(VLOOKUP(A80,'Supplier Register'!$A$6:$L$105,6,FALSE),""))</f>
        <v/>
      </c>
      <c r="F80" s="308">
        <f>IF(A80="","",IFERROR(ROUND(AVERAGEIF('360 Score Entry'!$A$6:$A$105,A80,'360 Score Entry'!$O$6:$O$105),1),""))</f>
        <v/>
      </c>
      <c r="G80" s="287">
        <f>IF(A80="","",COUNTIFS('Risk Event Register'!$A$6:$A$205,A80,'Risk Event Register'!$J$6:$J$205,"&lt;&gt;Closed"))</f>
        <v/>
      </c>
      <c r="H80" s="287">
        <f>IF(A80="","",IFERROR(MAXIFS('Risk Event Register'!$I$6:$I$205,'Risk Event Register'!$A$6:$A$205,A80,'Risk Event Register'!$J$6:$J$205,"&lt;&gt;Closed"),0))</f>
        <v/>
      </c>
      <c r="I80" s="287">
        <f>IF(A80="","",IF(D80="Critical",10,IF(D80="Important",5,0)))</f>
        <v/>
      </c>
      <c r="J80" s="287">
        <f>IF(A80="","",MIN(100,H80+I80))</f>
        <v/>
      </c>
      <c r="K80" s="70">
        <f>IF(F80="","",IF(F80&gt;='Settings'!$H$7,"A Preferred",IF(F80&gt;='Settings'!$H$8,"B Qualified",IF(F80&gt;='Settings'!$H$9,"C Needs Improvement","D Not Qualified"))))</f>
        <v/>
      </c>
      <c r="L80" s="70">
        <f>IF(A80="","",IF(J80&lt;='Settings'!$I$7,"Low Risk",IF(J80&lt;='Settings'!$I$8,"Medium Risk",IF(J80&lt;='Settings'!$I$9,"High Risk","Critical Risk"))))</f>
        <v/>
      </c>
      <c r="M80" s="70">
        <f>IF(F80="","",IF(OR(J80&gt;'Settings'!$I$9,F80&lt;'Settings'!$H$9),"D Pause onboarding / restrict purchases",IF(OR(J80&gt;'Settings'!$I$8,F80&lt;'Settings'!$H$8),"C Time-bound remediation / enhanced approval",IF(OR(J80&gt;'Settings'!$I$7,F80&lt;'Settings'!$H$7),"B Qualified / continuous monitoring","A Preferred / eligible to expand"))))</f>
        <v/>
      </c>
      <c r="N80" s="70">
        <f>IF(M80="","",IF(LEFT(M80,1)="A","Add to preferred list; eligible for expanded share or strategic cooperation",IF(LEFT(M80,1)="B","Maintain cooperation; monitor key indicators quarterly",IF(LEFT(M80,1)="C","Start remediation plan; major purchases require procurement, quality, and legal joint approval","Pause new project onboarding; start alternate supplier and exit plan"))))</f>
        <v/>
      </c>
      <c r="O80" s="287">
        <f>IF(M80="","",IF(LEFT(M80,1)="A",'Settings'!$K$7,IF(LEFT(M80,1)="B",'Settings'!$K$8,IF(LEFT(M80,1)="C",'Settings'!$K$9,'Settings'!$K$10))))</f>
        <v/>
      </c>
      <c r="P80" s="304">
        <f>IF(M80="","",IF(Q80="",TODAY(),Q80)+O80)</f>
        <v/>
      </c>
      <c r="Q80" s="304">
        <f>IF(A80="","",IFERROR(MAXIFS('360 Score Entry'!$C$6:$C$105,'360 Score Entry'!$A$6:$A$105,A80),""))</f>
        <v/>
      </c>
      <c r="R80" s="71">
        <f>IF(A80="","",IF(G80=0,"No open events","Review Risk Event Register; close the highest-risk item first"))</f>
        <v/>
      </c>
      <c r="S80" s="282">
        <f>IF(A80="",0,J80+0.0026)</f>
        <v/>
      </c>
      <c r="T80" s="253" t="n"/>
      <c r="U80" s="253" t="n"/>
      <c r="V80" s="253" t="n"/>
      <c r="W80" s="253" t="n"/>
      <c r="X80" s="253" t="n"/>
      <c r="Y80" s="253" t="n"/>
      <c r="Z80" s="253" t="n"/>
    </row>
    <row r="81" ht="24" customHeight="1" s="280">
      <c r="A81" s="69">
        <f>IF('Supplier Register'!A81="","",'Supplier Register'!A81)</f>
        <v/>
      </c>
      <c r="B81" s="70">
        <f>IF(A81="","",IFERROR(VLOOKUP(A81,'Supplier Register'!$A$6:$L$105,2,FALSE),""))</f>
        <v/>
      </c>
      <c r="C81" s="70">
        <f>IF(A81="","",IFERROR(VLOOKUP(A81,'Supplier Register'!$A$6:$L$105,3,FALSE),""))</f>
        <v/>
      </c>
      <c r="D81" s="70">
        <f>IF(A81="","",IFERROR(VLOOKUP(A81,'Supplier Register'!$A$6:$L$105,5,FALSE),""))</f>
        <v/>
      </c>
      <c r="E81" s="303">
        <f>IF(A81="","",IFERROR(VLOOKUP(A81,'Supplier Register'!$A$6:$L$105,6,FALSE),""))</f>
        <v/>
      </c>
      <c r="F81" s="308">
        <f>IF(A81="","",IFERROR(ROUND(AVERAGEIF('360 Score Entry'!$A$6:$A$105,A81,'360 Score Entry'!$O$6:$O$105),1),""))</f>
        <v/>
      </c>
      <c r="G81" s="287">
        <f>IF(A81="","",COUNTIFS('Risk Event Register'!$A$6:$A$205,A81,'Risk Event Register'!$J$6:$J$205,"&lt;&gt;Closed"))</f>
        <v/>
      </c>
      <c r="H81" s="287">
        <f>IF(A81="","",IFERROR(MAXIFS('Risk Event Register'!$I$6:$I$205,'Risk Event Register'!$A$6:$A$205,A81,'Risk Event Register'!$J$6:$J$205,"&lt;&gt;Closed"),0))</f>
        <v/>
      </c>
      <c r="I81" s="287">
        <f>IF(A81="","",IF(D81="Critical",10,IF(D81="Important",5,0)))</f>
        <v/>
      </c>
      <c r="J81" s="287">
        <f>IF(A81="","",MIN(100,H81+I81))</f>
        <v/>
      </c>
      <c r="K81" s="70">
        <f>IF(F81="","",IF(F81&gt;='Settings'!$H$7,"A Preferred",IF(F81&gt;='Settings'!$H$8,"B Qualified",IF(F81&gt;='Settings'!$H$9,"C Needs Improvement","D Not Qualified"))))</f>
        <v/>
      </c>
      <c r="L81" s="70">
        <f>IF(A81="","",IF(J81&lt;='Settings'!$I$7,"Low Risk",IF(J81&lt;='Settings'!$I$8,"Medium Risk",IF(J81&lt;='Settings'!$I$9,"High Risk","Critical Risk"))))</f>
        <v/>
      </c>
      <c r="M81" s="70">
        <f>IF(F81="","",IF(OR(J81&gt;'Settings'!$I$9,F81&lt;'Settings'!$H$9),"D Pause onboarding / restrict purchases",IF(OR(J81&gt;'Settings'!$I$8,F81&lt;'Settings'!$H$8),"C Time-bound remediation / enhanced approval",IF(OR(J81&gt;'Settings'!$I$7,F81&lt;'Settings'!$H$7),"B Qualified / continuous monitoring","A Preferred / eligible to expand"))))</f>
        <v/>
      </c>
      <c r="N81" s="70">
        <f>IF(M81="","",IF(LEFT(M81,1)="A","Add to preferred list; eligible for expanded share or strategic cooperation",IF(LEFT(M81,1)="B","Maintain cooperation; monitor key indicators quarterly",IF(LEFT(M81,1)="C","Start remediation plan; major purchases require procurement, quality, and legal joint approval","Pause new project onboarding; start alternate supplier and exit plan"))))</f>
        <v/>
      </c>
      <c r="O81" s="287">
        <f>IF(M81="","",IF(LEFT(M81,1)="A",'Settings'!$K$7,IF(LEFT(M81,1)="B",'Settings'!$K$8,IF(LEFT(M81,1)="C",'Settings'!$K$9,'Settings'!$K$10))))</f>
        <v/>
      </c>
      <c r="P81" s="304">
        <f>IF(M81="","",IF(Q81="",TODAY(),Q81)+O81)</f>
        <v/>
      </c>
      <c r="Q81" s="304">
        <f>IF(A81="","",IFERROR(MAXIFS('360 Score Entry'!$C$6:$C$105,'360 Score Entry'!$A$6:$A$105,A81),""))</f>
        <v/>
      </c>
      <c r="R81" s="71">
        <f>IF(A81="","",IF(G81=0,"No open events","Review Risk Event Register; close the highest-risk item first"))</f>
        <v/>
      </c>
      <c r="S81" s="282">
        <f>IF(A81="",0,J81+0.0025)</f>
        <v/>
      </c>
      <c r="T81" s="253" t="n"/>
      <c r="U81" s="253" t="n"/>
      <c r="V81" s="253" t="n"/>
      <c r="W81" s="253" t="n"/>
      <c r="X81" s="253" t="n"/>
      <c r="Y81" s="253" t="n"/>
      <c r="Z81" s="253" t="n"/>
    </row>
    <row r="82" ht="24" customHeight="1" s="280">
      <c r="A82" s="69">
        <f>IF('Supplier Register'!A82="","",'Supplier Register'!A82)</f>
        <v/>
      </c>
      <c r="B82" s="70">
        <f>IF(A82="","",IFERROR(VLOOKUP(A82,'Supplier Register'!$A$6:$L$105,2,FALSE),""))</f>
        <v/>
      </c>
      <c r="C82" s="70">
        <f>IF(A82="","",IFERROR(VLOOKUP(A82,'Supplier Register'!$A$6:$L$105,3,FALSE),""))</f>
        <v/>
      </c>
      <c r="D82" s="70">
        <f>IF(A82="","",IFERROR(VLOOKUP(A82,'Supplier Register'!$A$6:$L$105,5,FALSE),""))</f>
        <v/>
      </c>
      <c r="E82" s="303">
        <f>IF(A82="","",IFERROR(VLOOKUP(A82,'Supplier Register'!$A$6:$L$105,6,FALSE),""))</f>
        <v/>
      </c>
      <c r="F82" s="308">
        <f>IF(A82="","",IFERROR(ROUND(AVERAGEIF('360 Score Entry'!$A$6:$A$105,A82,'360 Score Entry'!$O$6:$O$105),1),""))</f>
        <v/>
      </c>
      <c r="G82" s="287">
        <f>IF(A82="","",COUNTIFS('Risk Event Register'!$A$6:$A$205,A82,'Risk Event Register'!$J$6:$J$205,"&lt;&gt;Closed"))</f>
        <v/>
      </c>
      <c r="H82" s="287">
        <f>IF(A82="","",IFERROR(MAXIFS('Risk Event Register'!$I$6:$I$205,'Risk Event Register'!$A$6:$A$205,A82,'Risk Event Register'!$J$6:$J$205,"&lt;&gt;Closed"),0))</f>
        <v/>
      </c>
      <c r="I82" s="287">
        <f>IF(A82="","",IF(D82="Critical",10,IF(D82="Important",5,0)))</f>
        <v/>
      </c>
      <c r="J82" s="287">
        <f>IF(A82="","",MIN(100,H82+I82))</f>
        <v/>
      </c>
      <c r="K82" s="70">
        <f>IF(F82="","",IF(F82&gt;='Settings'!$H$7,"A Preferred",IF(F82&gt;='Settings'!$H$8,"B Qualified",IF(F82&gt;='Settings'!$H$9,"C Needs Improvement","D Not Qualified"))))</f>
        <v/>
      </c>
      <c r="L82" s="70">
        <f>IF(A82="","",IF(J82&lt;='Settings'!$I$7,"Low Risk",IF(J82&lt;='Settings'!$I$8,"Medium Risk",IF(J82&lt;='Settings'!$I$9,"High Risk","Critical Risk"))))</f>
        <v/>
      </c>
      <c r="M82" s="70">
        <f>IF(F82="","",IF(OR(J82&gt;'Settings'!$I$9,F82&lt;'Settings'!$H$9),"D Pause onboarding / restrict purchases",IF(OR(J82&gt;'Settings'!$I$8,F82&lt;'Settings'!$H$8),"C Time-bound remediation / enhanced approval",IF(OR(J82&gt;'Settings'!$I$7,F82&lt;'Settings'!$H$7),"B Qualified / continuous monitoring","A Preferred / eligible to expand"))))</f>
        <v/>
      </c>
      <c r="N82" s="70">
        <f>IF(M82="","",IF(LEFT(M82,1)="A","Add to preferred list; eligible for expanded share or strategic cooperation",IF(LEFT(M82,1)="B","Maintain cooperation; monitor key indicators quarterly",IF(LEFT(M82,1)="C","Start remediation plan; major purchases require procurement, quality, and legal joint approval","Pause new project onboarding; start alternate supplier and exit plan"))))</f>
        <v/>
      </c>
      <c r="O82" s="287">
        <f>IF(M82="","",IF(LEFT(M82,1)="A",'Settings'!$K$7,IF(LEFT(M82,1)="B",'Settings'!$K$8,IF(LEFT(M82,1)="C",'Settings'!$K$9,'Settings'!$K$10))))</f>
        <v/>
      </c>
      <c r="P82" s="304">
        <f>IF(M82="","",IF(Q82="",TODAY(),Q82)+O82)</f>
        <v/>
      </c>
      <c r="Q82" s="304">
        <f>IF(A82="","",IFERROR(MAXIFS('360 Score Entry'!$C$6:$C$105,'360 Score Entry'!$A$6:$A$105,A82),""))</f>
        <v/>
      </c>
      <c r="R82" s="71">
        <f>IF(A82="","",IF(G82=0,"No open events","Review Risk Event Register; close the highest-risk item first"))</f>
        <v/>
      </c>
      <c r="S82" s="282">
        <f>IF(A82="",0,J82+0.0024)</f>
        <v/>
      </c>
      <c r="T82" s="253" t="n"/>
      <c r="U82" s="253" t="n"/>
      <c r="V82" s="253" t="n"/>
      <c r="W82" s="253" t="n"/>
      <c r="X82" s="253" t="n"/>
      <c r="Y82" s="253" t="n"/>
      <c r="Z82" s="253" t="n"/>
    </row>
    <row r="83" ht="24" customHeight="1" s="280">
      <c r="A83" s="69">
        <f>IF('Supplier Register'!A83="","",'Supplier Register'!A83)</f>
        <v/>
      </c>
      <c r="B83" s="70">
        <f>IF(A83="","",IFERROR(VLOOKUP(A83,'Supplier Register'!$A$6:$L$105,2,FALSE),""))</f>
        <v/>
      </c>
      <c r="C83" s="70">
        <f>IF(A83="","",IFERROR(VLOOKUP(A83,'Supplier Register'!$A$6:$L$105,3,FALSE),""))</f>
        <v/>
      </c>
      <c r="D83" s="70">
        <f>IF(A83="","",IFERROR(VLOOKUP(A83,'Supplier Register'!$A$6:$L$105,5,FALSE),""))</f>
        <v/>
      </c>
      <c r="E83" s="303">
        <f>IF(A83="","",IFERROR(VLOOKUP(A83,'Supplier Register'!$A$6:$L$105,6,FALSE),""))</f>
        <v/>
      </c>
      <c r="F83" s="308">
        <f>IF(A83="","",IFERROR(ROUND(AVERAGEIF('360 Score Entry'!$A$6:$A$105,A83,'360 Score Entry'!$O$6:$O$105),1),""))</f>
        <v/>
      </c>
      <c r="G83" s="287">
        <f>IF(A83="","",COUNTIFS('Risk Event Register'!$A$6:$A$205,A83,'Risk Event Register'!$J$6:$J$205,"&lt;&gt;Closed"))</f>
        <v/>
      </c>
      <c r="H83" s="287">
        <f>IF(A83="","",IFERROR(MAXIFS('Risk Event Register'!$I$6:$I$205,'Risk Event Register'!$A$6:$A$205,A83,'Risk Event Register'!$J$6:$J$205,"&lt;&gt;Closed"),0))</f>
        <v/>
      </c>
      <c r="I83" s="287">
        <f>IF(A83="","",IF(D83="Critical",10,IF(D83="Important",5,0)))</f>
        <v/>
      </c>
      <c r="J83" s="287">
        <f>IF(A83="","",MIN(100,H83+I83))</f>
        <v/>
      </c>
      <c r="K83" s="70">
        <f>IF(F83="","",IF(F83&gt;='Settings'!$H$7,"A Preferred",IF(F83&gt;='Settings'!$H$8,"B Qualified",IF(F83&gt;='Settings'!$H$9,"C Needs Improvement","D Not Qualified"))))</f>
        <v/>
      </c>
      <c r="L83" s="70">
        <f>IF(A83="","",IF(J83&lt;='Settings'!$I$7,"Low Risk",IF(J83&lt;='Settings'!$I$8,"Medium Risk",IF(J83&lt;='Settings'!$I$9,"High Risk","Critical Risk"))))</f>
        <v/>
      </c>
      <c r="M83" s="70">
        <f>IF(F83="","",IF(OR(J83&gt;'Settings'!$I$9,F83&lt;'Settings'!$H$9),"D Pause onboarding / restrict purchases",IF(OR(J83&gt;'Settings'!$I$8,F83&lt;'Settings'!$H$8),"C Time-bound remediation / enhanced approval",IF(OR(J83&gt;'Settings'!$I$7,F83&lt;'Settings'!$H$7),"B Qualified / continuous monitoring","A Preferred / eligible to expand"))))</f>
        <v/>
      </c>
      <c r="N83" s="70">
        <f>IF(M83="","",IF(LEFT(M83,1)="A","Add to preferred list; eligible for expanded share or strategic cooperation",IF(LEFT(M83,1)="B","Maintain cooperation; monitor key indicators quarterly",IF(LEFT(M83,1)="C","Start remediation plan; major purchases require procurement, quality, and legal joint approval","Pause new project onboarding; start alternate supplier and exit plan"))))</f>
        <v/>
      </c>
      <c r="O83" s="287">
        <f>IF(M83="","",IF(LEFT(M83,1)="A",'Settings'!$K$7,IF(LEFT(M83,1)="B",'Settings'!$K$8,IF(LEFT(M83,1)="C",'Settings'!$K$9,'Settings'!$K$10))))</f>
        <v/>
      </c>
      <c r="P83" s="304">
        <f>IF(M83="","",IF(Q83="",TODAY(),Q83)+O83)</f>
        <v/>
      </c>
      <c r="Q83" s="304">
        <f>IF(A83="","",IFERROR(MAXIFS('360 Score Entry'!$C$6:$C$105,'360 Score Entry'!$A$6:$A$105,A83),""))</f>
        <v/>
      </c>
      <c r="R83" s="71">
        <f>IF(A83="","",IF(G83=0,"No open events","Review Risk Event Register; close the highest-risk item first"))</f>
        <v/>
      </c>
      <c r="S83" s="282">
        <f>IF(A83="",0,J83+0.0023)</f>
        <v/>
      </c>
      <c r="T83" s="253" t="n"/>
      <c r="U83" s="253" t="n"/>
      <c r="V83" s="253" t="n"/>
      <c r="W83" s="253" t="n"/>
      <c r="X83" s="253" t="n"/>
      <c r="Y83" s="253" t="n"/>
      <c r="Z83" s="253" t="n"/>
    </row>
    <row r="84" ht="24" customHeight="1" s="280">
      <c r="A84" s="69">
        <f>IF('Supplier Register'!A84="","",'Supplier Register'!A84)</f>
        <v/>
      </c>
      <c r="B84" s="70">
        <f>IF(A84="","",IFERROR(VLOOKUP(A84,'Supplier Register'!$A$6:$L$105,2,FALSE),""))</f>
        <v/>
      </c>
      <c r="C84" s="70">
        <f>IF(A84="","",IFERROR(VLOOKUP(A84,'Supplier Register'!$A$6:$L$105,3,FALSE),""))</f>
        <v/>
      </c>
      <c r="D84" s="70">
        <f>IF(A84="","",IFERROR(VLOOKUP(A84,'Supplier Register'!$A$6:$L$105,5,FALSE),""))</f>
        <v/>
      </c>
      <c r="E84" s="303">
        <f>IF(A84="","",IFERROR(VLOOKUP(A84,'Supplier Register'!$A$6:$L$105,6,FALSE),""))</f>
        <v/>
      </c>
      <c r="F84" s="308">
        <f>IF(A84="","",IFERROR(ROUND(AVERAGEIF('360 Score Entry'!$A$6:$A$105,A84,'360 Score Entry'!$O$6:$O$105),1),""))</f>
        <v/>
      </c>
      <c r="G84" s="287">
        <f>IF(A84="","",COUNTIFS('Risk Event Register'!$A$6:$A$205,A84,'Risk Event Register'!$J$6:$J$205,"&lt;&gt;Closed"))</f>
        <v/>
      </c>
      <c r="H84" s="287">
        <f>IF(A84="","",IFERROR(MAXIFS('Risk Event Register'!$I$6:$I$205,'Risk Event Register'!$A$6:$A$205,A84,'Risk Event Register'!$J$6:$J$205,"&lt;&gt;Closed"),0))</f>
        <v/>
      </c>
      <c r="I84" s="287">
        <f>IF(A84="","",IF(D84="Critical",10,IF(D84="Important",5,0)))</f>
        <v/>
      </c>
      <c r="J84" s="287">
        <f>IF(A84="","",MIN(100,H84+I84))</f>
        <v/>
      </c>
      <c r="K84" s="70">
        <f>IF(F84="","",IF(F84&gt;='Settings'!$H$7,"A Preferred",IF(F84&gt;='Settings'!$H$8,"B Qualified",IF(F84&gt;='Settings'!$H$9,"C Needs Improvement","D Not Qualified"))))</f>
        <v/>
      </c>
      <c r="L84" s="70">
        <f>IF(A84="","",IF(J84&lt;='Settings'!$I$7,"Low Risk",IF(J84&lt;='Settings'!$I$8,"Medium Risk",IF(J84&lt;='Settings'!$I$9,"High Risk","Critical Risk"))))</f>
        <v/>
      </c>
      <c r="M84" s="70">
        <f>IF(F84="","",IF(OR(J84&gt;'Settings'!$I$9,F84&lt;'Settings'!$H$9),"D Pause onboarding / restrict purchases",IF(OR(J84&gt;'Settings'!$I$8,F84&lt;'Settings'!$H$8),"C Time-bound remediation / enhanced approval",IF(OR(J84&gt;'Settings'!$I$7,F84&lt;'Settings'!$H$7),"B Qualified / continuous monitoring","A Preferred / eligible to expand"))))</f>
        <v/>
      </c>
      <c r="N84" s="70">
        <f>IF(M84="","",IF(LEFT(M84,1)="A","Add to preferred list; eligible for expanded share or strategic cooperation",IF(LEFT(M84,1)="B","Maintain cooperation; monitor key indicators quarterly",IF(LEFT(M84,1)="C","Start remediation plan; major purchases require procurement, quality, and legal joint approval","Pause new project onboarding; start alternate supplier and exit plan"))))</f>
        <v/>
      </c>
      <c r="O84" s="287">
        <f>IF(M84="","",IF(LEFT(M84,1)="A",'Settings'!$K$7,IF(LEFT(M84,1)="B",'Settings'!$K$8,IF(LEFT(M84,1)="C",'Settings'!$K$9,'Settings'!$K$10))))</f>
        <v/>
      </c>
      <c r="P84" s="304">
        <f>IF(M84="","",IF(Q84="",TODAY(),Q84)+O84)</f>
        <v/>
      </c>
      <c r="Q84" s="304">
        <f>IF(A84="","",IFERROR(MAXIFS('360 Score Entry'!$C$6:$C$105,'360 Score Entry'!$A$6:$A$105,A84),""))</f>
        <v/>
      </c>
      <c r="R84" s="71">
        <f>IF(A84="","",IF(G84=0,"No open events","Review Risk Event Register; close the highest-risk item first"))</f>
        <v/>
      </c>
      <c r="S84" s="282">
        <f>IF(A84="",0,J84+0.0022)</f>
        <v/>
      </c>
      <c r="T84" s="253" t="n"/>
      <c r="U84" s="253" t="n"/>
      <c r="V84" s="253" t="n"/>
      <c r="W84" s="253" t="n"/>
      <c r="X84" s="253" t="n"/>
      <c r="Y84" s="253" t="n"/>
      <c r="Z84" s="253" t="n"/>
    </row>
    <row r="85" ht="24" customHeight="1" s="280">
      <c r="A85" s="69">
        <f>IF('Supplier Register'!A85="","",'Supplier Register'!A85)</f>
        <v/>
      </c>
      <c r="B85" s="70">
        <f>IF(A85="","",IFERROR(VLOOKUP(A85,'Supplier Register'!$A$6:$L$105,2,FALSE),""))</f>
        <v/>
      </c>
      <c r="C85" s="70">
        <f>IF(A85="","",IFERROR(VLOOKUP(A85,'Supplier Register'!$A$6:$L$105,3,FALSE),""))</f>
        <v/>
      </c>
      <c r="D85" s="70">
        <f>IF(A85="","",IFERROR(VLOOKUP(A85,'Supplier Register'!$A$6:$L$105,5,FALSE),""))</f>
        <v/>
      </c>
      <c r="E85" s="303">
        <f>IF(A85="","",IFERROR(VLOOKUP(A85,'Supplier Register'!$A$6:$L$105,6,FALSE),""))</f>
        <v/>
      </c>
      <c r="F85" s="308">
        <f>IF(A85="","",IFERROR(ROUND(AVERAGEIF('360 Score Entry'!$A$6:$A$105,A85,'360 Score Entry'!$O$6:$O$105),1),""))</f>
        <v/>
      </c>
      <c r="G85" s="287">
        <f>IF(A85="","",COUNTIFS('Risk Event Register'!$A$6:$A$205,A85,'Risk Event Register'!$J$6:$J$205,"&lt;&gt;Closed"))</f>
        <v/>
      </c>
      <c r="H85" s="287">
        <f>IF(A85="","",IFERROR(MAXIFS('Risk Event Register'!$I$6:$I$205,'Risk Event Register'!$A$6:$A$205,A85,'Risk Event Register'!$J$6:$J$205,"&lt;&gt;Closed"),0))</f>
        <v/>
      </c>
      <c r="I85" s="287">
        <f>IF(A85="","",IF(D85="Critical",10,IF(D85="Important",5,0)))</f>
        <v/>
      </c>
      <c r="J85" s="287">
        <f>IF(A85="","",MIN(100,H85+I85))</f>
        <v/>
      </c>
      <c r="K85" s="70">
        <f>IF(F85="","",IF(F85&gt;='Settings'!$H$7,"A Preferred",IF(F85&gt;='Settings'!$H$8,"B Qualified",IF(F85&gt;='Settings'!$H$9,"C Needs Improvement","D Not Qualified"))))</f>
        <v/>
      </c>
      <c r="L85" s="70">
        <f>IF(A85="","",IF(J85&lt;='Settings'!$I$7,"Low Risk",IF(J85&lt;='Settings'!$I$8,"Medium Risk",IF(J85&lt;='Settings'!$I$9,"High Risk","Critical Risk"))))</f>
        <v/>
      </c>
      <c r="M85" s="70">
        <f>IF(F85="","",IF(OR(J85&gt;'Settings'!$I$9,F85&lt;'Settings'!$H$9),"D Pause onboarding / restrict purchases",IF(OR(J85&gt;'Settings'!$I$8,F85&lt;'Settings'!$H$8),"C Time-bound remediation / enhanced approval",IF(OR(J85&gt;'Settings'!$I$7,F85&lt;'Settings'!$H$7),"B Qualified / continuous monitoring","A Preferred / eligible to expand"))))</f>
        <v/>
      </c>
      <c r="N85" s="70">
        <f>IF(M85="","",IF(LEFT(M85,1)="A","Add to preferred list; eligible for expanded share or strategic cooperation",IF(LEFT(M85,1)="B","Maintain cooperation; monitor key indicators quarterly",IF(LEFT(M85,1)="C","Start remediation plan; major purchases require procurement, quality, and legal joint approval","Pause new project onboarding; start alternate supplier and exit plan"))))</f>
        <v/>
      </c>
      <c r="O85" s="287">
        <f>IF(M85="","",IF(LEFT(M85,1)="A",'Settings'!$K$7,IF(LEFT(M85,1)="B",'Settings'!$K$8,IF(LEFT(M85,1)="C",'Settings'!$K$9,'Settings'!$K$10))))</f>
        <v/>
      </c>
      <c r="P85" s="304">
        <f>IF(M85="","",IF(Q85="",TODAY(),Q85)+O85)</f>
        <v/>
      </c>
      <c r="Q85" s="304">
        <f>IF(A85="","",IFERROR(MAXIFS('360 Score Entry'!$C$6:$C$105,'360 Score Entry'!$A$6:$A$105,A85),""))</f>
        <v/>
      </c>
      <c r="R85" s="71">
        <f>IF(A85="","",IF(G85=0,"No open events","Review Risk Event Register; close the highest-risk item first"))</f>
        <v/>
      </c>
      <c r="S85" s="282">
        <f>IF(A85="",0,J85+0.0021)</f>
        <v/>
      </c>
      <c r="T85" s="253" t="n"/>
      <c r="U85" s="253" t="n"/>
      <c r="V85" s="253" t="n"/>
      <c r="W85" s="253" t="n"/>
      <c r="X85" s="253" t="n"/>
      <c r="Y85" s="253" t="n"/>
      <c r="Z85" s="253" t="n"/>
    </row>
    <row r="86" ht="24" customHeight="1" s="280">
      <c r="A86" s="69">
        <f>IF('Supplier Register'!A86="","",'Supplier Register'!A86)</f>
        <v/>
      </c>
      <c r="B86" s="70">
        <f>IF(A86="","",IFERROR(VLOOKUP(A86,'Supplier Register'!$A$6:$L$105,2,FALSE),""))</f>
        <v/>
      </c>
      <c r="C86" s="70">
        <f>IF(A86="","",IFERROR(VLOOKUP(A86,'Supplier Register'!$A$6:$L$105,3,FALSE),""))</f>
        <v/>
      </c>
      <c r="D86" s="70">
        <f>IF(A86="","",IFERROR(VLOOKUP(A86,'Supplier Register'!$A$6:$L$105,5,FALSE),""))</f>
        <v/>
      </c>
      <c r="E86" s="303">
        <f>IF(A86="","",IFERROR(VLOOKUP(A86,'Supplier Register'!$A$6:$L$105,6,FALSE),""))</f>
        <v/>
      </c>
      <c r="F86" s="308">
        <f>IF(A86="","",IFERROR(ROUND(AVERAGEIF('360 Score Entry'!$A$6:$A$105,A86,'360 Score Entry'!$O$6:$O$105),1),""))</f>
        <v/>
      </c>
      <c r="G86" s="287">
        <f>IF(A86="","",COUNTIFS('Risk Event Register'!$A$6:$A$205,A86,'Risk Event Register'!$J$6:$J$205,"&lt;&gt;Closed"))</f>
        <v/>
      </c>
      <c r="H86" s="287">
        <f>IF(A86="","",IFERROR(MAXIFS('Risk Event Register'!$I$6:$I$205,'Risk Event Register'!$A$6:$A$205,A86,'Risk Event Register'!$J$6:$J$205,"&lt;&gt;Closed"),0))</f>
        <v/>
      </c>
      <c r="I86" s="287">
        <f>IF(A86="","",IF(D86="Critical",10,IF(D86="Important",5,0)))</f>
        <v/>
      </c>
      <c r="J86" s="287">
        <f>IF(A86="","",MIN(100,H86+I86))</f>
        <v/>
      </c>
      <c r="K86" s="70">
        <f>IF(F86="","",IF(F86&gt;='Settings'!$H$7,"A Preferred",IF(F86&gt;='Settings'!$H$8,"B Qualified",IF(F86&gt;='Settings'!$H$9,"C Needs Improvement","D Not Qualified"))))</f>
        <v/>
      </c>
      <c r="L86" s="70">
        <f>IF(A86="","",IF(J86&lt;='Settings'!$I$7,"Low Risk",IF(J86&lt;='Settings'!$I$8,"Medium Risk",IF(J86&lt;='Settings'!$I$9,"High Risk","Critical Risk"))))</f>
        <v/>
      </c>
      <c r="M86" s="70">
        <f>IF(F86="","",IF(OR(J86&gt;'Settings'!$I$9,F86&lt;'Settings'!$H$9),"D Pause onboarding / restrict purchases",IF(OR(J86&gt;'Settings'!$I$8,F86&lt;'Settings'!$H$8),"C Time-bound remediation / enhanced approval",IF(OR(J86&gt;'Settings'!$I$7,F86&lt;'Settings'!$H$7),"B Qualified / continuous monitoring","A Preferred / eligible to expand"))))</f>
        <v/>
      </c>
      <c r="N86" s="70">
        <f>IF(M86="","",IF(LEFT(M86,1)="A","Add to preferred list; eligible for expanded share or strategic cooperation",IF(LEFT(M86,1)="B","Maintain cooperation; monitor key indicators quarterly",IF(LEFT(M86,1)="C","Start remediation plan; major purchases require procurement, quality, and legal joint approval","Pause new project onboarding; start alternate supplier and exit plan"))))</f>
        <v/>
      </c>
      <c r="O86" s="287">
        <f>IF(M86="","",IF(LEFT(M86,1)="A",'Settings'!$K$7,IF(LEFT(M86,1)="B",'Settings'!$K$8,IF(LEFT(M86,1)="C",'Settings'!$K$9,'Settings'!$K$10))))</f>
        <v/>
      </c>
      <c r="P86" s="304">
        <f>IF(M86="","",IF(Q86="",TODAY(),Q86)+O86)</f>
        <v/>
      </c>
      <c r="Q86" s="304">
        <f>IF(A86="","",IFERROR(MAXIFS('360 Score Entry'!$C$6:$C$105,'360 Score Entry'!$A$6:$A$105,A86),""))</f>
        <v/>
      </c>
      <c r="R86" s="71">
        <f>IF(A86="","",IF(G86=0,"No open events","Review Risk Event Register; close the highest-risk item first"))</f>
        <v/>
      </c>
      <c r="S86" s="282">
        <f>IF(A86="",0,J86+0.0020)</f>
        <v/>
      </c>
      <c r="T86" s="253" t="n"/>
      <c r="U86" s="253" t="n"/>
      <c r="V86" s="253" t="n"/>
      <c r="W86" s="253" t="n"/>
      <c r="X86" s="253" t="n"/>
      <c r="Y86" s="253" t="n"/>
      <c r="Z86" s="253" t="n"/>
    </row>
    <row r="87" ht="24" customHeight="1" s="280">
      <c r="A87" s="69">
        <f>IF('Supplier Register'!A87="","",'Supplier Register'!A87)</f>
        <v/>
      </c>
      <c r="B87" s="70">
        <f>IF(A87="","",IFERROR(VLOOKUP(A87,'Supplier Register'!$A$6:$L$105,2,FALSE),""))</f>
        <v/>
      </c>
      <c r="C87" s="70">
        <f>IF(A87="","",IFERROR(VLOOKUP(A87,'Supplier Register'!$A$6:$L$105,3,FALSE),""))</f>
        <v/>
      </c>
      <c r="D87" s="70">
        <f>IF(A87="","",IFERROR(VLOOKUP(A87,'Supplier Register'!$A$6:$L$105,5,FALSE),""))</f>
        <v/>
      </c>
      <c r="E87" s="303">
        <f>IF(A87="","",IFERROR(VLOOKUP(A87,'Supplier Register'!$A$6:$L$105,6,FALSE),""))</f>
        <v/>
      </c>
      <c r="F87" s="308">
        <f>IF(A87="","",IFERROR(ROUND(AVERAGEIF('360 Score Entry'!$A$6:$A$105,A87,'360 Score Entry'!$O$6:$O$105),1),""))</f>
        <v/>
      </c>
      <c r="G87" s="287">
        <f>IF(A87="","",COUNTIFS('Risk Event Register'!$A$6:$A$205,A87,'Risk Event Register'!$J$6:$J$205,"&lt;&gt;Closed"))</f>
        <v/>
      </c>
      <c r="H87" s="287">
        <f>IF(A87="","",IFERROR(MAXIFS('Risk Event Register'!$I$6:$I$205,'Risk Event Register'!$A$6:$A$205,A87,'Risk Event Register'!$J$6:$J$205,"&lt;&gt;Closed"),0))</f>
        <v/>
      </c>
      <c r="I87" s="287">
        <f>IF(A87="","",IF(D87="Critical",10,IF(D87="Important",5,0)))</f>
        <v/>
      </c>
      <c r="J87" s="287">
        <f>IF(A87="","",MIN(100,H87+I87))</f>
        <v/>
      </c>
      <c r="K87" s="70">
        <f>IF(F87="","",IF(F87&gt;='Settings'!$H$7,"A Preferred",IF(F87&gt;='Settings'!$H$8,"B Qualified",IF(F87&gt;='Settings'!$H$9,"C Needs Improvement","D Not Qualified"))))</f>
        <v/>
      </c>
      <c r="L87" s="70">
        <f>IF(A87="","",IF(J87&lt;='Settings'!$I$7,"Low Risk",IF(J87&lt;='Settings'!$I$8,"Medium Risk",IF(J87&lt;='Settings'!$I$9,"High Risk","Critical Risk"))))</f>
        <v/>
      </c>
      <c r="M87" s="70">
        <f>IF(F87="","",IF(OR(J87&gt;'Settings'!$I$9,F87&lt;'Settings'!$H$9),"D Pause onboarding / restrict purchases",IF(OR(J87&gt;'Settings'!$I$8,F87&lt;'Settings'!$H$8),"C Time-bound remediation / enhanced approval",IF(OR(J87&gt;'Settings'!$I$7,F87&lt;'Settings'!$H$7),"B Qualified / continuous monitoring","A Preferred / eligible to expand"))))</f>
        <v/>
      </c>
      <c r="N87" s="70">
        <f>IF(M87="","",IF(LEFT(M87,1)="A","Add to preferred list; eligible for expanded share or strategic cooperation",IF(LEFT(M87,1)="B","Maintain cooperation; monitor key indicators quarterly",IF(LEFT(M87,1)="C","Start remediation plan; major purchases require procurement, quality, and legal joint approval","Pause new project onboarding; start alternate supplier and exit plan"))))</f>
        <v/>
      </c>
      <c r="O87" s="287">
        <f>IF(M87="","",IF(LEFT(M87,1)="A",'Settings'!$K$7,IF(LEFT(M87,1)="B",'Settings'!$K$8,IF(LEFT(M87,1)="C",'Settings'!$K$9,'Settings'!$K$10))))</f>
        <v/>
      </c>
      <c r="P87" s="304">
        <f>IF(M87="","",IF(Q87="",TODAY(),Q87)+O87)</f>
        <v/>
      </c>
      <c r="Q87" s="304">
        <f>IF(A87="","",IFERROR(MAXIFS('360 Score Entry'!$C$6:$C$105,'360 Score Entry'!$A$6:$A$105,A87),""))</f>
        <v/>
      </c>
      <c r="R87" s="71">
        <f>IF(A87="","",IF(G87=0,"No open events","Review Risk Event Register; close the highest-risk item first"))</f>
        <v/>
      </c>
      <c r="S87" s="282">
        <f>IF(A87="",0,J87+0.0019)</f>
        <v/>
      </c>
      <c r="T87" s="253" t="n"/>
      <c r="U87" s="253" t="n"/>
      <c r="V87" s="253" t="n"/>
      <c r="W87" s="253" t="n"/>
      <c r="X87" s="253" t="n"/>
      <c r="Y87" s="253" t="n"/>
      <c r="Z87" s="253" t="n"/>
    </row>
    <row r="88" ht="24" customHeight="1" s="280">
      <c r="A88" s="69">
        <f>IF('Supplier Register'!A88="","",'Supplier Register'!A88)</f>
        <v/>
      </c>
      <c r="B88" s="70">
        <f>IF(A88="","",IFERROR(VLOOKUP(A88,'Supplier Register'!$A$6:$L$105,2,FALSE),""))</f>
        <v/>
      </c>
      <c r="C88" s="70">
        <f>IF(A88="","",IFERROR(VLOOKUP(A88,'Supplier Register'!$A$6:$L$105,3,FALSE),""))</f>
        <v/>
      </c>
      <c r="D88" s="70">
        <f>IF(A88="","",IFERROR(VLOOKUP(A88,'Supplier Register'!$A$6:$L$105,5,FALSE),""))</f>
        <v/>
      </c>
      <c r="E88" s="303">
        <f>IF(A88="","",IFERROR(VLOOKUP(A88,'Supplier Register'!$A$6:$L$105,6,FALSE),""))</f>
        <v/>
      </c>
      <c r="F88" s="308">
        <f>IF(A88="","",IFERROR(ROUND(AVERAGEIF('360 Score Entry'!$A$6:$A$105,A88,'360 Score Entry'!$O$6:$O$105),1),""))</f>
        <v/>
      </c>
      <c r="G88" s="287">
        <f>IF(A88="","",COUNTIFS('Risk Event Register'!$A$6:$A$205,A88,'Risk Event Register'!$J$6:$J$205,"&lt;&gt;Closed"))</f>
        <v/>
      </c>
      <c r="H88" s="287">
        <f>IF(A88="","",IFERROR(MAXIFS('Risk Event Register'!$I$6:$I$205,'Risk Event Register'!$A$6:$A$205,A88,'Risk Event Register'!$J$6:$J$205,"&lt;&gt;Closed"),0))</f>
        <v/>
      </c>
      <c r="I88" s="287">
        <f>IF(A88="","",IF(D88="Critical",10,IF(D88="Important",5,0)))</f>
        <v/>
      </c>
      <c r="J88" s="287">
        <f>IF(A88="","",MIN(100,H88+I88))</f>
        <v/>
      </c>
      <c r="K88" s="70">
        <f>IF(F88="","",IF(F88&gt;='Settings'!$H$7,"A Preferred",IF(F88&gt;='Settings'!$H$8,"B Qualified",IF(F88&gt;='Settings'!$H$9,"C Needs Improvement","D Not Qualified"))))</f>
        <v/>
      </c>
      <c r="L88" s="70">
        <f>IF(A88="","",IF(J88&lt;='Settings'!$I$7,"Low Risk",IF(J88&lt;='Settings'!$I$8,"Medium Risk",IF(J88&lt;='Settings'!$I$9,"High Risk","Critical Risk"))))</f>
        <v/>
      </c>
      <c r="M88" s="70">
        <f>IF(F88="","",IF(OR(J88&gt;'Settings'!$I$9,F88&lt;'Settings'!$H$9),"D Pause onboarding / restrict purchases",IF(OR(J88&gt;'Settings'!$I$8,F88&lt;'Settings'!$H$8),"C Time-bound remediation / enhanced approval",IF(OR(J88&gt;'Settings'!$I$7,F88&lt;'Settings'!$H$7),"B Qualified / continuous monitoring","A Preferred / eligible to expand"))))</f>
        <v/>
      </c>
      <c r="N88" s="70">
        <f>IF(M88="","",IF(LEFT(M88,1)="A","Add to preferred list; eligible for expanded share or strategic cooperation",IF(LEFT(M88,1)="B","Maintain cooperation; monitor key indicators quarterly",IF(LEFT(M88,1)="C","Start remediation plan; major purchases require procurement, quality, and legal joint approval","Pause new project onboarding; start alternate supplier and exit plan"))))</f>
        <v/>
      </c>
      <c r="O88" s="287">
        <f>IF(M88="","",IF(LEFT(M88,1)="A",'Settings'!$K$7,IF(LEFT(M88,1)="B",'Settings'!$K$8,IF(LEFT(M88,1)="C",'Settings'!$K$9,'Settings'!$K$10))))</f>
        <v/>
      </c>
      <c r="P88" s="304">
        <f>IF(M88="","",IF(Q88="",TODAY(),Q88)+O88)</f>
        <v/>
      </c>
      <c r="Q88" s="304">
        <f>IF(A88="","",IFERROR(MAXIFS('360 Score Entry'!$C$6:$C$105,'360 Score Entry'!$A$6:$A$105,A88),""))</f>
        <v/>
      </c>
      <c r="R88" s="71">
        <f>IF(A88="","",IF(G88=0,"No open events","Review Risk Event Register; close the highest-risk item first"))</f>
        <v/>
      </c>
      <c r="S88" s="282">
        <f>IF(A88="",0,J88+0.0018)</f>
        <v/>
      </c>
      <c r="T88" s="253" t="n"/>
      <c r="U88" s="253" t="n"/>
      <c r="V88" s="253" t="n"/>
      <c r="W88" s="253" t="n"/>
      <c r="X88" s="253" t="n"/>
      <c r="Y88" s="253" t="n"/>
      <c r="Z88" s="253" t="n"/>
    </row>
    <row r="89" ht="24" customHeight="1" s="280">
      <c r="A89" s="69">
        <f>IF('Supplier Register'!A89="","",'Supplier Register'!A89)</f>
        <v/>
      </c>
      <c r="B89" s="70">
        <f>IF(A89="","",IFERROR(VLOOKUP(A89,'Supplier Register'!$A$6:$L$105,2,FALSE),""))</f>
        <v/>
      </c>
      <c r="C89" s="70">
        <f>IF(A89="","",IFERROR(VLOOKUP(A89,'Supplier Register'!$A$6:$L$105,3,FALSE),""))</f>
        <v/>
      </c>
      <c r="D89" s="70">
        <f>IF(A89="","",IFERROR(VLOOKUP(A89,'Supplier Register'!$A$6:$L$105,5,FALSE),""))</f>
        <v/>
      </c>
      <c r="E89" s="303">
        <f>IF(A89="","",IFERROR(VLOOKUP(A89,'Supplier Register'!$A$6:$L$105,6,FALSE),""))</f>
        <v/>
      </c>
      <c r="F89" s="308">
        <f>IF(A89="","",IFERROR(ROUND(AVERAGEIF('360 Score Entry'!$A$6:$A$105,A89,'360 Score Entry'!$O$6:$O$105),1),""))</f>
        <v/>
      </c>
      <c r="G89" s="287">
        <f>IF(A89="","",COUNTIFS('Risk Event Register'!$A$6:$A$205,A89,'Risk Event Register'!$J$6:$J$205,"&lt;&gt;Closed"))</f>
        <v/>
      </c>
      <c r="H89" s="287">
        <f>IF(A89="","",IFERROR(MAXIFS('Risk Event Register'!$I$6:$I$205,'Risk Event Register'!$A$6:$A$205,A89,'Risk Event Register'!$J$6:$J$205,"&lt;&gt;Closed"),0))</f>
        <v/>
      </c>
      <c r="I89" s="287">
        <f>IF(A89="","",IF(D89="Critical",10,IF(D89="Important",5,0)))</f>
        <v/>
      </c>
      <c r="J89" s="287">
        <f>IF(A89="","",MIN(100,H89+I89))</f>
        <v/>
      </c>
      <c r="K89" s="70">
        <f>IF(F89="","",IF(F89&gt;='Settings'!$H$7,"A Preferred",IF(F89&gt;='Settings'!$H$8,"B Qualified",IF(F89&gt;='Settings'!$H$9,"C Needs Improvement","D Not Qualified"))))</f>
        <v/>
      </c>
      <c r="L89" s="70">
        <f>IF(A89="","",IF(J89&lt;='Settings'!$I$7,"Low Risk",IF(J89&lt;='Settings'!$I$8,"Medium Risk",IF(J89&lt;='Settings'!$I$9,"High Risk","Critical Risk"))))</f>
        <v/>
      </c>
      <c r="M89" s="70">
        <f>IF(F89="","",IF(OR(J89&gt;'Settings'!$I$9,F89&lt;'Settings'!$H$9),"D Pause onboarding / restrict purchases",IF(OR(J89&gt;'Settings'!$I$8,F89&lt;'Settings'!$H$8),"C Time-bound remediation / enhanced approval",IF(OR(J89&gt;'Settings'!$I$7,F89&lt;'Settings'!$H$7),"B Qualified / continuous monitoring","A Preferred / eligible to expand"))))</f>
        <v/>
      </c>
      <c r="N89" s="70">
        <f>IF(M89="","",IF(LEFT(M89,1)="A","Add to preferred list; eligible for expanded share or strategic cooperation",IF(LEFT(M89,1)="B","Maintain cooperation; monitor key indicators quarterly",IF(LEFT(M89,1)="C","Start remediation plan; major purchases require procurement, quality, and legal joint approval","Pause new project onboarding; start alternate supplier and exit plan"))))</f>
        <v/>
      </c>
      <c r="O89" s="287">
        <f>IF(M89="","",IF(LEFT(M89,1)="A",'Settings'!$K$7,IF(LEFT(M89,1)="B",'Settings'!$K$8,IF(LEFT(M89,1)="C",'Settings'!$K$9,'Settings'!$K$10))))</f>
        <v/>
      </c>
      <c r="P89" s="304">
        <f>IF(M89="","",IF(Q89="",TODAY(),Q89)+O89)</f>
        <v/>
      </c>
      <c r="Q89" s="304">
        <f>IF(A89="","",IFERROR(MAXIFS('360 Score Entry'!$C$6:$C$105,'360 Score Entry'!$A$6:$A$105,A89),""))</f>
        <v/>
      </c>
      <c r="R89" s="71">
        <f>IF(A89="","",IF(G89=0,"No open events","Review Risk Event Register; close the highest-risk item first"))</f>
        <v/>
      </c>
      <c r="S89" s="282">
        <f>IF(A89="",0,J89+0.0017)</f>
        <v/>
      </c>
      <c r="T89" s="253" t="n"/>
      <c r="U89" s="253" t="n"/>
      <c r="V89" s="253" t="n"/>
      <c r="W89" s="253" t="n"/>
      <c r="X89" s="253" t="n"/>
      <c r="Y89" s="253" t="n"/>
      <c r="Z89" s="253" t="n"/>
    </row>
    <row r="90" ht="24" customHeight="1" s="280">
      <c r="A90" s="69">
        <f>IF('Supplier Register'!A90="","",'Supplier Register'!A90)</f>
        <v/>
      </c>
      <c r="B90" s="70">
        <f>IF(A90="","",IFERROR(VLOOKUP(A90,'Supplier Register'!$A$6:$L$105,2,FALSE),""))</f>
        <v/>
      </c>
      <c r="C90" s="70">
        <f>IF(A90="","",IFERROR(VLOOKUP(A90,'Supplier Register'!$A$6:$L$105,3,FALSE),""))</f>
        <v/>
      </c>
      <c r="D90" s="70">
        <f>IF(A90="","",IFERROR(VLOOKUP(A90,'Supplier Register'!$A$6:$L$105,5,FALSE),""))</f>
        <v/>
      </c>
      <c r="E90" s="303">
        <f>IF(A90="","",IFERROR(VLOOKUP(A90,'Supplier Register'!$A$6:$L$105,6,FALSE),""))</f>
        <v/>
      </c>
      <c r="F90" s="308">
        <f>IF(A90="","",IFERROR(ROUND(AVERAGEIF('360 Score Entry'!$A$6:$A$105,A90,'360 Score Entry'!$O$6:$O$105),1),""))</f>
        <v/>
      </c>
      <c r="G90" s="287">
        <f>IF(A90="","",COUNTIFS('Risk Event Register'!$A$6:$A$205,A90,'Risk Event Register'!$J$6:$J$205,"&lt;&gt;Closed"))</f>
        <v/>
      </c>
      <c r="H90" s="287">
        <f>IF(A90="","",IFERROR(MAXIFS('Risk Event Register'!$I$6:$I$205,'Risk Event Register'!$A$6:$A$205,A90,'Risk Event Register'!$J$6:$J$205,"&lt;&gt;Closed"),0))</f>
        <v/>
      </c>
      <c r="I90" s="287">
        <f>IF(A90="","",IF(D90="Critical",10,IF(D90="Important",5,0)))</f>
        <v/>
      </c>
      <c r="J90" s="287">
        <f>IF(A90="","",MIN(100,H90+I90))</f>
        <v/>
      </c>
      <c r="K90" s="70">
        <f>IF(F90="","",IF(F90&gt;='Settings'!$H$7,"A Preferred",IF(F90&gt;='Settings'!$H$8,"B Qualified",IF(F90&gt;='Settings'!$H$9,"C Needs Improvement","D Not Qualified"))))</f>
        <v/>
      </c>
      <c r="L90" s="70">
        <f>IF(A90="","",IF(J90&lt;='Settings'!$I$7,"Low Risk",IF(J90&lt;='Settings'!$I$8,"Medium Risk",IF(J90&lt;='Settings'!$I$9,"High Risk","Critical Risk"))))</f>
        <v/>
      </c>
      <c r="M90" s="70">
        <f>IF(F90="","",IF(OR(J90&gt;'Settings'!$I$9,F90&lt;'Settings'!$H$9),"D Pause onboarding / restrict purchases",IF(OR(J90&gt;'Settings'!$I$8,F90&lt;'Settings'!$H$8),"C Time-bound remediation / enhanced approval",IF(OR(J90&gt;'Settings'!$I$7,F90&lt;'Settings'!$H$7),"B Qualified / continuous monitoring","A Preferred / eligible to expand"))))</f>
        <v/>
      </c>
      <c r="N90" s="70">
        <f>IF(M90="","",IF(LEFT(M90,1)="A","Add to preferred list; eligible for expanded share or strategic cooperation",IF(LEFT(M90,1)="B","Maintain cooperation; monitor key indicators quarterly",IF(LEFT(M90,1)="C","Start remediation plan; major purchases require procurement, quality, and legal joint approval","Pause new project onboarding; start alternate supplier and exit plan"))))</f>
        <v/>
      </c>
      <c r="O90" s="287">
        <f>IF(M90="","",IF(LEFT(M90,1)="A",'Settings'!$K$7,IF(LEFT(M90,1)="B",'Settings'!$K$8,IF(LEFT(M90,1)="C",'Settings'!$K$9,'Settings'!$K$10))))</f>
        <v/>
      </c>
      <c r="P90" s="304">
        <f>IF(M90="","",IF(Q90="",TODAY(),Q90)+O90)</f>
        <v/>
      </c>
      <c r="Q90" s="304">
        <f>IF(A90="","",IFERROR(MAXIFS('360 Score Entry'!$C$6:$C$105,'360 Score Entry'!$A$6:$A$105,A90),""))</f>
        <v/>
      </c>
      <c r="R90" s="71">
        <f>IF(A90="","",IF(G90=0,"No open events","Review Risk Event Register; close the highest-risk item first"))</f>
        <v/>
      </c>
      <c r="S90" s="282">
        <f>IF(A90="",0,J90+0.0016)</f>
        <v/>
      </c>
      <c r="T90" s="253" t="n"/>
      <c r="U90" s="253" t="n"/>
      <c r="V90" s="253" t="n"/>
      <c r="W90" s="253" t="n"/>
      <c r="X90" s="253" t="n"/>
      <c r="Y90" s="253" t="n"/>
      <c r="Z90" s="253" t="n"/>
    </row>
    <row r="91" ht="24" customHeight="1" s="280">
      <c r="A91" s="69">
        <f>IF('Supplier Register'!A91="","",'Supplier Register'!A91)</f>
        <v/>
      </c>
      <c r="B91" s="70">
        <f>IF(A91="","",IFERROR(VLOOKUP(A91,'Supplier Register'!$A$6:$L$105,2,FALSE),""))</f>
        <v/>
      </c>
      <c r="C91" s="70">
        <f>IF(A91="","",IFERROR(VLOOKUP(A91,'Supplier Register'!$A$6:$L$105,3,FALSE),""))</f>
        <v/>
      </c>
      <c r="D91" s="70">
        <f>IF(A91="","",IFERROR(VLOOKUP(A91,'Supplier Register'!$A$6:$L$105,5,FALSE),""))</f>
        <v/>
      </c>
      <c r="E91" s="303">
        <f>IF(A91="","",IFERROR(VLOOKUP(A91,'Supplier Register'!$A$6:$L$105,6,FALSE),""))</f>
        <v/>
      </c>
      <c r="F91" s="308">
        <f>IF(A91="","",IFERROR(ROUND(AVERAGEIF('360 Score Entry'!$A$6:$A$105,A91,'360 Score Entry'!$O$6:$O$105),1),""))</f>
        <v/>
      </c>
      <c r="G91" s="287">
        <f>IF(A91="","",COUNTIFS('Risk Event Register'!$A$6:$A$205,A91,'Risk Event Register'!$J$6:$J$205,"&lt;&gt;Closed"))</f>
        <v/>
      </c>
      <c r="H91" s="287">
        <f>IF(A91="","",IFERROR(MAXIFS('Risk Event Register'!$I$6:$I$205,'Risk Event Register'!$A$6:$A$205,A91,'Risk Event Register'!$J$6:$J$205,"&lt;&gt;Closed"),0))</f>
        <v/>
      </c>
      <c r="I91" s="287">
        <f>IF(A91="","",IF(D91="Critical",10,IF(D91="Important",5,0)))</f>
        <v/>
      </c>
      <c r="J91" s="287">
        <f>IF(A91="","",MIN(100,H91+I91))</f>
        <v/>
      </c>
      <c r="K91" s="70">
        <f>IF(F91="","",IF(F91&gt;='Settings'!$H$7,"A Preferred",IF(F91&gt;='Settings'!$H$8,"B Qualified",IF(F91&gt;='Settings'!$H$9,"C Needs Improvement","D Not Qualified"))))</f>
        <v/>
      </c>
      <c r="L91" s="70">
        <f>IF(A91="","",IF(J91&lt;='Settings'!$I$7,"Low Risk",IF(J91&lt;='Settings'!$I$8,"Medium Risk",IF(J91&lt;='Settings'!$I$9,"High Risk","Critical Risk"))))</f>
        <v/>
      </c>
      <c r="M91" s="70">
        <f>IF(F91="","",IF(OR(J91&gt;'Settings'!$I$9,F91&lt;'Settings'!$H$9),"D Pause onboarding / restrict purchases",IF(OR(J91&gt;'Settings'!$I$8,F91&lt;'Settings'!$H$8),"C Time-bound remediation / enhanced approval",IF(OR(J91&gt;'Settings'!$I$7,F91&lt;'Settings'!$H$7),"B Qualified / continuous monitoring","A Preferred / eligible to expand"))))</f>
        <v/>
      </c>
      <c r="N91" s="70">
        <f>IF(M91="","",IF(LEFT(M91,1)="A","Add to preferred list; eligible for expanded share or strategic cooperation",IF(LEFT(M91,1)="B","Maintain cooperation; monitor key indicators quarterly",IF(LEFT(M91,1)="C","Start remediation plan; major purchases require procurement, quality, and legal joint approval","Pause new project onboarding; start alternate supplier and exit plan"))))</f>
        <v/>
      </c>
      <c r="O91" s="287">
        <f>IF(M91="","",IF(LEFT(M91,1)="A",'Settings'!$K$7,IF(LEFT(M91,1)="B",'Settings'!$K$8,IF(LEFT(M91,1)="C",'Settings'!$K$9,'Settings'!$K$10))))</f>
        <v/>
      </c>
      <c r="P91" s="304">
        <f>IF(M91="","",IF(Q91="",TODAY(),Q91)+O91)</f>
        <v/>
      </c>
      <c r="Q91" s="304">
        <f>IF(A91="","",IFERROR(MAXIFS('360 Score Entry'!$C$6:$C$105,'360 Score Entry'!$A$6:$A$105,A91),""))</f>
        <v/>
      </c>
      <c r="R91" s="71">
        <f>IF(A91="","",IF(G91=0,"No open events","Review Risk Event Register; close the highest-risk item first"))</f>
        <v/>
      </c>
      <c r="S91" s="282">
        <f>IF(A91="",0,J91+0.0015)</f>
        <v/>
      </c>
      <c r="T91" s="253" t="n"/>
      <c r="U91" s="253" t="n"/>
      <c r="V91" s="253" t="n"/>
      <c r="W91" s="253" t="n"/>
      <c r="X91" s="253" t="n"/>
      <c r="Y91" s="253" t="n"/>
      <c r="Z91" s="253" t="n"/>
    </row>
    <row r="92" ht="24" customHeight="1" s="280">
      <c r="A92" s="69">
        <f>IF('Supplier Register'!A92="","",'Supplier Register'!A92)</f>
        <v/>
      </c>
      <c r="B92" s="70">
        <f>IF(A92="","",IFERROR(VLOOKUP(A92,'Supplier Register'!$A$6:$L$105,2,FALSE),""))</f>
        <v/>
      </c>
      <c r="C92" s="70">
        <f>IF(A92="","",IFERROR(VLOOKUP(A92,'Supplier Register'!$A$6:$L$105,3,FALSE),""))</f>
        <v/>
      </c>
      <c r="D92" s="70">
        <f>IF(A92="","",IFERROR(VLOOKUP(A92,'Supplier Register'!$A$6:$L$105,5,FALSE),""))</f>
        <v/>
      </c>
      <c r="E92" s="303">
        <f>IF(A92="","",IFERROR(VLOOKUP(A92,'Supplier Register'!$A$6:$L$105,6,FALSE),""))</f>
        <v/>
      </c>
      <c r="F92" s="308">
        <f>IF(A92="","",IFERROR(ROUND(AVERAGEIF('360 Score Entry'!$A$6:$A$105,A92,'360 Score Entry'!$O$6:$O$105),1),""))</f>
        <v/>
      </c>
      <c r="G92" s="287">
        <f>IF(A92="","",COUNTIFS('Risk Event Register'!$A$6:$A$205,A92,'Risk Event Register'!$J$6:$J$205,"&lt;&gt;Closed"))</f>
        <v/>
      </c>
      <c r="H92" s="287">
        <f>IF(A92="","",IFERROR(MAXIFS('Risk Event Register'!$I$6:$I$205,'Risk Event Register'!$A$6:$A$205,A92,'Risk Event Register'!$J$6:$J$205,"&lt;&gt;Closed"),0))</f>
        <v/>
      </c>
      <c r="I92" s="287">
        <f>IF(A92="","",IF(D92="Critical",10,IF(D92="Important",5,0)))</f>
        <v/>
      </c>
      <c r="J92" s="287">
        <f>IF(A92="","",MIN(100,H92+I92))</f>
        <v/>
      </c>
      <c r="K92" s="70">
        <f>IF(F92="","",IF(F92&gt;='Settings'!$H$7,"A Preferred",IF(F92&gt;='Settings'!$H$8,"B Qualified",IF(F92&gt;='Settings'!$H$9,"C Needs Improvement","D Not Qualified"))))</f>
        <v/>
      </c>
      <c r="L92" s="70">
        <f>IF(A92="","",IF(J92&lt;='Settings'!$I$7,"Low Risk",IF(J92&lt;='Settings'!$I$8,"Medium Risk",IF(J92&lt;='Settings'!$I$9,"High Risk","Critical Risk"))))</f>
        <v/>
      </c>
      <c r="M92" s="70">
        <f>IF(F92="","",IF(OR(J92&gt;'Settings'!$I$9,F92&lt;'Settings'!$H$9),"D Pause onboarding / restrict purchases",IF(OR(J92&gt;'Settings'!$I$8,F92&lt;'Settings'!$H$8),"C Time-bound remediation / enhanced approval",IF(OR(J92&gt;'Settings'!$I$7,F92&lt;'Settings'!$H$7),"B Qualified / continuous monitoring","A Preferred / eligible to expand"))))</f>
        <v/>
      </c>
      <c r="N92" s="70">
        <f>IF(M92="","",IF(LEFT(M92,1)="A","Add to preferred list; eligible for expanded share or strategic cooperation",IF(LEFT(M92,1)="B","Maintain cooperation; monitor key indicators quarterly",IF(LEFT(M92,1)="C","Start remediation plan; major purchases require procurement, quality, and legal joint approval","Pause new project onboarding; start alternate supplier and exit plan"))))</f>
        <v/>
      </c>
      <c r="O92" s="287">
        <f>IF(M92="","",IF(LEFT(M92,1)="A",'Settings'!$K$7,IF(LEFT(M92,1)="B",'Settings'!$K$8,IF(LEFT(M92,1)="C",'Settings'!$K$9,'Settings'!$K$10))))</f>
        <v/>
      </c>
      <c r="P92" s="304">
        <f>IF(M92="","",IF(Q92="",TODAY(),Q92)+O92)</f>
        <v/>
      </c>
      <c r="Q92" s="304">
        <f>IF(A92="","",IFERROR(MAXIFS('360 Score Entry'!$C$6:$C$105,'360 Score Entry'!$A$6:$A$105,A92),""))</f>
        <v/>
      </c>
      <c r="R92" s="71">
        <f>IF(A92="","",IF(G92=0,"No open events","Review Risk Event Register; close the highest-risk item first"))</f>
        <v/>
      </c>
      <c r="S92" s="282">
        <f>IF(A92="",0,J92+0.0014)</f>
        <v/>
      </c>
      <c r="T92" s="253" t="n"/>
      <c r="U92" s="253" t="n"/>
      <c r="V92" s="253" t="n"/>
      <c r="W92" s="253" t="n"/>
      <c r="X92" s="253" t="n"/>
      <c r="Y92" s="253" t="n"/>
      <c r="Z92" s="253" t="n"/>
    </row>
    <row r="93" ht="24" customHeight="1" s="280">
      <c r="A93" s="69">
        <f>IF('Supplier Register'!A93="","",'Supplier Register'!A93)</f>
        <v/>
      </c>
      <c r="B93" s="70">
        <f>IF(A93="","",IFERROR(VLOOKUP(A93,'Supplier Register'!$A$6:$L$105,2,FALSE),""))</f>
        <v/>
      </c>
      <c r="C93" s="70">
        <f>IF(A93="","",IFERROR(VLOOKUP(A93,'Supplier Register'!$A$6:$L$105,3,FALSE),""))</f>
        <v/>
      </c>
      <c r="D93" s="70">
        <f>IF(A93="","",IFERROR(VLOOKUP(A93,'Supplier Register'!$A$6:$L$105,5,FALSE),""))</f>
        <v/>
      </c>
      <c r="E93" s="303">
        <f>IF(A93="","",IFERROR(VLOOKUP(A93,'Supplier Register'!$A$6:$L$105,6,FALSE),""))</f>
        <v/>
      </c>
      <c r="F93" s="308">
        <f>IF(A93="","",IFERROR(ROUND(AVERAGEIF('360 Score Entry'!$A$6:$A$105,A93,'360 Score Entry'!$O$6:$O$105),1),""))</f>
        <v/>
      </c>
      <c r="G93" s="287">
        <f>IF(A93="","",COUNTIFS('Risk Event Register'!$A$6:$A$205,A93,'Risk Event Register'!$J$6:$J$205,"&lt;&gt;Closed"))</f>
        <v/>
      </c>
      <c r="H93" s="287">
        <f>IF(A93="","",IFERROR(MAXIFS('Risk Event Register'!$I$6:$I$205,'Risk Event Register'!$A$6:$A$205,A93,'Risk Event Register'!$J$6:$J$205,"&lt;&gt;Closed"),0))</f>
        <v/>
      </c>
      <c r="I93" s="287">
        <f>IF(A93="","",IF(D93="Critical",10,IF(D93="Important",5,0)))</f>
        <v/>
      </c>
      <c r="J93" s="287">
        <f>IF(A93="","",MIN(100,H93+I93))</f>
        <v/>
      </c>
      <c r="K93" s="70">
        <f>IF(F93="","",IF(F93&gt;='Settings'!$H$7,"A Preferred",IF(F93&gt;='Settings'!$H$8,"B Qualified",IF(F93&gt;='Settings'!$H$9,"C Needs Improvement","D Not Qualified"))))</f>
        <v/>
      </c>
      <c r="L93" s="70">
        <f>IF(A93="","",IF(J93&lt;='Settings'!$I$7,"Low Risk",IF(J93&lt;='Settings'!$I$8,"Medium Risk",IF(J93&lt;='Settings'!$I$9,"High Risk","Critical Risk"))))</f>
        <v/>
      </c>
      <c r="M93" s="70">
        <f>IF(F93="","",IF(OR(J93&gt;'Settings'!$I$9,F93&lt;'Settings'!$H$9),"D Pause onboarding / restrict purchases",IF(OR(J93&gt;'Settings'!$I$8,F93&lt;'Settings'!$H$8),"C Time-bound remediation / enhanced approval",IF(OR(J93&gt;'Settings'!$I$7,F93&lt;'Settings'!$H$7),"B Qualified / continuous monitoring","A Preferred / eligible to expand"))))</f>
        <v/>
      </c>
      <c r="N93" s="70">
        <f>IF(M93="","",IF(LEFT(M93,1)="A","Add to preferred list; eligible for expanded share or strategic cooperation",IF(LEFT(M93,1)="B","Maintain cooperation; monitor key indicators quarterly",IF(LEFT(M93,1)="C","Start remediation plan; major purchases require procurement, quality, and legal joint approval","Pause new project onboarding; start alternate supplier and exit plan"))))</f>
        <v/>
      </c>
      <c r="O93" s="287">
        <f>IF(M93="","",IF(LEFT(M93,1)="A",'Settings'!$K$7,IF(LEFT(M93,1)="B",'Settings'!$K$8,IF(LEFT(M93,1)="C",'Settings'!$K$9,'Settings'!$K$10))))</f>
        <v/>
      </c>
      <c r="P93" s="304">
        <f>IF(M93="","",IF(Q93="",TODAY(),Q93)+O93)</f>
        <v/>
      </c>
      <c r="Q93" s="304">
        <f>IF(A93="","",IFERROR(MAXIFS('360 Score Entry'!$C$6:$C$105,'360 Score Entry'!$A$6:$A$105,A93),""))</f>
        <v/>
      </c>
      <c r="R93" s="71">
        <f>IF(A93="","",IF(G93=0,"No open events","Review Risk Event Register; close the highest-risk item first"))</f>
        <v/>
      </c>
      <c r="S93" s="282">
        <f>IF(A93="",0,J93+0.0013)</f>
        <v/>
      </c>
      <c r="T93" s="253" t="n"/>
      <c r="U93" s="253" t="n"/>
      <c r="V93" s="253" t="n"/>
      <c r="W93" s="253" t="n"/>
      <c r="X93" s="253" t="n"/>
      <c r="Y93" s="253" t="n"/>
      <c r="Z93" s="253" t="n"/>
    </row>
    <row r="94" ht="24" customHeight="1" s="280">
      <c r="A94" s="69">
        <f>IF('Supplier Register'!A94="","",'Supplier Register'!A94)</f>
        <v/>
      </c>
      <c r="B94" s="70">
        <f>IF(A94="","",IFERROR(VLOOKUP(A94,'Supplier Register'!$A$6:$L$105,2,FALSE),""))</f>
        <v/>
      </c>
      <c r="C94" s="70">
        <f>IF(A94="","",IFERROR(VLOOKUP(A94,'Supplier Register'!$A$6:$L$105,3,FALSE),""))</f>
        <v/>
      </c>
      <c r="D94" s="70">
        <f>IF(A94="","",IFERROR(VLOOKUP(A94,'Supplier Register'!$A$6:$L$105,5,FALSE),""))</f>
        <v/>
      </c>
      <c r="E94" s="303">
        <f>IF(A94="","",IFERROR(VLOOKUP(A94,'Supplier Register'!$A$6:$L$105,6,FALSE),""))</f>
        <v/>
      </c>
      <c r="F94" s="308">
        <f>IF(A94="","",IFERROR(ROUND(AVERAGEIF('360 Score Entry'!$A$6:$A$105,A94,'360 Score Entry'!$O$6:$O$105),1),""))</f>
        <v/>
      </c>
      <c r="G94" s="287">
        <f>IF(A94="","",COUNTIFS('Risk Event Register'!$A$6:$A$205,A94,'Risk Event Register'!$J$6:$J$205,"&lt;&gt;Closed"))</f>
        <v/>
      </c>
      <c r="H94" s="287">
        <f>IF(A94="","",IFERROR(MAXIFS('Risk Event Register'!$I$6:$I$205,'Risk Event Register'!$A$6:$A$205,A94,'Risk Event Register'!$J$6:$J$205,"&lt;&gt;Closed"),0))</f>
        <v/>
      </c>
      <c r="I94" s="287">
        <f>IF(A94="","",IF(D94="Critical",10,IF(D94="Important",5,0)))</f>
        <v/>
      </c>
      <c r="J94" s="287">
        <f>IF(A94="","",MIN(100,H94+I94))</f>
        <v/>
      </c>
      <c r="K94" s="70">
        <f>IF(F94="","",IF(F94&gt;='Settings'!$H$7,"A Preferred",IF(F94&gt;='Settings'!$H$8,"B Qualified",IF(F94&gt;='Settings'!$H$9,"C Needs Improvement","D Not Qualified"))))</f>
        <v/>
      </c>
      <c r="L94" s="70">
        <f>IF(A94="","",IF(J94&lt;='Settings'!$I$7,"Low Risk",IF(J94&lt;='Settings'!$I$8,"Medium Risk",IF(J94&lt;='Settings'!$I$9,"High Risk","Critical Risk"))))</f>
        <v/>
      </c>
      <c r="M94" s="70">
        <f>IF(F94="","",IF(OR(J94&gt;'Settings'!$I$9,F94&lt;'Settings'!$H$9),"D Pause onboarding / restrict purchases",IF(OR(J94&gt;'Settings'!$I$8,F94&lt;'Settings'!$H$8),"C Time-bound remediation / enhanced approval",IF(OR(J94&gt;'Settings'!$I$7,F94&lt;'Settings'!$H$7),"B Qualified / continuous monitoring","A Preferred / eligible to expand"))))</f>
        <v/>
      </c>
      <c r="N94" s="70">
        <f>IF(M94="","",IF(LEFT(M94,1)="A","Add to preferred list; eligible for expanded share or strategic cooperation",IF(LEFT(M94,1)="B","Maintain cooperation; monitor key indicators quarterly",IF(LEFT(M94,1)="C","Start remediation plan; major purchases require procurement, quality, and legal joint approval","Pause new project onboarding; start alternate supplier and exit plan"))))</f>
        <v/>
      </c>
      <c r="O94" s="287">
        <f>IF(M94="","",IF(LEFT(M94,1)="A",'Settings'!$K$7,IF(LEFT(M94,1)="B",'Settings'!$K$8,IF(LEFT(M94,1)="C",'Settings'!$K$9,'Settings'!$K$10))))</f>
        <v/>
      </c>
      <c r="P94" s="304">
        <f>IF(M94="","",IF(Q94="",TODAY(),Q94)+O94)</f>
        <v/>
      </c>
      <c r="Q94" s="304">
        <f>IF(A94="","",IFERROR(MAXIFS('360 Score Entry'!$C$6:$C$105,'360 Score Entry'!$A$6:$A$105,A94),""))</f>
        <v/>
      </c>
      <c r="R94" s="71">
        <f>IF(A94="","",IF(G94=0,"No open events","Review Risk Event Register; close the highest-risk item first"))</f>
        <v/>
      </c>
      <c r="S94" s="282">
        <f>IF(A94="",0,J94+0.0012)</f>
        <v/>
      </c>
      <c r="T94" s="253" t="n"/>
      <c r="U94" s="253" t="n"/>
      <c r="V94" s="253" t="n"/>
      <c r="W94" s="253" t="n"/>
      <c r="X94" s="253" t="n"/>
      <c r="Y94" s="253" t="n"/>
      <c r="Z94" s="253" t="n"/>
    </row>
    <row r="95" ht="24" customHeight="1" s="280">
      <c r="A95" s="69">
        <f>IF('Supplier Register'!A95="","",'Supplier Register'!A95)</f>
        <v/>
      </c>
      <c r="B95" s="70">
        <f>IF(A95="","",IFERROR(VLOOKUP(A95,'Supplier Register'!$A$6:$L$105,2,FALSE),""))</f>
        <v/>
      </c>
      <c r="C95" s="70">
        <f>IF(A95="","",IFERROR(VLOOKUP(A95,'Supplier Register'!$A$6:$L$105,3,FALSE),""))</f>
        <v/>
      </c>
      <c r="D95" s="70">
        <f>IF(A95="","",IFERROR(VLOOKUP(A95,'Supplier Register'!$A$6:$L$105,5,FALSE),""))</f>
        <v/>
      </c>
      <c r="E95" s="303">
        <f>IF(A95="","",IFERROR(VLOOKUP(A95,'Supplier Register'!$A$6:$L$105,6,FALSE),""))</f>
        <v/>
      </c>
      <c r="F95" s="308">
        <f>IF(A95="","",IFERROR(ROUND(AVERAGEIF('360 Score Entry'!$A$6:$A$105,A95,'360 Score Entry'!$O$6:$O$105),1),""))</f>
        <v/>
      </c>
      <c r="G95" s="287">
        <f>IF(A95="","",COUNTIFS('Risk Event Register'!$A$6:$A$205,A95,'Risk Event Register'!$J$6:$J$205,"&lt;&gt;Closed"))</f>
        <v/>
      </c>
      <c r="H95" s="287">
        <f>IF(A95="","",IFERROR(MAXIFS('Risk Event Register'!$I$6:$I$205,'Risk Event Register'!$A$6:$A$205,A95,'Risk Event Register'!$J$6:$J$205,"&lt;&gt;Closed"),0))</f>
        <v/>
      </c>
      <c r="I95" s="287">
        <f>IF(A95="","",IF(D95="Critical",10,IF(D95="Important",5,0)))</f>
        <v/>
      </c>
      <c r="J95" s="287">
        <f>IF(A95="","",MIN(100,H95+I95))</f>
        <v/>
      </c>
      <c r="K95" s="70">
        <f>IF(F95="","",IF(F95&gt;='Settings'!$H$7,"A Preferred",IF(F95&gt;='Settings'!$H$8,"B Qualified",IF(F95&gt;='Settings'!$H$9,"C Needs Improvement","D Not Qualified"))))</f>
        <v/>
      </c>
      <c r="L95" s="70">
        <f>IF(A95="","",IF(J95&lt;='Settings'!$I$7,"Low Risk",IF(J95&lt;='Settings'!$I$8,"Medium Risk",IF(J95&lt;='Settings'!$I$9,"High Risk","Critical Risk"))))</f>
        <v/>
      </c>
      <c r="M95" s="70">
        <f>IF(F95="","",IF(OR(J95&gt;'Settings'!$I$9,F95&lt;'Settings'!$H$9),"D Pause onboarding / restrict purchases",IF(OR(J95&gt;'Settings'!$I$8,F95&lt;'Settings'!$H$8),"C Time-bound remediation / enhanced approval",IF(OR(J95&gt;'Settings'!$I$7,F95&lt;'Settings'!$H$7),"B Qualified / continuous monitoring","A Preferred / eligible to expand"))))</f>
        <v/>
      </c>
      <c r="N95" s="70">
        <f>IF(M95="","",IF(LEFT(M95,1)="A","Add to preferred list; eligible for expanded share or strategic cooperation",IF(LEFT(M95,1)="B","Maintain cooperation; monitor key indicators quarterly",IF(LEFT(M95,1)="C","Start remediation plan; major purchases require procurement, quality, and legal joint approval","Pause new project onboarding; start alternate supplier and exit plan"))))</f>
        <v/>
      </c>
      <c r="O95" s="287">
        <f>IF(M95="","",IF(LEFT(M95,1)="A",'Settings'!$K$7,IF(LEFT(M95,1)="B",'Settings'!$K$8,IF(LEFT(M95,1)="C",'Settings'!$K$9,'Settings'!$K$10))))</f>
        <v/>
      </c>
      <c r="P95" s="304">
        <f>IF(M95="","",IF(Q95="",TODAY(),Q95)+O95)</f>
        <v/>
      </c>
      <c r="Q95" s="304">
        <f>IF(A95="","",IFERROR(MAXIFS('360 Score Entry'!$C$6:$C$105,'360 Score Entry'!$A$6:$A$105,A95),""))</f>
        <v/>
      </c>
      <c r="R95" s="71">
        <f>IF(A95="","",IF(G95=0,"No open events","Review Risk Event Register; close the highest-risk item first"))</f>
        <v/>
      </c>
      <c r="S95" s="282">
        <f>IF(A95="",0,J95+0.0011)</f>
        <v/>
      </c>
      <c r="T95" s="253" t="n"/>
      <c r="U95" s="253" t="n"/>
      <c r="V95" s="253" t="n"/>
      <c r="W95" s="253" t="n"/>
      <c r="X95" s="253" t="n"/>
      <c r="Y95" s="253" t="n"/>
      <c r="Z95" s="253" t="n"/>
    </row>
    <row r="96" ht="24" customHeight="1" s="280">
      <c r="A96" s="69">
        <f>IF('Supplier Register'!A96="","",'Supplier Register'!A96)</f>
        <v/>
      </c>
      <c r="B96" s="70">
        <f>IF(A96="","",IFERROR(VLOOKUP(A96,'Supplier Register'!$A$6:$L$105,2,FALSE),""))</f>
        <v/>
      </c>
      <c r="C96" s="70">
        <f>IF(A96="","",IFERROR(VLOOKUP(A96,'Supplier Register'!$A$6:$L$105,3,FALSE),""))</f>
        <v/>
      </c>
      <c r="D96" s="70">
        <f>IF(A96="","",IFERROR(VLOOKUP(A96,'Supplier Register'!$A$6:$L$105,5,FALSE),""))</f>
        <v/>
      </c>
      <c r="E96" s="303">
        <f>IF(A96="","",IFERROR(VLOOKUP(A96,'Supplier Register'!$A$6:$L$105,6,FALSE),""))</f>
        <v/>
      </c>
      <c r="F96" s="308">
        <f>IF(A96="","",IFERROR(ROUND(AVERAGEIF('360 Score Entry'!$A$6:$A$105,A96,'360 Score Entry'!$O$6:$O$105),1),""))</f>
        <v/>
      </c>
      <c r="G96" s="287">
        <f>IF(A96="","",COUNTIFS('Risk Event Register'!$A$6:$A$205,A96,'Risk Event Register'!$J$6:$J$205,"&lt;&gt;Closed"))</f>
        <v/>
      </c>
      <c r="H96" s="287">
        <f>IF(A96="","",IFERROR(MAXIFS('Risk Event Register'!$I$6:$I$205,'Risk Event Register'!$A$6:$A$205,A96,'Risk Event Register'!$J$6:$J$205,"&lt;&gt;Closed"),0))</f>
        <v/>
      </c>
      <c r="I96" s="287">
        <f>IF(A96="","",IF(D96="Critical",10,IF(D96="Important",5,0)))</f>
        <v/>
      </c>
      <c r="J96" s="287">
        <f>IF(A96="","",MIN(100,H96+I96))</f>
        <v/>
      </c>
      <c r="K96" s="70">
        <f>IF(F96="","",IF(F96&gt;='Settings'!$H$7,"A Preferred",IF(F96&gt;='Settings'!$H$8,"B Qualified",IF(F96&gt;='Settings'!$H$9,"C Needs Improvement","D Not Qualified"))))</f>
        <v/>
      </c>
      <c r="L96" s="70">
        <f>IF(A96="","",IF(J96&lt;='Settings'!$I$7,"Low Risk",IF(J96&lt;='Settings'!$I$8,"Medium Risk",IF(J96&lt;='Settings'!$I$9,"High Risk","Critical Risk"))))</f>
        <v/>
      </c>
      <c r="M96" s="70">
        <f>IF(F96="","",IF(OR(J96&gt;'Settings'!$I$9,F96&lt;'Settings'!$H$9),"D Pause onboarding / restrict purchases",IF(OR(J96&gt;'Settings'!$I$8,F96&lt;'Settings'!$H$8),"C Time-bound remediation / enhanced approval",IF(OR(J96&gt;'Settings'!$I$7,F96&lt;'Settings'!$H$7),"B Qualified / continuous monitoring","A Preferred / eligible to expand"))))</f>
        <v/>
      </c>
      <c r="N96" s="70">
        <f>IF(M96="","",IF(LEFT(M96,1)="A","Add to preferred list; eligible for expanded share or strategic cooperation",IF(LEFT(M96,1)="B","Maintain cooperation; monitor key indicators quarterly",IF(LEFT(M96,1)="C","Start remediation plan; major purchases require procurement, quality, and legal joint approval","Pause new project onboarding; start alternate supplier and exit plan"))))</f>
        <v/>
      </c>
      <c r="O96" s="287">
        <f>IF(M96="","",IF(LEFT(M96,1)="A",'Settings'!$K$7,IF(LEFT(M96,1)="B",'Settings'!$K$8,IF(LEFT(M96,1)="C",'Settings'!$K$9,'Settings'!$K$10))))</f>
        <v/>
      </c>
      <c r="P96" s="304">
        <f>IF(M96="","",IF(Q96="",TODAY(),Q96)+O96)</f>
        <v/>
      </c>
      <c r="Q96" s="304">
        <f>IF(A96="","",IFERROR(MAXIFS('360 Score Entry'!$C$6:$C$105,'360 Score Entry'!$A$6:$A$105,A96),""))</f>
        <v/>
      </c>
      <c r="R96" s="71">
        <f>IF(A96="","",IF(G96=0,"No open events","Review Risk Event Register; close the highest-risk item first"))</f>
        <v/>
      </c>
      <c r="S96" s="282">
        <f>IF(A96="",0,J96+0.0010)</f>
        <v/>
      </c>
      <c r="T96" s="253" t="n"/>
      <c r="U96" s="253" t="n"/>
      <c r="V96" s="253" t="n"/>
      <c r="W96" s="253" t="n"/>
      <c r="X96" s="253" t="n"/>
      <c r="Y96" s="253" t="n"/>
      <c r="Z96" s="253" t="n"/>
    </row>
    <row r="97" ht="24" customHeight="1" s="280">
      <c r="A97" s="69">
        <f>IF('Supplier Register'!A97="","",'Supplier Register'!A97)</f>
        <v/>
      </c>
      <c r="B97" s="70">
        <f>IF(A97="","",IFERROR(VLOOKUP(A97,'Supplier Register'!$A$6:$L$105,2,FALSE),""))</f>
        <v/>
      </c>
      <c r="C97" s="70">
        <f>IF(A97="","",IFERROR(VLOOKUP(A97,'Supplier Register'!$A$6:$L$105,3,FALSE),""))</f>
        <v/>
      </c>
      <c r="D97" s="70">
        <f>IF(A97="","",IFERROR(VLOOKUP(A97,'Supplier Register'!$A$6:$L$105,5,FALSE),""))</f>
        <v/>
      </c>
      <c r="E97" s="303">
        <f>IF(A97="","",IFERROR(VLOOKUP(A97,'Supplier Register'!$A$6:$L$105,6,FALSE),""))</f>
        <v/>
      </c>
      <c r="F97" s="308">
        <f>IF(A97="","",IFERROR(ROUND(AVERAGEIF('360 Score Entry'!$A$6:$A$105,A97,'360 Score Entry'!$O$6:$O$105),1),""))</f>
        <v/>
      </c>
      <c r="G97" s="287">
        <f>IF(A97="","",COUNTIFS('Risk Event Register'!$A$6:$A$205,A97,'Risk Event Register'!$J$6:$J$205,"&lt;&gt;Closed"))</f>
        <v/>
      </c>
      <c r="H97" s="287">
        <f>IF(A97="","",IFERROR(MAXIFS('Risk Event Register'!$I$6:$I$205,'Risk Event Register'!$A$6:$A$205,A97,'Risk Event Register'!$J$6:$J$205,"&lt;&gt;Closed"),0))</f>
        <v/>
      </c>
      <c r="I97" s="287">
        <f>IF(A97="","",IF(D97="Critical",10,IF(D97="Important",5,0)))</f>
        <v/>
      </c>
      <c r="J97" s="287">
        <f>IF(A97="","",MIN(100,H97+I97))</f>
        <v/>
      </c>
      <c r="K97" s="70">
        <f>IF(F97="","",IF(F97&gt;='Settings'!$H$7,"A Preferred",IF(F97&gt;='Settings'!$H$8,"B Qualified",IF(F97&gt;='Settings'!$H$9,"C Needs Improvement","D Not Qualified"))))</f>
        <v/>
      </c>
      <c r="L97" s="70">
        <f>IF(A97="","",IF(J97&lt;='Settings'!$I$7,"Low Risk",IF(J97&lt;='Settings'!$I$8,"Medium Risk",IF(J97&lt;='Settings'!$I$9,"High Risk","Critical Risk"))))</f>
        <v/>
      </c>
      <c r="M97" s="70">
        <f>IF(F97="","",IF(OR(J97&gt;'Settings'!$I$9,F97&lt;'Settings'!$H$9),"D Pause onboarding / restrict purchases",IF(OR(J97&gt;'Settings'!$I$8,F97&lt;'Settings'!$H$8),"C Time-bound remediation / enhanced approval",IF(OR(J97&gt;'Settings'!$I$7,F97&lt;'Settings'!$H$7),"B Qualified / continuous monitoring","A Preferred / eligible to expand"))))</f>
        <v/>
      </c>
      <c r="N97" s="70">
        <f>IF(M97="","",IF(LEFT(M97,1)="A","Add to preferred list; eligible for expanded share or strategic cooperation",IF(LEFT(M97,1)="B","Maintain cooperation; monitor key indicators quarterly",IF(LEFT(M97,1)="C","Start remediation plan; major purchases require procurement, quality, and legal joint approval","Pause new project onboarding; start alternate supplier and exit plan"))))</f>
        <v/>
      </c>
      <c r="O97" s="287">
        <f>IF(M97="","",IF(LEFT(M97,1)="A",'Settings'!$K$7,IF(LEFT(M97,1)="B",'Settings'!$K$8,IF(LEFT(M97,1)="C",'Settings'!$K$9,'Settings'!$K$10))))</f>
        <v/>
      </c>
      <c r="P97" s="304">
        <f>IF(M97="","",IF(Q97="",TODAY(),Q97)+O97)</f>
        <v/>
      </c>
      <c r="Q97" s="304">
        <f>IF(A97="","",IFERROR(MAXIFS('360 Score Entry'!$C$6:$C$105,'360 Score Entry'!$A$6:$A$105,A97),""))</f>
        <v/>
      </c>
      <c r="R97" s="71">
        <f>IF(A97="","",IF(G97=0,"No open events","Review Risk Event Register; close the highest-risk item first"))</f>
        <v/>
      </c>
      <c r="S97" s="282">
        <f>IF(A97="",0,J97+0.0009)</f>
        <v/>
      </c>
      <c r="T97" s="253" t="n"/>
      <c r="U97" s="253" t="n"/>
      <c r="V97" s="253" t="n"/>
      <c r="W97" s="253" t="n"/>
      <c r="X97" s="253" t="n"/>
      <c r="Y97" s="253" t="n"/>
      <c r="Z97" s="253" t="n"/>
    </row>
    <row r="98" ht="24" customHeight="1" s="280">
      <c r="A98" s="69">
        <f>IF('Supplier Register'!A98="","",'Supplier Register'!A98)</f>
        <v/>
      </c>
      <c r="B98" s="70">
        <f>IF(A98="","",IFERROR(VLOOKUP(A98,'Supplier Register'!$A$6:$L$105,2,FALSE),""))</f>
        <v/>
      </c>
      <c r="C98" s="70">
        <f>IF(A98="","",IFERROR(VLOOKUP(A98,'Supplier Register'!$A$6:$L$105,3,FALSE),""))</f>
        <v/>
      </c>
      <c r="D98" s="70">
        <f>IF(A98="","",IFERROR(VLOOKUP(A98,'Supplier Register'!$A$6:$L$105,5,FALSE),""))</f>
        <v/>
      </c>
      <c r="E98" s="303">
        <f>IF(A98="","",IFERROR(VLOOKUP(A98,'Supplier Register'!$A$6:$L$105,6,FALSE),""))</f>
        <v/>
      </c>
      <c r="F98" s="308">
        <f>IF(A98="","",IFERROR(ROUND(AVERAGEIF('360 Score Entry'!$A$6:$A$105,A98,'360 Score Entry'!$O$6:$O$105),1),""))</f>
        <v/>
      </c>
      <c r="G98" s="287">
        <f>IF(A98="","",COUNTIFS('Risk Event Register'!$A$6:$A$205,A98,'Risk Event Register'!$J$6:$J$205,"&lt;&gt;Closed"))</f>
        <v/>
      </c>
      <c r="H98" s="287">
        <f>IF(A98="","",IFERROR(MAXIFS('Risk Event Register'!$I$6:$I$205,'Risk Event Register'!$A$6:$A$205,A98,'Risk Event Register'!$J$6:$J$205,"&lt;&gt;Closed"),0))</f>
        <v/>
      </c>
      <c r="I98" s="287">
        <f>IF(A98="","",IF(D98="Critical",10,IF(D98="Important",5,0)))</f>
        <v/>
      </c>
      <c r="J98" s="287">
        <f>IF(A98="","",MIN(100,H98+I98))</f>
        <v/>
      </c>
      <c r="K98" s="70">
        <f>IF(F98="","",IF(F98&gt;='Settings'!$H$7,"A Preferred",IF(F98&gt;='Settings'!$H$8,"B Qualified",IF(F98&gt;='Settings'!$H$9,"C Needs Improvement","D Not Qualified"))))</f>
        <v/>
      </c>
      <c r="L98" s="70">
        <f>IF(A98="","",IF(J98&lt;='Settings'!$I$7,"Low Risk",IF(J98&lt;='Settings'!$I$8,"Medium Risk",IF(J98&lt;='Settings'!$I$9,"High Risk","Critical Risk"))))</f>
        <v/>
      </c>
      <c r="M98" s="70">
        <f>IF(F98="","",IF(OR(J98&gt;'Settings'!$I$9,F98&lt;'Settings'!$H$9),"D Pause onboarding / restrict purchases",IF(OR(J98&gt;'Settings'!$I$8,F98&lt;'Settings'!$H$8),"C Time-bound remediation / enhanced approval",IF(OR(J98&gt;'Settings'!$I$7,F98&lt;'Settings'!$H$7),"B Qualified / continuous monitoring","A Preferred / eligible to expand"))))</f>
        <v/>
      </c>
      <c r="N98" s="70">
        <f>IF(M98="","",IF(LEFT(M98,1)="A","Add to preferred list; eligible for expanded share or strategic cooperation",IF(LEFT(M98,1)="B","Maintain cooperation; monitor key indicators quarterly",IF(LEFT(M98,1)="C","Start remediation plan; major purchases require procurement, quality, and legal joint approval","Pause new project onboarding; start alternate supplier and exit plan"))))</f>
        <v/>
      </c>
      <c r="O98" s="287">
        <f>IF(M98="","",IF(LEFT(M98,1)="A",'Settings'!$K$7,IF(LEFT(M98,1)="B",'Settings'!$K$8,IF(LEFT(M98,1)="C",'Settings'!$K$9,'Settings'!$K$10))))</f>
        <v/>
      </c>
      <c r="P98" s="304">
        <f>IF(M98="","",IF(Q98="",TODAY(),Q98)+O98)</f>
        <v/>
      </c>
      <c r="Q98" s="304">
        <f>IF(A98="","",IFERROR(MAXIFS('360 Score Entry'!$C$6:$C$105,'360 Score Entry'!$A$6:$A$105,A98),""))</f>
        <v/>
      </c>
      <c r="R98" s="71">
        <f>IF(A98="","",IF(G98=0,"No open events","Review Risk Event Register; close the highest-risk item first"))</f>
        <v/>
      </c>
      <c r="S98" s="282">
        <f>IF(A98="",0,J98+0.0008)</f>
        <v/>
      </c>
      <c r="T98" s="253" t="n"/>
      <c r="U98" s="253" t="n"/>
      <c r="V98" s="253" t="n"/>
      <c r="W98" s="253" t="n"/>
      <c r="X98" s="253" t="n"/>
      <c r="Y98" s="253" t="n"/>
      <c r="Z98" s="253" t="n"/>
    </row>
    <row r="99" ht="24" customHeight="1" s="280">
      <c r="A99" s="69">
        <f>IF('Supplier Register'!A99="","",'Supplier Register'!A99)</f>
        <v/>
      </c>
      <c r="B99" s="70">
        <f>IF(A99="","",IFERROR(VLOOKUP(A99,'Supplier Register'!$A$6:$L$105,2,FALSE),""))</f>
        <v/>
      </c>
      <c r="C99" s="70">
        <f>IF(A99="","",IFERROR(VLOOKUP(A99,'Supplier Register'!$A$6:$L$105,3,FALSE),""))</f>
        <v/>
      </c>
      <c r="D99" s="70">
        <f>IF(A99="","",IFERROR(VLOOKUP(A99,'Supplier Register'!$A$6:$L$105,5,FALSE),""))</f>
        <v/>
      </c>
      <c r="E99" s="303">
        <f>IF(A99="","",IFERROR(VLOOKUP(A99,'Supplier Register'!$A$6:$L$105,6,FALSE),""))</f>
        <v/>
      </c>
      <c r="F99" s="308">
        <f>IF(A99="","",IFERROR(ROUND(AVERAGEIF('360 Score Entry'!$A$6:$A$105,A99,'360 Score Entry'!$O$6:$O$105),1),""))</f>
        <v/>
      </c>
      <c r="G99" s="287">
        <f>IF(A99="","",COUNTIFS('Risk Event Register'!$A$6:$A$205,A99,'Risk Event Register'!$J$6:$J$205,"&lt;&gt;Closed"))</f>
        <v/>
      </c>
      <c r="H99" s="287">
        <f>IF(A99="","",IFERROR(MAXIFS('Risk Event Register'!$I$6:$I$205,'Risk Event Register'!$A$6:$A$205,A99,'Risk Event Register'!$J$6:$J$205,"&lt;&gt;Closed"),0))</f>
        <v/>
      </c>
      <c r="I99" s="287">
        <f>IF(A99="","",IF(D99="Critical",10,IF(D99="Important",5,0)))</f>
        <v/>
      </c>
      <c r="J99" s="287">
        <f>IF(A99="","",MIN(100,H99+I99))</f>
        <v/>
      </c>
      <c r="K99" s="70">
        <f>IF(F99="","",IF(F99&gt;='Settings'!$H$7,"A Preferred",IF(F99&gt;='Settings'!$H$8,"B Qualified",IF(F99&gt;='Settings'!$H$9,"C Needs Improvement","D Not Qualified"))))</f>
        <v/>
      </c>
      <c r="L99" s="70">
        <f>IF(A99="","",IF(J99&lt;='Settings'!$I$7,"Low Risk",IF(J99&lt;='Settings'!$I$8,"Medium Risk",IF(J99&lt;='Settings'!$I$9,"High Risk","Critical Risk"))))</f>
        <v/>
      </c>
      <c r="M99" s="70">
        <f>IF(F99="","",IF(OR(J99&gt;'Settings'!$I$9,F99&lt;'Settings'!$H$9),"D Pause onboarding / restrict purchases",IF(OR(J99&gt;'Settings'!$I$8,F99&lt;'Settings'!$H$8),"C Time-bound remediation / enhanced approval",IF(OR(J99&gt;'Settings'!$I$7,F99&lt;'Settings'!$H$7),"B Qualified / continuous monitoring","A Preferred / eligible to expand"))))</f>
        <v/>
      </c>
      <c r="N99" s="70">
        <f>IF(M99="","",IF(LEFT(M99,1)="A","Add to preferred list; eligible for expanded share or strategic cooperation",IF(LEFT(M99,1)="B","Maintain cooperation; monitor key indicators quarterly",IF(LEFT(M99,1)="C","Start remediation plan; major purchases require procurement, quality, and legal joint approval","Pause new project onboarding; start alternate supplier and exit plan"))))</f>
        <v/>
      </c>
      <c r="O99" s="287">
        <f>IF(M99="","",IF(LEFT(M99,1)="A",'Settings'!$K$7,IF(LEFT(M99,1)="B",'Settings'!$K$8,IF(LEFT(M99,1)="C",'Settings'!$K$9,'Settings'!$K$10))))</f>
        <v/>
      </c>
      <c r="P99" s="304">
        <f>IF(M99="","",IF(Q99="",TODAY(),Q99)+O99)</f>
        <v/>
      </c>
      <c r="Q99" s="304">
        <f>IF(A99="","",IFERROR(MAXIFS('360 Score Entry'!$C$6:$C$105,'360 Score Entry'!$A$6:$A$105,A99),""))</f>
        <v/>
      </c>
      <c r="R99" s="71">
        <f>IF(A99="","",IF(G99=0,"No open events","Review Risk Event Register; close the highest-risk item first"))</f>
        <v/>
      </c>
      <c r="S99" s="282">
        <f>IF(A99="",0,J99+0.0007)</f>
        <v/>
      </c>
      <c r="T99" s="253" t="n"/>
      <c r="U99" s="253" t="n"/>
      <c r="V99" s="253" t="n"/>
      <c r="W99" s="253" t="n"/>
      <c r="X99" s="253" t="n"/>
      <c r="Y99" s="253" t="n"/>
      <c r="Z99" s="253" t="n"/>
    </row>
    <row r="100" ht="24" customHeight="1" s="280">
      <c r="A100" s="69">
        <f>IF('Supplier Register'!A100="","",'Supplier Register'!A100)</f>
        <v/>
      </c>
      <c r="B100" s="70">
        <f>IF(A100="","",IFERROR(VLOOKUP(A100,'Supplier Register'!$A$6:$L$105,2,FALSE),""))</f>
        <v/>
      </c>
      <c r="C100" s="70">
        <f>IF(A100="","",IFERROR(VLOOKUP(A100,'Supplier Register'!$A$6:$L$105,3,FALSE),""))</f>
        <v/>
      </c>
      <c r="D100" s="70">
        <f>IF(A100="","",IFERROR(VLOOKUP(A100,'Supplier Register'!$A$6:$L$105,5,FALSE),""))</f>
        <v/>
      </c>
      <c r="E100" s="303">
        <f>IF(A100="","",IFERROR(VLOOKUP(A100,'Supplier Register'!$A$6:$L$105,6,FALSE),""))</f>
        <v/>
      </c>
      <c r="F100" s="308">
        <f>IF(A100="","",IFERROR(ROUND(AVERAGEIF('360 Score Entry'!$A$6:$A$105,A100,'360 Score Entry'!$O$6:$O$105),1),""))</f>
        <v/>
      </c>
      <c r="G100" s="287">
        <f>IF(A100="","",COUNTIFS('Risk Event Register'!$A$6:$A$205,A100,'Risk Event Register'!$J$6:$J$205,"&lt;&gt;Closed"))</f>
        <v/>
      </c>
      <c r="H100" s="287">
        <f>IF(A100="","",IFERROR(MAXIFS('Risk Event Register'!$I$6:$I$205,'Risk Event Register'!$A$6:$A$205,A100,'Risk Event Register'!$J$6:$J$205,"&lt;&gt;Closed"),0))</f>
        <v/>
      </c>
      <c r="I100" s="287">
        <f>IF(A100="","",IF(D100="Critical",10,IF(D100="Important",5,0)))</f>
        <v/>
      </c>
      <c r="J100" s="287">
        <f>IF(A100="","",MIN(100,H100+I100))</f>
        <v/>
      </c>
      <c r="K100" s="70">
        <f>IF(F100="","",IF(F100&gt;='Settings'!$H$7,"A Preferred",IF(F100&gt;='Settings'!$H$8,"B Qualified",IF(F100&gt;='Settings'!$H$9,"C Needs Improvement","D Not Qualified"))))</f>
        <v/>
      </c>
      <c r="L100" s="70">
        <f>IF(A100="","",IF(J100&lt;='Settings'!$I$7,"Low Risk",IF(J100&lt;='Settings'!$I$8,"Medium Risk",IF(J100&lt;='Settings'!$I$9,"High Risk","Critical Risk"))))</f>
        <v/>
      </c>
      <c r="M100" s="70">
        <f>IF(F100="","",IF(OR(J100&gt;'Settings'!$I$9,F100&lt;'Settings'!$H$9),"D Pause onboarding / restrict purchases",IF(OR(J100&gt;'Settings'!$I$8,F100&lt;'Settings'!$H$8),"C Time-bound remediation / enhanced approval",IF(OR(J100&gt;'Settings'!$I$7,F100&lt;'Settings'!$H$7),"B Qualified / continuous monitoring","A Preferred / eligible to expand"))))</f>
        <v/>
      </c>
      <c r="N100" s="70">
        <f>IF(M100="","",IF(LEFT(M100,1)="A","Add to preferred list; eligible for expanded share or strategic cooperation",IF(LEFT(M100,1)="B","Maintain cooperation; monitor key indicators quarterly",IF(LEFT(M100,1)="C","Start remediation plan; major purchases require procurement, quality, and legal joint approval","Pause new project onboarding; start alternate supplier and exit plan"))))</f>
        <v/>
      </c>
      <c r="O100" s="287">
        <f>IF(M100="","",IF(LEFT(M100,1)="A",'Settings'!$K$7,IF(LEFT(M100,1)="B",'Settings'!$K$8,IF(LEFT(M100,1)="C",'Settings'!$K$9,'Settings'!$K$10))))</f>
        <v/>
      </c>
      <c r="P100" s="304">
        <f>IF(M100="","",IF(Q100="",TODAY(),Q100)+O100)</f>
        <v/>
      </c>
      <c r="Q100" s="304">
        <f>IF(A100="","",IFERROR(MAXIFS('360 Score Entry'!$C$6:$C$105,'360 Score Entry'!$A$6:$A$105,A100),""))</f>
        <v/>
      </c>
      <c r="R100" s="71">
        <f>IF(A100="","",IF(G100=0,"No open events","Review Risk Event Register; close the highest-risk item first"))</f>
        <v/>
      </c>
      <c r="S100" s="282">
        <f>IF(A100="",0,J100+0.0006)</f>
        <v/>
      </c>
      <c r="T100" s="253" t="n"/>
      <c r="U100" s="253" t="n"/>
      <c r="V100" s="253" t="n"/>
      <c r="W100" s="253" t="n"/>
      <c r="X100" s="253" t="n"/>
      <c r="Y100" s="253" t="n"/>
      <c r="Z100" s="253" t="n"/>
    </row>
    <row r="101" ht="24" customHeight="1" s="280">
      <c r="A101" s="69">
        <f>IF('Supplier Register'!A101="","",'Supplier Register'!A101)</f>
        <v/>
      </c>
      <c r="B101" s="70">
        <f>IF(A101="","",IFERROR(VLOOKUP(A101,'Supplier Register'!$A$6:$L$105,2,FALSE),""))</f>
        <v/>
      </c>
      <c r="C101" s="70">
        <f>IF(A101="","",IFERROR(VLOOKUP(A101,'Supplier Register'!$A$6:$L$105,3,FALSE),""))</f>
        <v/>
      </c>
      <c r="D101" s="70">
        <f>IF(A101="","",IFERROR(VLOOKUP(A101,'Supplier Register'!$A$6:$L$105,5,FALSE),""))</f>
        <v/>
      </c>
      <c r="E101" s="303">
        <f>IF(A101="","",IFERROR(VLOOKUP(A101,'Supplier Register'!$A$6:$L$105,6,FALSE),""))</f>
        <v/>
      </c>
      <c r="F101" s="308">
        <f>IF(A101="","",IFERROR(ROUND(AVERAGEIF('360 Score Entry'!$A$6:$A$105,A101,'360 Score Entry'!$O$6:$O$105),1),""))</f>
        <v/>
      </c>
      <c r="G101" s="287">
        <f>IF(A101="","",COUNTIFS('Risk Event Register'!$A$6:$A$205,A101,'Risk Event Register'!$J$6:$J$205,"&lt;&gt;Closed"))</f>
        <v/>
      </c>
      <c r="H101" s="287">
        <f>IF(A101="","",IFERROR(MAXIFS('Risk Event Register'!$I$6:$I$205,'Risk Event Register'!$A$6:$A$205,A101,'Risk Event Register'!$J$6:$J$205,"&lt;&gt;Closed"),0))</f>
        <v/>
      </c>
      <c r="I101" s="287">
        <f>IF(A101="","",IF(D101="Critical",10,IF(D101="Important",5,0)))</f>
        <v/>
      </c>
      <c r="J101" s="287">
        <f>IF(A101="","",MIN(100,H101+I101))</f>
        <v/>
      </c>
      <c r="K101" s="70">
        <f>IF(F101="","",IF(F101&gt;='Settings'!$H$7,"A Preferred",IF(F101&gt;='Settings'!$H$8,"B Qualified",IF(F101&gt;='Settings'!$H$9,"C Needs Improvement","D Not Qualified"))))</f>
        <v/>
      </c>
      <c r="L101" s="70">
        <f>IF(A101="","",IF(J101&lt;='Settings'!$I$7,"Low Risk",IF(J101&lt;='Settings'!$I$8,"Medium Risk",IF(J101&lt;='Settings'!$I$9,"High Risk","Critical Risk"))))</f>
        <v/>
      </c>
      <c r="M101" s="70">
        <f>IF(F101="","",IF(OR(J101&gt;'Settings'!$I$9,F101&lt;'Settings'!$H$9),"D Pause onboarding / restrict purchases",IF(OR(J101&gt;'Settings'!$I$8,F101&lt;'Settings'!$H$8),"C Time-bound remediation / enhanced approval",IF(OR(J101&gt;'Settings'!$I$7,F101&lt;'Settings'!$H$7),"B Qualified / continuous monitoring","A Preferred / eligible to expand"))))</f>
        <v/>
      </c>
      <c r="N101" s="70">
        <f>IF(M101="","",IF(LEFT(M101,1)="A","Add to preferred list; eligible for expanded share or strategic cooperation",IF(LEFT(M101,1)="B","Maintain cooperation; monitor key indicators quarterly",IF(LEFT(M101,1)="C","Start remediation plan; major purchases require procurement, quality, and legal joint approval","Pause new project onboarding; start alternate supplier and exit plan"))))</f>
        <v/>
      </c>
      <c r="O101" s="287">
        <f>IF(M101="","",IF(LEFT(M101,1)="A",'Settings'!$K$7,IF(LEFT(M101,1)="B",'Settings'!$K$8,IF(LEFT(M101,1)="C",'Settings'!$K$9,'Settings'!$K$10))))</f>
        <v/>
      </c>
      <c r="P101" s="304">
        <f>IF(M101="","",IF(Q101="",TODAY(),Q101)+O101)</f>
        <v/>
      </c>
      <c r="Q101" s="304">
        <f>IF(A101="","",IFERROR(MAXIFS('360 Score Entry'!$C$6:$C$105,'360 Score Entry'!$A$6:$A$105,A101),""))</f>
        <v/>
      </c>
      <c r="R101" s="71">
        <f>IF(A101="","",IF(G101=0,"No open events","Review Risk Event Register; close the highest-risk item first"))</f>
        <v/>
      </c>
      <c r="S101" s="282">
        <f>IF(A101="",0,J101+0.0005)</f>
        <v/>
      </c>
      <c r="T101" s="253" t="n"/>
      <c r="U101" s="253" t="n"/>
      <c r="V101" s="253" t="n"/>
      <c r="W101" s="253" t="n"/>
      <c r="X101" s="253" t="n"/>
      <c r="Y101" s="253" t="n"/>
      <c r="Z101" s="253" t="n"/>
    </row>
    <row r="102" ht="24" customHeight="1" s="280">
      <c r="A102" s="69">
        <f>IF('Supplier Register'!A102="","",'Supplier Register'!A102)</f>
        <v/>
      </c>
      <c r="B102" s="70">
        <f>IF(A102="","",IFERROR(VLOOKUP(A102,'Supplier Register'!$A$6:$L$105,2,FALSE),""))</f>
        <v/>
      </c>
      <c r="C102" s="70">
        <f>IF(A102="","",IFERROR(VLOOKUP(A102,'Supplier Register'!$A$6:$L$105,3,FALSE),""))</f>
        <v/>
      </c>
      <c r="D102" s="70">
        <f>IF(A102="","",IFERROR(VLOOKUP(A102,'Supplier Register'!$A$6:$L$105,5,FALSE),""))</f>
        <v/>
      </c>
      <c r="E102" s="303">
        <f>IF(A102="","",IFERROR(VLOOKUP(A102,'Supplier Register'!$A$6:$L$105,6,FALSE),""))</f>
        <v/>
      </c>
      <c r="F102" s="308">
        <f>IF(A102="","",IFERROR(ROUND(AVERAGEIF('360 Score Entry'!$A$6:$A$105,A102,'360 Score Entry'!$O$6:$O$105),1),""))</f>
        <v/>
      </c>
      <c r="G102" s="287">
        <f>IF(A102="","",COUNTIFS('Risk Event Register'!$A$6:$A$205,A102,'Risk Event Register'!$J$6:$J$205,"&lt;&gt;Closed"))</f>
        <v/>
      </c>
      <c r="H102" s="287">
        <f>IF(A102="","",IFERROR(MAXIFS('Risk Event Register'!$I$6:$I$205,'Risk Event Register'!$A$6:$A$205,A102,'Risk Event Register'!$J$6:$J$205,"&lt;&gt;Closed"),0))</f>
        <v/>
      </c>
      <c r="I102" s="287">
        <f>IF(A102="","",IF(D102="Critical",10,IF(D102="Important",5,0)))</f>
        <v/>
      </c>
      <c r="J102" s="287">
        <f>IF(A102="","",MIN(100,H102+I102))</f>
        <v/>
      </c>
      <c r="K102" s="70">
        <f>IF(F102="","",IF(F102&gt;='Settings'!$H$7,"A Preferred",IF(F102&gt;='Settings'!$H$8,"B Qualified",IF(F102&gt;='Settings'!$H$9,"C Needs Improvement","D Not Qualified"))))</f>
        <v/>
      </c>
      <c r="L102" s="70">
        <f>IF(A102="","",IF(J102&lt;='Settings'!$I$7,"Low Risk",IF(J102&lt;='Settings'!$I$8,"Medium Risk",IF(J102&lt;='Settings'!$I$9,"High Risk","Critical Risk"))))</f>
        <v/>
      </c>
      <c r="M102" s="70">
        <f>IF(F102="","",IF(OR(J102&gt;'Settings'!$I$9,F102&lt;'Settings'!$H$9),"D Pause onboarding / restrict purchases",IF(OR(J102&gt;'Settings'!$I$8,F102&lt;'Settings'!$H$8),"C Time-bound remediation / enhanced approval",IF(OR(J102&gt;'Settings'!$I$7,F102&lt;'Settings'!$H$7),"B Qualified / continuous monitoring","A Preferred / eligible to expand"))))</f>
        <v/>
      </c>
      <c r="N102" s="70">
        <f>IF(M102="","",IF(LEFT(M102,1)="A","Add to preferred list; eligible for expanded share or strategic cooperation",IF(LEFT(M102,1)="B","Maintain cooperation; monitor key indicators quarterly",IF(LEFT(M102,1)="C","Start remediation plan; major purchases require procurement, quality, and legal joint approval","Pause new project onboarding; start alternate supplier and exit plan"))))</f>
        <v/>
      </c>
      <c r="O102" s="287">
        <f>IF(M102="","",IF(LEFT(M102,1)="A",'Settings'!$K$7,IF(LEFT(M102,1)="B",'Settings'!$K$8,IF(LEFT(M102,1)="C",'Settings'!$K$9,'Settings'!$K$10))))</f>
        <v/>
      </c>
      <c r="P102" s="304">
        <f>IF(M102="","",IF(Q102="",TODAY(),Q102)+O102)</f>
        <v/>
      </c>
      <c r="Q102" s="304">
        <f>IF(A102="","",IFERROR(MAXIFS('360 Score Entry'!$C$6:$C$105,'360 Score Entry'!$A$6:$A$105,A102),""))</f>
        <v/>
      </c>
      <c r="R102" s="71">
        <f>IF(A102="","",IF(G102=0,"No open events","Review Risk Event Register; close the highest-risk item first"))</f>
        <v/>
      </c>
      <c r="S102" s="282">
        <f>IF(A102="",0,J102+0.0004)</f>
        <v/>
      </c>
      <c r="T102" s="253" t="n"/>
      <c r="U102" s="253" t="n"/>
      <c r="V102" s="253" t="n"/>
      <c r="W102" s="253" t="n"/>
      <c r="X102" s="253" t="n"/>
      <c r="Y102" s="253" t="n"/>
      <c r="Z102" s="253" t="n"/>
    </row>
    <row r="103" ht="24" customHeight="1" s="280">
      <c r="A103" s="69">
        <f>IF('Supplier Register'!A103="","",'Supplier Register'!A103)</f>
        <v/>
      </c>
      <c r="B103" s="70">
        <f>IF(A103="","",IFERROR(VLOOKUP(A103,'Supplier Register'!$A$6:$L$105,2,FALSE),""))</f>
        <v/>
      </c>
      <c r="C103" s="70">
        <f>IF(A103="","",IFERROR(VLOOKUP(A103,'Supplier Register'!$A$6:$L$105,3,FALSE),""))</f>
        <v/>
      </c>
      <c r="D103" s="70">
        <f>IF(A103="","",IFERROR(VLOOKUP(A103,'Supplier Register'!$A$6:$L$105,5,FALSE),""))</f>
        <v/>
      </c>
      <c r="E103" s="303">
        <f>IF(A103="","",IFERROR(VLOOKUP(A103,'Supplier Register'!$A$6:$L$105,6,FALSE),""))</f>
        <v/>
      </c>
      <c r="F103" s="308">
        <f>IF(A103="","",IFERROR(ROUND(AVERAGEIF('360 Score Entry'!$A$6:$A$105,A103,'360 Score Entry'!$O$6:$O$105),1),""))</f>
        <v/>
      </c>
      <c r="G103" s="287">
        <f>IF(A103="","",COUNTIFS('Risk Event Register'!$A$6:$A$205,A103,'Risk Event Register'!$J$6:$J$205,"&lt;&gt;Closed"))</f>
        <v/>
      </c>
      <c r="H103" s="287">
        <f>IF(A103="","",IFERROR(MAXIFS('Risk Event Register'!$I$6:$I$205,'Risk Event Register'!$A$6:$A$205,A103,'Risk Event Register'!$J$6:$J$205,"&lt;&gt;Closed"),0))</f>
        <v/>
      </c>
      <c r="I103" s="287">
        <f>IF(A103="","",IF(D103="Critical",10,IF(D103="Important",5,0)))</f>
        <v/>
      </c>
      <c r="J103" s="287">
        <f>IF(A103="","",MIN(100,H103+I103))</f>
        <v/>
      </c>
      <c r="K103" s="70">
        <f>IF(F103="","",IF(F103&gt;='Settings'!$H$7,"A Preferred",IF(F103&gt;='Settings'!$H$8,"B Qualified",IF(F103&gt;='Settings'!$H$9,"C Needs Improvement","D Not Qualified"))))</f>
        <v/>
      </c>
      <c r="L103" s="70">
        <f>IF(A103="","",IF(J103&lt;='Settings'!$I$7,"Low Risk",IF(J103&lt;='Settings'!$I$8,"Medium Risk",IF(J103&lt;='Settings'!$I$9,"High Risk","Critical Risk"))))</f>
        <v/>
      </c>
      <c r="M103" s="70">
        <f>IF(F103="","",IF(OR(J103&gt;'Settings'!$I$9,F103&lt;'Settings'!$H$9),"D Pause onboarding / restrict purchases",IF(OR(J103&gt;'Settings'!$I$8,F103&lt;'Settings'!$H$8),"C Time-bound remediation / enhanced approval",IF(OR(J103&gt;'Settings'!$I$7,F103&lt;'Settings'!$H$7),"B Qualified / continuous monitoring","A Preferred / eligible to expand"))))</f>
        <v/>
      </c>
      <c r="N103" s="70">
        <f>IF(M103="","",IF(LEFT(M103,1)="A","Add to preferred list; eligible for expanded share or strategic cooperation",IF(LEFT(M103,1)="B","Maintain cooperation; monitor key indicators quarterly",IF(LEFT(M103,1)="C","Start remediation plan; major purchases require procurement, quality, and legal joint approval","Pause new project onboarding; start alternate supplier and exit plan"))))</f>
        <v/>
      </c>
      <c r="O103" s="287">
        <f>IF(M103="","",IF(LEFT(M103,1)="A",'Settings'!$K$7,IF(LEFT(M103,1)="B",'Settings'!$K$8,IF(LEFT(M103,1)="C",'Settings'!$K$9,'Settings'!$K$10))))</f>
        <v/>
      </c>
      <c r="P103" s="304">
        <f>IF(M103="","",IF(Q103="",TODAY(),Q103)+O103)</f>
        <v/>
      </c>
      <c r="Q103" s="304">
        <f>IF(A103="","",IFERROR(MAXIFS('360 Score Entry'!$C$6:$C$105,'360 Score Entry'!$A$6:$A$105,A103),""))</f>
        <v/>
      </c>
      <c r="R103" s="71">
        <f>IF(A103="","",IF(G103=0,"No open events","Review Risk Event Register; close the highest-risk item first"))</f>
        <v/>
      </c>
      <c r="S103" s="282">
        <f>IF(A103="",0,J103+0.0003)</f>
        <v/>
      </c>
      <c r="T103" s="253" t="n"/>
      <c r="U103" s="253" t="n"/>
      <c r="V103" s="253" t="n"/>
      <c r="W103" s="253" t="n"/>
      <c r="X103" s="253" t="n"/>
      <c r="Y103" s="253" t="n"/>
      <c r="Z103" s="253" t="n"/>
    </row>
    <row r="104" ht="24" customHeight="1" s="280">
      <c r="A104" s="69">
        <f>IF('Supplier Register'!A104="","",'Supplier Register'!A104)</f>
        <v/>
      </c>
      <c r="B104" s="70">
        <f>IF(A104="","",IFERROR(VLOOKUP(A104,'Supplier Register'!$A$6:$L$105,2,FALSE),""))</f>
        <v/>
      </c>
      <c r="C104" s="70">
        <f>IF(A104="","",IFERROR(VLOOKUP(A104,'Supplier Register'!$A$6:$L$105,3,FALSE),""))</f>
        <v/>
      </c>
      <c r="D104" s="70">
        <f>IF(A104="","",IFERROR(VLOOKUP(A104,'Supplier Register'!$A$6:$L$105,5,FALSE),""))</f>
        <v/>
      </c>
      <c r="E104" s="303">
        <f>IF(A104="","",IFERROR(VLOOKUP(A104,'Supplier Register'!$A$6:$L$105,6,FALSE),""))</f>
        <v/>
      </c>
      <c r="F104" s="308">
        <f>IF(A104="","",IFERROR(ROUND(AVERAGEIF('360 Score Entry'!$A$6:$A$105,A104,'360 Score Entry'!$O$6:$O$105),1),""))</f>
        <v/>
      </c>
      <c r="G104" s="287">
        <f>IF(A104="","",COUNTIFS('Risk Event Register'!$A$6:$A$205,A104,'Risk Event Register'!$J$6:$J$205,"&lt;&gt;Closed"))</f>
        <v/>
      </c>
      <c r="H104" s="287">
        <f>IF(A104="","",IFERROR(MAXIFS('Risk Event Register'!$I$6:$I$205,'Risk Event Register'!$A$6:$A$205,A104,'Risk Event Register'!$J$6:$J$205,"&lt;&gt;Closed"),0))</f>
        <v/>
      </c>
      <c r="I104" s="287">
        <f>IF(A104="","",IF(D104="Critical",10,IF(D104="Important",5,0)))</f>
        <v/>
      </c>
      <c r="J104" s="287">
        <f>IF(A104="","",MIN(100,H104+I104))</f>
        <v/>
      </c>
      <c r="K104" s="70">
        <f>IF(F104="","",IF(F104&gt;='Settings'!$H$7,"A Preferred",IF(F104&gt;='Settings'!$H$8,"B Qualified",IF(F104&gt;='Settings'!$H$9,"C Needs Improvement","D Not Qualified"))))</f>
        <v/>
      </c>
      <c r="L104" s="70">
        <f>IF(A104="","",IF(J104&lt;='Settings'!$I$7,"Low Risk",IF(J104&lt;='Settings'!$I$8,"Medium Risk",IF(J104&lt;='Settings'!$I$9,"High Risk","Critical Risk"))))</f>
        <v/>
      </c>
      <c r="M104" s="70">
        <f>IF(F104="","",IF(OR(J104&gt;'Settings'!$I$9,F104&lt;'Settings'!$H$9),"D Pause onboarding / restrict purchases",IF(OR(J104&gt;'Settings'!$I$8,F104&lt;'Settings'!$H$8),"C Time-bound remediation / enhanced approval",IF(OR(J104&gt;'Settings'!$I$7,F104&lt;'Settings'!$H$7),"B Qualified / continuous monitoring","A Preferred / eligible to expand"))))</f>
        <v/>
      </c>
      <c r="N104" s="70">
        <f>IF(M104="","",IF(LEFT(M104,1)="A","Add to preferred list; eligible for expanded share or strategic cooperation",IF(LEFT(M104,1)="B","Maintain cooperation; monitor key indicators quarterly",IF(LEFT(M104,1)="C","Start remediation plan; major purchases require procurement, quality, and legal joint approval","Pause new project onboarding; start alternate supplier and exit plan"))))</f>
        <v/>
      </c>
      <c r="O104" s="287">
        <f>IF(M104="","",IF(LEFT(M104,1)="A",'Settings'!$K$7,IF(LEFT(M104,1)="B",'Settings'!$K$8,IF(LEFT(M104,1)="C",'Settings'!$K$9,'Settings'!$K$10))))</f>
        <v/>
      </c>
      <c r="P104" s="304">
        <f>IF(M104="","",IF(Q104="",TODAY(),Q104)+O104)</f>
        <v/>
      </c>
      <c r="Q104" s="304">
        <f>IF(A104="","",IFERROR(MAXIFS('360 Score Entry'!$C$6:$C$105,'360 Score Entry'!$A$6:$A$105,A104),""))</f>
        <v/>
      </c>
      <c r="R104" s="71">
        <f>IF(A104="","",IF(G104=0,"No open events","Review Risk Event Register; close the highest-risk item first"))</f>
        <v/>
      </c>
      <c r="S104" s="282">
        <f>IF(A104="",0,J104+0.0002)</f>
        <v/>
      </c>
      <c r="T104" s="253" t="n"/>
      <c r="U104" s="253" t="n"/>
      <c r="V104" s="253" t="n"/>
      <c r="W104" s="253" t="n"/>
      <c r="X104" s="253" t="n"/>
      <c r="Y104" s="253" t="n"/>
      <c r="Z104" s="253" t="n"/>
    </row>
    <row r="105" ht="24" customHeight="1" s="280">
      <c r="A105" s="72">
        <f>IF('Supplier Register'!A105="","",'Supplier Register'!A105)</f>
        <v/>
      </c>
      <c r="B105" s="73">
        <f>IF(A105="","",IFERROR(VLOOKUP(A105,'Supplier Register'!$A$6:$L$105,2,FALSE),""))</f>
        <v/>
      </c>
      <c r="C105" s="73">
        <f>IF(A105="","",IFERROR(VLOOKUP(A105,'Supplier Register'!$A$6:$L$105,3,FALSE),""))</f>
        <v/>
      </c>
      <c r="D105" s="73">
        <f>IF(A105="","",IFERROR(VLOOKUP(A105,'Supplier Register'!$A$6:$L$105,5,FALSE),""))</f>
        <v/>
      </c>
      <c r="E105" s="305">
        <f>IF(A105="","",IFERROR(VLOOKUP(A105,'Supplier Register'!$A$6:$L$105,6,FALSE),""))</f>
        <v/>
      </c>
      <c r="F105" s="309">
        <f>IF(A105="","",IFERROR(ROUND(AVERAGEIF('360 Score Entry'!$A$6:$A$105,A105,'360 Score Entry'!$O$6:$O$105),1),""))</f>
        <v/>
      </c>
      <c r="G105" s="288">
        <f>IF(A105="","",COUNTIFS('Risk Event Register'!$A$6:$A$205,A105,'Risk Event Register'!$J$6:$J$205,"&lt;&gt;Closed"))</f>
        <v/>
      </c>
      <c r="H105" s="288">
        <f>IF(A105="","",IFERROR(MAXIFS('Risk Event Register'!$I$6:$I$205,'Risk Event Register'!$A$6:$A$205,A105,'Risk Event Register'!$J$6:$J$205,"&lt;&gt;Closed"),0))</f>
        <v/>
      </c>
      <c r="I105" s="288">
        <f>IF(A105="","",IF(D105="Critical",10,IF(D105="Important",5,0)))</f>
        <v/>
      </c>
      <c r="J105" s="288">
        <f>IF(A105="","",MIN(100,H105+I105))</f>
        <v/>
      </c>
      <c r="K105" s="73">
        <f>IF(F105="","",IF(F105&gt;='Settings'!$H$7,"A Preferred",IF(F105&gt;='Settings'!$H$8,"B Qualified",IF(F105&gt;='Settings'!$H$9,"C Needs Improvement","D Not Qualified"))))</f>
        <v/>
      </c>
      <c r="L105" s="73">
        <f>IF(A105="","",IF(J105&lt;='Settings'!$I$7,"Low Risk",IF(J105&lt;='Settings'!$I$8,"Medium Risk",IF(J105&lt;='Settings'!$I$9,"High Risk","Critical Risk"))))</f>
        <v/>
      </c>
      <c r="M105" s="73">
        <f>IF(F105="","",IF(OR(J105&gt;'Settings'!$I$9,F105&lt;'Settings'!$H$9),"D Pause onboarding / restrict purchases",IF(OR(J105&gt;'Settings'!$I$8,F105&lt;'Settings'!$H$8),"C Time-bound remediation / enhanced approval",IF(OR(J105&gt;'Settings'!$I$7,F105&lt;'Settings'!$H$7),"B Qualified / continuous monitoring","A Preferred / eligible to expand"))))</f>
        <v/>
      </c>
      <c r="N105" s="73">
        <f>IF(M105="","",IF(LEFT(M105,1)="A","Add to preferred list; eligible for expanded share or strategic cooperation",IF(LEFT(M105,1)="B","Maintain cooperation; monitor key indicators quarterly",IF(LEFT(M105,1)="C","Start remediation plan; major purchases require procurement, quality, and legal joint approval","Pause new project onboarding; start alternate supplier and exit plan"))))</f>
        <v/>
      </c>
      <c r="O105" s="288">
        <f>IF(M105="","",IF(LEFT(M105,1)="A",'Settings'!$K$7,IF(LEFT(M105,1)="B",'Settings'!$K$8,IF(LEFT(M105,1)="C",'Settings'!$K$9,'Settings'!$K$10))))</f>
        <v/>
      </c>
      <c r="P105" s="306">
        <f>IF(M105="","",IF(Q105="",TODAY(),Q105)+O105)</f>
        <v/>
      </c>
      <c r="Q105" s="306">
        <f>IF(A105="","",IFERROR(MAXIFS('360 Score Entry'!$C$6:$C$105,'360 Score Entry'!$A$6:$A$105,A105),""))</f>
        <v/>
      </c>
      <c r="R105" s="74">
        <f>IF(A105="","",IF(G105=0,"No open events","Review Risk Event Register; close the highest-risk item first"))</f>
        <v/>
      </c>
      <c r="S105" s="282">
        <f>IF(A105="",0,J105+0.0001)</f>
        <v/>
      </c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2">
    <mergeCell ref="A2:R2"/>
    <mergeCell ref="A1:R1"/>
  </mergeCells>
  <conditionalFormatting sqref="M6:M105">
    <cfRule type="containsText" priority="3" operator="containsText" dxfId="1" text="A "/>
    <cfRule type="containsText" priority="4" operator="containsText" dxfId="2" text="B "/>
    <cfRule type="containsText" priority="5" operator="containsText" dxfId="3" text="C "/>
    <cfRule type="containsText" priority="6" operator="containsText" dxfId="4" text="D "/>
  </conditionalFormatting>
  <conditionalFormatting sqref="F6:F105">
    <cfRule type="expression" priority="7" dxfId="5">
      <formula>AND(F6&lt;&gt;"",F6&lt;60)</formula>
    </cfRule>
    <cfRule type="expression" priority="8" dxfId="6">
      <formula>AND(F6&gt;=60,F6&lt;75)</formula>
    </cfRule>
    <cfRule type="expression" priority="9" dxfId="7">
      <formula>AND(F6&gt;=75,F6&lt;85)</formula>
    </cfRule>
    <cfRule type="expression" priority="10" dxfId="8">
      <formula>AND(F6&gt;=85)</formula>
    </cfRule>
  </conditionalFormatting>
  <conditionalFormatting sqref="J6:J105">
    <cfRule type="expression" priority="11" dxfId="8">
      <formula>AND(J6&lt;&gt;"",J6&lt;=30)</formula>
    </cfRule>
    <cfRule type="expression" priority="12" dxfId="7">
      <formula>AND(J6&gt;30,J6&lt;=50)</formula>
    </cfRule>
    <cfRule type="expression" priority="13" dxfId="6">
      <formula>AND(J6&gt;50,J6&lt;=70)</formula>
    </cfRule>
    <cfRule type="expression" priority="14" dxfId="5">
      <formula>AND(J6&gt;70)</formula>
    </cfRule>
  </conditionalFormatting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8" customWidth="1" style="280" min="1" max="1"/>
    <col width="12" customWidth="1" style="280" min="2" max="2"/>
    <col width="4" customWidth="1" style="280" min="3" max="3"/>
    <col width="12" customWidth="1" style="280" min="4" max="4"/>
    <col width="12" customWidth="1" style="280" min="5" max="5"/>
    <col width="12" customWidth="1" style="280" min="6" max="6"/>
    <col width="12" customWidth="1" style="280" min="7" max="7"/>
    <col width="12" customWidth="1" style="280" min="8" max="8"/>
    <col width="4" customWidth="1" style="280" min="9" max="9"/>
    <col width="14" customWidth="1" style="280" min="10" max="10"/>
    <col width="13" customWidth="1" style="280" min="11" max="11"/>
    <col width="24" customWidth="1" style="280" min="12" max="12"/>
    <col width="24" customWidth="1" style="280" min="13" max="13"/>
    <col width="10" customWidth="1" style="280" min="14" max="14"/>
    <col width="10" customWidth="1" style="280" min="15" max="15"/>
    <col width="12" customWidth="1" style="280" min="16" max="16"/>
    <col width="42" customWidth="1" style="280" min="17" max="17"/>
    <col width="14" customWidth="1" style="280" min="18" max="18"/>
  </cols>
  <sheetData>
    <row r="1" ht="30" customHeight="1" s="280">
      <c r="A1" s="257" t="inlineStr">
        <is>
          <t>Supplier 360 Scoring and Risk Tier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 ht="30" customHeight="1" s="280">
      <c r="A2" s="19" t="inlineStr">
        <is>
          <t>KPIs, tier distribution, risk categories, and high-risk lists are summarized by formulas from other sheets.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 ht="26" customHeight="1" s="280">
      <c r="A4" s="310" t="inlineStr">
        <is>
          <t>Total Suppliers</t>
        </is>
      </c>
      <c r="B4" s="284" t="n"/>
      <c r="C4" s="285" t="n"/>
      <c r="D4" s="310" t="inlineStr">
        <is>
          <t>Average 360 Score</t>
        </is>
      </c>
      <c r="E4" s="284" t="n"/>
      <c r="F4" s="285" t="n"/>
      <c r="G4" s="310" t="inlineStr">
        <is>
          <t>High / Critical Risk Suppliers</t>
        </is>
      </c>
      <c r="H4" s="284" t="n"/>
      <c r="I4" s="285" t="n"/>
      <c r="J4" s="310" t="inlineStr">
        <is>
          <t>Remediation / Restriction</t>
        </is>
      </c>
      <c r="K4" s="284" t="n"/>
      <c r="L4" s="285" t="n"/>
      <c r="M4" s="310" t="inlineStr">
        <is>
          <t>Total Annual Spend</t>
        </is>
      </c>
      <c r="N4" s="284" t="n"/>
      <c r="O4" s="285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26" customHeight="1" s="280">
      <c r="A5" s="311">
        <f>COUNTIF('Supplier Register'!$A$6:$A$105,"&lt;&gt;")</f>
        <v/>
      </c>
      <c r="B5" s="312" t="n"/>
      <c r="C5" s="313" t="n"/>
      <c r="D5" s="311">
        <f>ROUND(AVERAGEIF('Final Score and Tiering'!$F$6:$F$105,"&gt;0",'Final Score and Tiering'!$F$6:$F$105),1)</f>
        <v/>
      </c>
      <c r="E5" s="312" t="n"/>
      <c r="F5" s="313" t="n"/>
      <c r="G5" s="311">
        <f>COUNTIF('Final Score and Tiering'!$L$6:$L$105,"High Risk")+COUNTIF('Final Score and Tiering'!$L$6:$L$105,"Critical Risk")</f>
        <v/>
      </c>
      <c r="H5" s="312" t="n"/>
      <c r="I5" s="313" t="n"/>
      <c r="J5" s="311">
        <f>COUNTIF('Final Score and Tiering'!$M$6:$M$105,"C Time-bound remediation / enhanced approval")+COUNTIF('Final Score and Tiering'!$M$6:$M$105,"D Pause onboarding / restrict purchases")</f>
        <v/>
      </c>
      <c r="K5" s="312" t="n"/>
      <c r="L5" s="313" t="n"/>
      <c r="M5" s="311">
        <f>ROUND(SUM('Supplier Register'!$F$6:$F$105)/1000,0)&amp;"K"</f>
        <v/>
      </c>
      <c r="N5" s="312" t="n"/>
      <c r="O5" s="31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26" customHeight="1" s="280">
      <c r="A6" s="314" t="n"/>
      <c r="B6" s="315" t="n"/>
      <c r="C6" s="316" t="n"/>
      <c r="D6" s="314" t="n"/>
      <c r="E6" s="315" t="n"/>
      <c r="F6" s="316" t="n"/>
      <c r="G6" s="314" t="n"/>
      <c r="H6" s="315" t="n"/>
      <c r="I6" s="316" t="n"/>
      <c r="J6" s="314" t="n"/>
      <c r="K6" s="315" t="n"/>
      <c r="L6" s="316" t="n"/>
      <c r="M6" s="314" t="n"/>
      <c r="N6" s="315" t="n"/>
      <c r="O6" s="316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>
      <c r="A7" s="253" t="n"/>
      <c r="B7" s="253" t="n"/>
      <c r="C7" s="253" t="n"/>
      <c r="D7" s="253" t="n"/>
      <c r="E7" s="253" t="n"/>
      <c r="F7" s="253" t="n"/>
      <c r="G7" s="253" t="n"/>
      <c r="H7" s="253" t="n"/>
      <c r="I7" s="253" t="n"/>
      <c r="J7" s="253" t="n"/>
      <c r="K7" s="253" t="n"/>
      <c r="L7" s="253" t="n"/>
      <c r="M7" s="253" t="n"/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>
      <c r="A8" s="253" t="n"/>
      <c r="B8" s="253" t="n"/>
      <c r="C8" s="253" t="n"/>
      <c r="D8" s="253" t="n"/>
      <c r="E8" s="253" t="n"/>
      <c r="F8" s="253" t="n"/>
      <c r="G8" s="253" t="n"/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22" customHeight="1" s="280">
      <c r="A9" s="31" t="inlineStr">
        <is>
          <t>Final Tier</t>
        </is>
      </c>
      <c r="B9" s="33" t="inlineStr">
        <is>
          <t>Supplier Count</t>
        </is>
      </c>
      <c r="C9" s="253" t="n"/>
      <c r="D9" s="253" t="n"/>
      <c r="E9" s="253" t="n"/>
      <c r="F9" s="253" t="n"/>
      <c r="G9" s="253" t="n"/>
      <c r="H9" s="253" t="n"/>
      <c r="I9" s="253" t="n"/>
      <c r="J9" s="31" t="inlineStr">
        <is>
          <t>Scoring Dimension</t>
        </is>
      </c>
      <c r="K9" s="33" t="inlineStr">
        <is>
          <t>Average Score</t>
        </is>
      </c>
      <c r="L9" s="253" t="n"/>
      <c r="M9" s="253" t="n"/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22" customHeight="1" s="280">
      <c r="A10" s="66" t="inlineStr">
        <is>
          <t>A Preferred</t>
        </is>
      </c>
      <c r="B10" s="68">
        <f>COUNTIF('Final Score and Tiering'!$M$6:$M$105,"A Preferred / eligible to expand")</f>
        <v/>
      </c>
      <c r="C10" s="253" t="n"/>
      <c r="D10" s="253" t="n"/>
      <c r="E10" s="253" t="n"/>
      <c r="F10" s="253" t="n"/>
      <c r="G10" s="253" t="n"/>
      <c r="H10" s="253" t="n"/>
      <c r="I10" s="253" t="n"/>
      <c r="J10" s="66" t="inlineStr">
        <is>
          <t>Quality and Consistency</t>
        </is>
      </c>
      <c r="K10" s="68">
        <f>ROUND(AVERAGE('360 Score Entry'!$E$6:$E$105),1)</f>
        <v/>
      </c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22" customHeight="1" s="280">
      <c r="A11" s="69" t="inlineStr">
        <is>
          <t>B Qualified</t>
        </is>
      </c>
      <c r="B11" s="71">
        <f>COUNTIF('Final Score and Tiering'!$M$6:$M$105,"B Qualified / continuous monitoring")</f>
        <v/>
      </c>
      <c r="C11" s="253" t="n"/>
      <c r="D11" s="253" t="n"/>
      <c r="E11" s="253" t="n"/>
      <c r="F11" s="253" t="n"/>
      <c r="G11" s="253" t="n"/>
      <c r="H11" s="253" t="n"/>
      <c r="I11" s="253" t="n"/>
      <c r="J11" s="69" t="inlineStr">
        <is>
          <t>Delivery and Fulfillment</t>
        </is>
      </c>
      <c r="K11" s="71">
        <f>ROUND(AVERAGE('360 Score Entry'!$F$6:$F$105),1)</f>
        <v/>
      </c>
      <c r="L11" s="253" t="n"/>
      <c r="M11" s="253" t="n"/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22" customHeight="1" s="280">
      <c r="A12" s="69" t="inlineStr">
        <is>
          <t>C Needs Remediation</t>
        </is>
      </c>
      <c r="B12" s="71">
        <f>COUNTIF('Final Score and Tiering'!$M$6:$M$105,"C Time-bound remediation / enhanced approval")</f>
        <v/>
      </c>
      <c r="C12" s="253" t="n"/>
      <c r="D12" s="253" t="n"/>
      <c r="E12" s="253" t="n"/>
      <c r="F12" s="253" t="n"/>
      <c r="G12" s="253" t="n"/>
      <c r="H12" s="253" t="n"/>
      <c r="I12" s="253" t="n"/>
      <c r="J12" s="69" t="inlineStr">
        <is>
          <t>Cost and Commercials</t>
        </is>
      </c>
      <c r="K12" s="71">
        <f>ROUND(AVERAGE('360 Score Entry'!$G$6:$G$105),1)</f>
        <v/>
      </c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22" customHeight="1" s="280">
      <c r="A13" s="72" t="inlineStr">
        <is>
          <t>D Restricted</t>
        </is>
      </c>
      <c r="B13" s="74">
        <f>COUNTIF('Final Score and Tiering'!$M$6:$M$105,"D Pause onboarding / restrict purchases")</f>
        <v/>
      </c>
      <c r="C13" s="253" t="n"/>
      <c r="D13" s="253" t="n"/>
      <c r="E13" s="253" t="n"/>
      <c r="F13" s="253" t="n"/>
      <c r="G13" s="253" t="n"/>
      <c r="H13" s="253" t="n"/>
      <c r="I13" s="253" t="n"/>
      <c r="J13" s="69" t="inlineStr">
        <is>
          <t>Service and Collaboration</t>
        </is>
      </c>
      <c r="K13" s="71">
        <f>ROUND(AVERAGE('360 Score Entry'!$H$6:$H$105),1)</f>
        <v/>
      </c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22" customHeight="1" s="280">
      <c r="A14" s="253" t="n"/>
      <c r="B14" s="253" t="n"/>
      <c r="C14" s="253" t="n"/>
      <c r="D14" s="253" t="n"/>
      <c r="E14" s="253" t="n"/>
      <c r="F14" s="253" t="n"/>
      <c r="G14" s="253" t="n"/>
      <c r="H14" s="253" t="n"/>
      <c r="I14" s="253" t="n"/>
      <c r="J14" s="69" t="inlineStr">
        <is>
          <t>Capacity and Operating Stability</t>
        </is>
      </c>
      <c r="K14" s="71">
        <f>ROUND(AVERAGE('360 Score Entry'!$I$6:$I$105),1)</f>
        <v/>
      </c>
      <c r="L14" s="253" t="n"/>
      <c r="M14" s="253" t="n"/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22" customHeight="1" s="280">
      <c r="A15" s="253" t="n"/>
      <c r="B15" s="253" t="n"/>
      <c r="C15" s="253" t="n"/>
      <c r="D15" s="253" t="n"/>
      <c r="E15" s="253" t="n"/>
      <c r="F15" s="253" t="n"/>
      <c r="G15" s="253" t="n"/>
      <c r="H15" s="253" t="n"/>
      <c r="I15" s="253" t="n"/>
      <c r="J15" s="69" t="inlineStr">
        <is>
          <t>Financial Health</t>
        </is>
      </c>
      <c r="K15" s="71">
        <f>ROUND(AVERAGE('360 Score Entry'!$J$6:$J$105),1)</f>
        <v/>
      </c>
      <c r="L15" s="253" t="n"/>
      <c r="M15" s="253" t="n"/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22" customHeight="1" s="280">
      <c r="A16" s="253" t="n"/>
      <c r="B16" s="253" t="n"/>
      <c r="C16" s="253" t="n"/>
      <c r="D16" s="253" t="n"/>
      <c r="E16" s="253" t="n"/>
      <c r="F16" s="253" t="n"/>
      <c r="G16" s="253" t="n"/>
      <c r="H16" s="253" t="n"/>
      <c r="I16" s="253" t="n"/>
      <c r="J16" s="69" t="inlineStr">
        <is>
          <t>Compliance / Legal / Sanctions</t>
        </is>
      </c>
      <c r="K16" s="71">
        <f>ROUND(AVERAGE('360 Score Entry'!$K$6:$K$105),1)</f>
        <v/>
      </c>
      <c r="L16" s="253" t="n"/>
      <c r="M16" s="253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22" customHeight="1" s="280">
      <c r="A17" s="253" t="n"/>
      <c r="B17" s="253" t="n"/>
      <c r="C17" s="253" t="n"/>
      <c r="D17" s="253" t="n"/>
      <c r="E17" s="253" t="n"/>
      <c r="F17" s="253" t="n"/>
      <c r="G17" s="253" t="n"/>
      <c r="H17" s="253" t="n"/>
      <c r="I17" s="253" t="n"/>
      <c r="J17" s="69" t="inlineStr">
        <is>
          <t>ESG / Sustainability</t>
        </is>
      </c>
      <c r="K17" s="71">
        <f>ROUND(AVERAGE('360 Score Entry'!$L$6:$L$105),1)</f>
        <v/>
      </c>
      <c r="L17" s="253" t="n"/>
      <c r="M17" s="253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 ht="22" customHeight="1" s="280">
      <c r="A18" s="253" t="n"/>
      <c r="B18" s="253" t="n"/>
      <c r="C18" s="253" t="n"/>
      <c r="D18" s="253" t="n"/>
      <c r="E18" s="253" t="n"/>
      <c r="F18" s="253" t="n"/>
      <c r="G18" s="253" t="n"/>
      <c r="H18" s="253" t="n"/>
      <c r="I18" s="253" t="n"/>
      <c r="J18" s="69" t="inlineStr">
        <is>
          <t>Cybersecurity / Data Protection</t>
        </is>
      </c>
      <c r="K18" s="71">
        <f>ROUND(AVERAGE('360 Score Entry'!$M$6:$M$105),1)</f>
        <v/>
      </c>
      <c r="L18" s="253" t="n"/>
      <c r="M18" s="253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 ht="22" customHeight="1" s="280">
      <c r="A19" s="253" t="n"/>
      <c r="B19" s="253" t="n"/>
      <c r="C19" s="253" t="n"/>
      <c r="D19" s="253" t="n"/>
      <c r="E19" s="253" t="n"/>
      <c r="F19" s="253" t="n"/>
      <c r="G19" s="253" t="n"/>
      <c r="H19" s="253" t="n"/>
      <c r="I19" s="253" t="n"/>
      <c r="J19" s="72" t="inlineStr">
        <is>
          <t>Geopolitical and External Environment</t>
        </is>
      </c>
      <c r="K19" s="74">
        <f>ROUND(AVERAGE('360 Score Entry'!$N$6:$N$105),1)</f>
        <v/>
      </c>
      <c r="L19" s="253" t="n"/>
      <c r="M19" s="253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 ht="22" customHeight="1" s="280">
      <c r="A20" s="253" t="n"/>
      <c r="B20" s="253" t="n"/>
      <c r="C20" s="253" t="n"/>
      <c r="D20" s="253" t="n"/>
      <c r="E20" s="253" t="n"/>
      <c r="F20" s="253" t="n"/>
      <c r="G20" s="253" t="n"/>
      <c r="H20" s="253" t="n"/>
      <c r="I20" s="253" t="n"/>
      <c r="J20" s="253" t="n"/>
      <c r="K20" s="253" t="n"/>
      <c r="L20" s="253" t="n"/>
      <c r="M20" s="253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 ht="22" customHeight="1" s="280">
      <c r="A21" s="253" t="n"/>
      <c r="B21" s="253" t="n"/>
      <c r="C21" s="253" t="n"/>
      <c r="D21" s="253" t="n"/>
      <c r="E21" s="253" t="n"/>
      <c r="F21" s="253" t="n"/>
      <c r="G21" s="253" t="n"/>
      <c r="H21" s="253" t="n"/>
      <c r="I21" s="253" t="n"/>
      <c r="J21" s="253" t="n"/>
      <c r="K21" s="253" t="n"/>
      <c r="L21" s="253" t="n"/>
      <c r="M21" s="253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 ht="22" customHeight="1" s="280">
      <c r="A22" s="253" t="n"/>
      <c r="B22" s="253" t="n"/>
      <c r="C22" s="253" t="n"/>
      <c r="D22" s="253" t="n"/>
      <c r="E22" s="253" t="n"/>
      <c r="F22" s="253" t="n"/>
      <c r="G22" s="253" t="n"/>
      <c r="H22" s="253" t="n"/>
      <c r="I22" s="253" t="n"/>
      <c r="J22" s="253" t="n"/>
      <c r="K22" s="253" t="n"/>
      <c r="L22" s="253" t="n"/>
      <c r="M22" s="253" t="n"/>
      <c r="N22" s="253" t="n"/>
      <c r="O22" s="253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 ht="22" customHeight="1" s="280">
      <c r="A23" s="253" t="n"/>
      <c r="B23" s="253" t="n"/>
      <c r="C23" s="253" t="n"/>
      <c r="D23" s="253" t="n"/>
      <c r="E23" s="253" t="n"/>
      <c r="F23" s="253" t="n"/>
      <c r="G23" s="253" t="n"/>
      <c r="H23" s="253" t="n"/>
      <c r="I23" s="253" t="n"/>
      <c r="J23" s="253" t="n"/>
      <c r="K23" s="253" t="n"/>
      <c r="L23" s="253" t="n"/>
      <c r="M23" s="253" t="n"/>
      <c r="N23" s="253" t="n"/>
      <c r="O23" s="253" t="n"/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 ht="22" customHeight="1" s="280">
      <c r="A24" s="253" t="n"/>
      <c r="B24" s="253" t="n"/>
      <c r="C24" s="253" t="n"/>
      <c r="D24" s="253" t="n"/>
      <c r="E24" s="253" t="n"/>
      <c r="F24" s="253" t="n"/>
      <c r="G24" s="253" t="n"/>
      <c r="H24" s="253" t="n"/>
      <c r="I24" s="253" t="n"/>
      <c r="J24" s="253" t="n"/>
      <c r="K24" s="253" t="n"/>
      <c r="L24" s="253" t="n"/>
      <c r="M24" s="253" t="n"/>
      <c r="N24" s="253" t="n"/>
      <c r="O24" s="253" t="n"/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 ht="22" customHeight="1" s="280">
      <c r="A25" s="31" t="inlineStr">
        <is>
          <t>Risk Category</t>
        </is>
      </c>
      <c r="B25" s="33" t="inlineStr">
        <is>
          <t>Open Event Count</t>
        </is>
      </c>
      <c r="C25" s="253" t="n"/>
      <c r="D25" s="253" t="n"/>
      <c r="E25" s="253" t="n"/>
      <c r="F25" s="253" t="n"/>
      <c r="G25" s="253" t="n"/>
      <c r="H25" s="253" t="n"/>
      <c r="I25" s="253" t="n"/>
      <c r="J25" s="31" t="inlineStr">
        <is>
          <t>No.</t>
        </is>
      </c>
      <c r="K25" s="32" t="inlineStr">
        <is>
          <t>Supplier ID</t>
        </is>
      </c>
      <c r="L25" s="32" t="inlineStr">
        <is>
          <t>Supplier Name</t>
        </is>
      </c>
      <c r="M25" s="32" t="inlineStr">
        <is>
          <t>Final Tier</t>
        </is>
      </c>
      <c r="N25" s="32" t="inlineStr">
        <is>
          <t>Risk Score</t>
        </is>
      </c>
      <c r="O25" s="32" t="inlineStr">
        <is>
          <t>360 Score</t>
        </is>
      </c>
      <c r="P25" s="32" t="inlineStr">
        <is>
          <t>Open Events</t>
        </is>
      </c>
      <c r="Q25" s="32" t="inlineStr">
        <is>
          <t>Recommended Action</t>
        </is>
      </c>
      <c r="R25" s="33" t="inlineStr">
        <is>
          <t>Next Review</t>
        </is>
      </c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 ht="22" customHeight="1" s="280">
      <c r="A26" s="66" t="inlineStr">
        <is>
          <t>Quality / Consistency</t>
        </is>
      </c>
      <c r="B26" s="68">
        <f>COUNTIFS('Risk Event Register'!$D$6:$D$205,A26,'Risk Event Register'!$J$6:$J$205,"&lt;&gt;Closed")</f>
        <v/>
      </c>
      <c r="C26" s="253" t="n"/>
      <c r="D26" s="253" t="n"/>
      <c r="E26" s="253" t="n"/>
      <c r="F26" s="253" t="n"/>
      <c r="G26" s="253" t="n"/>
      <c r="H26" s="253" t="n"/>
      <c r="I26" s="253" t="n"/>
      <c r="J26" s="66" t="n">
        <v>1</v>
      </c>
      <c r="K26" s="67">
        <f>IFERROR(INDEX('Final Score and Tiering'!$A$6:$A$105,MATCH(LARGE('Final Score and Tiering'!$S$6:$S$105,$J26),'Final Score and Tiering'!$S$6:$S$105,0)),"")</f>
        <v/>
      </c>
      <c r="L26" s="67">
        <f>IF($K26="","",VLOOKUP($K26,'Final Score and Tiering'!$A$6:$R$105,2,FALSE))</f>
        <v/>
      </c>
      <c r="M26" s="67">
        <f>IF($K26="","",VLOOKUP($K26,'Final Score and Tiering'!$A$6:$R$105,13,FALSE))</f>
        <v/>
      </c>
      <c r="N26" s="307">
        <f>IF($K26="","",VLOOKUP($K26,'Final Score and Tiering'!$A$6:$R$105,10,FALSE))</f>
        <v/>
      </c>
      <c r="O26" s="307">
        <f>IF($K26="","",VLOOKUP($K26,'Final Score and Tiering'!$A$6:$R$105,6,FALSE))</f>
        <v/>
      </c>
      <c r="P26" s="286">
        <f>IF($K26="","",VLOOKUP($K26,'Final Score and Tiering'!$A$6:$R$105,7,FALSE))</f>
        <v/>
      </c>
      <c r="Q26" s="67">
        <f>IF($K26="","",VLOOKUP($K26,'Final Score and Tiering'!$A$6:$R$105,14,FALSE))</f>
        <v/>
      </c>
      <c r="R26" s="317">
        <f>IF($K26="","",VLOOKUP($K26,'Final Score and Tiering'!$A$6:$R$105,16,FALSE))</f>
        <v/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 ht="22" customHeight="1" s="280">
      <c r="A27" s="69" t="inlineStr">
        <is>
          <t>Delivery / Fulfillment</t>
        </is>
      </c>
      <c r="B27" s="71">
        <f>COUNTIFS('Risk Event Register'!$D$6:$D$205,A27,'Risk Event Register'!$J$6:$J$205,"&lt;&gt;Closed")</f>
        <v/>
      </c>
      <c r="C27" s="253" t="n"/>
      <c r="D27" s="253" t="n"/>
      <c r="E27" s="253" t="n"/>
      <c r="F27" s="253" t="n"/>
      <c r="G27" s="253" t="n"/>
      <c r="H27" s="253" t="n"/>
      <c r="I27" s="253" t="n"/>
      <c r="J27" s="69" t="n">
        <v>2</v>
      </c>
      <c r="K27" s="70">
        <f>IFERROR(INDEX('Final Score and Tiering'!$A$6:$A$105,MATCH(LARGE('Final Score and Tiering'!$S$6:$S$105,$J27),'Final Score and Tiering'!$S$6:$S$105,0)),"")</f>
        <v/>
      </c>
      <c r="L27" s="70">
        <f>IF($K27="","",VLOOKUP($K27,'Final Score and Tiering'!$A$6:$R$105,2,FALSE))</f>
        <v/>
      </c>
      <c r="M27" s="70">
        <f>IF($K27="","",VLOOKUP($K27,'Final Score and Tiering'!$A$6:$R$105,13,FALSE))</f>
        <v/>
      </c>
      <c r="N27" s="308">
        <f>IF($K27="","",VLOOKUP($K27,'Final Score and Tiering'!$A$6:$R$105,10,FALSE))</f>
        <v/>
      </c>
      <c r="O27" s="308">
        <f>IF($K27="","",VLOOKUP($K27,'Final Score and Tiering'!$A$6:$R$105,6,FALSE))</f>
        <v/>
      </c>
      <c r="P27" s="287">
        <f>IF($K27="","",VLOOKUP($K27,'Final Score and Tiering'!$A$6:$R$105,7,FALSE))</f>
        <v/>
      </c>
      <c r="Q27" s="70">
        <f>IF($K27="","",VLOOKUP($K27,'Final Score and Tiering'!$A$6:$R$105,14,FALSE))</f>
        <v/>
      </c>
      <c r="R27" s="318">
        <f>IF($K27="","",VLOOKUP($K27,'Final Score and Tiering'!$A$6:$R$105,16,FALSE))</f>
        <v/>
      </c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 ht="22" customHeight="1" s="280">
      <c r="A28" s="69" t="inlineStr">
        <is>
          <t>Financial Health</t>
        </is>
      </c>
      <c r="B28" s="71">
        <f>COUNTIFS('Risk Event Register'!$D$6:$D$205,A28,'Risk Event Register'!$J$6:$J$205,"&lt;&gt;Closed")</f>
        <v/>
      </c>
      <c r="C28" s="253" t="n"/>
      <c r="D28" s="253" t="n"/>
      <c r="E28" s="253" t="n"/>
      <c r="F28" s="253" t="n"/>
      <c r="G28" s="253" t="n"/>
      <c r="H28" s="253" t="n"/>
      <c r="I28" s="253" t="n"/>
      <c r="J28" s="69" t="n">
        <v>3</v>
      </c>
      <c r="K28" s="70">
        <f>IFERROR(INDEX('Final Score and Tiering'!$A$6:$A$105,MATCH(LARGE('Final Score and Tiering'!$S$6:$S$105,$J28),'Final Score and Tiering'!$S$6:$S$105,0)),"")</f>
        <v/>
      </c>
      <c r="L28" s="70">
        <f>IF($K28="","",VLOOKUP($K28,'Final Score and Tiering'!$A$6:$R$105,2,FALSE))</f>
        <v/>
      </c>
      <c r="M28" s="70">
        <f>IF($K28="","",VLOOKUP($K28,'Final Score and Tiering'!$A$6:$R$105,13,FALSE))</f>
        <v/>
      </c>
      <c r="N28" s="308">
        <f>IF($K28="","",VLOOKUP($K28,'Final Score and Tiering'!$A$6:$R$105,10,FALSE))</f>
        <v/>
      </c>
      <c r="O28" s="308">
        <f>IF($K28="","",VLOOKUP($K28,'Final Score and Tiering'!$A$6:$R$105,6,FALSE))</f>
        <v/>
      </c>
      <c r="P28" s="287">
        <f>IF($K28="","",VLOOKUP($K28,'Final Score and Tiering'!$A$6:$R$105,7,FALSE))</f>
        <v/>
      </c>
      <c r="Q28" s="70">
        <f>IF($K28="","",VLOOKUP($K28,'Final Score and Tiering'!$A$6:$R$105,14,FALSE))</f>
        <v/>
      </c>
      <c r="R28" s="318">
        <f>IF($K28="","",VLOOKUP($K28,'Final Score and Tiering'!$A$6:$R$105,16,FALSE))</f>
        <v/>
      </c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 ht="22" customHeight="1" s="280">
      <c r="A29" s="69" t="inlineStr">
        <is>
          <t>Compliance / Legal</t>
        </is>
      </c>
      <c r="B29" s="71">
        <f>COUNTIFS('Risk Event Register'!$D$6:$D$205,A29,'Risk Event Register'!$J$6:$J$205,"&lt;&gt;Closed")</f>
        <v/>
      </c>
      <c r="C29" s="253" t="n"/>
      <c r="D29" s="253" t="n"/>
      <c r="E29" s="253" t="n"/>
      <c r="F29" s="253" t="n"/>
      <c r="G29" s="253" t="n"/>
      <c r="H29" s="253" t="n"/>
      <c r="I29" s="253" t="n"/>
      <c r="J29" s="69" t="n">
        <v>4</v>
      </c>
      <c r="K29" s="70">
        <f>IFERROR(INDEX('Final Score and Tiering'!$A$6:$A$105,MATCH(LARGE('Final Score and Tiering'!$S$6:$S$105,$J29),'Final Score and Tiering'!$S$6:$S$105,0)),"")</f>
        <v/>
      </c>
      <c r="L29" s="70">
        <f>IF($K29="","",VLOOKUP($K29,'Final Score and Tiering'!$A$6:$R$105,2,FALSE))</f>
        <v/>
      </c>
      <c r="M29" s="70">
        <f>IF($K29="","",VLOOKUP($K29,'Final Score and Tiering'!$A$6:$R$105,13,FALSE))</f>
        <v/>
      </c>
      <c r="N29" s="308">
        <f>IF($K29="","",VLOOKUP($K29,'Final Score and Tiering'!$A$6:$R$105,10,FALSE))</f>
        <v/>
      </c>
      <c r="O29" s="308">
        <f>IF($K29="","",VLOOKUP($K29,'Final Score and Tiering'!$A$6:$R$105,6,FALSE))</f>
        <v/>
      </c>
      <c r="P29" s="287">
        <f>IF($K29="","",VLOOKUP($K29,'Final Score and Tiering'!$A$6:$R$105,7,FALSE))</f>
        <v/>
      </c>
      <c r="Q29" s="70">
        <f>IF($K29="","",VLOOKUP($K29,'Final Score and Tiering'!$A$6:$R$105,14,FALSE))</f>
        <v/>
      </c>
      <c r="R29" s="318">
        <f>IF($K29="","",VLOOKUP($K29,'Final Score and Tiering'!$A$6:$R$105,16,FALSE))</f>
        <v/>
      </c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 ht="22" customHeight="1" s="280">
      <c r="A30" s="69" t="inlineStr">
        <is>
          <t>ESG / Sustainability</t>
        </is>
      </c>
      <c r="B30" s="71">
        <f>COUNTIFS('Risk Event Register'!$D$6:$D$205,A30,'Risk Event Register'!$J$6:$J$205,"&lt;&gt;Closed")</f>
        <v/>
      </c>
      <c r="C30" s="253" t="n"/>
      <c r="D30" s="253" t="n"/>
      <c r="E30" s="253" t="n"/>
      <c r="F30" s="253" t="n"/>
      <c r="G30" s="253" t="n"/>
      <c r="H30" s="253" t="n"/>
      <c r="I30" s="253" t="n"/>
      <c r="J30" s="69" t="n">
        <v>5</v>
      </c>
      <c r="K30" s="70">
        <f>IFERROR(INDEX('Final Score and Tiering'!$A$6:$A$105,MATCH(LARGE('Final Score and Tiering'!$S$6:$S$105,$J30),'Final Score and Tiering'!$S$6:$S$105,0)),"")</f>
        <v/>
      </c>
      <c r="L30" s="70">
        <f>IF($K30="","",VLOOKUP($K30,'Final Score and Tiering'!$A$6:$R$105,2,FALSE))</f>
        <v/>
      </c>
      <c r="M30" s="70">
        <f>IF($K30="","",VLOOKUP($K30,'Final Score and Tiering'!$A$6:$R$105,13,FALSE))</f>
        <v/>
      </c>
      <c r="N30" s="308">
        <f>IF($K30="","",VLOOKUP($K30,'Final Score and Tiering'!$A$6:$R$105,10,FALSE))</f>
        <v/>
      </c>
      <c r="O30" s="308">
        <f>IF($K30="","",VLOOKUP($K30,'Final Score and Tiering'!$A$6:$R$105,6,FALSE))</f>
        <v/>
      </c>
      <c r="P30" s="287">
        <f>IF($K30="","",VLOOKUP($K30,'Final Score and Tiering'!$A$6:$R$105,7,FALSE))</f>
        <v/>
      </c>
      <c r="Q30" s="70">
        <f>IF($K30="","",VLOOKUP($K30,'Final Score and Tiering'!$A$6:$R$105,14,FALSE))</f>
        <v/>
      </c>
      <c r="R30" s="318">
        <f>IF($K30="","",VLOOKUP($K30,'Final Score and Tiering'!$A$6:$R$105,16,FALSE))</f>
        <v/>
      </c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 ht="22" customHeight="1" s="280">
      <c r="A31" s="69" t="inlineStr">
        <is>
          <t>Cybersecurity / Data Protection</t>
        </is>
      </c>
      <c r="B31" s="71">
        <f>COUNTIFS('Risk Event Register'!$D$6:$D$205,A31,'Risk Event Register'!$J$6:$J$205,"&lt;&gt;Closed")</f>
        <v/>
      </c>
      <c r="C31" s="253" t="n"/>
      <c r="D31" s="253" t="n"/>
      <c r="E31" s="253" t="n"/>
      <c r="F31" s="253" t="n"/>
      <c r="G31" s="253" t="n"/>
      <c r="H31" s="253" t="n"/>
      <c r="I31" s="253" t="n"/>
      <c r="J31" s="69" t="n">
        <v>6</v>
      </c>
      <c r="K31" s="70">
        <f>IFERROR(INDEX('Final Score and Tiering'!$A$6:$A$105,MATCH(LARGE('Final Score and Tiering'!$S$6:$S$105,$J31),'Final Score and Tiering'!$S$6:$S$105,0)),"")</f>
        <v/>
      </c>
      <c r="L31" s="70">
        <f>IF($K31="","",VLOOKUP($K31,'Final Score and Tiering'!$A$6:$R$105,2,FALSE))</f>
        <v/>
      </c>
      <c r="M31" s="70">
        <f>IF($K31="","",VLOOKUP($K31,'Final Score and Tiering'!$A$6:$R$105,13,FALSE))</f>
        <v/>
      </c>
      <c r="N31" s="308">
        <f>IF($K31="","",VLOOKUP($K31,'Final Score and Tiering'!$A$6:$R$105,10,FALSE))</f>
        <v/>
      </c>
      <c r="O31" s="308">
        <f>IF($K31="","",VLOOKUP($K31,'Final Score and Tiering'!$A$6:$R$105,6,FALSE))</f>
        <v/>
      </c>
      <c r="P31" s="287">
        <f>IF($K31="","",VLOOKUP($K31,'Final Score and Tiering'!$A$6:$R$105,7,FALSE))</f>
        <v/>
      </c>
      <c r="Q31" s="70">
        <f>IF($K31="","",VLOOKUP($K31,'Final Score and Tiering'!$A$6:$R$105,14,FALSE))</f>
        <v/>
      </c>
      <c r="R31" s="318">
        <f>IF($K31="","",VLOOKUP($K31,'Final Score and Tiering'!$A$6:$R$105,16,FALSE))</f>
        <v/>
      </c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 ht="22" customHeight="1" s="280">
      <c r="A32" s="69" t="inlineStr">
        <is>
          <t>Geopolitical / External</t>
        </is>
      </c>
      <c r="B32" s="71">
        <f>COUNTIFS('Risk Event Register'!$D$6:$D$205,A32,'Risk Event Register'!$J$6:$J$205,"&lt;&gt;Closed")</f>
        <v/>
      </c>
      <c r="C32" s="253" t="n"/>
      <c r="D32" s="253" t="n"/>
      <c r="E32" s="253" t="n"/>
      <c r="F32" s="253" t="n"/>
      <c r="G32" s="253" t="n"/>
      <c r="H32" s="253" t="n"/>
      <c r="I32" s="253" t="n"/>
      <c r="J32" s="69" t="n">
        <v>7</v>
      </c>
      <c r="K32" s="70">
        <f>IFERROR(INDEX('Final Score and Tiering'!$A$6:$A$105,MATCH(LARGE('Final Score and Tiering'!$S$6:$S$105,$J32),'Final Score and Tiering'!$S$6:$S$105,0)),"")</f>
        <v/>
      </c>
      <c r="L32" s="70">
        <f>IF($K32="","",VLOOKUP($K32,'Final Score and Tiering'!$A$6:$R$105,2,FALSE))</f>
        <v/>
      </c>
      <c r="M32" s="70">
        <f>IF($K32="","",VLOOKUP($K32,'Final Score and Tiering'!$A$6:$R$105,13,FALSE))</f>
        <v/>
      </c>
      <c r="N32" s="308">
        <f>IF($K32="","",VLOOKUP($K32,'Final Score and Tiering'!$A$6:$R$105,10,FALSE))</f>
        <v/>
      </c>
      <c r="O32" s="308">
        <f>IF($K32="","",VLOOKUP($K32,'Final Score and Tiering'!$A$6:$R$105,6,FALSE))</f>
        <v/>
      </c>
      <c r="P32" s="287">
        <f>IF($K32="","",VLOOKUP($K32,'Final Score and Tiering'!$A$6:$R$105,7,FALSE))</f>
        <v/>
      </c>
      <c r="Q32" s="70">
        <f>IF($K32="","",VLOOKUP($K32,'Final Score and Tiering'!$A$6:$R$105,14,FALSE))</f>
        <v/>
      </c>
      <c r="R32" s="318">
        <f>IF($K32="","",VLOOKUP($K32,'Final Score and Tiering'!$A$6:$R$105,16,FALSE))</f>
        <v/>
      </c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 ht="22" customHeight="1" s="280">
      <c r="A33" s="69" t="inlineStr">
        <is>
          <t>Operations / Capacity</t>
        </is>
      </c>
      <c r="B33" s="71">
        <f>COUNTIFS('Risk Event Register'!$D$6:$D$205,A33,'Risk Event Register'!$J$6:$J$205,"&lt;&gt;Closed")</f>
        <v/>
      </c>
      <c r="C33" s="253" t="n"/>
      <c r="D33" s="253" t="n"/>
      <c r="E33" s="253" t="n"/>
      <c r="F33" s="253" t="n"/>
      <c r="G33" s="253" t="n"/>
      <c r="H33" s="253" t="n"/>
      <c r="I33" s="253" t="n"/>
      <c r="J33" s="69" t="n">
        <v>8</v>
      </c>
      <c r="K33" s="70">
        <f>IFERROR(INDEX('Final Score and Tiering'!$A$6:$A$105,MATCH(LARGE('Final Score and Tiering'!$S$6:$S$105,$J33),'Final Score and Tiering'!$S$6:$S$105,0)),"")</f>
        <v/>
      </c>
      <c r="L33" s="70">
        <f>IF($K33="","",VLOOKUP($K33,'Final Score and Tiering'!$A$6:$R$105,2,FALSE))</f>
        <v/>
      </c>
      <c r="M33" s="70">
        <f>IF($K33="","",VLOOKUP($K33,'Final Score and Tiering'!$A$6:$R$105,13,FALSE))</f>
        <v/>
      </c>
      <c r="N33" s="308">
        <f>IF($K33="","",VLOOKUP($K33,'Final Score and Tiering'!$A$6:$R$105,10,FALSE))</f>
        <v/>
      </c>
      <c r="O33" s="308">
        <f>IF($K33="","",VLOOKUP($K33,'Final Score and Tiering'!$A$6:$R$105,6,FALSE))</f>
        <v/>
      </c>
      <c r="P33" s="287">
        <f>IF($K33="","",VLOOKUP($K33,'Final Score and Tiering'!$A$6:$R$105,7,FALSE))</f>
        <v/>
      </c>
      <c r="Q33" s="70">
        <f>IF($K33="","",VLOOKUP($K33,'Final Score and Tiering'!$A$6:$R$105,14,FALSE))</f>
        <v/>
      </c>
      <c r="R33" s="318">
        <f>IF($K33="","",VLOOKUP($K33,'Final Score and Tiering'!$A$6:$R$105,16,FALSE))</f>
        <v/>
      </c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 ht="22" customHeight="1" s="280">
      <c r="A34" s="72" t="inlineStr">
        <is>
          <t>Service / Collaboration</t>
        </is>
      </c>
      <c r="B34" s="74">
        <f>COUNTIFS('Risk Event Register'!$D$6:$D$205,A34,'Risk Event Register'!$J$6:$J$205,"&lt;&gt;Closed")</f>
        <v/>
      </c>
      <c r="C34" s="253" t="n"/>
      <c r="D34" s="253" t="n"/>
      <c r="E34" s="253" t="n"/>
      <c r="F34" s="253" t="n"/>
      <c r="G34" s="253" t="n"/>
      <c r="H34" s="253" t="n"/>
      <c r="I34" s="253" t="n"/>
      <c r="J34" s="69" t="n">
        <v>9</v>
      </c>
      <c r="K34" s="70">
        <f>IFERROR(INDEX('Final Score and Tiering'!$A$6:$A$105,MATCH(LARGE('Final Score and Tiering'!$S$6:$S$105,$J34),'Final Score and Tiering'!$S$6:$S$105,0)),"")</f>
        <v/>
      </c>
      <c r="L34" s="70">
        <f>IF($K34="","",VLOOKUP($K34,'Final Score and Tiering'!$A$6:$R$105,2,FALSE))</f>
        <v/>
      </c>
      <c r="M34" s="70">
        <f>IF($K34="","",VLOOKUP($K34,'Final Score and Tiering'!$A$6:$R$105,13,FALSE))</f>
        <v/>
      </c>
      <c r="N34" s="308">
        <f>IF($K34="","",VLOOKUP($K34,'Final Score and Tiering'!$A$6:$R$105,10,FALSE))</f>
        <v/>
      </c>
      <c r="O34" s="308">
        <f>IF($K34="","",VLOOKUP($K34,'Final Score and Tiering'!$A$6:$R$105,6,FALSE))</f>
        <v/>
      </c>
      <c r="P34" s="287">
        <f>IF($K34="","",VLOOKUP($K34,'Final Score and Tiering'!$A$6:$R$105,7,FALSE))</f>
        <v/>
      </c>
      <c r="Q34" s="70">
        <f>IF($K34="","",VLOOKUP($K34,'Final Score and Tiering'!$A$6:$R$105,14,FALSE))</f>
        <v/>
      </c>
      <c r="R34" s="318">
        <f>IF($K34="","",VLOOKUP($K34,'Final Score and Tiering'!$A$6:$R$105,16,FALSE))</f>
        <v/>
      </c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 ht="22" customHeight="1" s="280">
      <c r="A35" s="253" t="n"/>
      <c r="B35" s="253" t="n"/>
      <c r="C35" s="253" t="n"/>
      <c r="D35" s="253" t="n"/>
      <c r="E35" s="253" t="n"/>
      <c r="F35" s="253" t="n"/>
      <c r="G35" s="253" t="n"/>
      <c r="H35" s="253" t="n"/>
      <c r="I35" s="253" t="n"/>
      <c r="J35" s="72" t="n">
        <v>10</v>
      </c>
      <c r="K35" s="73">
        <f>IFERROR(INDEX('Final Score and Tiering'!$A$6:$A$105,MATCH(LARGE('Final Score and Tiering'!$S$6:$S$105,$J35),'Final Score and Tiering'!$S$6:$S$105,0)),"")</f>
        <v/>
      </c>
      <c r="L35" s="73">
        <f>IF($K35="","",VLOOKUP($K35,'Final Score and Tiering'!$A$6:$R$105,2,FALSE))</f>
        <v/>
      </c>
      <c r="M35" s="73">
        <f>IF($K35="","",VLOOKUP($K35,'Final Score and Tiering'!$A$6:$R$105,13,FALSE))</f>
        <v/>
      </c>
      <c r="N35" s="309">
        <f>IF($K35="","",VLOOKUP($K35,'Final Score and Tiering'!$A$6:$R$105,10,FALSE))</f>
        <v/>
      </c>
      <c r="O35" s="309">
        <f>IF($K35="","",VLOOKUP($K35,'Final Score and Tiering'!$A$6:$R$105,6,FALSE))</f>
        <v/>
      </c>
      <c r="P35" s="288">
        <f>IF($K35="","",VLOOKUP($K35,'Final Score and Tiering'!$A$6:$R$105,7,FALSE))</f>
        <v/>
      </c>
      <c r="Q35" s="73">
        <f>IF($K35="","",VLOOKUP($K35,'Final Score and Tiering'!$A$6:$R$105,14,FALSE))</f>
        <v/>
      </c>
      <c r="R35" s="319">
        <f>IF($K35="","",VLOOKUP($K35,'Final Score and Tiering'!$A$6:$R$105,16,FALSE))</f>
        <v/>
      </c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>
      <c r="A36" s="253" t="n"/>
      <c r="B36" s="253" t="n"/>
      <c r="C36" s="253" t="n"/>
      <c r="D36" s="253" t="n"/>
      <c r="E36" s="253" t="n"/>
      <c r="F36" s="253" t="n"/>
      <c r="G36" s="253" t="n"/>
      <c r="H36" s="253" t="n"/>
      <c r="I36" s="253" t="n"/>
      <c r="J36" s="253" t="n"/>
      <c r="K36" s="253" t="n"/>
      <c r="L36" s="253" t="n"/>
      <c r="M36" s="253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>
      <c r="A37" s="253" t="n"/>
      <c r="B37" s="253" t="n"/>
      <c r="C37" s="253" t="n"/>
      <c r="D37" s="253" t="n"/>
      <c r="E37" s="253" t="n"/>
      <c r="F37" s="253" t="n"/>
      <c r="G37" s="253" t="n"/>
      <c r="H37" s="253" t="n"/>
      <c r="I37" s="253" t="n"/>
      <c r="J37" s="253" t="n"/>
      <c r="K37" s="253" t="n"/>
      <c r="L37" s="253" t="n"/>
      <c r="M37" s="253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>
      <c r="A38" s="253" t="n"/>
      <c r="B38" s="253" t="n"/>
      <c r="C38" s="253" t="n"/>
      <c r="D38" s="253" t="n"/>
      <c r="E38" s="253" t="n"/>
      <c r="F38" s="253" t="n"/>
      <c r="G38" s="253" t="n"/>
      <c r="H38" s="253" t="n"/>
      <c r="I38" s="253" t="n"/>
      <c r="J38" s="253" t="n"/>
      <c r="K38" s="253" t="n"/>
      <c r="L38" s="253" t="n"/>
      <c r="M38" s="253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>
      <c r="A39" s="253" t="n"/>
      <c r="B39" s="253" t="n"/>
      <c r="C39" s="253" t="n"/>
      <c r="D39" s="253" t="n"/>
      <c r="E39" s="253" t="n"/>
      <c r="F39" s="253" t="n"/>
      <c r="G39" s="253" t="n"/>
      <c r="H39" s="253" t="n"/>
      <c r="I39" s="253" t="n"/>
      <c r="J39" s="253" t="n"/>
      <c r="K39" s="253" t="n"/>
      <c r="L39" s="253" t="n"/>
      <c r="M39" s="253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>
      <c r="A40" s="253" t="n"/>
      <c r="B40" s="253" t="n"/>
      <c r="C40" s="253" t="n"/>
      <c r="D40" s="253" t="n"/>
      <c r="E40" s="253" t="n"/>
      <c r="F40" s="253" t="n"/>
      <c r="G40" s="253" t="n"/>
      <c r="H40" s="253" t="n"/>
      <c r="I40" s="253" t="n"/>
      <c r="J40" s="253" t="n"/>
      <c r="K40" s="253" t="n"/>
      <c r="L40" s="253" t="n"/>
      <c r="M40" s="253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>
      <c r="A41" s="253" t="n"/>
      <c r="B41" s="253" t="n"/>
      <c r="C41" s="253" t="n"/>
      <c r="D41" s="253" t="n"/>
      <c r="E41" s="253" t="n"/>
      <c r="F41" s="253" t="n"/>
      <c r="G41" s="253" t="n"/>
      <c r="H41" s="253" t="n"/>
      <c r="I41" s="253" t="n"/>
      <c r="J41" s="253" t="n"/>
      <c r="K41" s="253" t="n"/>
      <c r="L41" s="253" t="n"/>
      <c r="M41" s="253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>
      <c r="A42" s="253" t="n"/>
      <c r="B42" s="253" t="n"/>
      <c r="C42" s="253" t="n"/>
      <c r="D42" s="253" t="n"/>
      <c r="E42" s="253" t="n"/>
      <c r="F42" s="253" t="n"/>
      <c r="G42" s="253" t="n"/>
      <c r="H42" s="253" t="n"/>
      <c r="I42" s="253" t="n"/>
      <c r="J42" s="253" t="n"/>
      <c r="K42" s="253" t="n"/>
      <c r="L42" s="253" t="n"/>
      <c r="M42" s="253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>
      <c r="A43" s="253" t="n"/>
      <c r="B43" s="253" t="n"/>
      <c r="C43" s="253" t="n"/>
      <c r="D43" s="253" t="n"/>
      <c r="E43" s="253" t="n"/>
      <c r="F43" s="253" t="n"/>
      <c r="G43" s="253" t="n"/>
      <c r="H43" s="253" t="n"/>
      <c r="I43" s="253" t="n"/>
      <c r="J43" s="253" t="n"/>
      <c r="K43" s="253" t="n"/>
      <c r="L43" s="253" t="n"/>
      <c r="M43" s="253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>
      <c r="A44" s="253" t="n"/>
      <c r="B44" s="253" t="n"/>
      <c r="C44" s="253" t="n"/>
      <c r="D44" s="253" t="n"/>
      <c r="E44" s="253" t="n"/>
      <c r="F44" s="253" t="n"/>
      <c r="G44" s="253" t="n"/>
      <c r="H44" s="253" t="n"/>
      <c r="I44" s="253" t="n"/>
      <c r="J44" s="253" t="n"/>
      <c r="K44" s="253" t="n"/>
      <c r="L44" s="253" t="n"/>
      <c r="M44" s="253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>
      <c r="A45" s="253" t="n"/>
      <c r="B45" s="253" t="n"/>
      <c r="C45" s="253" t="n"/>
      <c r="D45" s="253" t="n"/>
      <c r="E45" s="253" t="n"/>
      <c r="F45" s="253" t="n"/>
      <c r="G45" s="253" t="n"/>
      <c r="H45" s="253" t="n"/>
      <c r="I45" s="253" t="n"/>
      <c r="J45" s="253" t="n"/>
      <c r="K45" s="253" t="n"/>
      <c r="L45" s="253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>
      <c r="A46" s="253" t="n"/>
      <c r="B46" s="253" t="n"/>
      <c r="C46" s="253" t="n"/>
      <c r="D46" s="253" t="n"/>
      <c r="E46" s="253" t="n"/>
      <c r="F46" s="253" t="n"/>
      <c r="G46" s="253" t="n"/>
      <c r="H46" s="253" t="n"/>
      <c r="I46" s="253" t="n"/>
      <c r="J46" s="253" t="n"/>
      <c r="K46" s="253" t="n"/>
      <c r="L46" s="253" t="n"/>
      <c r="M46" s="253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>
      <c r="A47" s="253" t="n"/>
      <c r="B47" s="253" t="n"/>
      <c r="C47" s="253" t="n"/>
      <c r="D47" s="253" t="n"/>
      <c r="E47" s="253" t="n"/>
      <c r="F47" s="253" t="n"/>
      <c r="G47" s="253" t="n"/>
      <c r="H47" s="253" t="n"/>
      <c r="I47" s="253" t="n"/>
      <c r="J47" s="253" t="n"/>
      <c r="K47" s="253" t="n"/>
      <c r="L47" s="253" t="n"/>
      <c r="M47" s="253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>
      <c r="A48" s="253" t="n"/>
      <c r="B48" s="253" t="n"/>
      <c r="C48" s="253" t="n"/>
      <c r="D48" s="253" t="n"/>
      <c r="E48" s="253" t="n"/>
      <c r="F48" s="253" t="n"/>
      <c r="G48" s="253" t="n"/>
      <c r="H48" s="253" t="n"/>
      <c r="I48" s="253" t="n"/>
      <c r="J48" s="253" t="n"/>
      <c r="K48" s="253" t="n"/>
      <c r="L48" s="253" t="n"/>
      <c r="M48" s="253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>
      <c r="A49" s="253" t="n"/>
      <c r="B49" s="253" t="n"/>
      <c r="C49" s="253" t="n"/>
      <c r="D49" s="253" t="n"/>
      <c r="E49" s="253" t="n"/>
      <c r="F49" s="253" t="n"/>
      <c r="G49" s="253" t="n"/>
      <c r="H49" s="253" t="n"/>
      <c r="I49" s="253" t="n"/>
      <c r="J49" s="253" t="n"/>
      <c r="K49" s="253" t="n"/>
      <c r="L49" s="253" t="n"/>
      <c r="M49" s="253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>
      <c r="A50" s="253" t="n"/>
      <c r="B50" s="253" t="n"/>
      <c r="C50" s="253" t="n"/>
      <c r="D50" s="253" t="n"/>
      <c r="E50" s="253" t="n"/>
      <c r="F50" s="253" t="n"/>
      <c r="G50" s="253" t="n"/>
      <c r="H50" s="253" t="n"/>
      <c r="I50" s="253" t="n"/>
      <c r="J50" s="253" t="n"/>
      <c r="K50" s="253" t="n"/>
      <c r="L50" s="253" t="n"/>
      <c r="M50" s="253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>
      <c r="A51" s="253" t="n"/>
      <c r="B51" s="253" t="n"/>
      <c r="C51" s="253" t="n"/>
      <c r="D51" s="253" t="n"/>
      <c r="E51" s="253" t="n"/>
      <c r="F51" s="253" t="n"/>
      <c r="G51" s="253" t="n"/>
      <c r="H51" s="253" t="n"/>
      <c r="I51" s="253" t="n"/>
      <c r="J51" s="253" t="n"/>
      <c r="K51" s="253" t="n"/>
      <c r="L51" s="253" t="n"/>
      <c r="M51" s="253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>
      <c r="A52" s="253" t="n"/>
      <c r="B52" s="253" t="n"/>
      <c r="C52" s="253" t="n"/>
      <c r="D52" s="253" t="n"/>
      <c r="E52" s="253" t="n"/>
      <c r="F52" s="253" t="n"/>
      <c r="G52" s="253" t="n"/>
      <c r="H52" s="253" t="n"/>
      <c r="I52" s="253" t="n"/>
      <c r="J52" s="253" t="n"/>
      <c r="K52" s="253" t="n"/>
      <c r="L52" s="253" t="n"/>
      <c r="M52" s="253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>
      <c r="A53" s="253" t="n"/>
      <c r="B53" s="253" t="n"/>
      <c r="C53" s="253" t="n"/>
      <c r="D53" s="253" t="n"/>
      <c r="E53" s="253" t="n"/>
      <c r="F53" s="253" t="n"/>
      <c r="G53" s="253" t="n"/>
      <c r="H53" s="253" t="n"/>
      <c r="I53" s="253" t="n"/>
      <c r="J53" s="253" t="n"/>
      <c r="K53" s="253" t="n"/>
      <c r="L53" s="253" t="n"/>
      <c r="M53" s="253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>
      <c r="A54" s="253" t="n"/>
      <c r="B54" s="253" t="n"/>
      <c r="C54" s="253" t="n"/>
      <c r="D54" s="253" t="n"/>
      <c r="E54" s="253" t="n"/>
      <c r="F54" s="253" t="n"/>
      <c r="G54" s="253" t="n"/>
      <c r="H54" s="253" t="n"/>
      <c r="I54" s="253" t="n"/>
      <c r="J54" s="253" t="n"/>
      <c r="K54" s="253" t="n"/>
      <c r="L54" s="253" t="n"/>
      <c r="M54" s="253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>
      <c r="A55" s="253" t="n"/>
      <c r="B55" s="253" t="n"/>
      <c r="C55" s="253" t="n"/>
      <c r="D55" s="253" t="n"/>
      <c r="E55" s="253" t="n"/>
      <c r="F55" s="253" t="n"/>
      <c r="G55" s="253" t="n"/>
      <c r="H55" s="253" t="n"/>
      <c r="I55" s="253" t="n"/>
      <c r="J55" s="253" t="n"/>
      <c r="K55" s="253" t="n"/>
      <c r="L55" s="253" t="n"/>
      <c r="M55" s="253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>
      <c r="A56" s="253" t="n"/>
      <c r="B56" s="253" t="n"/>
      <c r="C56" s="253" t="n"/>
      <c r="D56" s="253" t="n"/>
      <c r="E56" s="253" t="n"/>
      <c r="F56" s="253" t="n"/>
      <c r="G56" s="253" t="n"/>
      <c r="H56" s="253" t="n"/>
      <c r="I56" s="253" t="n"/>
      <c r="J56" s="253" t="n"/>
      <c r="K56" s="253" t="n"/>
      <c r="L56" s="253" t="n"/>
      <c r="M56" s="253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>
      <c r="A57" s="253" t="n"/>
      <c r="B57" s="253" t="n"/>
      <c r="C57" s="253" t="n"/>
      <c r="D57" s="253" t="n"/>
      <c r="E57" s="253" t="n"/>
      <c r="F57" s="253" t="n"/>
      <c r="G57" s="253" t="n"/>
      <c r="H57" s="253" t="n"/>
      <c r="I57" s="253" t="n"/>
      <c r="J57" s="253" t="n"/>
      <c r="K57" s="253" t="n"/>
      <c r="L57" s="253" t="n"/>
      <c r="M57" s="253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>
      <c r="A58" s="253" t="n"/>
      <c r="B58" s="253" t="n"/>
      <c r="C58" s="253" t="n"/>
      <c r="D58" s="253" t="n"/>
      <c r="E58" s="253" t="n"/>
      <c r="F58" s="253" t="n"/>
      <c r="G58" s="253" t="n"/>
      <c r="H58" s="253" t="n"/>
      <c r="I58" s="253" t="n"/>
      <c r="J58" s="253" t="n"/>
      <c r="K58" s="253" t="n"/>
      <c r="L58" s="253" t="n"/>
      <c r="M58" s="253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>
      <c r="A59" s="253" t="n"/>
      <c r="B59" s="253" t="n"/>
      <c r="C59" s="253" t="n"/>
      <c r="D59" s="253" t="n"/>
      <c r="E59" s="253" t="n"/>
      <c r="F59" s="253" t="n"/>
      <c r="G59" s="253" t="n"/>
      <c r="H59" s="253" t="n"/>
      <c r="I59" s="253" t="n"/>
      <c r="J59" s="253" t="n"/>
      <c r="K59" s="253" t="n"/>
      <c r="L59" s="253" t="n"/>
      <c r="M59" s="253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>
      <c r="A60" s="253" t="n"/>
      <c r="B60" s="253" t="n"/>
      <c r="C60" s="253" t="n"/>
      <c r="D60" s="253" t="n"/>
      <c r="E60" s="253" t="n"/>
      <c r="F60" s="253" t="n"/>
      <c r="G60" s="253" t="n"/>
      <c r="H60" s="253" t="n"/>
      <c r="I60" s="253" t="n"/>
      <c r="J60" s="253" t="n"/>
      <c r="K60" s="253" t="n"/>
      <c r="L60" s="253" t="n"/>
      <c r="M60" s="253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>
      <c r="A61" s="253" t="n"/>
      <c r="B61" s="253" t="n"/>
      <c r="C61" s="253" t="n"/>
      <c r="D61" s="253" t="n"/>
      <c r="E61" s="253" t="n"/>
      <c r="F61" s="253" t="n"/>
      <c r="G61" s="253" t="n"/>
      <c r="H61" s="253" t="n"/>
      <c r="I61" s="253" t="n"/>
      <c r="J61" s="253" t="n"/>
      <c r="K61" s="253" t="n"/>
      <c r="L61" s="253" t="n"/>
      <c r="M61" s="253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>
      <c r="A62" s="253" t="n"/>
      <c r="B62" s="253" t="n"/>
      <c r="C62" s="253" t="n"/>
      <c r="D62" s="253" t="n"/>
      <c r="E62" s="253" t="n"/>
      <c r="F62" s="253" t="n"/>
      <c r="G62" s="253" t="n"/>
      <c r="H62" s="253" t="n"/>
      <c r="I62" s="253" t="n"/>
      <c r="J62" s="253" t="n"/>
      <c r="K62" s="253" t="n"/>
      <c r="L62" s="253" t="n"/>
      <c r="M62" s="253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>
      <c r="A63" s="253" t="n"/>
      <c r="B63" s="253" t="n"/>
      <c r="C63" s="253" t="n"/>
      <c r="D63" s="253" t="n"/>
      <c r="E63" s="253" t="n"/>
      <c r="F63" s="253" t="n"/>
      <c r="G63" s="253" t="n"/>
      <c r="H63" s="253" t="n"/>
      <c r="I63" s="253" t="n"/>
      <c r="J63" s="253" t="n"/>
      <c r="K63" s="253" t="n"/>
      <c r="L63" s="253" t="n"/>
      <c r="M63" s="253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>
      <c r="A64" s="253" t="n"/>
      <c r="B64" s="253" t="n"/>
      <c r="C64" s="253" t="n"/>
      <c r="D64" s="253" t="n"/>
      <c r="E64" s="253" t="n"/>
      <c r="F64" s="253" t="n"/>
      <c r="G64" s="253" t="n"/>
      <c r="H64" s="253" t="n"/>
      <c r="I64" s="253" t="n"/>
      <c r="J64" s="253" t="n"/>
      <c r="K64" s="253" t="n"/>
      <c r="L64" s="253" t="n"/>
      <c r="M64" s="253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>
      <c r="A65" s="253" t="n"/>
      <c r="B65" s="253" t="n"/>
      <c r="C65" s="253" t="n"/>
      <c r="D65" s="253" t="n"/>
      <c r="E65" s="253" t="n"/>
      <c r="F65" s="253" t="n"/>
      <c r="G65" s="253" t="n"/>
      <c r="H65" s="253" t="n"/>
      <c r="I65" s="253" t="n"/>
      <c r="J65" s="253" t="n"/>
      <c r="K65" s="253" t="n"/>
      <c r="L65" s="253" t="n"/>
      <c r="M65" s="253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>
      <c r="A66" s="253" t="n"/>
      <c r="B66" s="253" t="n"/>
      <c r="C66" s="253" t="n"/>
      <c r="D66" s="253" t="n"/>
      <c r="E66" s="253" t="n"/>
      <c r="F66" s="253" t="n"/>
      <c r="G66" s="253" t="n"/>
      <c r="H66" s="253" t="n"/>
      <c r="I66" s="253" t="n"/>
      <c r="J66" s="253" t="n"/>
      <c r="K66" s="253" t="n"/>
      <c r="L66" s="253" t="n"/>
      <c r="M66" s="253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>
      <c r="A67" s="253" t="n"/>
      <c r="B67" s="253" t="n"/>
      <c r="C67" s="253" t="n"/>
      <c r="D67" s="253" t="n"/>
      <c r="E67" s="253" t="n"/>
      <c r="F67" s="253" t="n"/>
      <c r="G67" s="253" t="n"/>
      <c r="H67" s="253" t="n"/>
      <c r="I67" s="253" t="n"/>
      <c r="J67" s="253" t="n"/>
      <c r="K67" s="253" t="n"/>
      <c r="L67" s="253" t="n"/>
      <c r="M67" s="253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>
      <c r="A68" s="253" t="n"/>
      <c r="B68" s="253" t="n"/>
      <c r="C68" s="253" t="n"/>
      <c r="D68" s="253" t="n"/>
      <c r="E68" s="253" t="n"/>
      <c r="F68" s="253" t="n"/>
      <c r="G68" s="253" t="n"/>
      <c r="H68" s="253" t="n"/>
      <c r="I68" s="253" t="n"/>
      <c r="J68" s="253" t="n"/>
      <c r="K68" s="253" t="n"/>
      <c r="L68" s="253" t="n"/>
      <c r="M68" s="253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>
      <c r="A69" s="253" t="n"/>
      <c r="B69" s="253" t="n"/>
      <c r="C69" s="253" t="n"/>
      <c r="D69" s="253" t="n"/>
      <c r="E69" s="253" t="n"/>
      <c r="F69" s="253" t="n"/>
      <c r="G69" s="253" t="n"/>
      <c r="H69" s="253" t="n"/>
      <c r="I69" s="253" t="n"/>
      <c r="J69" s="253" t="n"/>
      <c r="K69" s="253" t="n"/>
      <c r="L69" s="253" t="n"/>
      <c r="M69" s="253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>
      <c r="A70" s="253" t="n"/>
      <c r="B70" s="253" t="n"/>
      <c r="C70" s="253" t="n"/>
      <c r="D70" s="253" t="n"/>
      <c r="E70" s="253" t="n"/>
      <c r="F70" s="253" t="n"/>
      <c r="G70" s="253" t="n"/>
      <c r="H70" s="253" t="n"/>
      <c r="I70" s="253" t="n"/>
      <c r="J70" s="253" t="n"/>
      <c r="K70" s="253" t="n"/>
      <c r="L70" s="253" t="n"/>
      <c r="M70" s="253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>
      <c r="A71" s="253" t="n"/>
      <c r="B71" s="253" t="n"/>
      <c r="C71" s="253" t="n"/>
      <c r="D71" s="253" t="n"/>
      <c r="E71" s="253" t="n"/>
      <c r="F71" s="253" t="n"/>
      <c r="G71" s="253" t="n"/>
      <c r="H71" s="253" t="n"/>
      <c r="I71" s="253" t="n"/>
      <c r="J71" s="253" t="n"/>
      <c r="K71" s="253" t="n"/>
      <c r="L71" s="253" t="n"/>
      <c r="M71" s="253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>
      <c r="A72" s="253" t="n"/>
      <c r="B72" s="253" t="n"/>
      <c r="C72" s="253" t="n"/>
      <c r="D72" s="253" t="n"/>
      <c r="E72" s="253" t="n"/>
      <c r="F72" s="253" t="n"/>
      <c r="G72" s="253" t="n"/>
      <c r="H72" s="253" t="n"/>
      <c r="I72" s="253" t="n"/>
      <c r="J72" s="253" t="n"/>
      <c r="K72" s="253" t="n"/>
      <c r="L72" s="253" t="n"/>
      <c r="M72" s="253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>
      <c r="A73" s="253" t="n"/>
      <c r="B73" s="253" t="n"/>
      <c r="C73" s="253" t="n"/>
      <c r="D73" s="253" t="n"/>
      <c r="E73" s="253" t="n"/>
      <c r="F73" s="253" t="n"/>
      <c r="G73" s="253" t="n"/>
      <c r="H73" s="253" t="n"/>
      <c r="I73" s="253" t="n"/>
      <c r="J73" s="253" t="n"/>
      <c r="K73" s="253" t="n"/>
      <c r="L73" s="253" t="n"/>
      <c r="M73" s="253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>
      <c r="A74" s="253" t="n"/>
      <c r="B74" s="253" t="n"/>
      <c r="C74" s="253" t="n"/>
      <c r="D74" s="253" t="n"/>
      <c r="E74" s="253" t="n"/>
      <c r="F74" s="253" t="n"/>
      <c r="G74" s="253" t="n"/>
      <c r="H74" s="253" t="n"/>
      <c r="I74" s="253" t="n"/>
      <c r="J74" s="253" t="n"/>
      <c r="K74" s="253" t="n"/>
      <c r="L74" s="253" t="n"/>
      <c r="M74" s="253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>
      <c r="A75" s="253" t="n"/>
      <c r="B75" s="253" t="n"/>
      <c r="C75" s="253" t="n"/>
      <c r="D75" s="253" t="n"/>
      <c r="E75" s="253" t="n"/>
      <c r="F75" s="253" t="n"/>
      <c r="G75" s="253" t="n"/>
      <c r="H75" s="253" t="n"/>
      <c r="I75" s="253" t="n"/>
      <c r="J75" s="253" t="n"/>
      <c r="K75" s="253" t="n"/>
      <c r="L75" s="253" t="n"/>
      <c r="M75" s="253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>
      <c r="A76" s="253" t="n"/>
      <c r="B76" s="253" t="n"/>
      <c r="C76" s="253" t="n"/>
      <c r="D76" s="253" t="n"/>
      <c r="E76" s="253" t="n"/>
      <c r="F76" s="253" t="n"/>
      <c r="G76" s="253" t="n"/>
      <c r="H76" s="253" t="n"/>
      <c r="I76" s="253" t="n"/>
      <c r="J76" s="253" t="n"/>
      <c r="K76" s="253" t="n"/>
      <c r="L76" s="253" t="n"/>
      <c r="M76" s="253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>
      <c r="A77" s="253" t="n"/>
      <c r="B77" s="253" t="n"/>
      <c r="C77" s="253" t="n"/>
      <c r="D77" s="253" t="n"/>
      <c r="E77" s="253" t="n"/>
      <c r="F77" s="253" t="n"/>
      <c r="G77" s="253" t="n"/>
      <c r="H77" s="253" t="n"/>
      <c r="I77" s="253" t="n"/>
      <c r="J77" s="253" t="n"/>
      <c r="K77" s="253" t="n"/>
      <c r="L77" s="253" t="n"/>
      <c r="M77" s="253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>
      <c r="A78" s="253" t="n"/>
      <c r="B78" s="253" t="n"/>
      <c r="C78" s="253" t="n"/>
      <c r="D78" s="253" t="n"/>
      <c r="E78" s="253" t="n"/>
      <c r="F78" s="253" t="n"/>
      <c r="G78" s="253" t="n"/>
      <c r="H78" s="253" t="n"/>
      <c r="I78" s="253" t="n"/>
      <c r="J78" s="253" t="n"/>
      <c r="K78" s="253" t="n"/>
      <c r="L78" s="253" t="n"/>
      <c r="M78" s="253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>
      <c r="A79" s="253" t="n"/>
      <c r="B79" s="253" t="n"/>
      <c r="C79" s="253" t="n"/>
      <c r="D79" s="253" t="n"/>
      <c r="E79" s="253" t="n"/>
      <c r="F79" s="253" t="n"/>
      <c r="G79" s="253" t="n"/>
      <c r="H79" s="253" t="n"/>
      <c r="I79" s="253" t="n"/>
      <c r="J79" s="253" t="n"/>
      <c r="K79" s="253" t="n"/>
      <c r="L79" s="253" t="n"/>
      <c r="M79" s="253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>
      <c r="A80" s="253" t="n"/>
      <c r="B80" s="253" t="n"/>
      <c r="C80" s="253" t="n"/>
      <c r="D80" s="253" t="n"/>
      <c r="E80" s="253" t="n"/>
      <c r="F80" s="253" t="n"/>
      <c r="G80" s="253" t="n"/>
      <c r="H80" s="253" t="n"/>
      <c r="I80" s="253" t="n"/>
      <c r="J80" s="253" t="n"/>
      <c r="K80" s="253" t="n"/>
      <c r="L80" s="253" t="n"/>
      <c r="M80" s="253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>
      <c r="A81" s="253" t="n"/>
      <c r="B81" s="253" t="n"/>
      <c r="C81" s="253" t="n"/>
      <c r="D81" s="253" t="n"/>
      <c r="E81" s="253" t="n"/>
      <c r="F81" s="253" t="n"/>
      <c r="G81" s="253" t="n"/>
      <c r="H81" s="253" t="n"/>
      <c r="I81" s="253" t="n"/>
      <c r="J81" s="253" t="n"/>
      <c r="K81" s="253" t="n"/>
      <c r="L81" s="253" t="n"/>
      <c r="M81" s="253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>
      <c r="A82" s="253" t="n"/>
      <c r="B82" s="253" t="n"/>
      <c r="C82" s="253" t="n"/>
      <c r="D82" s="253" t="n"/>
      <c r="E82" s="253" t="n"/>
      <c r="F82" s="253" t="n"/>
      <c r="G82" s="253" t="n"/>
      <c r="H82" s="253" t="n"/>
      <c r="I82" s="253" t="n"/>
      <c r="J82" s="253" t="n"/>
      <c r="K82" s="253" t="n"/>
      <c r="L82" s="253" t="n"/>
      <c r="M82" s="253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>
      <c r="A83" s="253" t="n"/>
      <c r="B83" s="253" t="n"/>
      <c r="C83" s="253" t="n"/>
      <c r="D83" s="253" t="n"/>
      <c r="E83" s="253" t="n"/>
      <c r="F83" s="253" t="n"/>
      <c r="G83" s="253" t="n"/>
      <c r="H83" s="253" t="n"/>
      <c r="I83" s="253" t="n"/>
      <c r="J83" s="253" t="n"/>
      <c r="K83" s="253" t="n"/>
      <c r="L83" s="253" t="n"/>
      <c r="M83" s="253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>
      <c r="A84" s="253" t="n"/>
      <c r="B84" s="253" t="n"/>
      <c r="C84" s="253" t="n"/>
      <c r="D84" s="253" t="n"/>
      <c r="E84" s="253" t="n"/>
      <c r="F84" s="253" t="n"/>
      <c r="G84" s="253" t="n"/>
      <c r="H84" s="253" t="n"/>
      <c r="I84" s="253" t="n"/>
      <c r="J84" s="253" t="n"/>
      <c r="K84" s="253" t="n"/>
      <c r="L84" s="253" t="n"/>
      <c r="M84" s="253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>
      <c r="A85" s="253" t="n"/>
      <c r="B85" s="253" t="n"/>
      <c r="C85" s="253" t="n"/>
      <c r="D85" s="253" t="n"/>
      <c r="E85" s="253" t="n"/>
      <c r="F85" s="253" t="n"/>
      <c r="G85" s="253" t="n"/>
      <c r="H85" s="253" t="n"/>
      <c r="I85" s="253" t="n"/>
      <c r="J85" s="253" t="n"/>
      <c r="K85" s="253" t="n"/>
      <c r="L85" s="253" t="n"/>
      <c r="M85" s="253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>
      <c r="A86" s="253" t="n"/>
      <c r="B86" s="253" t="n"/>
      <c r="C86" s="253" t="n"/>
      <c r="D86" s="253" t="n"/>
      <c r="E86" s="253" t="n"/>
      <c r="F86" s="253" t="n"/>
      <c r="G86" s="253" t="n"/>
      <c r="H86" s="253" t="n"/>
      <c r="I86" s="253" t="n"/>
      <c r="J86" s="253" t="n"/>
      <c r="K86" s="253" t="n"/>
      <c r="L86" s="253" t="n"/>
      <c r="M86" s="253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>
      <c r="A87" s="253" t="n"/>
      <c r="B87" s="253" t="n"/>
      <c r="C87" s="253" t="n"/>
      <c r="D87" s="253" t="n"/>
      <c r="E87" s="253" t="n"/>
      <c r="F87" s="253" t="n"/>
      <c r="G87" s="253" t="n"/>
      <c r="H87" s="253" t="n"/>
      <c r="I87" s="253" t="n"/>
      <c r="J87" s="253" t="n"/>
      <c r="K87" s="253" t="n"/>
      <c r="L87" s="253" t="n"/>
      <c r="M87" s="253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>
      <c r="A88" s="253" t="n"/>
      <c r="B88" s="253" t="n"/>
      <c r="C88" s="253" t="n"/>
      <c r="D88" s="253" t="n"/>
      <c r="E88" s="253" t="n"/>
      <c r="F88" s="253" t="n"/>
      <c r="G88" s="253" t="n"/>
      <c r="H88" s="253" t="n"/>
      <c r="I88" s="253" t="n"/>
      <c r="J88" s="253" t="n"/>
      <c r="K88" s="253" t="n"/>
      <c r="L88" s="253" t="n"/>
      <c r="M88" s="253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>
      <c r="A89" s="253" t="n"/>
      <c r="B89" s="253" t="n"/>
      <c r="C89" s="253" t="n"/>
      <c r="D89" s="253" t="n"/>
      <c r="E89" s="253" t="n"/>
      <c r="F89" s="253" t="n"/>
      <c r="G89" s="253" t="n"/>
      <c r="H89" s="253" t="n"/>
      <c r="I89" s="253" t="n"/>
      <c r="J89" s="253" t="n"/>
      <c r="K89" s="253" t="n"/>
      <c r="L89" s="253" t="n"/>
      <c r="M89" s="253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>
      <c r="A90" s="253" t="n"/>
      <c r="B90" s="253" t="n"/>
      <c r="C90" s="253" t="n"/>
      <c r="D90" s="253" t="n"/>
      <c r="E90" s="253" t="n"/>
      <c r="F90" s="253" t="n"/>
      <c r="G90" s="253" t="n"/>
      <c r="H90" s="253" t="n"/>
      <c r="I90" s="253" t="n"/>
      <c r="J90" s="253" t="n"/>
      <c r="K90" s="253" t="n"/>
      <c r="L90" s="253" t="n"/>
      <c r="M90" s="253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>
      <c r="A91" s="253" t="n"/>
      <c r="B91" s="253" t="n"/>
      <c r="C91" s="253" t="n"/>
      <c r="D91" s="253" t="n"/>
      <c r="E91" s="253" t="n"/>
      <c r="F91" s="253" t="n"/>
      <c r="G91" s="253" t="n"/>
      <c r="H91" s="253" t="n"/>
      <c r="I91" s="253" t="n"/>
      <c r="J91" s="253" t="n"/>
      <c r="K91" s="253" t="n"/>
      <c r="L91" s="253" t="n"/>
      <c r="M91" s="253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>
      <c r="A92" s="253" t="n"/>
      <c r="B92" s="253" t="n"/>
      <c r="C92" s="253" t="n"/>
      <c r="D92" s="253" t="n"/>
      <c r="E92" s="253" t="n"/>
      <c r="F92" s="253" t="n"/>
      <c r="G92" s="253" t="n"/>
      <c r="H92" s="253" t="n"/>
      <c r="I92" s="253" t="n"/>
      <c r="J92" s="253" t="n"/>
      <c r="K92" s="253" t="n"/>
      <c r="L92" s="253" t="n"/>
      <c r="M92" s="253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>
      <c r="A93" s="253" t="n"/>
      <c r="B93" s="253" t="n"/>
      <c r="C93" s="253" t="n"/>
      <c r="D93" s="253" t="n"/>
      <c r="E93" s="253" t="n"/>
      <c r="F93" s="253" t="n"/>
      <c r="G93" s="253" t="n"/>
      <c r="H93" s="253" t="n"/>
      <c r="I93" s="253" t="n"/>
      <c r="J93" s="253" t="n"/>
      <c r="K93" s="253" t="n"/>
      <c r="L93" s="253" t="n"/>
      <c r="M93" s="253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>
      <c r="A94" s="253" t="n"/>
      <c r="B94" s="253" t="n"/>
      <c r="C94" s="253" t="n"/>
      <c r="D94" s="253" t="n"/>
      <c r="E94" s="253" t="n"/>
      <c r="F94" s="253" t="n"/>
      <c r="G94" s="253" t="n"/>
      <c r="H94" s="253" t="n"/>
      <c r="I94" s="253" t="n"/>
      <c r="J94" s="253" t="n"/>
      <c r="K94" s="253" t="n"/>
      <c r="L94" s="253" t="n"/>
      <c r="M94" s="253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>
      <c r="A95" s="253" t="n"/>
      <c r="B95" s="253" t="n"/>
      <c r="C95" s="253" t="n"/>
      <c r="D95" s="253" t="n"/>
      <c r="E95" s="253" t="n"/>
      <c r="F95" s="253" t="n"/>
      <c r="G95" s="253" t="n"/>
      <c r="H95" s="253" t="n"/>
      <c r="I95" s="253" t="n"/>
      <c r="J95" s="253" t="n"/>
      <c r="K95" s="253" t="n"/>
      <c r="L95" s="253" t="n"/>
      <c r="M95" s="253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>
      <c r="A96" s="253" t="n"/>
      <c r="B96" s="253" t="n"/>
      <c r="C96" s="253" t="n"/>
      <c r="D96" s="253" t="n"/>
      <c r="E96" s="253" t="n"/>
      <c r="F96" s="253" t="n"/>
      <c r="G96" s="253" t="n"/>
      <c r="H96" s="253" t="n"/>
      <c r="I96" s="253" t="n"/>
      <c r="J96" s="253" t="n"/>
      <c r="K96" s="253" t="n"/>
      <c r="L96" s="253" t="n"/>
      <c r="M96" s="253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>
      <c r="A97" s="253" t="n"/>
      <c r="B97" s="253" t="n"/>
      <c r="C97" s="253" t="n"/>
      <c r="D97" s="253" t="n"/>
      <c r="E97" s="253" t="n"/>
      <c r="F97" s="253" t="n"/>
      <c r="G97" s="253" t="n"/>
      <c r="H97" s="253" t="n"/>
      <c r="I97" s="253" t="n"/>
      <c r="J97" s="253" t="n"/>
      <c r="K97" s="253" t="n"/>
      <c r="L97" s="253" t="n"/>
      <c r="M97" s="253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>
      <c r="A98" s="253" t="n"/>
      <c r="B98" s="253" t="n"/>
      <c r="C98" s="253" t="n"/>
      <c r="D98" s="253" t="n"/>
      <c r="E98" s="253" t="n"/>
      <c r="F98" s="253" t="n"/>
      <c r="G98" s="253" t="n"/>
      <c r="H98" s="253" t="n"/>
      <c r="I98" s="253" t="n"/>
      <c r="J98" s="253" t="n"/>
      <c r="K98" s="253" t="n"/>
      <c r="L98" s="253" t="n"/>
      <c r="M98" s="253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>
      <c r="A99" s="253" t="n"/>
      <c r="B99" s="253" t="n"/>
      <c r="C99" s="253" t="n"/>
      <c r="D99" s="253" t="n"/>
      <c r="E99" s="253" t="n"/>
      <c r="F99" s="253" t="n"/>
      <c r="G99" s="253" t="n"/>
      <c r="H99" s="253" t="n"/>
      <c r="I99" s="253" t="n"/>
      <c r="J99" s="253" t="n"/>
      <c r="K99" s="253" t="n"/>
      <c r="L99" s="253" t="n"/>
      <c r="M99" s="253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>
      <c r="A100" s="253" t="n"/>
      <c r="B100" s="253" t="n"/>
      <c r="C100" s="253" t="n"/>
      <c r="D100" s="253" t="n"/>
      <c r="E100" s="253" t="n"/>
      <c r="F100" s="253" t="n"/>
      <c r="G100" s="253" t="n"/>
      <c r="H100" s="253" t="n"/>
      <c r="I100" s="253" t="n"/>
      <c r="J100" s="253" t="n"/>
      <c r="K100" s="253" t="n"/>
      <c r="L100" s="253" t="n"/>
      <c r="M100" s="253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>
      <c r="A101" s="253" t="n"/>
      <c r="B101" s="253" t="n"/>
      <c r="C101" s="253" t="n"/>
      <c r="D101" s="253" t="n"/>
      <c r="E101" s="253" t="n"/>
      <c r="F101" s="253" t="n"/>
      <c r="G101" s="253" t="n"/>
      <c r="H101" s="253" t="n"/>
      <c r="I101" s="253" t="n"/>
      <c r="J101" s="253" t="n"/>
      <c r="K101" s="253" t="n"/>
      <c r="L101" s="253" t="n"/>
      <c r="M101" s="253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>
      <c r="A102" s="253" t="n"/>
      <c r="B102" s="253" t="n"/>
      <c r="C102" s="253" t="n"/>
      <c r="D102" s="253" t="n"/>
      <c r="E102" s="253" t="n"/>
      <c r="F102" s="253" t="n"/>
      <c r="G102" s="253" t="n"/>
      <c r="H102" s="253" t="n"/>
      <c r="I102" s="253" t="n"/>
      <c r="J102" s="253" t="n"/>
      <c r="K102" s="253" t="n"/>
      <c r="L102" s="253" t="n"/>
      <c r="M102" s="253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>
      <c r="A103" s="253" t="n"/>
      <c r="B103" s="253" t="n"/>
      <c r="C103" s="253" t="n"/>
      <c r="D103" s="253" t="n"/>
      <c r="E103" s="253" t="n"/>
      <c r="F103" s="253" t="n"/>
      <c r="G103" s="253" t="n"/>
      <c r="H103" s="253" t="n"/>
      <c r="I103" s="253" t="n"/>
      <c r="J103" s="253" t="n"/>
      <c r="K103" s="253" t="n"/>
      <c r="L103" s="253" t="n"/>
      <c r="M103" s="253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>
      <c r="A104" s="253" t="n"/>
      <c r="B104" s="253" t="n"/>
      <c r="C104" s="253" t="n"/>
      <c r="D104" s="253" t="n"/>
      <c r="E104" s="253" t="n"/>
      <c r="F104" s="253" t="n"/>
      <c r="G104" s="253" t="n"/>
      <c r="H104" s="253" t="n"/>
      <c r="I104" s="253" t="n"/>
      <c r="J104" s="253" t="n"/>
      <c r="K104" s="253" t="n"/>
      <c r="L104" s="253" t="n"/>
      <c r="M104" s="253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>
      <c r="A105" s="253" t="n"/>
      <c r="B105" s="253" t="n"/>
      <c r="C105" s="253" t="n"/>
      <c r="D105" s="253" t="n"/>
      <c r="E105" s="253" t="n"/>
      <c r="F105" s="253" t="n"/>
      <c r="G105" s="253" t="n"/>
      <c r="H105" s="253" t="n"/>
      <c r="I105" s="253" t="n"/>
      <c r="J105" s="253" t="n"/>
      <c r="K105" s="253" t="n"/>
      <c r="L105" s="253" t="n"/>
      <c r="M105" s="253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12">
    <mergeCell ref="D5:F6"/>
    <mergeCell ref="A2:R2"/>
    <mergeCell ref="A5:C6"/>
    <mergeCell ref="G5:I6"/>
    <mergeCell ref="D4:F4"/>
    <mergeCell ref="M4:O4"/>
    <mergeCell ref="M5:O6"/>
    <mergeCell ref="J5:L6"/>
    <mergeCell ref="G4:I4"/>
    <mergeCell ref="A1:R1"/>
    <mergeCell ref="J4:L4"/>
    <mergeCell ref="A4:C4"/>
  </mergeCells>
  <conditionalFormatting sqref="N26:N35">
    <cfRule type="colorScale" priority="1">
      <colorScale>
        <cfvo type="min"/>
        <cfvo type="percentile" val="50"/>
        <cfvo type="max"/>
        <color rgb="00BBF7D0"/>
        <color rgb="00FDE68A"/>
        <color rgb="00FCA5A5"/>
      </colorScale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Z300"/>
  <sheetViews>
    <sheetView workbookViewId="0">
      <selection activeCell="A1" sqref="A1"/>
    </sheetView>
  </sheetViews>
  <sheetFormatPr baseColWidth="8" defaultRowHeight="15"/>
  <cols>
    <col width="18" customWidth="1" style="280" min="1" max="1"/>
    <col width="28" customWidth="1" style="280" min="2" max="2"/>
    <col width="74" customWidth="1" style="280" min="3" max="3"/>
    <col width="66" customWidth="1" style="280" min="4" max="4"/>
    <col width="26" customWidth="1" style="280" min="5" max="5"/>
    <col width="34" customWidth="1" style="280" min="6" max="6"/>
  </cols>
  <sheetData>
    <row r="1">
      <c r="A1" s="257" t="inlineStr">
        <is>
          <t>Field notes, scoring logic, and sources</t>
        </is>
      </c>
      <c r="B1" s="1" t="n"/>
      <c r="C1" s="1" t="n"/>
      <c r="D1" s="1" t="n"/>
      <c r="E1" s="1" t="n"/>
      <c r="F1" s="1" t="n"/>
      <c r="G1" s="253" t="n"/>
      <c r="H1" s="253" t="n"/>
      <c r="I1" s="253" t="n"/>
      <c r="J1" s="253" t="n"/>
      <c r="K1" s="253" t="n"/>
      <c r="L1" s="253" t="n"/>
      <c r="M1" s="253" t="n"/>
      <c r="N1" s="253" t="n"/>
      <c r="O1" s="253" t="n"/>
      <c r="P1" s="253" t="n"/>
      <c r="Q1" s="253" t="n"/>
      <c r="R1" s="253" t="n"/>
      <c r="S1" s="253" t="n"/>
      <c r="T1" s="253" t="n"/>
      <c r="U1" s="253" t="n"/>
      <c r="V1" s="253" t="n"/>
      <c r="W1" s="253" t="n"/>
      <c r="X1" s="253" t="n"/>
      <c r="Y1" s="253" t="n"/>
      <c r="Z1" s="253" t="n"/>
    </row>
    <row r="2">
      <c r="A2" s="19" t="inlineStr">
        <is>
          <t>This page records template logic, formula assumptions, and external sources for audit and customization.</t>
        </is>
      </c>
      <c r="B2" s="1" t="n"/>
      <c r="C2" s="1" t="n"/>
      <c r="D2" s="1" t="n"/>
      <c r="E2" s="1" t="n"/>
      <c r="F2" s="1" t="n"/>
      <c r="G2" s="253" t="n"/>
      <c r="H2" s="253" t="n"/>
      <c r="I2" s="253" t="n"/>
      <c r="J2" s="253" t="n"/>
      <c r="K2" s="253" t="n"/>
      <c r="L2" s="253" t="n"/>
      <c r="M2" s="253" t="n"/>
      <c r="N2" s="253" t="n"/>
      <c r="O2" s="253" t="n"/>
      <c r="P2" s="253" t="n"/>
      <c r="Q2" s="253" t="n"/>
      <c r="R2" s="253" t="n"/>
      <c r="S2" s="253" t="n"/>
      <c r="T2" s="253" t="n"/>
      <c r="U2" s="253" t="n"/>
      <c r="V2" s="253" t="n"/>
      <c r="W2" s="253" t="n"/>
      <c r="X2" s="253" t="n"/>
      <c r="Y2" s="253" t="n"/>
      <c r="Z2" s="253" t="n"/>
    </row>
    <row r="3">
      <c r="A3" s="253" t="n"/>
      <c r="B3" s="253" t="n"/>
      <c r="C3" s="253" t="n"/>
      <c r="D3" s="253" t="n"/>
      <c r="E3" s="253" t="n"/>
      <c r="F3" s="253" t="n"/>
      <c r="G3" s="253" t="n"/>
      <c r="H3" s="253" t="n"/>
      <c r="I3" s="253" t="n"/>
      <c r="J3" s="253" t="n"/>
      <c r="K3" s="253" t="n"/>
      <c r="L3" s="253" t="n"/>
      <c r="M3" s="253" t="n"/>
      <c r="N3" s="253" t="n"/>
      <c r="O3" s="253" t="n"/>
      <c r="P3" s="253" t="n"/>
      <c r="Q3" s="253" t="n"/>
      <c r="R3" s="253" t="n"/>
      <c r="S3" s="253" t="n"/>
      <c r="T3" s="253" t="n"/>
      <c r="U3" s="253" t="n"/>
      <c r="V3" s="253" t="n"/>
      <c r="W3" s="253" t="n"/>
      <c r="X3" s="253" t="n"/>
      <c r="Y3" s="253" t="n"/>
      <c r="Z3" s="253" t="n"/>
    </row>
    <row r="4" ht="34" customHeight="1" s="280">
      <c r="A4" s="31" t="inlineStr">
        <is>
          <t>Field / Logic</t>
        </is>
      </c>
      <c r="B4" s="32" t="inlineStr">
        <is>
          <t>Worksheet</t>
        </is>
      </c>
      <c r="C4" s="32" t="inlineStr">
        <is>
          <t>Logic Notes</t>
        </is>
      </c>
      <c r="D4" s="32" t="inlineStr">
        <is>
          <t>Formula or Algorithm</t>
        </is>
      </c>
      <c r="E4" s="32" t="inlineStr">
        <is>
          <t>Adjustable Area</t>
        </is>
      </c>
      <c r="F4" s="33" t="inlineStr">
        <is>
          <t>Notes</t>
        </is>
      </c>
      <c r="G4" s="253" t="n"/>
      <c r="H4" s="253" t="n"/>
      <c r="I4" s="253" t="n"/>
      <c r="J4" s="253" t="n"/>
      <c r="K4" s="253" t="n"/>
      <c r="L4" s="253" t="n"/>
      <c r="M4" s="253" t="n"/>
      <c r="N4" s="253" t="n"/>
      <c r="O4" s="253" t="n"/>
      <c r="P4" s="253" t="n"/>
      <c r="Q4" s="253" t="n"/>
      <c r="R4" s="253" t="n"/>
      <c r="S4" s="253" t="n"/>
      <c r="T4" s="253" t="n"/>
      <c r="U4" s="253" t="n"/>
      <c r="V4" s="253" t="n"/>
      <c r="W4" s="253" t="n"/>
      <c r="X4" s="253" t="n"/>
      <c r="Y4" s="253" t="n"/>
      <c r="Z4" s="253" t="n"/>
    </row>
    <row r="5" ht="34" customHeight="1" s="280">
      <c r="A5" s="66" t="inlineStr">
        <is>
          <t>360 Weighted Score</t>
        </is>
      </c>
      <c r="B5" s="67" t="inlineStr">
        <is>
          <t>360 Score Entry</t>
        </is>
      </c>
      <c r="C5" s="67" t="inlineStr">
        <is>
          <t>Reads the weights for the supplier business scenario and calculates a weighted average across 10 dimensions.</t>
        </is>
      </c>
      <c r="D5" s="67" t="inlineStr">
        <is>
          <t>SUMPRODUCT(dimension scores, scenario weights)/100</t>
        </is>
      </c>
      <c r="E5" s="67" t="inlineStr">
        <is>
          <t>Settings - Scenario Weight Matrix</t>
        </is>
      </c>
      <c r="F5" s="68" t="inlineStr">
        <is>
          <t>Higher score is better</t>
        </is>
      </c>
      <c r="G5" s="253" t="n"/>
      <c r="H5" s="253" t="n"/>
      <c r="I5" s="253" t="n"/>
      <c r="J5" s="253" t="n"/>
      <c r="K5" s="253" t="n"/>
      <c r="L5" s="253" t="n"/>
      <c r="M5" s="253" t="n"/>
      <c r="N5" s="253" t="n"/>
      <c r="O5" s="253" t="n"/>
      <c r="P5" s="253" t="n"/>
      <c r="Q5" s="253" t="n"/>
      <c r="R5" s="253" t="n"/>
      <c r="S5" s="253" t="n"/>
      <c r="T5" s="253" t="n"/>
      <c r="U5" s="253" t="n"/>
      <c r="V5" s="253" t="n"/>
      <c r="W5" s="253" t="n"/>
      <c r="X5" s="253" t="n"/>
      <c r="Y5" s="253" t="n"/>
      <c r="Z5" s="253" t="n"/>
    </row>
    <row r="6" ht="34" customHeight="1" s="280">
      <c r="A6" s="69" t="inlineStr">
        <is>
          <t>Event Risk Score</t>
        </is>
      </c>
      <c r="B6" s="70" t="inlineStr">
        <is>
          <t>Risk Event Register</t>
        </is>
      </c>
      <c r="C6" s="70" t="inlineStr">
        <is>
          <t>Single-event risk is calculated from likelihood, impact, and detectability.</t>
        </is>
      </c>
      <c r="D6" s="70" t="inlineStr">
        <is>
          <t>Likelihood x impact x detectability / 125 x 100</t>
        </is>
      </c>
      <c r="E6" s="70" t="inlineStr">
        <is>
          <t>Risk Event Register F:H</t>
        </is>
      </c>
      <c r="F6" s="71" t="inlineStr">
        <is>
          <t>Higher score means higher risk</t>
        </is>
      </c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3" t="n"/>
      <c r="X6" s="253" t="n"/>
      <c r="Y6" s="253" t="n"/>
      <c r="Z6" s="253" t="n"/>
    </row>
    <row r="7" ht="34" customHeight="1" s="280">
      <c r="A7" s="69" t="inlineStr">
        <is>
          <t>Final Risk Score</t>
        </is>
      </c>
      <c r="B7" s="70" t="inlineStr">
        <is>
          <t>Final Score and Tiering</t>
        </is>
      </c>
      <c r="C7" s="70" t="inlineStr">
        <is>
          <t>Uses the highest open-event risk score and adds the supplier criticality adjustment.</t>
        </is>
      </c>
      <c r="D7" s="70" t="inlineStr">
        <is>
          <t>MIN(100, highest event risk + criticality uplift)</t>
        </is>
      </c>
      <c r="E7" s="70" t="inlineStr">
        <is>
          <t>Settings / Supplier Register</t>
        </is>
      </c>
      <c r="F7" s="71" t="inlineStr">
        <is>
          <t>Critical suppliers default to +10, important suppliers to +5</t>
        </is>
      </c>
      <c r="G7" s="253" t="n"/>
      <c r="H7" s="253" t="n"/>
      <c r="I7" s="253" t="n"/>
      <c r="J7" s="253" t="n"/>
      <c r="K7" s="253" t="n"/>
      <c r="L7" s="253" t="n"/>
      <c r="M7" s="253" t="n"/>
      <c r="N7" s="253" t="n"/>
      <c r="O7" s="253" t="n"/>
      <c r="P7" s="253" t="n"/>
      <c r="Q7" s="253" t="n"/>
      <c r="R7" s="253" t="n"/>
      <c r="S7" s="253" t="n"/>
      <c r="T7" s="253" t="n"/>
      <c r="U7" s="253" t="n"/>
      <c r="V7" s="253" t="n"/>
      <c r="W7" s="253" t="n"/>
      <c r="X7" s="253" t="n"/>
      <c r="Y7" s="253" t="n"/>
      <c r="Z7" s="253" t="n"/>
    </row>
    <row r="8" ht="34" customHeight="1" s="280">
      <c r="A8" s="69" t="inlineStr">
        <is>
          <t>Final Tier</t>
        </is>
      </c>
      <c r="B8" s="70" t="inlineStr">
        <is>
          <t>Final Score and Tiering</t>
        </is>
      </c>
      <c r="C8" s="70" t="inlineStr">
        <is>
          <t>Considers both performance score and risk ceiling; excessive risk or low performance lowers the tier.</t>
        </is>
      </c>
      <c r="D8" s="70" t="inlineStr">
        <is>
          <t>A/B/C/D threshold logic</t>
        </is>
      </c>
      <c r="E8" s="70" t="inlineStr">
        <is>
          <t>Settings G:K</t>
        </is>
      </c>
      <c r="F8" s="71" t="inlineStr">
        <is>
          <t>Used for onboarding, review, remediation, and purchase restriction</t>
        </is>
      </c>
      <c r="G8" s="253" t="n"/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3" t="n"/>
      <c r="X8" s="253" t="n"/>
      <c r="Y8" s="253" t="n"/>
      <c r="Z8" s="253" t="n"/>
    </row>
    <row r="9" ht="34" customHeight="1" s="280">
      <c r="A9" s="72" t="inlineStr">
        <is>
          <t>Next Review Date</t>
        </is>
      </c>
      <c r="B9" s="73" t="inlineStr">
        <is>
          <t>Final Score and Tiering</t>
        </is>
      </c>
      <c r="C9" s="73" t="inlineStr">
        <is>
          <t>Review cycle is determined by final tier.</t>
        </is>
      </c>
      <c r="D9" s="73" t="inlineStr">
        <is>
          <t>Latest score date + review cycle days</t>
        </is>
      </c>
      <c r="E9" s="73" t="inlineStr">
        <is>
          <t>Settings column K</t>
        </is>
      </c>
      <c r="F9" s="74" t="inlineStr">
        <is>
          <t>D tier defaults to a 30-day review</t>
        </is>
      </c>
      <c r="G9" s="253" t="n"/>
      <c r="H9" s="253" t="n"/>
      <c r="I9" s="253" t="n"/>
      <c r="J9" s="253" t="n"/>
      <c r="K9" s="253" t="n"/>
      <c r="L9" s="253" t="n"/>
      <c r="M9" s="253" t="n"/>
      <c r="N9" s="253" t="n"/>
      <c r="O9" s="253" t="n"/>
      <c r="P9" s="253" t="n"/>
      <c r="Q9" s="253" t="n"/>
      <c r="R9" s="253" t="n"/>
      <c r="S9" s="253" t="n"/>
      <c r="T9" s="253" t="n"/>
      <c r="U9" s="253" t="n"/>
      <c r="V9" s="253" t="n"/>
      <c r="W9" s="253" t="n"/>
      <c r="X9" s="253" t="n"/>
      <c r="Y9" s="253" t="n"/>
      <c r="Z9" s="253" t="n"/>
    </row>
    <row r="10" ht="34" customHeight="1" s="280">
      <c r="A10" s="253" t="n"/>
      <c r="B10" s="253" t="n"/>
      <c r="C10" s="253" t="n"/>
      <c r="D10" s="253" t="n"/>
      <c r="E10" s="253" t="n"/>
      <c r="F10" s="253" t="n"/>
      <c r="G10" s="253" t="n"/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3" t="n"/>
      <c r="X10" s="253" t="n"/>
      <c r="Y10" s="253" t="n"/>
      <c r="Z10" s="253" t="n"/>
    </row>
    <row r="11" ht="34" customHeight="1" s="280">
      <c r="A11" s="253" t="n"/>
      <c r="B11" s="253" t="n"/>
      <c r="C11" s="253" t="n"/>
      <c r="D11" s="253" t="n"/>
      <c r="E11" s="253" t="n"/>
      <c r="F11" s="253" t="n"/>
      <c r="G11" s="253" t="n"/>
      <c r="H11" s="253" t="n"/>
      <c r="I11" s="253" t="n"/>
      <c r="J11" s="253" t="n"/>
      <c r="K11" s="253" t="n"/>
      <c r="L11" s="253" t="n"/>
      <c r="M11" s="253" t="n"/>
      <c r="N11" s="253" t="n"/>
      <c r="O11" s="253" t="n"/>
      <c r="P11" s="253" t="n"/>
      <c r="Q11" s="253" t="n"/>
      <c r="R11" s="253" t="n"/>
      <c r="S11" s="253" t="n"/>
      <c r="T11" s="253" t="n"/>
      <c r="U11" s="253" t="n"/>
      <c r="V11" s="253" t="n"/>
      <c r="W11" s="253" t="n"/>
      <c r="X11" s="253" t="n"/>
      <c r="Y11" s="253" t="n"/>
      <c r="Z11" s="253" t="n"/>
    </row>
    <row r="12" ht="34" customHeight="1" s="280">
      <c r="A12" s="31" t="inlineStr">
        <is>
          <t>Source Type</t>
        </is>
      </c>
      <c r="B12" s="32" t="inlineStr">
        <is>
          <t>Source / Page</t>
        </is>
      </c>
      <c r="C12" s="32" t="inlineStr">
        <is>
          <t>URL</t>
        </is>
      </c>
      <c r="D12" s="33" t="inlineStr">
        <is>
          <t>Relevant content used in the template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3" t="n"/>
      <c r="X12" s="253" t="n"/>
      <c r="Y12" s="253" t="n"/>
      <c r="Z12" s="253" t="n"/>
    </row>
    <row r="13" ht="34" customHeight="1" s="280">
      <c r="A13" s="66" t="inlineStr">
        <is>
          <t>User-provided page</t>
        </is>
      </c>
      <c r="B13" s="67" t="inlineStr">
        <is>
          <t>Supplier 360 scorecard and risk tiering reference page</t>
        </is>
      </c>
      <c r="C13" s="67" t="inlineStr">
        <is>
          <t>http://localhost:2020/en/excel-templates/supply-chain/supplier-360-score-risk-model/</t>
        </is>
      </c>
      <c r="D13" s="68" t="inlineStr">
        <is>
          <t>This is a local page address and cannot be accessed externally; the workbook follows the model indicated by the page title.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3" t="n"/>
      <c r="X13" s="253" t="n"/>
      <c r="Y13" s="253" t="n"/>
      <c r="Z13" s="253" t="n"/>
    </row>
    <row r="14" ht="34" customHeight="1" s="280">
      <c r="A14" s="69" t="inlineStr">
        <is>
          <t>Public Source</t>
        </is>
      </c>
      <c r="B14" s="70" t="inlineStr">
        <is>
          <t>Prewave 360° Supplier Scoring</t>
        </is>
      </c>
      <c r="C14" s="70" t="inlineStr">
        <is>
          <t>https://www.prewave.com/platform/scoring</t>
        </is>
      </c>
      <c r="D14" s="71" t="inlineStr">
        <is>
          <t>Real-time scoring, risk category coverage, integration-analysis-monitoring workflows, risk matrices, and continuous tracking.</t>
        </is>
      </c>
      <c r="E14" s="253" t="n"/>
      <c r="F14" s="253" t="n"/>
      <c r="G14" s="253" t="n"/>
      <c r="H14" s="253" t="n"/>
      <c r="I14" s="253" t="n"/>
      <c r="J14" s="253" t="n"/>
      <c r="K14" s="253" t="n"/>
      <c r="L14" s="253" t="n"/>
      <c r="M14" s="253" t="n"/>
      <c r="N14" s="253" t="n"/>
      <c r="O14" s="253" t="n"/>
      <c r="P14" s="253" t="n"/>
      <c r="Q14" s="253" t="n"/>
      <c r="R14" s="253" t="n"/>
      <c r="S14" s="253" t="n"/>
      <c r="T14" s="253" t="n"/>
      <c r="U14" s="253" t="n"/>
      <c r="V14" s="253" t="n"/>
      <c r="W14" s="253" t="n"/>
      <c r="X14" s="253" t="n"/>
      <c r="Y14" s="253" t="n"/>
      <c r="Z14" s="253" t="n"/>
    </row>
    <row r="15" ht="34" customHeight="1" s="280">
      <c r="A15" s="69" t="inlineStr">
        <is>
          <t>Public Source</t>
        </is>
      </c>
      <c r="B15" s="70" t="inlineStr">
        <is>
          <t>Levelpath Supplier Risk Assessment</t>
        </is>
      </c>
      <c r="C15" s="70" t="inlineStr">
        <is>
          <t>https://www.levelpath.com/glossary/supplier-risk-assessment</t>
        </is>
      </c>
      <c r="D15" s="71" t="inlineStr">
        <is>
          <t>Multi-dimensional assessment across finance, operations, compliance, ESG, cybersecurity, and geopolitical risk; dynamic scoring, tiering, and continuous monitoring.</t>
        </is>
      </c>
      <c r="E15" s="253" t="n"/>
      <c r="F15" s="253" t="n"/>
      <c r="G15" s="253" t="n"/>
      <c r="H15" s="253" t="n"/>
      <c r="I15" s="253" t="n"/>
      <c r="J15" s="253" t="n"/>
      <c r="K15" s="253" t="n"/>
      <c r="L15" s="253" t="n"/>
      <c r="M15" s="253" t="n"/>
      <c r="N15" s="253" t="n"/>
      <c r="O15" s="253" t="n"/>
      <c r="P15" s="253" t="n"/>
      <c r="Q15" s="253" t="n"/>
      <c r="R15" s="253" t="n"/>
      <c r="S15" s="253" t="n"/>
      <c r="T15" s="253" t="n"/>
      <c r="U15" s="253" t="n"/>
      <c r="V15" s="253" t="n"/>
      <c r="W15" s="253" t="n"/>
      <c r="X15" s="253" t="n"/>
      <c r="Y15" s="253" t="n"/>
      <c r="Z15" s="253" t="n"/>
    </row>
    <row r="16" ht="34" customHeight="1" s="280">
      <c r="A16" s="69" t="inlineStr">
        <is>
          <t>Public Source</t>
        </is>
      </c>
      <c r="B16" s="70" t="inlineStr">
        <is>
          <t>SAP Ariba Supplier 360 Risk Profile</t>
        </is>
      </c>
      <c r="C16" s="70" t="inlineStr">
        <is>
          <t>https://learning.sap.com/courses/sap-ariba-supplier-management-monitoring-supplier-risk/monitoring-risk-from-the-supplier-360-profile</t>
        </is>
      </c>
      <c r="D16" s="71" t="inlineStr">
        <is>
          <t>Risk exposure, risk events, company information, and participation in risk assessment projects within the supplier 360 profile.</t>
        </is>
      </c>
      <c r="E16" s="253" t="n"/>
      <c r="F16" s="253" t="n"/>
      <c r="G16" s="253" t="n"/>
      <c r="H16" s="253" t="n"/>
      <c r="I16" s="253" t="n"/>
      <c r="J16" s="253" t="n"/>
      <c r="K16" s="253" t="n"/>
      <c r="L16" s="253" t="n"/>
      <c r="M16" s="253" t="n"/>
      <c r="N16" s="253" t="n"/>
      <c r="O16" s="253" t="n"/>
      <c r="P16" s="253" t="n"/>
      <c r="Q16" s="253" t="n"/>
      <c r="R16" s="253" t="n"/>
      <c r="S16" s="253" t="n"/>
      <c r="T16" s="253" t="n"/>
      <c r="U16" s="253" t="n"/>
      <c r="V16" s="253" t="n"/>
      <c r="W16" s="253" t="n"/>
      <c r="X16" s="253" t="n"/>
      <c r="Y16" s="253" t="n"/>
      <c r="Z16" s="253" t="n"/>
    </row>
    <row r="17" ht="34" customHeight="1" s="280">
      <c r="A17" s="72" t="inlineStr">
        <is>
          <t>Public Source</t>
        </is>
      </c>
      <c r="B17" s="73" t="inlineStr">
        <is>
          <t>Deloitte Supplier Risk Management</t>
        </is>
      </c>
      <c r="C17" s="73" t="inlineStr">
        <is>
          <t>https://www.deloitte.com/us/en/services/consulting/services/supplier-risk-management.html</t>
        </is>
      </c>
      <c r="D17" s="74" t="inlineStr">
        <is>
          <t>Integrates internal and external data, risk scoring algorithms, supplier capacity, delivery, quality, qualifications, financial visibility, and risk alerts.</t>
        </is>
      </c>
      <c r="E17" s="253" t="n"/>
      <c r="F17" s="253" t="n"/>
      <c r="G17" s="253" t="n"/>
      <c r="H17" s="253" t="n"/>
      <c r="I17" s="253" t="n"/>
      <c r="J17" s="253" t="n"/>
      <c r="K17" s="253" t="n"/>
      <c r="L17" s="253" t="n"/>
      <c r="M17" s="253" t="n"/>
      <c r="N17" s="253" t="n"/>
      <c r="O17" s="253" t="n"/>
      <c r="P17" s="253" t="n"/>
      <c r="Q17" s="253" t="n"/>
      <c r="R17" s="253" t="n"/>
      <c r="S17" s="253" t="n"/>
      <c r="T17" s="253" t="n"/>
      <c r="U17" s="253" t="n"/>
      <c r="V17" s="253" t="n"/>
      <c r="W17" s="253" t="n"/>
      <c r="X17" s="253" t="n"/>
      <c r="Y17" s="253" t="n"/>
      <c r="Z17" s="253" t="n"/>
    </row>
    <row r="18">
      <c r="A18" s="253" t="n"/>
      <c r="B18" s="253" t="n"/>
      <c r="C18" s="253" t="n"/>
      <c r="D18" s="253" t="n"/>
      <c r="E18" s="253" t="n"/>
      <c r="F18" s="253" t="n"/>
      <c r="G18" s="253" t="n"/>
      <c r="H18" s="253" t="n"/>
      <c r="I18" s="253" t="n"/>
      <c r="J18" s="253" t="n"/>
      <c r="K18" s="253" t="n"/>
      <c r="L18" s="253" t="n"/>
      <c r="M18" s="253" t="n"/>
      <c r="N18" s="253" t="n"/>
      <c r="O18" s="253" t="n"/>
      <c r="P18" s="253" t="n"/>
      <c r="Q18" s="253" t="n"/>
      <c r="R18" s="253" t="n"/>
      <c r="S18" s="253" t="n"/>
      <c r="T18" s="253" t="n"/>
      <c r="U18" s="253" t="n"/>
      <c r="V18" s="253" t="n"/>
      <c r="W18" s="253" t="n"/>
      <c r="X18" s="253" t="n"/>
      <c r="Y18" s="253" t="n"/>
      <c r="Z18" s="253" t="n"/>
    </row>
    <row r="19">
      <c r="A19" s="253" t="n"/>
      <c r="B19" s="253" t="n"/>
      <c r="C19" s="253" t="n"/>
      <c r="D19" s="253" t="n"/>
      <c r="E19" s="253" t="n"/>
      <c r="F19" s="253" t="n"/>
      <c r="G19" s="253" t="n"/>
      <c r="H19" s="253" t="n"/>
      <c r="I19" s="253" t="n"/>
      <c r="J19" s="253" t="n"/>
      <c r="K19" s="253" t="n"/>
      <c r="L19" s="253" t="n"/>
      <c r="M19" s="253" t="n"/>
      <c r="N19" s="253" t="n"/>
      <c r="O19" s="253" t="n"/>
      <c r="P19" s="253" t="n"/>
      <c r="Q19" s="253" t="n"/>
      <c r="R19" s="253" t="n"/>
      <c r="S19" s="253" t="n"/>
      <c r="T19" s="253" t="n"/>
      <c r="U19" s="253" t="n"/>
      <c r="V19" s="253" t="n"/>
      <c r="W19" s="253" t="n"/>
      <c r="X19" s="253" t="n"/>
      <c r="Y19" s="253" t="n"/>
      <c r="Z19" s="253" t="n"/>
    </row>
    <row r="20">
      <c r="A20" s="253" t="n"/>
      <c r="B20" s="253" t="n"/>
      <c r="C20" s="253" t="n"/>
      <c r="D20" s="253" t="n"/>
      <c r="E20" s="253" t="n"/>
      <c r="F20" s="253" t="n"/>
      <c r="G20" s="253" t="n"/>
      <c r="H20" s="253" t="n"/>
      <c r="I20" s="253" t="n"/>
      <c r="J20" s="253" t="n"/>
      <c r="K20" s="253" t="n"/>
      <c r="L20" s="253" t="n"/>
      <c r="M20" s="253" t="n"/>
      <c r="N20" s="253" t="n"/>
      <c r="O20" s="253" t="n"/>
      <c r="P20" s="253" t="n"/>
      <c r="Q20" s="253" t="n"/>
      <c r="R20" s="253" t="n"/>
      <c r="S20" s="253" t="n"/>
      <c r="T20" s="253" t="n"/>
      <c r="U20" s="253" t="n"/>
      <c r="V20" s="253" t="n"/>
      <c r="W20" s="253" t="n"/>
      <c r="X20" s="253" t="n"/>
      <c r="Y20" s="253" t="n"/>
      <c r="Z20" s="253" t="n"/>
    </row>
    <row r="21">
      <c r="A21" s="253" t="n"/>
      <c r="B21" s="253" t="n"/>
      <c r="C21" s="253" t="n"/>
      <c r="D21" s="253" t="n"/>
      <c r="E21" s="253" t="n"/>
      <c r="F21" s="253" t="n"/>
      <c r="G21" s="253" t="n"/>
      <c r="H21" s="253" t="n"/>
      <c r="I21" s="253" t="n"/>
      <c r="J21" s="253" t="n"/>
      <c r="K21" s="253" t="n"/>
      <c r="L21" s="253" t="n"/>
      <c r="M21" s="253" t="n"/>
      <c r="N21" s="253" t="n"/>
      <c r="O21" s="253" t="n"/>
      <c r="P21" s="253" t="n"/>
      <c r="Q21" s="253" t="n"/>
      <c r="R21" s="253" t="n"/>
      <c r="S21" s="253" t="n"/>
      <c r="T21" s="253" t="n"/>
      <c r="U21" s="253" t="n"/>
      <c r="V21" s="253" t="n"/>
      <c r="W21" s="253" t="n"/>
      <c r="X21" s="253" t="n"/>
      <c r="Y21" s="253" t="n"/>
      <c r="Z21" s="253" t="n"/>
    </row>
    <row r="22">
      <c r="A22" s="253" t="n"/>
      <c r="B22" s="253" t="n"/>
      <c r="C22" s="253" t="n"/>
      <c r="D22" s="253" t="n"/>
      <c r="E22" s="253" t="n"/>
      <c r="F22" s="253" t="n"/>
      <c r="G22" s="253" t="n"/>
      <c r="H22" s="253" t="n"/>
      <c r="I22" s="253" t="n"/>
      <c r="J22" s="253" t="n"/>
      <c r="K22" s="253" t="n"/>
      <c r="L22" s="253" t="n"/>
      <c r="M22" s="253" t="n"/>
      <c r="N22" s="253" t="n"/>
      <c r="O22" s="253" t="n"/>
      <c r="P22" s="253" t="n"/>
      <c r="Q22" s="253" t="n"/>
      <c r="R22" s="253" t="n"/>
      <c r="S22" s="253" t="n"/>
      <c r="T22" s="253" t="n"/>
      <c r="U22" s="253" t="n"/>
      <c r="V22" s="253" t="n"/>
      <c r="W22" s="253" t="n"/>
      <c r="X22" s="253" t="n"/>
      <c r="Y22" s="253" t="n"/>
      <c r="Z22" s="253" t="n"/>
    </row>
    <row r="23">
      <c r="A23" s="253" t="n"/>
      <c r="B23" s="253" t="n"/>
      <c r="C23" s="253" t="n"/>
      <c r="D23" s="253" t="n"/>
      <c r="E23" s="253" t="n"/>
      <c r="F23" s="253" t="n"/>
      <c r="G23" s="253" t="n"/>
      <c r="H23" s="253" t="n"/>
      <c r="I23" s="253" t="n"/>
      <c r="J23" s="253" t="n"/>
      <c r="K23" s="253" t="n"/>
      <c r="L23" s="253" t="n"/>
      <c r="M23" s="253" t="n"/>
      <c r="N23" s="253" t="n"/>
      <c r="O23" s="253" t="n"/>
      <c r="P23" s="253" t="n"/>
      <c r="Q23" s="253" t="n"/>
      <c r="R23" s="253" t="n"/>
      <c r="S23" s="253" t="n"/>
      <c r="T23" s="253" t="n"/>
      <c r="U23" s="253" t="n"/>
      <c r="V23" s="253" t="n"/>
      <c r="W23" s="253" t="n"/>
      <c r="X23" s="253" t="n"/>
      <c r="Y23" s="253" t="n"/>
      <c r="Z23" s="253" t="n"/>
    </row>
    <row r="24">
      <c r="A24" s="253" t="n"/>
      <c r="B24" s="253" t="n"/>
      <c r="C24" s="253" t="n"/>
      <c r="D24" s="253" t="n"/>
      <c r="E24" s="253" t="n"/>
      <c r="F24" s="253" t="n"/>
      <c r="G24" s="253" t="n"/>
      <c r="H24" s="253" t="n"/>
      <c r="I24" s="253" t="n"/>
      <c r="J24" s="253" t="n"/>
      <c r="K24" s="253" t="n"/>
      <c r="L24" s="253" t="n"/>
      <c r="M24" s="253" t="n"/>
      <c r="N24" s="253" t="n"/>
      <c r="O24" s="253" t="n"/>
      <c r="P24" s="253" t="n"/>
      <c r="Q24" s="253" t="n"/>
      <c r="R24" s="253" t="n"/>
      <c r="S24" s="253" t="n"/>
      <c r="T24" s="253" t="n"/>
      <c r="U24" s="253" t="n"/>
      <c r="V24" s="253" t="n"/>
      <c r="W24" s="253" t="n"/>
      <c r="X24" s="253" t="n"/>
      <c r="Y24" s="253" t="n"/>
      <c r="Z24" s="253" t="n"/>
    </row>
    <row r="25">
      <c r="A25" s="253" t="n"/>
      <c r="B25" s="253" t="n"/>
      <c r="C25" s="253" t="n"/>
      <c r="D25" s="253" t="n"/>
      <c r="E25" s="253" t="n"/>
      <c r="F25" s="253" t="n"/>
      <c r="G25" s="253" t="n"/>
      <c r="H25" s="253" t="n"/>
      <c r="I25" s="253" t="n"/>
      <c r="J25" s="253" t="n"/>
      <c r="K25" s="253" t="n"/>
      <c r="L25" s="253" t="n"/>
      <c r="M25" s="253" t="n"/>
      <c r="N25" s="253" t="n"/>
      <c r="O25" s="253" t="n"/>
      <c r="P25" s="253" t="n"/>
      <c r="Q25" s="253" t="n"/>
      <c r="R25" s="253" t="n"/>
      <c r="S25" s="253" t="n"/>
      <c r="T25" s="253" t="n"/>
      <c r="U25" s="253" t="n"/>
      <c r="V25" s="253" t="n"/>
      <c r="W25" s="253" t="n"/>
      <c r="X25" s="253" t="n"/>
      <c r="Y25" s="253" t="n"/>
      <c r="Z25" s="253" t="n"/>
    </row>
    <row r="26">
      <c r="A26" s="253" t="n"/>
      <c r="B26" s="253" t="n"/>
      <c r="C26" s="253" t="n"/>
      <c r="D26" s="253" t="n"/>
      <c r="E26" s="253" t="n"/>
      <c r="F26" s="253" t="n"/>
      <c r="G26" s="253" t="n"/>
      <c r="H26" s="253" t="n"/>
      <c r="I26" s="253" t="n"/>
      <c r="J26" s="253" t="n"/>
      <c r="K26" s="253" t="n"/>
      <c r="L26" s="253" t="n"/>
      <c r="M26" s="253" t="n"/>
      <c r="N26" s="253" t="n"/>
      <c r="O26" s="253" t="n"/>
      <c r="P26" s="253" t="n"/>
      <c r="Q26" s="253" t="n"/>
      <c r="R26" s="253" t="n"/>
      <c r="S26" s="253" t="n"/>
      <c r="T26" s="253" t="n"/>
      <c r="U26" s="253" t="n"/>
      <c r="V26" s="253" t="n"/>
      <c r="W26" s="253" t="n"/>
      <c r="X26" s="253" t="n"/>
      <c r="Y26" s="253" t="n"/>
      <c r="Z26" s="253" t="n"/>
    </row>
    <row r="27">
      <c r="A27" s="253" t="n"/>
      <c r="B27" s="253" t="n"/>
      <c r="C27" s="253" t="n"/>
      <c r="D27" s="253" t="n"/>
      <c r="E27" s="253" t="n"/>
      <c r="F27" s="253" t="n"/>
      <c r="G27" s="253" t="n"/>
      <c r="H27" s="253" t="n"/>
      <c r="I27" s="253" t="n"/>
      <c r="J27" s="253" t="n"/>
      <c r="K27" s="253" t="n"/>
      <c r="L27" s="253" t="n"/>
      <c r="M27" s="253" t="n"/>
      <c r="N27" s="253" t="n"/>
      <c r="O27" s="253" t="n"/>
      <c r="P27" s="253" t="n"/>
      <c r="Q27" s="253" t="n"/>
      <c r="R27" s="253" t="n"/>
      <c r="S27" s="253" t="n"/>
      <c r="T27" s="253" t="n"/>
      <c r="U27" s="253" t="n"/>
      <c r="V27" s="253" t="n"/>
      <c r="W27" s="253" t="n"/>
      <c r="X27" s="253" t="n"/>
      <c r="Y27" s="253" t="n"/>
      <c r="Z27" s="253" t="n"/>
    </row>
    <row r="28">
      <c r="A28" s="253" t="n"/>
      <c r="B28" s="253" t="n"/>
      <c r="C28" s="253" t="n"/>
      <c r="D28" s="253" t="n"/>
      <c r="E28" s="253" t="n"/>
      <c r="F28" s="253" t="n"/>
      <c r="G28" s="253" t="n"/>
      <c r="H28" s="253" t="n"/>
      <c r="I28" s="253" t="n"/>
      <c r="J28" s="253" t="n"/>
      <c r="K28" s="253" t="n"/>
      <c r="L28" s="253" t="n"/>
      <c r="M28" s="253" t="n"/>
      <c r="N28" s="253" t="n"/>
      <c r="O28" s="253" t="n"/>
      <c r="P28" s="253" t="n"/>
      <c r="Q28" s="253" t="n"/>
      <c r="R28" s="253" t="n"/>
      <c r="S28" s="253" t="n"/>
      <c r="T28" s="253" t="n"/>
      <c r="U28" s="253" t="n"/>
      <c r="V28" s="253" t="n"/>
      <c r="W28" s="253" t="n"/>
      <c r="X28" s="253" t="n"/>
      <c r="Y28" s="253" t="n"/>
      <c r="Z28" s="253" t="n"/>
    </row>
    <row r="29">
      <c r="A29" s="253" t="n"/>
      <c r="B29" s="253" t="n"/>
      <c r="C29" s="253" t="n"/>
      <c r="D29" s="253" t="n"/>
      <c r="E29" s="253" t="n"/>
      <c r="F29" s="253" t="n"/>
      <c r="G29" s="253" t="n"/>
      <c r="H29" s="253" t="n"/>
      <c r="I29" s="253" t="n"/>
      <c r="J29" s="253" t="n"/>
      <c r="K29" s="253" t="n"/>
      <c r="L29" s="253" t="n"/>
      <c r="M29" s="253" t="n"/>
      <c r="N29" s="253" t="n"/>
      <c r="O29" s="253" t="n"/>
      <c r="P29" s="253" t="n"/>
      <c r="Q29" s="253" t="n"/>
      <c r="R29" s="253" t="n"/>
      <c r="S29" s="253" t="n"/>
      <c r="T29" s="253" t="n"/>
      <c r="U29" s="253" t="n"/>
      <c r="V29" s="253" t="n"/>
      <c r="W29" s="253" t="n"/>
      <c r="X29" s="253" t="n"/>
      <c r="Y29" s="253" t="n"/>
      <c r="Z29" s="253" t="n"/>
    </row>
    <row r="30">
      <c r="A30" s="253" t="n"/>
      <c r="B30" s="253" t="n"/>
      <c r="C30" s="253" t="n"/>
      <c r="D30" s="253" t="n"/>
      <c r="E30" s="253" t="n"/>
      <c r="F30" s="253" t="n"/>
      <c r="G30" s="253" t="n"/>
      <c r="H30" s="253" t="n"/>
      <c r="I30" s="253" t="n"/>
      <c r="J30" s="253" t="n"/>
      <c r="K30" s="253" t="n"/>
      <c r="L30" s="253" t="n"/>
      <c r="M30" s="253" t="n"/>
      <c r="N30" s="253" t="n"/>
      <c r="O30" s="253" t="n"/>
      <c r="P30" s="253" t="n"/>
      <c r="Q30" s="253" t="n"/>
      <c r="R30" s="253" t="n"/>
      <c r="S30" s="253" t="n"/>
      <c r="T30" s="253" t="n"/>
      <c r="U30" s="253" t="n"/>
      <c r="V30" s="253" t="n"/>
      <c r="W30" s="253" t="n"/>
      <c r="X30" s="253" t="n"/>
      <c r="Y30" s="253" t="n"/>
      <c r="Z30" s="253" t="n"/>
    </row>
    <row r="31">
      <c r="A31" s="253" t="n"/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</row>
    <row r="32">
      <c r="A32" s="253" t="n"/>
      <c r="B32" s="253" t="n"/>
      <c r="C32" s="253" t="n"/>
      <c r="D32" s="253" t="n"/>
      <c r="E32" s="253" t="n"/>
      <c r="F32" s="253" t="n"/>
      <c r="G32" s="253" t="n"/>
      <c r="H32" s="253" t="n"/>
      <c r="I32" s="253" t="n"/>
      <c r="J32" s="253" t="n"/>
      <c r="K32" s="253" t="n"/>
      <c r="L32" s="253" t="n"/>
      <c r="M32" s="253" t="n"/>
      <c r="N32" s="253" t="n"/>
      <c r="O32" s="253" t="n"/>
      <c r="P32" s="253" t="n"/>
      <c r="Q32" s="253" t="n"/>
      <c r="R32" s="253" t="n"/>
      <c r="S32" s="253" t="n"/>
      <c r="T32" s="253" t="n"/>
      <c r="U32" s="253" t="n"/>
      <c r="V32" s="253" t="n"/>
      <c r="W32" s="253" t="n"/>
      <c r="X32" s="253" t="n"/>
      <c r="Y32" s="253" t="n"/>
      <c r="Z32" s="253" t="n"/>
    </row>
    <row r="33">
      <c r="A33" s="253" t="n"/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</row>
    <row r="34">
      <c r="A34" s="253" t="n"/>
      <c r="B34" s="253" t="n"/>
      <c r="C34" s="253" t="n"/>
      <c r="D34" s="253" t="n"/>
      <c r="E34" s="253" t="n"/>
      <c r="F34" s="253" t="n"/>
      <c r="G34" s="253" t="n"/>
      <c r="H34" s="253" t="n"/>
      <c r="I34" s="253" t="n"/>
      <c r="J34" s="253" t="n"/>
      <c r="K34" s="253" t="n"/>
      <c r="L34" s="253" t="n"/>
      <c r="M34" s="253" t="n"/>
      <c r="N34" s="253" t="n"/>
      <c r="O34" s="253" t="n"/>
      <c r="P34" s="253" t="n"/>
      <c r="Q34" s="253" t="n"/>
      <c r="R34" s="253" t="n"/>
      <c r="S34" s="253" t="n"/>
      <c r="T34" s="253" t="n"/>
      <c r="U34" s="253" t="n"/>
      <c r="V34" s="253" t="n"/>
      <c r="W34" s="253" t="n"/>
      <c r="X34" s="253" t="n"/>
      <c r="Y34" s="253" t="n"/>
      <c r="Z34" s="253" t="n"/>
    </row>
    <row r="35">
      <c r="A35" s="253" t="n"/>
      <c r="B35" s="253" t="n"/>
      <c r="C35" s="253" t="n"/>
      <c r="D35" s="253" t="n"/>
      <c r="E35" s="253" t="n"/>
      <c r="F35" s="253" t="n"/>
      <c r="G35" s="253" t="n"/>
      <c r="H35" s="253" t="n"/>
      <c r="I35" s="253" t="n"/>
      <c r="J35" s="253" t="n"/>
      <c r="K35" s="253" t="n"/>
      <c r="L35" s="253" t="n"/>
      <c r="M35" s="253" t="n"/>
      <c r="N35" s="253" t="n"/>
      <c r="O35" s="253" t="n"/>
      <c r="P35" s="253" t="n"/>
      <c r="Q35" s="253" t="n"/>
      <c r="R35" s="253" t="n"/>
      <c r="S35" s="253" t="n"/>
      <c r="T35" s="253" t="n"/>
      <c r="U35" s="253" t="n"/>
      <c r="V35" s="253" t="n"/>
      <c r="W35" s="253" t="n"/>
      <c r="X35" s="253" t="n"/>
      <c r="Y35" s="253" t="n"/>
      <c r="Z35" s="253" t="n"/>
    </row>
    <row r="36">
      <c r="A36" s="253" t="n"/>
      <c r="B36" s="253" t="n"/>
      <c r="C36" s="253" t="n"/>
      <c r="D36" s="253" t="n"/>
      <c r="E36" s="253" t="n"/>
      <c r="F36" s="253" t="n"/>
      <c r="G36" s="253" t="n"/>
      <c r="H36" s="253" t="n"/>
      <c r="I36" s="253" t="n"/>
      <c r="J36" s="253" t="n"/>
      <c r="K36" s="253" t="n"/>
      <c r="L36" s="253" t="n"/>
      <c r="M36" s="253" t="n"/>
      <c r="N36" s="253" t="n"/>
      <c r="O36" s="253" t="n"/>
      <c r="P36" s="253" t="n"/>
      <c r="Q36" s="253" t="n"/>
      <c r="R36" s="253" t="n"/>
      <c r="S36" s="253" t="n"/>
      <c r="T36" s="253" t="n"/>
      <c r="U36" s="253" t="n"/>
      <c r="V36" s="253" t="n"/>
      <c r="W36" s="253" t="n"/>
      <c r="X36" s="253" t="n"/>
      <c r="Y36" s="253" t="n"/>
      <c r="Z36" s="253" t="n"/>
    </row>
    <row r="37">
      <c r="A37" s="253" t="n"/>
      <c r="B37" s="253" t="n"/>
      <c r="C37" s="253" t="n"/>
      <c r="D37" s="253" t="n"/>
      <c r="E37" s="253" t="n"/>
      <c r="F37" s="253" t="n"/>
      <c r="G37" s="253" t="n"/>
      <c r="H37" s="253" t="n"/>
      <c r="I37" s="253" t="n"/>
      <c r="J37" s="253" t="n"/>
      <c r="K37" s="253" t="n"/>
      <c r="L37" s="253" t="n"/>
      <c r="M37" s="253" t="n"/>
      <c r="N37" s="253" t="n"/>
      <c r="O37" s="253" t="n"/>
      <c r="P37" s="253" t="n"/>
      <c r="Q37" s="253" t="n"/>
      <c r="R37" s="253" t="n"/>
      <c r="S37" s="253" t="n"/>
      <c r="T37" s="253" t="n"/>
      <c r="U37" s="253" t="n"/>
      <c r="V37" s="253" t="n"/>
      <c r="W37" s="253" t="n"/>
      <c r="X37" s="253" t="n"/>
      <c r="Y37" s="253" t="n"/>
      <c r="Z37" s="253" t="n"/>
    </row>
    <row r="38">
      <c r="A38" s="253" t="n"/>
      <c r="B38" s="253" t="n"/>
      <c r="C38" s="253" t="n"/>
      <c r="D38" s="253" t="n"/>
      <c r="E38" s="253" t="n"/>
      <c r="F38" s="253" t="n"/>
      <c r="G38" s="253" t="n"/>
      <c r="H38" s="253" t="n"/>
      <c r="I38" s="253" t="n"/>
      <c r="J38" s="253" t="n"/>
      <c r="K38" s="253" t="n"/>
      <c r="L38" s="253" t="n"/>
      <c r="M38" s="253" t="n"/>
      <c r="N38" s="253" t="n"/>
      <c r="O38" s="253" t="n"/>
      <c r="P38" s="253" t="n"/>
      <c r="Q38" s="253" t="n"/>
      <c r="R38" s="253" t="n"/>
      <c r="S38" s="253" t="n"/>
      <c r="T38" s="253" t="n"/>
      <c r="U38" s="253" t="n"/>
      <c r="V38" s="253" t="n"/>
      <c r="W38" s="253" t="n"/>
      <c r="X38" s="253" t="n"/>
      <c r="Y38" s="253" t="n"/>
      <c r="Z38" s="253" t="n"/>
    </row>
    <row r="39">
      <c r="A39" s="253" t="n"/>
      <c r="B39" s="253" t="n"/>
      <c r="C39" s="253" t="n"/>
      <c r="D39" s="253" t="n"/>
      <c r="E39" s="253" t="n"/>
      <c r="F39" s="253" t="n"/>
      <c r="G39" s="253" t="n"/>
      <c r="H39" s="253" t="n"/>
      <c r="I39" s="253" t="n"/>
      <c r="J39" s="253" t="n"/>
      <c r="K39" s="253" t="n"/>
      <c r="L39" s="253" t="n"/>
      <c r="M39" s="253" t="n"/>
      <c r="N39" s="253" t="n"/>
      <c r="O39" s="253" t="n"/>
      <c r="P39" s="253" t="n"/>
      <c r="Q39" s="253" t="n"/>
      <c r="R39" s="253" t="n"/>
      <c r="S39" s="253" t="n"/>
      <c r="T39" s="253" t="n"/>
      <c r="U39" s="253" t="n"/>
      <c r="V39" s="253" t="n"/>
      <c r="W39" s="253" t="n"/>
      <c r="X39" s="253" t="n"/>
      <c r="Y39" s="253" t="n"/>
      <c r="Z39" s="253" t="n"/>
    </row>
    <row r="40">
      <c r="A40" s="253" t="n"/>
      <c r="B40" s="253" t="n"/>
      <c r="C40" s="253" t="n"/>
      <c r="D40" s="253" t="n"/>
      <c r="E40" s="253" t="n"/>
      <c r="F40" s="253" t="n"/>
      <c r="G40" s="253" t="n"/>
      <c r="H40" s="253" t="n"/>
      <c r="I40" s="253" t="n"/>
      <c r="J40" s="253" t="n"/>
      <c r="K40" s="253" t="n"/>
      <c r="L40" s="253" t="n"/>
      <c r="M40" s="253" t="n"/>
      <c r="N40" s="253" t="n"/>
      <c r="O40" s="253" t="n"/>
      <c r="P40" s="253" t="n"/>
      <c r="Q40" s="253" t="n"/>
      <c r="R40" s="253" t="n"/>
      <c r="S40" s="253" t="n"/>
      <c r="T40" s="253" t="n"/>
      <c r="U40" s="253" t="n"/>
      <c r="V40" s="253" t="n"/>
      <c r="W40" s="253" t="n"/>
      <c r="X40" s="253" t="n"/>
      <c r="Y40" s="253" t="n"/>
      <c r="Z40" s="253" t="n"/>
    </row>
    <row r="41">
      <c r="A41" s="253" t="n"/>
      <c r="B41" s="253" t="n"/>
      <c r="C41" s="253" t="n"/>
      <c r="D41" s="253" t="n"/>
      <c r="E41" s="253" t="n"/>
      <c r="F41" s="253" t="n"/>
      <c r="G41" s="253" t="n"/>
      <c r="H41" s="253" t="n"/>
      <c r="I41" s="253" t="n"/>
      <c r="J41" s="253" t="n"/>
      <c r="K41" s="253" t="n"/>
      <c r="L41" s="253" t="n"/>
      <c r="M41" s="253" t="n"/>
      <c r="N41" s="253" t="n"/>
      <c r="O41" s="253" t="n"/>
      <c r="P41" s="253" t="n"/>
      <c r="Q41" s="253" t="n"/>
      <c r="R41" s="253" t="n"/>
      <c r="S41" s="253" t="n"/>
      <c r="T41" s="253" t="n"/>
      <c r="U41" s="253" t="n"/>
      <c r="V41" s="253" t="n"/>
      <c r="W41" s="253" t="n"/>
      <c r="X41" s="253" t="n"/>
      <c r="Y41" s="253" t="n"/>
      <c r="Z41" s="253" t="n"/>
    </row>
    <row r="42">
      <c r="A42" s="253" t="n"/>
      <c r="B42" s="253" t="n"/>
      <c r="C42" s="253" t="n"/>
      <c r="D42" s="253" t="n"/>
      <c r="E42" s="253" t="n"/>
      <c r="F42" s="253" t="n"/>
      <c r="G42" s="253" t="n"/>
      <c r="H42" s="253" t="n"/>
      <c r="I42" s="253" t="n"/>
      <c r="J42" s="253" t="n"/>
      <c r="K42" s="253" t="n"/>
      <c r="L42" s="253" t="n"/>
      <c r="M42" s="253" t="n"/>
      <c r="N42" s="253" t="n"/>
      <c r="O42" s="253" t="n"/>
      <c r="P42" s="253" t="n"/>
      <c r="Q42" s="253" t="n"/>
      <c r="R42" s="253" t="n"/>
      <c r="S42" s="253" t="n"/>
      <c r="T42" s="253" t="n"/>
      <c r="U42" s="253" t="n"/>
      <c r="V42" s="253" t="n"/>
      <c r="W42" s="253" t="n"/>
      <c r="X42" s="253" t="n"/>
      <c r="Y42" s="253" t="n"/>
      <c r="Z42" s="253" t="n"/>
    </row>
    <row r="43">
      <c r="A43" s="253" t="n"/>
      <c r="B43" s="253" t="n"/>
      <c r="C43" s="253" t="n"/>
      <c r="D43" s="253" t="n"/>
      <c r="E43" s="253" t="n"/>
      <c r="F43" s="253" t="n"/>
      <c r="G43" s="253" t="n"/>
      <c r="H43" s="253" t="n"/>
      <c r="I43" s="253" t="n"/>
      <c r="J43" s="253" t="n"/>
      <c r="K43" s="253" t="n"/>
      <c r="L43" s="253" t="n"/>
      <c r="M43" s="253" t="n"/>
      <c r="N43" s="253" t="n"/>
      <c r="O43" s="253" t="n"/>
      <c r="P43" s="253" t="n"/>
      <c r="Q43" s="253" t="n"/>
      <c r="R43" s="253" t="n"/>
      <c r="S43" s="253" t="n"/>
      <c r="T43" s="253" t="n"/>
      <c r="U43" s="253" t="n"/>
      <c r="V43" s="253" t="n"/>
      <c r="W43" s="253" t="n"/>
      <c r="X43" s="253" t="n"/>
      <c r="Y43" s="253" t="n"/>
      <c r="Z43" s="253" t="n"/>
    </row>
    <row r="44">
      <c r="A44" s="253" t="n"/>
      <c r="B44" s="253" t="n"/>
      <c r="C44" s="253" t="n"/>
      <c r="D44" s="253" t="n"/>
      <c r="E44" s="253" t="n"/>
      <c r="F44" s="253" t="n"/>
      <c r="G44" s="253" t="n"/>
      <c r="H44" s="253" t="n"/>
      <c r="I44" s="253" t="n"/>
      <c r="J44" s="253" t="n"/>
      <c r="K44" s="253" t="n"/>
      <c r="L44" s="253" t="n"/>
      <c r="M44" s="253" t="n"/>
      <c r="N44" s="253" t="n"/>
      <c r="O44" s="253" t="n"/>
      <c r="P44" s="253" t="n"/>
      <c r="Q44" s="253" t="n"/>
      <c r="R44" s="253" t="n"/>
      <c r="S44" s="253" t="n"/>
      <c r="T44" s="253" t="n"/>
      <c r="U44" s="253" t="n"/>
      <c r="V44" s="253" t="n"/>
      <c r="W44" s="253" t="n"/>
      <c r="X44" s="253" t="n"/>
      <c r="Y44" s="253" t="n"/>
      <c r="Z44" s="253" t="n"/>
    </row>
    <row r="45">
      <c r="A45" s="253" t="n"/>
      <c r="B45" s="253" t="n"/>
      <c r="C45" s="253" t="n"/>
      <c r="D45" s="253" t="n"/>
      <c r="E45" s="253" t="n"/>
      <c r="F45" s="253" t="n"/>
      <c r="G45" s="253" t="n"/>
      <c r="H45" s="253" t="n"/>
      <c r="I45" s="253" t="n"/>
      <c r="J45" s="253" t="n"/>
      <c r="K45" s="253" t="n"/>
      <c r="L45" s="253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</row>
    <row r="46">
      <c r="A46" s="253" t="n"/>
      <c r="B46" s="253" t="n"/>
      <c r="C46" s="253" t="n"/>
      <c r="D46" s="253" t="n"/>
      <c r="E46" s="253" t="n"/>
      <c r="F46" s="253" t="n"/>
      <c r="G46" s="253" t="n"/>
      <c r="H46" s="253" t="n"/>
      <c r="I46" s="253" t="n"/>
      <c r="J46" s="253" t="n"/>
      <c r="K46" s="253" t="n"/>
      <c r="L46" s="253" t="n"/>
      <c r="M46" s="253" t="n"/>
      <c r="N46" s="253" t="n"/>
      <c r="O46" s="253" t="n"/>
      <c r="P46" s="253" t="n"/>
      <c r="Q46" s="253" t="n"/>
      <c r="R46" s="253" t="n"/>
      <c r="S46" s="253" t="n"/>
      <c r="T46" s="253" t="n"/>
      <c r="U46" s="253" t="n"/>
      <c r="V46" s="253" t="n"/>
      <c r="W46" s="253" t="n"/>
      <c r="X46" s="253" t="n"/>
      <c r="Y46" s="253" t="n"/>
      <c r="Z46" s="253" t="n"/>
    </row>
    <row r="47">
      <c r="A47" s="253" t="n"/>
      <c r="B47" s="253" t="n"/>
      <c r="C47" s="253" t="n"/>
      <c r="D47" s="253" t="n"/>
      <c r="E47" s="253" t="n"/>
      <c r="F47" s="253" t="n"/>
      <c r="G47" s="253" t="n"/>
      <c r="H47" s="253" t="n"/>
      <c r="I47" s="253" t="n"/>
      <c r="J47" s="253" t="n"/>
      <c r="K47" s="253" t="n"/>
      <c r="L47" s="253" t="n"/>
      <c r="M47" s="253" t="n"/>
      <c r="N47" s="253" t="n"/>
      <c r="O47" s="253" t="n"/>
      <c r="P47" s="253" t="n"/>
      <c r="Q47" s="253" t="n"/>
      <c r="R47" s="253" t="n"/>
      <c r="S47" s="253" t="n"/>
      <c r="T47" s="253" t="n"/>
      <c r="U47" s="253" t="n"/>
      <c r="V47" s="253" t="n"/>
      <c r="W47" s="253" t="n"/>
      <c r="X47" s="253" t="n"/>
      <c r="Y47" s="253" t="n"/>
      <c r="Z47" s="253" t="n"/>
    </row>
    <row r="48">
      <c r="A48" s="253" t="n"/>
      <c r="B48" s="253" t="n"/>
      <c r="C48" s="253" t="n"/>
      <c r="D48" s="253" t="n"/>
      <c r="E48" s="253" t="n"/>
      <c r="F48" s="253" t="n"/>
      <c r="G48" s="253" t="n"/>
      <c r="H48" s="253" t="n"/>
      <c r="I48" s="253" t="n"/>
      <c r="J48" s="253" t="n"/>
      <c r="K48" s="253" t="n"/>
      <c r="L48" s="253" t="n"/>
      <c r="M48" s="253" t="n"/>
      <c r="N48" s="253" t="n"/>
      <c r="O48" s="253" t="n"/>
      <c r="P48" s="253" t="n"/>
      <c r="Q48" s="253" t="n"/>
      <c r="R48" s="253" t="n"/>
      <c r="S48" s="253" t="n"/>
      <c r="T48" s="253" t="n"/>
      <c r="U48" s="253" t="n"/>
      <c r="V48" s="253" t="n"/>
      <c r="W48" s="253" t="n"/>
      <c r="X48" s="253" t="n"/>
      <c r="Y48" s="253" t="n"/>
      <c r="Z48" s="253" t="n"/>
    </row>
    <row r="49">
      <c r="A49" s="253" t="n"/>
      <c r="B49" s="253" t="n"/>
      <c r="C49" s="253" t="n"/>
      <c r="D49" s="253" t="n"/>
      <c r="E49" s="253" t="n"/>
      <c r="F49" s="253" t="n"/>
      <c r="G49" s="253" t="n"/>
      <c r="H49" s="253" t="n"/>
      <c r="I49" s="253" t="n"/>
      <c r="J49" s="253" t="n"/>
      <c r="K49" s="253" t="n"/>
      <c r="L49" s="253" t="n"/>
      <c r="M49" s="253" t="n"/>
      <c r="N49" s="253" t="n"/>
      <c r="O49" s="253" t="n"/>
      <c r="P49" s="253" t="n"/>
      <c r="Q49" s="253" t="n"/>
      <c r="R49" s="253" t="n"/>
      <c r="S49" s="253" t="n"/>
      <c r="T49" s="253" t="n"/>
      <c r="U49" s="253" t="n"/>
      <c r="V49" s="253" t="n"/>
      <c r="W49" s="253" t="n"/>
      <c r="X49" s="253" t="n"/>
      <c r="Y49" s="253" t="n"/>
      <c r="Z49" s="253" t="n"/>
    </row>
    <row r="50">
      <c r="A50" s="253" t="n"/>
      <c r="B50" s="253" t="n"/>
      <c r="C50" s="253" t="n"/>
      <c r="D50" s="253" t="n"/>
      <c r="E50" s="253" t="n"/>
      <c r="F50" s="253" t="n"/>
      <c r="G50" s="253" t="n"/>
      <c r="H50" s="253" t="n"/>
      <c r="I50" s="253" t="n"/>
      <c r="J50" s="253" t="n"/>
      <c r="K50" s="253" t="n"/>
      <c r="L50" s="253" t="n"/>
      <c r="M50" s="253" t="n"/>
      <c r="N50" s="253" t="n"/>
      <c r="O50" s="253" t="n"/>
      <c r="P50" s="253" t="n"/>
      <c r="Q50" s="253" t="n"/>
      <c r="R50" s="253" t="n"/>
      <c r="S50" s="253" t="n"/>
      <c r="T50" s="253" t="n"/>
      <c r="U50" s="253" t="n"/>
      <c r="V50" s="253" t="n"/>
      <c r="W50" s="253" t="n"/>
      <c r="X50" s="253" t="n"/>
      <c r="Y50" s="253" t="n"/>
      <c r="Z50" s="253" t="n"/>
    </row>
    <row r="51">
      <c r="A51" s="253" t="n"/>
      <c r="B51" s="253" t="n"/>
      <c r="C51" s="253" t="n"/>
      <c r="D51" s="253" t="n"/>
      <c r="E51" s="253" t="n"/>
      <c r="F51" s="253" t="n"/>
      <c r="G51" s="253" t="n"/>
      <c r="H51" s="253" t="n"/>
      <c r="I51" s="253" t="n"/>
      <c r="J51" s="253" t="n"/>
      <c r="K51" s="253" t="n"/>
      <c r="L51" s="253" t="n"/>
      <c r="M51" s="253" t="n"/>
      <c r="N51" s="253" t="n"/>
      <c r="O51" s="253" t="n"/>
      <c r="P51" s="253" t="n"/>
      <c r="Q51" s="253" t="n"/>
      <c r="R51" s="253" t="n"/>
      <c r="S51" s="253" t="n"/>
      <c r="T51" s="253" t="n"/>
      <c r="U51" s="253" t="n"/>
      <c r="V51" s="253" t="n"/>
      <c r="W51" s="253" t="n"/>
      <c r="X51" s="253" t="n"/>
      <c r="Y51" s="253" t="n"/>
      <c r="Z51" s="253" t="n"/>
    </row>
    <row r="52">
      <c r="A52" s="253" t="n"/>
      <c r="B52" s="253" t="n"/>
      <c r="C52" s="253" t="n"/>
      <c r="D52" s="253" t="n"/>
      <c r="E52" s="253" t="n"/>
      <c r="F52" s="253" t="n"/>
      <c r="G52" s="253" t="n"/>
      <c r="H52" s="253" t="n"/>
      <c r="I52" s="253" t="n"/>
      <c r="J52" s="253" t="n"/>
      <c r="K52" s="253" t="n"/>
      <c r="L52" s="253" t="n"/>
      <c r="M52" s="253" t="n"/>
      <c r="N52" s="253" t="n"/>
      <c r="O52" s="253" t="n"/>
      <c r="P52" s="253" t="n"/>
      <c r="Q52" s="253" t="n"/>
      <c r="R52" s="253" t="n"/>
      <c r="S52" s="253" t="n"/>
      <c r="T52" s="253" t="n"/>
      <c r="U52" s="253" t="n"/>
      <c r="V52" s="253" t="n"/>
      <c r="W52" s="253" t="n"/>
      <c r="X52" s="253" t="n"/>
      <c r="Y52" s="253" t="n"/>
      <c r="Z52" s="253" t="n"/>
    </row>
    <row r="53">
      <c r="A53" s="253" t="n"/>
      <c r="B53" s="253" t="n"/>
      <c r="C53" s="253" t="n"/>
      <c r="D53" s="253" t="n"/>
      <c r="E53" s="253" t="n"/>
      <c r="F53" s="253" t="n"/>
      <c r="G53" s="253" t="n"/>
      <c r="H53" s="253" t="n"/>
      <c r="I53" s="253" t="n"/>
      <c r="J53" s="253" t="n"/>
      <c r="K53" s="253" t="n"/>
      <c r="L53" s="253" t="n"/>
      <c r="M53" s="253" t="n"/>
      <c r="N53" s="253" t="n"/>
      <c r="O53" s="253" t="n"/>
      <c r="P53" s="253" t="n"/>
      <c r="Q53" s="253" t="n"/>
      <c r="R53" s="253" t="n"/>
      <c r="S53" s="253" t="n"/>
      <c r="T53" s="253" t="n"/>
      <c r="U53" s="253" t="n"/>
      <c r="V53" s="253" t="n"/>
      <c r="W53" s="253" t="n"/>
      <c r="X53" s="253" t="n"/>
      <c r="Y53" s="253" t="n"/>
      <c r="Z53" s="253" t="n"/>
    </row>
    <row r="54">
      <c r="A54" s="253" t="n"/>
      <c r="B54" s="253" t="n"/>
      <c r="C54" s="253" t="n"/>
      <c r="D54" s="253" t="n"/>
      <c r="E54" s="253" t="n"/>
      <c r="F54" s="253" t="n"/>
      <c r="G54" s="253" t="n"/>
      <c r="H54" s="253" t="n"/>
      <c r="I54" s="253" t="n"/>
      <c r="J54" s="253" t="n"/>
      <c r="K54" s="253" t="n"/>
      <c r="L54" s="253" t="n"/>
      <c r="M54" s="253" t="n"/>
      <c r="N54" s="253" t="n"/>
      <c r="O54" s="253" t="n"/>
      <c r="P54" s="253" t="n"/>
      <c r="Q54" s="253" t="n"/>
      <c r="R54" s="253" t="n"/>
      <c r="S54" s="253" t="n"/>
      <c r="T54" s="253" t="n"/>
      <c r="U54" s="253" t="n"/>
      <c r="V54" s="253" t="n"/>
      <c r="W54" s="253" t="n"/>
      <c r="X54" s="253" t="n"/>
      <c r="Y54" s="253" t="n"/>
      <c r="Z54" s="253" t="n"/>
    </row>
    <row r="55">
      <c r="A55" s="253" t="n"/>
      <c r="B55" s="253" t="n"/>
      <c r="C55" s="253" t="n"/>
      <c r="D55" s="253" t="n"/>
      <c r="E55" s="253" t="n"/>
      <c r="F55" s="253" t="n"/>
      <c r="G55" s="253" t="n"/>
      <c r="H55" s="253" t="n"/>
      <c r="I55" s="253" t="n"/>
      <c r="J55" s="253" t="n"/>
      <c r="K55" s="253" t="n"/>
      <c r="L55" s="253" t="n"/>
      <c r="M55" s="253" t="n"/>
      <c r="N55" s="253" t="n"/>
      <c r="O55" s="253" t="n"/>
      <c r="P55" s="253" t="n"/>
      <c r="Q55" s="253" t="n"/>
      <c r="R55" s="253" t="n"/>
      <c r="S55" s="253" t="n"/>
      <c r="T55" s="253" t="n"/>
      <c r="U55" s="253" t="n"/>
      <c r="V55" s="253" t="n"/>
      <c r="W55" s="253" t="n"/>
      <c r="X55" s="253" t="n"/>
      <c r="Y55" s="253" t="n"/>
      <c r="Z55" s="253" t="n"/>
    </row>
    <row r="56">
      <c r="A56" s="253" t="n"/>
      <c r="B56" s="253" t="n"/>
      <c r="C56" s="253" t="n"/>
      <c r="D56" s="253" t="n"/>
      <c r="E56" s="253" t="n"/>
      <c r="F56" s="253" t="n"/>
      <c r="G56" s="253" t="n"/>
      <c r="H56" s="253" t="n"/>
      <c r="I56" s="253" t="n"/>
      <c r="J56" s="253" t="n"/>
      <c r="K56" s="253" t="n"/>
      <c r="L56" s="253" t="n"/>
      <c r="M56" s="253" t="n"/>
      <c r="N56" s="253" t="n"/>
      <c r="O56" s="253" t="n"/>
      <c r="P56" s="253" t="n"/>
      <c r="Q56" s="253" t="n"/>
      <c r="R56" s="253" t="n"/>
      <c r="S56" s="253" t="n"/>
      <c r="T56" s="253" t="n"/>
      <c r="U56" s="253" t="n"/>
      <c r="V56" s="253" t="n"/>
      <c r="W56" s="253" t="n"/>
      <c r="X56" s="253" t="n"/>
      <c r="Y56" s="253" t="n"/>
      <c r="Z56" s="253" t="n"/>
    </row>
    <row r="57">
      <c r="A57" s="253" t="n"/>
      <c r="B57" s="253" t="n"/>
      <c r="C57" s="253" t="n"/>
      <c r="D57" s="253" t="n"/>
      <c r="E57" s="253" t="n"/>
      <c r="F57" s="253" t="n"/>
      <c r="G57" s="253" t="n"/>
      <c r="H57" s="253" t="n"/>
      <c r="I57" s="253" t="n"/>
      <c r="J57" s="253" t="n"/>
      <c r="K57" s="253" t="n"/>
      <c r="L57" s="253" t="n"/>
      <c r="M57" s="253" t="n"/>
      <c r="N57" s="253" t="n"/>
      <c r="O57" s="253" t="n"/>
      <c r="P57" s="253" t="n"/>
      <c r="Q57" s="253" t="n"/>
      <c r="R57" s="253" t="n"/>
      <c r="S57" s="253" t="n"/>
      <c r="T57" s="253" t="n"/>
      <c r="U57" s="253" t="n"/>
      <c r="V57" s="253" t="n"/>
      <c r="W57" s="253" t="n"/>
      <c r="X57" s="253" t="n"/>
      <c r="Y57" s="253" t="n"/>
      <c r="Z57" s="253" t="n"/>
    </row>
    <row r="58">
      <c r="A58" s="253" t="n"/>
      <c r="B58" s="253" t="n"/>
      <c r="C58" s="253" t="n"/>
      <c r="D58" s="253" t="n"/>
      <c r="E58" s="253" t="n"/>
      <c r="F58" s="253" t="n"/>
      <c r="G58" s="253" t="n"/>
      <c r="H58" s="253" t="n"/>
      <c r="I58" s="253" t="n"/>
      <c r="J58" s="253" t="n"/>
      <c r="K58" s="253" t="n"/>
      <c r="L58" s="253" t="n"/>
      <c r="M58" s="253" t="n"/>
      <c r="N58" s="253" t="n"/>
      <c r="O58" s="253" t="n"/>
      <c r="P58" s="253" t="n"/>
      <c r="Q58" s="253" t="n"/>
      <c r="R58" s="253" t="n"/>
      <c r="S58" s="253" t="n"/>
      <c r="T58" s="253" t="n"/>
      <c r="U58" s="253" t="n"/>
      <c r="V58" s="253" t="n"/>
      <c r="W58" s="253" t="n"/>
      <c r="X58" s="253" t="n"/>
      <c r="Y58" s="253" t="n"/>
      <c r="Z58" s="253" t="n"/>
    </row>
    <row r="59">
      <c r="A59" s="253" t="n"/>
      <c r="B59" s="253" t="n"/>
      <c r="C59" s="253" t="n"/>
      <c r="D59" s="253" t="n"/>
      <c r="E59" s="253" t="n"/>
      <c r="F59" s="253" t="n"/>
      <c r="G59" s="253" t="n"/>
      <c r="H59" s="253" t="n"/>
      <c r="I59" s="253" t="n"/>
      <c r="J59" s="253" t="n"/>
      <c r="K59" s="253" t="n"/>
      <c r="L59" s="253" t="n"/>
      <c r="M59" s="253" t="n"/>
      <c r="N59" s="253" t="n"/>
      <c r="O59" s="253" t="n"/>
      <c r="P59" s="253" t="n"/>
      <c r="Q59" s="253" t="n"/>
      <c r="R59" s="253" t="n"/>
      <c r="S59" s="253" t="n"/>
      <c r="T59" s="253" t="n"/>
      <c r="U59" s="253" t="n"/>
      <c r="V59" s="253" t="n"/>
      <c r="W59" s="253" t="n"/>
      <c r="X59" s="253" t="n"/>
      <c r="Y59" s="253" t="n"/>
      <c r="Z59" s="253" t="n"/>
    </row>
    <row r="60">
      <c r="A60" s="253" t="n"/>
      <c r="B60" s="253" t="n"/>
      <c r="C60" s="253" t="n"/>
      <c r="D60" s="253" t="n"/>
      <c r="E60" s="253" t="n"/>
      <c r="F60" s="253" t="n"/>
      <c r="G60" s="253" t="n"/>
      <c r="H60" s="253" t="n"/>
      <c r="I60" s="253" t="n"/>
      <c r="J60" s="253" t="n"/>
      <c r="K60" s="253" t="n"/>
      <c r="L60" s="253" t="n"/>
      <c r="M60" s="253" t="n"/>
      <c r="N60" s="253" t="n"/>
      <c r="O60" s="253" t="n"/>
      <c r="P60" s="253" t="n"/>
      <c r="Q60" s="253" t="n"/>
      <c r="R60" s="253" t="n"/>
      <c r="S60" s="253" t="n"/>
      <c r="T60" s="253" t="n"/>
      <c r="U60" s="253" t="n"/>
      <c r="V60" s="253" t="n"/>
      <c r="W60" s="253" t="n"/>
      <c r="X60" s="253" t="n"/>
      <c r="Y60" s="253" t="n"/>
      <c r="Z60" s="253" t="n"/>
    </row>
    <row r="61">
      <c r="A61" s="253" t="n"/>
      <c r="B61" s="253" t="n"/>
      <c r="C61" s="253" t="n"/>
      <c r="D61" s="253" t="n"/>
      <c r="E61" s="253" t="n"/>
      <c r="F61" s="253" t="n"/>
      <c r="G61" s="253" t="n"/>
      <c r="H61" s="253" t="n"/>
      <c r="I61" s="253" t="n"/>
      <c r="J61" s="253" t="n"/>
      <c r="K61" s="253" t="n"/>
      <c r="L61" s="253" t="n"/>
      <c r="M61" s="253" t="n"/>
      <c r="N61" s="253" t="n"/>
      <c r="O61" s="253" t="n"/>
      <c r="P61" s="253" t="n"/>
      <c r="Q61" s="253" t="n"/>
      <c r="R61" s="253" t="n"/>
      <c r="S61" s="253" t="n"/>
      <c r="T61" s="253" t="n"/>
      <c r="U61" s="253" t="n"/>
      <c r="V61" s="253" t="n"/>
      <c r="W61" s="253" t="n"/>
      <c r="X61" s="253" t="n"/>
      <c r="Y61" s="253" t="n"/>
      <c r="Z61" s="253" t="n"/>
    </row>
    <row r="62">
      <c r="A62" s="253" t="n"/>
      <c r="B62" s="253" t="n"/>
      <c r="C62" s="253" t="n"/>
      <c r="D62" s="253" t="n"/>
      <c r="E62" s="253" t="n"/>
      <c r="F62" s="253" t="n"/>
      <c r="G62" s="253" t="n"/>
      <c r="H62" s="253" t="n"/>
      <c r="I62" s="253" t="n"/>
      <c r="J62" s="253" t="n"/>
      <c r="K62" s="253" t="n"/>
      <c r="L62" s="253" t="n"/>
      <c r="M62" s="253" t="n"/>
      <c r="N62" s="253" t="n"/>
      <c r="O62" s="253" t="n"/>
      <c r="P62" s="253" t="n"/>
      <c r="Q62" s="253" t="n"/>
      <c r="R62" s="253" t="n"/>
      <c r="S62" s="253" t="n"/>
      <c r="T62" s="253" t="n"/>
      <c r="U62" s="253" t="n"/>
      <c r="V62" s="253" t="n"/>
      <c r="W62" s="253" t="n"/>
      <c r="X62" s="253" t="n"/>
      <c r="Y62" s="253" t="n"/>
      <c r="Z62" s="253" t="n"/>
    </row>
    <row r="63">
      <c r="A63" s="253" t="n"/>
      <c r="B63" s="253" t="n"/>
      <c r="C63" s="253" t="n"/>
      <c r="D63" s="253" t="n"/>
      <c r="E63" s="253" t="n"/>
      <c r="F63" s="253" t="n"/>
      <c r="G63" s="253" t="n"/>
      <c r="H63" s="253" t="n"/>
      <c r="I63" s="253" t="n"/>
      <c r="J63" s="253" t="n"/>
      <c r="K63" s="253" t="n"/>
      <c r="L63" s="253" t="n"/>
      <c r="M63" s="253" t="n"/>
      <c r="N63" s="253" t="n"/>
      <c r="O63" s="253" t="n"/>
      <c r="P63" s="253" t="n"/>
      <c r="Q63" s="253" t="n"/>
      <c r="R63" s="253" t="n"/>
      <c r="S63" s="253" t="n"/>
      <c r="T63" s="253" t="n"/>
      <c r="U63" s="253" t="n"/>
      <c r="V63" s="253" t="n"/>
      <c r="W63" s="253" t="n"/>
      <c r="X63" s="253" t="n"/>
      <c r="Y63" s="253" t="n"/>
      <c r="Z63" s="253" t="n"/>
    </row>
    <row r="64">
      <c r="A64" s="253" t="n"/>
      <c r="B64" s="253" t="n"/>
      <c r="C64" s="253" t="n"/>
      <c r="D64" s="253" t="n"/>
      <c r="E64" s="253" t="n"/>
      <c r="F64" s="253" t="n"/>
      <c r="G64" s="253" t="n"/>
      <c r="H64" s="253" t="n"/>
      <c r="I64" s="253" t="n"/>
      <c r="J64" s="253" t="n"/>
      <c r="K64" s="253" t="n"/>
      <c r="L64" s="253" t="n"/>
      <c r="M64" s="253" t="n"/>
      <c r="N64" s="253" t="n"/>
      <c r="O64" s="253" t="n"/>
      <c r="P64" s="253" t="n"/>
      <c r="Q64" s="253" t="n"/>
      <c r="R64" s="253" t="n"/>
      <c r="S64" s="253" t="n"/>
      <c r="T64" s="253" t="n"/>
      <c r="U64" s="253" t="n"/>
      <c r="V64" s="253" t="n"/>
      <c r="W64" s="253" t="n"/>
      <c r="X64" s="253" t="n"/>
      <c r="Y64" s="253" t="n"/>
      <c r="Z64" s="253" t="n"/>
    </row>
    <row r="65">
      <c r="A65" s="253" t="n"/>
      <c r="B65" s="253" t="n"/>
      <c r="C65" s="253" t="n"/>
      <c r="D65" s="253" t="n"/>
      <c r="E65" s="253" t="n"/>
      <c r="F65" s="253" t="n"/>
      <c r="G65" s="253" t="n"/>
      <c r="H65" s="253" t="n"/>
      <c r="I65" s="253" t="n"/>
      <c r="J65" s="253" t="n"/>
      <c r="K65" s="253" t="n"/>
      <c r="L65" s="253" t="n"/>
      <c r="M65" s="253" t="n"/>
      <c r="N65" s="253" t="n"/>
      <c r="O65" s="253" t="n"/>
      <c r="P65" s="253" t="n"/>
      <c r="Q65" s="253" t="n"/>
      <c r="R65" s="253" t="n"/>
      <c r="S65" s="253" t="n"/>
      <c r="T65" s="253" t="n"/>
      <c r="U65" s="253" t="n"/>
      <c r="V65" s="253" t="n"/>
      <c r="W65" s="253" t="n"/>
      <c r="X65" s="253" t="n"/>
      <c r="Y65" s="253" t="n"/>
      <c r="Z65" s="253" t="n"/>
    </row>
    <row r="66">
      <c r="A66" s="253" t="n"/>
      <c r="B66" s="253" t="n"/>
      <c r="C66" s="253" t="n"/>
      <c r="D66" s="253" t="n"/>
      <c r="E66" s="253" t="n"/>
      <c r="F66" s="253" t="n"/>
      <c r="G66" s="253" t="n"/>
      <c r="H66" s="253" t="n"/>
      <c r="I66" s="253" t="n"/>
      <c r="J66" s="253" t="n"/>
      <c r="K66" s="253" t="n"/>
      <c r="L66" s="253" t="n"/>
      <c r="M66" s="253" t="n"/>
      <c r="N66" s="253" t="n"/>
      <c r="O66" s="253" t="n"/>
      <c r="P66" s="253" t="n"/>
      <c r="Q66" s="253" t="n"/>
      <c r="R66" s="253" t="n"/>
      <c r="S66" s="253" t="n"/>
      <c r="T66" s="253" t="n"/>
      <c r="U66" s="253" t="n"/>
      <c r="V66" s="253" t="n"/>
      <c r="W66" s="253" t="n"/>
      <c r="X66" s="253" t="n"/>
      <c r="Y66" s="253" t="n"/>
      <c r="Z66" s="253" t="n"/>
    </row>
    <row r="67">
      <c r="A67" s="253" t="n"/>
      <c r="B67" s="253" t="n"/>
      <c r="C67" s="253" t="n"/>
      <c r="D67" s="253" t="n"/>
      <c r="E67" s="253" t="n"/>
      <c r="F67" s="253" t="n"/>
      <c r="G67" s="253" t="n"/>
      <c r="H67" s="253" t="n"/>
      <c r="I67" s="253" t="n"/>
      <c r="J67" s="253" t="n"/>
      <c r="K67" s="253" t="n"/>
      <c r="L67" s="253" t="n"/>
      <c r="M67" s="253" t="n"/>
      <c r="N67" s="253" t="n"/>
      <c r="O67" s="253" t="n"/>
      <c r="P67" s="253" t="n"/>
      <c r="Q67" s="253" t="n"/>
      <c r="R67" s="253" t="n"/>
      <c r="S67" s="253" t="n"/>
      <c r="T67" s="253" t="n"/>
      <c r="U67" s="253" t="n"/>
      <c r="V67" s="253" t="n"/>
      <c r="W67" s="253" t="n"/>
      <c r="X67" s="253" t="n"/>
      <c r="Y67" s="253" t="n"/>
      <c r="Z67" s="253" t="n"/>
    </row>
    <row r="68">
      <c r="A68" s="253" t="n"/>
      <c r="B68" s="253" t="n"/>
      <c r="C68" s="253" t="n"/>
      <c r="D68" s="253" t="n"/>
      <c r="E68" s="253" t="n"/>
      <c r="F68" s="253" t="n"/>
      <c r="G68" s="253" t="n"/>
      <c r="H68" s="253" t="n"/>
      <c r="I68" s="253" t="n"/>
      <c r="J68" s="253" t="n"/>
      <c r="K68" s="253" t="n"/>
      <c r="L68" s="253" t="n"/>
      <c r="M68" s="253" t="n"/>
      <c r="N68" s="253" t="n"/>
      <c r="O68" s="253" t="n"/>
      <c r="P68" s="253" t="n"/>
      <c r="Q68" s="253" t="n"/>
      <c r="R68" s="253" t="n"/>
      <c r="S68" s="253" t="n"/>
      <c r="T68" s="253" t="n"/>
      <c r="U68" s="253" t="n"/>
      <c r="V68" s="253" t="n"/>
      <c r="W68" s="253" t="n"/>
      <c r="X68" s="253" t="n"/>
      <c r="Y68" s="253" t="n"/>
      <c r="Z68" s="253" t="n"/>
    </row>
    <row r="69">
      <c r="A69" s="253" t="n"/>
      <c r="B69" s="253" t="n"/>
      <c r="C69" s="253" t="n"/>
      <c r="D69" s="253" t="n"/>
      <c r="E69" s="253" t="n"/>
      <c r="F69" s="253" t="n"/>
      <c r="G69" s="253" t="n"/>
      <c r="H69" s="253" t="n"/>
      <c r="I69" s="253" t="n"/>
      <c r="J69" s="253" t="n"/>
      <c r="K69" s="253" t="n"/>
      <c r="L69" s="253" t="n"/>
      <c r="M69" s="253" t="n"/>
      <c r="N69" s="253" t="n"/>
      <c r="O69" s="253" t="n"/>
      <c r="P69" s="253" t="n"/>
      <c r="Q69" s="253" t="n"/>
      <c r="R69" s="253" t="n"/>
      <c r="S69" s="253" t="n"/>
      <c r="T69" s="253" t="n"/>
      <c r="U69" s="253" t="n"/>
      <c r="V69" s="253" t="n"/>
      <c r="W69" s="253" t="n"/>
      <c r="X69" s="253" t="n"/>
      <c r="Y69" s="253" t="n"/>
      <c r="Z69" s="253" t="n"/>
    </row>
    <row r="70">
      <c r="A70" s="253" t="n"/>
      <c r="B70" s="253" t="n"/>
      <c r="C70" s="253" t="n"/>
      <c r="D70" s="253" t="n"/>
      <c r="E70" s="253" t="n"/>
      <c r="F70" s="253" t="n"/>
      <c r="G70" s="253" t="n"/>
      <c r="H70" s="253" t="n"/>
      <c r="I70" s="253" t="n"/>
      <c r="J70" s="253" t="n"/>
      <c r="K70" s="253" t="n"/>
      <c r="L70" s="253" t="n"/>
      <c r="M70" s="253" t="n"/>
      <c r="N70" s="253" t="n"/>
      <c r="O70" s="253" t="n"/>
      <c r="P70" s="253" t="n"/>
      <c r="Q70" s="253" t="n"/>
      <c r="R70" s="253" t="n"/>
      <c r="S70" s="253" t="n"/>
      <c r="T70" s="253" t="n"/>
      <c r="U70" s="253" t="n"/>
      <c r="V70" s="253" t="n"/>
      <c r="W70" s="253" t="n"/>
      <c r="X70" s="253" t="n"/>
      <c r="Y70" s="253" t="n"/>
      <c r="Z70" s="253" t="n"/>
    </row>
    <row r="71">
      <c r="A71" s="253" t="n"/>
      <c r="B71" s="253" t="n"/>
      <c r="C71" s="253" t="n"/>
      <c r="D71" s="253" t="n"/>
      <c r="E71" s="253" t="n"/>
      <c r="F71" s="253" t="n"/>
      <c r="G71" s="253" t="n"/>
      <c r="H71" s="253" t="n"/>
      <c r="I71" s="253" t="n"/>
      <c r="J71" s="253" t="n"/>
      <c r="K71" s="253" t="n"/>
      <c r="L71" s="253" t="n"/>
      <c r="M71" s="253" t="n"/>
      <c r="N71" s="253" t="n"/>
      <c r="O71" s="253" t="n"/>
      <c r="P71" s="253" t="n"/>
      <c r="Q71" s="253" t="n"/>
      <c r="R71" s="253" t="n"/>
      <c r="S71" s="253" t="n"/>
      <c r="T71" s="253" t="n"/>
      <c r="U71" s="253" t="n"/>
      <c r="V71" s="253" t="n"/>
      <c r="W71" s="253" t="n"/>
      <c r="X71" s="253" t="n"/>
      <c r="Y71" s="253" t="n"/>
      <c r="Z71" s="253" t="n"/>
    </row>
    <row r="72">
      <c r="A72" s="253" t="n"/>
      <c r="B72" s="253" t="n"/>
      <c r="C72" s="253" t="n"/>
      <c r="D72" s="253" t="n"/>
      <c r="E72" s="253" t="n"/>
      <c r="F72" s="253" t="n"/>
      <c r="G72" s="253" t="n"/>
      <c r="H72" s="253" t="n"/>
      <c r="I72" s="253" t="n"/>
      <c r="J72" s="253" t="n"/>
      <c r="K72" s="253" t="n"/>
      <c r="L72" s="253" t="n"/>
      <c r="M72" s="253" t="n"/>
      <c r="N72" s="253" t="n"/>
      <c r="O72" s="253" t="n"/>
      <c r="P72" s="253" t="n"/>
      <c r="Q72" s="253" t="n"/>
      <c r="R72" s="253" t="n"/>
      <c r="S72" s="253" t="n"/>
      <c r="T72" s="253" t="n"/>
      <c r="U72" s="253" t="n"/>
      <c r="V72" s="253" t="n"/>
      <c r="W72" s="253" t="n"/>
      <c r="X72" s="253" t="n"/>
      <c r="Y72" s="253" t="n"/>
      <c r="Z72" s="253" t="n"/>
    </row>
    <row r="73">
      <c r="A73" s="253" t="n"/>
      <c r="B73" s="253" t="n"/>
      <c r="C73" s="253" t="n"/>
      <c r="D73" s="253" t="n"/>
      <c r="E73" s="253" t="n"/>
      <c r="F73" s="253" t="n"/>
      <c r="G73" s="253" t="n"/>
      <c r="H73" s="253" t="n"/>
      <c r="I73" s="253" t="n"/>
      <c r="J73" s="253" t="n"/>
      <c r="K73" s="253" t="n"/>
      <c r="L73" s="253" t="n"/>
      <c r="M73" s="253" t="n"/>
      <c r="N73" s="253" t="n"/>
      <c r="O73" s="253" t="n"/>
      <c r="P73" s="253" t="n"/>
      <c r="Q73" s="253" t="n"/>
      <c r="R73" s="253" t="n"/>
      <c r="S73" s="253" t="n"/>
      <c r="T73" s="253" t="n"/>
      <c r="U73" s="253" t="n"/>
      <c r="V73" s="253" t="n"/>
      <c r="W73" s="253" t="n"/>
      <c r="X73" s="253" t="n"/>
      <c r="Y73" s="253" t="n"/>
      <c r="Z73" s="253" t="n"/>
    </row>
    <row r="74">
      <c r="A74" s="253" t="n"/>
      <c r="B74" s="253" t="n"/>
      <c r="C74" s="253" t="n"/>
      <c r="D74" s="253" t="n"/>
      <c r="E74" s="253" t="n"/>
      <c r="F74" s="253" t="n"/>
      <c r="G74" s="253" t="n"/>
      <c r="H74" s="253" t="n"/>
      <c r="I74" s="253" t="n"/>
      <c r="J74" s="253" t="n"/>
      <c r="K74" s="253" t="n"/>
      <c r="L74" s="253" t="n"/>
      <c r="M74" s="253" t="n"/>
      <c r="N74" s="253" t="n"/>
      <c r="O74" s="253" t="n"/>
      <c r="P74" s="253" t="n"/>
      <c r="Q74" s="253" t="n"/>
      <c r="R74" s="253" t="n"/>
      <c r="S74" s="253" t="n"/>
      <c r="T74" s="253" t="n"/>
      <c r="U74" s="253" t="n"/>
      <c r="V74" s="253" t="n"/>
      <c r="W74" s="253" t="n"/>
      <c r="X74" s="253" t="n"/>
      <c r="Y74" s="253" t="n"/>
      <c r="Z74" s="253" t="n"/>
    </row>
    <row r="75">
      <c r="A75" s="253" t="n"/>
      <c r="B75" s="253" t="n"/>
      <c r="C75" s="253" t="n"/>
      <c r="D75" s="253" t="n"/>
      <c r="E75" s="253" t="n"/>
      <c r="F75" s="253" t="n"/>
      <c r="G75" s="253" t="n"/>
      <c r="H75" s="253" t="n"/>
      <c r="I75" s="253" t="n"/>
      <c r="J75" s="253" t="n"/>
      <c r="K75" s="253" t="n"/>
      <c r="L75" s="253" t="n"/>
      <c r="M75" s="253" t="n"/>
      <c r="N75" s="253" t="n"/>
      <c r="O75" s="253" t="n"/>
      <c r="P75" s="253" t="n"/>
      <c r="Q75" s="253" t="n"/>
      <c r="R75" s="253" t="n"/>
      <c r="S75" s="253" t="n"/>
      <c r="T75" s="253" t="n"/>
      <c r="U75" s="253" t="n"/>
      <c r="V75" s="253" t="n"/>
      <c r="W75" s="253" t="n"/>
      <c r="X75" s="253" t="n"/>
      <c r="Y75" s="253" t="n"/>
      <c r="Z75" s="253" t="n"/>
    </row>
    <row r="76">
      <c r="A76" s="253" t="n"/>
      <c r="B76" s="253" t="n"/>
      <c r="C76" s="253" t="n"/>
      <c r="D76" s="253" t="n"/>
      <c r="E76" s="253" t="n"/>
      <c r="F76" s="253" t="n"/>
      <c r="G76" s="253" t="n"/>
      <c r="H76" s="253" t="n"/>
      <c r="I76" s="253" t="n"/>
      <c r="J76" s="253" t="n"/>
      <c r="K76" s="253" t="n"/>
      <c r="L76" s="253" t="n"/>
      <c r="M76" s="253" t="n"/>
      <c r="N76" s="253" t="n"/>
      <c r="O76" s="253" t="n"/>
      <c r="P76" s="253" t="n"/>
      <c r="Q76" s="253" t="n"/>
      <c r="R76" s="253" t="n"/>
      <c r="S76" s="253" t="n"/>
      <c r="T76" s="253" t="n"/>
      <c r="U76" s="253" t="n"/>
      <c r="V76" s="253" t="n"/>
      <c r="W76" s="253" t="n"/>
      <c r="X76" s="253" t="n"/>
      <c r="Y76" s="253" t="n"/>
      <c r="Z76" s="253" t="n"/>
    </row>
    <row r="77">
      <c r="A77" s="253" t="n"/>
      <c r="B77" s="253" t="n"/>
      <c r="C77" s="253" t="n"/>
      <c r="D77" s="253" t="n"/>
      <c r="E77" s="253" t="n"/>
      <c r="F77" s="253" t="n"/>
      <c r="G77" s="253" t="n"/>
      <c r="H77" s="253" t="n"/>
      <c r="I77" s="253" t="n"/>
      <c r="J77" s="253" t="n"/>
      <c r="K77" s="253" t="n"/>
      <c r="L77" s="253" t="n"/>
      <c r="M77" s="253" t="n"/>
      <c r="N77" s="253" t="n"/>
      <c r="O77" s="253" t="n"/>
      <c r="P77" s="253" t="n"/>
      <c r="Q77" s="253" t="n"/>
      <c r="R77" s="253" t="n"/>
      <c r="S77" s="253" t="n"/>
      <c r="T77" s="253" t="n"/>
      <c r="U77" s="253" t="n"/>
      <c r="V77" s="253" t="n"/>
      <c r="W77" s="253" t="n"/>
      <c r="X77" s="253" t="n"/>
      <c r="Y77" s="253" t="n"/>
      <c r="Z77" s="253" t="n"/>
    </row>
    <row r="78">
      <c r="A78" s="253" t="n"/>
      <c r="B78" s="253" t="n"/>
      <c r="C78" s="253" t="n"/>
      <c r="D78" s="253" t="n"/>
      <c r="E78" s="253" t="n"/>
      <c r="F78" s="253" t="n"/>
      <c r="G78" s="253" t="n"/>
      <c r="H78" s="253" t="n"/>
      <c r="I78" s="253" t="n"/>
      <c r="J78" s="253" t="n"/>
      <c r="K78" s="253" t="n"/>
      <c r="L78" s="253" t="n"/>
      <c r="M78" s="253" t="n"/>
      <c r="N78" s="253" t="n"/>
      <c r="O78" s="253" t="n"/>
      <c r="P78" s="253" t="n"/>
      <c r="Q78" s="253" t="n"/>
      <c r="R78" s="253" t="n"/>
      <c r="S78" s="253" t="n"/>
      <c r="T78" s="253" t="n"/>
      <c r="U78" s="253" t="n"/>
      <c r="V78" s="253" t="n"/>
      <c r="W78" s="253" t="n"/>
      <c r="X78" s="253" t="n"/>
      <c r="Y78" s="253" t="n"/>
      <c r="Z78" s="253" t="n"/>
    </row>
    <row r="79">
      <c r="A79" s="253" t="n"/>
      <c r="B79" s="253" t="n"/>
      <c r="C79" s="253" t="n"/>
      <c r="D79" s="253" t="n"/>
      <c r="E79" s="253" t="n"/>
      <c r="F79" s="253" t="n"/>
      <c r="G79" s="253" t="n"/>
      <c r="H79" s="253" t="n"/>
      <c r="I79" s="253" t="n"/>
      <c r="J79" s="253" t="n"/>
      <c r="K79" s="253" t="n"/>
      <c r="L79" s="253" t="n"/>
      <c r="M79" s="253" t="n"/>
      <c r="N79" s="253" t="n"/>
      <c r="O79" s="253" t="n"/>
      <c r="P79" s="253" t="n"/>
      <c r="Q79" s="253" t="n"/>
      <c r="R79" s="253" t="n"/>
      <c r="S79" s="253" t="n"/>
      <c r="T79" s="253" t="n"/>
      <c r="U79" s="253" t="n"/>
      <c r="V79" s="253" t="n"/>
      <c r="W79" s="253" t="n"/>
      <c r="X79" s="253" t="n"/>
      <c r="Y79" s="253" t="n"/>
      <c r="Z79" s="253" t="n"/>
    </row>
    <row r="80">
      <c r="A80" s="253" t="n"/>
      <c r="B80" s="253" t="n"/>
      <c r="C80" s="253" t="n"/>
      <c r="D80" s="253" t="n"/>
      <c r="E80" s="253" t="n"/>
      <c r="F80" s="253" t="n"/>
      <c r="G80" s="253" t="n"/>
      <c r="H80" s="253" t="n"/>
      <c r="I80" s="253" t="n"/>
      <c r="J80" s="253" t="n"/>
      <c r="K80" s="253" t="n"/>
      <c r="L80" s="253" t="n"/>
      <c r="M80" s="253" t="n"/>
      <c r="N80" s="253" t="n"/>
      <c r="O80" s="253" t="n"/>
      <c r="P80" s="253" t="n"/>
      <c r="Q80" s="253" t="n"/>
      <c r="R80" s="253" t="n"/>
      <c r="S80" s="253" t="n"/>
      <c r="T80" s="253" t="n"/>
      <c r="U80" s="253" t="n"/>
      <c r="V80" s="253" t="n"/>
      <c r="W80" s="253" t="n"/>
      <c r="X80" s="253" t="n"/>
      <c r="Y80" s="253" t="n"/>
      <c r="Z80" s="253" t="n"/>
    </row>
    <row r="81">
      <c r="A81" s="253" t="n"/>
      <c r="B81" s="253" t="n"/>
      <c r="C81" s="253" t="n"/>
      <c r="D81" s="253" t="n"/>
      <c r="E81" s="253" t="n"/>
      <c r="F81" s="253" t="n"/>
      <c r="G81" s="253" t="n"/>
      <c r="H81" s="253" t="n"/>
      <c r="I81" s="253" t="n"/>
      <c r="J81" s="253" t="n"/>
      <c r="K81" s="253" t="n"/>
      <c r="L81" s="253" t="n"/>
      <c r="M81" s="253" t="n"/>
      <c r="N81" s="253" t="n"/>
      <c r="O81" s="253" t="n"/>
      <c r="P81" s="253" t="n"/>
      <c r="Q81" s="253" t="n"/>
      <c r="R81" s="253" t="n"/>
      <c r="S81" s="253" t="n"/>
      <c r="T81" s="253" t="n"/>
      <c r="U81" s="253" t="n"/>
      <c r="V81" s="253" t="n"/>
      <c r="W81" s="253" t="n"/>
      <c r="X81" s="253" t="n"/>
      <c r="Y81" s="253" t="n"/>
      <c r="Z81" s="253" t="n"/>
    </row>
    <row r="82">
      <c r="A82" s="253" t="n"/>
      <c r="B82" s="253" t="n"/>
      <c r="C82" s="253" t="n"/>
      <c r="D82" s="253" t="n"/>
      <c r="E82" s="253" t="n"/>
      <c r="F82" s="253" t="n"/>
      <c r="G82" s="253" t="n"/>
      <c r="H82" s="253" t="n"/>
      <c r="I82" s="253" t="n"/>
      <c r="J82" s="253" t="n"/>
      <c r="K82" s="253" t="n"/>
      <c r="L82" s="253" t="n"/>
      <c r="M82" s="253" t="n"/>
      <c r="N82" s="253" t="n"/>
      <c r="O82" s="253" t="n"/>
      <c r="P82" s="253" t="n"/>
      <c r="Q82" s="253" t="n"/>
      <c r="R82" s="253" t="n"/>
      <c r="S82" s="253" t="n"/>
      <c r="T82" s="253" t="n"/>
      <c r="U82" s="253" t="n"/>
      <c r="V82" s="253" t="n"/>
      <c r="W82" s="253" t="n"/>
      <c r="X82" s="253" t="n"/>
      <c r="Y82" s="253" t="n"/>
      <c r="Z82" s="253" t="n"/>
    </row>
    <row r="83">
      <c r="A83" s="253" t="n"/>
      <c r="B83" s="253" t="n"/>
      <c r="C83" s="253" t="n"/>
      <c r="D83" s="253" t="n"/>
      <c r="E83" s="253" t="n"/>
      <c r="F83" s="253" t="n"/>
      <c r="G83" s="253" t="n"/>
      <c r="H83" s="253" t="n"/>
      <c r="I83" s="253" t="n"/>
      <c r="J83" s="253" t="n"/>
      <c r="K83" s="253" t="n"/>
      <c r="L83" s="253" t="n"/>
      <c r="M83" s="253" t="n"/>
      <c r="N83" s="253" t="n"/>
      <c r="O83" s="253" t="n"/>
      <c r="P83" s="253" t="n"/>
      <c r="Q83" s="253" t="n"/>
      <c r="R83" s="253" t="n"/>
      <c r="S83" s="253" t="n"/>
      <c r="T83" s="253" t="n"/>
      <c r="U83" s="253" t="n"/>
      <c r="V83" s="253" t="n"/>
      <c r="W83" s="253" t="n"/>
      <c r="X83" s="253" t="n"/>
      <c r="Y83" s="253" t="n"/>
      <c r="Z83" s="253" t="n"/>
    </row>
    <row r="84">
      <c r="A84" s="253" t="n"/>
      <c r="B84" s="253" t="n"/>
      <c r="C84" s="253" t="n"/>
      <c r="D84" s="253" t="n"/>
      <c r="E84" s="253" t="n"/>
      <c r="F84" s="253" t="n"/>
      <c r="G84" s="253" t="n"/>
      <c r="H84" s="253" t="n"/>
      <c r="I84" s="253" t="n"/>
      <c r="J84" s="253" t="n"/>
      <c r="K84" s="253" t="n"/>
      <c r="L84" s="253" t="n"/>
      <c r="M84" s="253" t="n"/>
      <c r="N84" s="253" t="n"/>
      <c r="O84" s="253" t="n"/>
      <c r="P84" s="253" t="n"/>
      <c r="Q84" s="253" t="n"/>
      <c r="R84" s="253" t="n"/>
      <c r="S84" s="253" t="n"/>
      <c r="T84" s="253" t="n"/>
      <c r="U84" s="253" t="n"/>
      <c r="V84" s="253" t="n"/>
      <c r="W84" s="253" t="n"/>
      <c r="X84" s="253" t="n"/>
      <c r="Y84" s="253" t="n"/>
      <c r="Z84" s="253" t="n"/>
    </row>
    <row r="85">
      <c r="A85" s="253" t="n"/>
      <c r="B85" s="253" t="n"/>
      <c r="C85" s="253" t="n"/>
      <c r="D85" s="253" t="n"/>
      <c r="E85" s="253" t="n"/>
      <c r="F85" s="253" t="n"/>
      <c r="G85" s="253" t="n"/>
      <c r="H85" s="253" t="n"/>
      <c r="I85" s="253" t="n"/>
      <c r="J85" s="253" t="n"/>
      <c r="K85" s="253" t="n"/>
      <c r="L85" s="253" t="n"/>
      <c r="M85" s="253" t="n"/>
      <c r="N85" s="253" t="n"/>
      <c r="O85" s="253" t="n"/>
      <c r="P85" s="253" t="n"/>
      <c r="Q85" s="253" t="n"/>
      <c r="R85" s="253" t="n"/>
      <c r="S85" s="253" t="n"/>
      <c r="T85" s="253" t="n"/>
      <c r="U85" s="253" t="n"/>
      <c r="V85" s="253" t="n"/>
      <c r="W85" s="253" t="n"/>
      <c r="X85" s="253" t="n"/>
      <c r="Y85" s="253" t="n"/>
      <c r="Z85" s="253" t="n"/>
    </row>
    <row r="86">
      <c r="A86" s="253" t="n"/>
      <c r="B86" s="253" t="n"/>
      <c r="C86" s="253" t="n"/>
      <c r="D86" s="253" t="n"/>
      <c r="E86" s="253" t="n"/>
      <c r="F86" s="253" t="n"/>
      <c r="G86" s="253" t="n"/>
      <c r="H86" s="253" t="n"/>
      <c r="I86" s="253" t="n"/>
      <c r="J86" s="253" t="n"/>
      <c r="K86" s="253" t="n"/>
      <c r="L86" s="253" t="n"/>
      <c r="M86" s="253" t="n"/>
      <c r="N86" s="253" t="n"/>
      <c r="O86" s="253" t="n"/>
      <c r="P86" s="253" t="n"/>
      <c r="Q86" s="253" t="n"/>
      <c r="R86" s="253" t="n"/>
      <c r="S86" s="253" t="n"/>
      <c r="T86" s="253" t="n"/>
      <c r="U86" s="253" t="n"/>
      <c r="V86" s="253" t="n"/>
      <c r="W86" s="253" t="n"/>
      <c r="X86" s="253" t="n"/>
      <c r="Y86" s="253" t="n"/>
      <c r="Z86" s="253" t="n"/>
    </row>
    <row r="87">
      <c r="A87" s="253" t="n"/>
      <c r="B87" s="253" t="n"/>
      <c r="C87" s="253" t="n"/>
      <c r="D87" s="253" t="n"/>
      <c r="E87" s="253" t="n"/>
      <c r="F87" s="253" t="n"/>
      <c r="G87" s="253" t="n"/>
      <c r="H87" s="253" t="n"/>
      <c r="I87" s="253" t="n"/>
      <c r="J87" s="253" t="n"/>
      <c r="K87" s="253" t="n"/>
      <c r="L87" s="253" t="n"/>
      <c r="M87" s="253" t="n"/>
      <c r="N87" s="253" t="n"/>
      <c r="O87" s="253" t="n"/>
      <c r="P87" s="253" t="n"/>
      <c r="Q87" s="253" t="n"/>
      <c r="R87" s="253" t="n"/>
      <c r="S87" s="253" t="n"/>
      <c r="T87" s="253" t="n"/>
      <c r="U87" s="253" t="n"/>
      <c r="V87" s="253" t="n"/>
      <c r="W87" s="253" t="n"/>
      <c r="X87" s="253" t="n"/>
      <c r="Y87" s="253" t="n"/>
      <c r="Z87" s="253" t="n"/>
    </row>
    <row r="88">
      <c r="A88" s="253" t="n"/>
      <c r="B88" s="253" t="n"/>
      <c r="C88" s="253" t="n"/>
      <c r="D88" s="253" t="n"/>
      <c r="E88" s="253" t="n"/>
      <c r="F88" s="253" t="n"/>
      <c r="G88" s="253" t="n"/>
      <c r="H88" s="253" t="n"/>
      <c r="I88" s="253" t="n"/>
      <c r="J88" s="253" t="n"/>
      <c r="K88" s="253" t="n"/>
      <c r="L88" s="253" t="n"/>
      <c r="M88" s="253" t="n"/>
      <c r="N88" s="253" t="n"/>
      <c r="O88" s="253" t="n"/>
      <c r="P88" s="253" t="n"/>
      <c r="Q88" s="253" t="n"/>
      <c r="R88" s="253" t="n"/>
      <c r="S88" s="253" t="n"/>
      <c r="T88" s="253" t="n"/>
      <c r="U88" s="253" t="n"/>
      <c r="V88" s="253" t="n"/>
      <c r="W88" s="253" t="n"/>
      <c r="X88" s="253" t="n"/>
      <c r="Y88" s="253" t="n"/>
      <c r="Z88" s="253" t="n"/>
    </row>
    <row r="89">
      <c r="A89" s="253" t="n"/>
      <c r="B89" s="253" t="n"/>
      <c r="C89" s="253" t="n"/>
      <c r="D89" s="253" t="n"/>
      <c r="E89" s="253" t="n"/>
      <c r="F89" s="253" t="n"/>
      <c r="G89" s="253" t="n"/>
      <c r="H89" s="253" t="n"/>
      <c r="I89" s="253" t="n"/>
      <c r="J89" s="253" t="n"/>
      <c r="K89" s="253" t="n"/>
      <c r="L89" s="253" t="n"/>
      <c r="M89" s="253" t="n"/>
      <c r="N89" s="253" t="n"/>
      <c r="O89" s="253" t="n"/>
      <c r="P89" s="253" t="n"/>
      <c r="Q89" s="253" t="n"/>
      <c r="R89" s="253" t="n"/>
      <c r="S89" s="253" t="n"/>
      <c r="T89" s="253" t="n"/>
      <c r="U89" s="253" t="n"/>
      <c r="V89" s="253" t="n"/>
      <c r="W89" s="253" t="n"/>
      <c r="X89" s="253" t="n"/>
      <c r="Y89" s="253" t="n"/>
      <c r="Z89" s="253" t="n"/>
    </row>
    <row r="90">
      <c r="A90" s="253" t="n"/>
      <c r="B90" s="253" t="n"/>
      <c r="C90" s="253" t="n"/>
      <c r="D90" s="253" t="n"/>
      <c r="E90" s="253" t="n"/>
      <c r="F90" s="253" t="n"/>
      <c r="G90" s="253" t="n"/>
      <c r="H90" s="253" t="n"/>
      <c r="I90" s="253" t="n"/>
      <c r="J90" s="253" t="n"/>
      <c r="K90" s="253" t="n"/>
      <c r="L90" s="253" t="n"/>
      <c r="M90" s="253" t="n"/>
      <c r="N90" s="253" t="n"/>
      <c r="O90" s="253" t="n"/>
      <c r="P90" s="253" t="n"/>
      <c r="Q90" s="253" t="n"/>
      <c r="R90" s="253" t="n"/>
      <c r="S90" s="253" t="n"/>
      <c r="T90" s="253" t="n"/>
      <c r="U90" s="253" t="n"/>
      <c r="V90" s="253" t="n"/>
      <c r="W90" s="253" t="n"/>
      <c r="X90" s="253" t="n"/>
      <c r="Y90" s="253" t="n"/>
      <c r="Z90" s="253" t="n"/>
    </row>
    <row r="91">
      <c r="A91" s="253" t="n"/>
      <c r="B91" s="253" t="n"/>
      <c r="C91" s="253" t="n"/>
      <c r="D91" s="253" t="n"/>
      <c r="E91" s="253" t="n"/>
      <c r="F91" s="253" t="n"/>
      <c r="G91" s="253" t="n"/>
      <c r="H91" s="253" t="n"/>
      <c r="I91" s="253" t="n"/>
      <c r="J91" s="253" t="n"/>
      <c r="K91" s="253" t="n"/>
      <c r="L91" s="253" t="n"/>
      <c r="M91" s="253" t="n"/>
      <c r="N91" s="253" t="n"/>
      <c r="O91" s="253" t="n"/>
      <c r="P91" s="253" t="n"/>
      <c r="Q91" s="253" t="n"/>
      <c r="R91" s="253" t="n"/>
      <c r="S91" s="253" t="n"/>
      <c r="T91" s="253" t="n"/>
      <c r="U91" s="253" t="n"/>
      <c r="V91" s="253" t="n"/>
      <c r="W91" s="253" t="n"/>
      <c r="X91" s="253" t="n"/>
      <c r="Y91" s="253" t="n"/>
      <c r="Z91" s="253" t="n"/>
    </row>
    <row r="92">
      <c r="A92" s="253" t="n"/>
      <c r="B92" s="253" t="n"/>
      <c r="C92" s="253" t="n"/>
      <c r="D92" s="253" t="n"/>
      <c r="E92" s="253" t="n"/>
      <c r="F92" s="253" t="n"/>
      <c r="G92" s="253" t="n"/>
      <c r="H92" s="253" t="n"/>
      <c r="I92" s="253" t="n"/>
      <c r="J92" s="253" t="n"/>
      <c r="K92" s="253" t="n"/>
      <c r="L92" s="253" t="n"/>
      <c r="M92" s="253" t="n"/>
      <c r="N92" s="253" t="n"/>
      <c r="O92" s="253" t="n"/>
      <c r="P92" s="253" t="n"/>
      <c r="Q92" s="253" t="n"/>
      <c r="R92" s="253" t="n"/>
      <c r="S92" s="253" t="n"/>
      <c r="T92" s="253" t="n"/>
      <c r="U92" s="253" t="n"/>
      <c r="V92" s="253" t="n"/>
      <c r="W92" s="253" t="n"/>
      <c r="X92" s="253" t="n"/>
      <c r="Y92" s="253" t="n"/>
      <c r="Z92" s="253" t="n"/>
    </row>
    <row r="93">
      <c r="A93" s="253" t="n"/>
      <c r="B93" s="253" t="n"/>
      <c r="C93" s="253" t="n"/>
      <c r="D93" s="253" t="n"/>
      <c r="E93" s="253" t="n"/>
      <c r="F93" s="253" t="n"/>
      <c r="G93" s="253" t="n"/>
      <c r="H93" s="253" t="n"/>
      <c r="I93" s="253" t="n"/>
      <c r="J93" s="253" t="n"/>
      <c r="K93" s="253" t="n"/>
      <c r="L93" s="253" t="n"/>
      <c r="M93" s="253" t="n"/>
      <c r="N93" s="253" t="n"/>
      <c r="O93" s="253" t="n"/>
      <c r="P93" s="253" t="n"/>
      <c r="Q93" s="253" t="n"/>
      <c r="R93" s="253" t="n"/>
      <c r="S93" s="253" t="n"/>
      <c r="T93" s="253" t="n"/>
      <c r="U93" s="253" t="n"/>
      <c r="V93" s="253" t="n"/>
      <c r="W93" s="253" t="n"/>
      <c r="X93" s="253" t="n"/>
      <c r="Y93" s="253" t="n"/>
      <c r="Z93" s="253" t="n"/>
    </row>
    <row r="94">
      <c r="A94" s="253" t="n"/>
      <c r="B94" s="253" t="n"/>
      <c r="C94" s="253" t="n"/>
      <c r="D94" s="253" t="n"/>
      <c r="E94" s="253" t="n"/>
      <c r="F94" s="253" t="n"/>
      <c r="G94" s="253" t="n"/>
      <c r="H94" s="253" t="n"/>
      <c r="I94" s="253" t="n"/>
      <c r="J94" s="253" t="n"/>
      <c r="K94" s="253" t="n"/>
      <c r="L94" s="253" t="n"/>
      <c r="M94" s="253" t="n"/>
      <c r="N94" s="253" t="n"/>
      <c r="O94" s="253" t="n"/>
      <c r="P94" s="253" t="n"/>
      <c r="Q94" s="253" t="n"/>
      <c r="R94" s="253" t="n"/>
      <c r="S94" s="253" t="n"/>
      <c r="T94" s="253" t="n"/>
      <c r="U94" s="253" t="n"/>
      <c r="V94" s="253" t="n"/>
      <c r="W94" s="253" t="n"/>
      <c r="X94" s="253" t="n"/>
      <c r="Y94" s="253" t="n"/>
      <c r="Z94" s="253" t="n"/>
    </row>
    <row r="95">
      <c r="A95" s="253" t="n"/>
      <c r="B95" s="253" t="n"/>
      <c r="C95" s="253" t="n"/>
      <c r="D95" s="253" t="n"/>
      <c r="E95" s="253" t="n"/>
      <c r="F95" s="253" t="n"/>
      <c r="G95" s="253" t="n"/>
      <c r="H95" s="253" t="n"/>
      <c r="I95" s="253" t="n"/>
      <c r="J95" s="253" t="n"/>
      <c r="K95" s="253" t="n"/>
      <c r="L95" s="253" t="n"/>
      <c r="M95" s="253" t="n"/>
      <c r="N95" s="253" t="n"/>
      <c r="O95" s="253" t="n"/>
      <c r="P95" s="253" t="n"/>
      <c r="Q95" s="253" t="n"/>
      <c r="R95" s="253" t="n"/>
      <c r="S95" s="253" t="n"/>
      <c r="T95" s="253" t="n"/>
      <c r="U95" s="253" t="n"/>
      <c r="V95" s="253" t="n"/>
      <c r="W95" s="253" t="n"/>
      <c r="X95" s="253" t="n"/>
      <c r="Y95" s="253" t="n"/>
      <c r="Z95" s="253" t="n"/>
    </row>
    <row r="96">
      <c r="A96" s="253" t="n"/>
      <c r="B96" s="253" t="n"/>
      <c r="C96" s="253" t="n"/>
      <c r="D96" s="253" t="n"/>
      <c r="E96" s="253" t="n"/>
      <c r="F96" s="253" t="n"/>
      <c r="G96" s="253" t="n"/>
      <c r="H96" s="253" t="n"/>
      <c r="I96" s="253" t="n"/>
      <c r="J96" s="253" t="n"/>
      <c r="K96" s="253" t="n"/>
      <c r="L96" s="253" t="n"/>
      <c r="M96" s="253" t="n"/>
      <c r="N96" s="253" t="n"/>
      <c r="O96" s="253" t="n"/>
      <c r="P96" s="253" t="n"/>
      <c r="Q96" s="253" t="n"/>
      <c r="R96" s="253" t="n"/>
      <c r="S96" s="253" t="n"/>
      <c r="T96" s="253" t="n"/>
      <c r="U96" s="253" t="n"/>
      <c r="V96" s="253" t="n"/>
      <c r="W96" s="253" t="n"/>
      <c r="X96" s="253" t="n"/>
      <c r="Y96" s="253" t="n"/>
      <c r="Z96" s="253" t="n"/>
    </row>
    <row r="97">
      <c r="A97" s="253" t="n"/>
      <c r="B97" s="253" t="n"/>
      <c r="C97" s="253" t="n"/>
      <c r="D97" s="253" t="n"/>
      <c r="E97" s="253" t="n"/>
      <c r="F97" s="253" t="n"/>
      <c r="G97" s="253" t="n"/>
      <c r="H97" s="253" t="n"/>
      <c r="I97" s="253" t="n"/>
      <c r="J97" s="253" t="n"/>
      <c r="K97" s="253" t="n"/>
      <c r="L97" s="253" t="n"/>
      <c r="M97" s="253" t="n"/>
      <c r="N97" s="253" t="n"/>
      <c r="O97" s="253" t="n"/>
      <c r="P97" s="253" t="n"/>
      <c r="Q97" s="253" t="n"/>
      <c r="R97" s="253" t="n"/>
      <c r="S97" s="253" t="n"/>
      <c r="T97" s="253" t="n"/>
      <c r="U97" s="253" t="n"/>
      <c r="V97" s="253" t="n"/>
      <c r="W97" s="253" t="n"/>
      <c r="X97" s="253" t="n"/>
      <c r="Y97" s="253" t="n"/>
      <c r="Z97" s="253" t="n"/>
    </row>
    <row r="98">
      <c r="A98" s="253" t="n"/>
      <c r="B98" s="253" t="n"/>
      <c r="C98" s="253" t="n"/>
      <c r="D98" s="253" t="n"/>
      <c r="E98" s="253" t="n"/>
      <c r="F98" s="253" t="n"/>
      <c r="G98" s="253" t="n"/>
      <c r="H98" s="253" t="n"/>
      <c r="I98" s="253" t="n"/>
      <c r="J98" s="253" t="n"/>
      <c r="K98" s="253" t="n"/>
      <c r="L98" s="253" t="n"/>
      <c r="M98" s="253" t="n"/>
      <c r="N98" s="253" t="n"/>
      <c r="O98" s="253" t="n"/>
      <c r="P98" s="253" t="n"/>
      <c r="Q98" s="253" t="n"/>
      <c r="R98" s="253" t="n"/>
      <c r="S98" s="253" t="n"/>
      <c r="T98" s="253" t="n"/>
      <c r="U98" s="253" t="n"/>
      <c r="V98" s="253" t="n"/>
      <c r="W98" s="253" t="n"/>
      <c r="X98" s="253" t="n"/>
      <c r="Y98" s="253" t="n"/>
      <c r="Z98" s="253" t="n"/>
    </row>
    <row r="99">
      <c r="A99" s="253" t="n"/>
      <c r="B99" s="253" t="n"/>
      <c r="C99" s="253" t="n"/>
      <c r="D99" s="253" t="n"/>
      <c r="E99" s="253" t="n"/>
      <c r="F99" s="253" t="n"/>
      <c r="G99" s="253" t="n"/>
      <c r="H99" s="253" t="n"/>
      <c r="I99" s="253" t="n"/>
      <c r="J99" s="253" t="n"/>
      <c r="K99" s="253" t="n"/>
      <c r="L99" s="253" t="n"/>
      <c r="M99" s="253" t="n"/>
      <c r="N99" s="253" t="n"/>
      <c r="O99" s="253" t="n"/>
      <c r="P99" s="253" t="n"/>
      <c r="Q99" s="253" t="n"/>
      <c r="R99" s="253" t="n"/>
      <c r="S99" s="253" t="n"/>
      <c r="T99" s="253" t="n"/>
      <c r="U99" s="253" t="n"/>
      <c r="V99" s="253" t="n"/>
      <c r="W99" s="253" t="n"/>
      <c r="X99" s="253" t="n"/>
      <c r="Y99" s="253" t="n"/>
      <c r="Z99" s="253" t="n"/>
    </row>
    <row r="100">
      <c r="A100" s="253" t="n"/>
      <c r="B100" s="253" t="n"/>
      <c r="C100" s="253" t="n"/>
      <c r="D100" s="253" t="n"/>
      <c r="E100" s="253" t="n"/>
      <c r="F100" s="253" t="n"/>
      <c r="G100" s="253" t="n"/>
      <c r="H100" s="253" t="n"/>
      <c r="I100" s="253" t="n"/>
      <c r="J100" s="253" t="n"/>
      <c r="K100" s="253" t="n"/>
      <c r="L100" s="253" t="n"/>
      <c r="M100" s="253" t="n"/>
      <c r="N100" s="253" t="n"/>
      <c r="O100" s="253" t="n"/>
      <c r="P100" s="253" t="n"/>
      <c r="Q100" s="253" t="n"/>
      <c r="R100" s="253" t="n"/>
      <c r="S100" s="253" t="n"/>
      <c r="T100" s="253" t="n"/>
      <c r="U100" s="253" t="n"/>
      <c r="V100" s="253" t="n"/>
      <c r="W100" s="253" t="n"/>
      <c r="X100" s="253" t="n"/>
      <c r="Y100" s="253" t="n"/>
      <c r="Z100" s="253" t="n"/>
    </row>
    <row r="101">
      <c r="A101" s="253" t="n"/>
      <c r="B101" s="253" t="n"/>
      <c r="C101" s="253" t="n"/>
      <c r="D101" s="253" t="n"/>
      <c r="E101" s="253" t="n"/>
      <c r="F101" s="253" t="n"/>
      <c r="G101" s="253" t="n"/>
      <c r="H101" s="253" t="n"/>
      <c r="I101" s="253" t="n"/>
      <c r="J101" s="253" t="n"/>
      <c r="K101" s="253" t="n"/>
      <c r="L101" s="253" t="n"/>
      <c r="M101" s="253" t="n"/>
      <c r="N101" s="253" t="n"/>
      <c r="O101" s="253" t="n"/>
      <c r="P101" s="253" t="n"/>
      <c r="Q101" s="253" t="n"/>
      <c r="R101" s="253" t="n"/>
      <c r="S101" s="253" t="n"/>
      <c r="T101" s="253" t="n"/>
      <c r="U101" s="253" t="n"/>
      <c r="V101" s="253" t="n"/>
      <c r="W101" s="253" t="n"/>
      <c r="X101" s="253" t="n"/>
      <c r="Y101" s="253" t="n"/>
      <c r="Z101" s="253" t="n"/>
    </row>
    <row r="102">
      <c r="A102" s="253" t="n"/>
      <c r="B102" s="253" t="n"/>
      <c r="C102" s="253" t="n"/>
      <c r="D102" s="253" t="n"/>
      <c r="E102" s="253" t="n"/>
      <c r="F102" s="253" t="n"/>
      <c r="G102" s="253" t="n"/>
      <c r="H102" s="253" t="n"/>
      <c r="I102" s="253" t="n"/>
      <c r="J102" s="253" t="n"/>
      <c r="K102" s="253" t="n"/>
      <c r="L102" s="253" t="n"/>
      <c r="M102" s="253" t="n"/>
      <c r="N102" s="253" t="n"/>
      <c r="O102" s="253" t="n"/>
      <c r="P102" s="253" t="n"/>
      <c r="Q102" s="253" t="n"/>
      <c r="R102" s="253" t="n"/>
      <c r="S102" s="253" t="n"/>
      <c r="T102" s="253" t="n"/>
      <c r="U102" s="253" t="n"/>
      <c r="V102" s="253" t="n"/>
      <c r="W102" s="253" t="n"/>
      <c r="X102" s="253" t="n"/>
      <c r="Y102" s="253" t="n"/>
      <c r="Z102" s="253" t="n"/>
    </row>
    <row r="103">
      <c r="A103" s="253" t="n"/>
      <c r="B103" s="253" t="n"/>
      <c r="C103" s="253" t="n"/>
      <c r="D103" s="253" t="n"/>
      <c r="E103" s="253" t="n"/>
      <c r="F103" s="253" t="n"/>
      <c r="G103" s="253" t="n"/>
      <c r="H103" s="253" t="n"/>
      <c r="I103" s="253" t="n"/>
      <c r="J103" s="253" t="n"/>
      <c r="K103" s="253" t="n"/>
      <c r="L103" s="253" t="n"/>
      <c r="M103" s="253" t="n"/>
      <c r="N103" s="253" t="n"/>
      <c r="O103" s="253" t="n"/>
      <c r="P103" s="253" t="n"/>
      <c r="Q103" s="253" t="n"/>
      <c r="R103" s="253" t="n"/>
      <c r="S103" s="253" t="n"/>
      <c r="T103" s="253" t="n"/>
      <c r="U103" s="253" t="n"/>
      <c r="V103" s="253" t="n"/>
      <c r="W103" s="253" t="n"/>
      <c r="X103" s="253" t="n"/>
      <c r="Y103" s="253" t="n"/>
      <c r="Z103" s="253" t="n"/>
    </row>
    <row r="104">
      <c r="A104" s="253" t="n"/>
      <c r="B104" s="253" t="n"/>
      <c r="C104" s="253" t="n"/>
      <c r="D104" s="253" t="n"/>
      <c r="E104" s="253" t="n"/>
      <c r="F104" s="253" t="n"/>
      <c r="G104" s="253" t="n"/>
      <c r="H104" s="253" t="n"/>
      <c r="I104" s="253" t="n"/>
      <c r="J104" s="253" t="n"/>
      <c r="K104" s="253" t="n"/>
      <c r="L104" s="253" t="n"/>
      <c r="M104" s="253" t="n"/>
      <c r="N104" s="253" t="n"/>
      <c r="O104" s="253" t="n"/>
      <c r="P104" s="253" t="n"/>
      <c r="Q104" s="253" t="n"/>
      <c r="R104" s="253" t="n"/>
      <c r="S104" s="253" t="n"/>
      <c r="T104" s="253" t="n"/>
      <c r="U104" s="253" t="n"/>
      <c r="V104" s="253" t="n"/>
      <c r="W104" s="253" t="n"/>
      <c r="X104" s="253" t="n"/>
      <c r="Y104" s="253" t="n"/>
      <c r="Z104" s="253" t="n"/>
    </row>
    <row r="105">
      <c r="A105" s="253" t="n"/>
      <c r="B105" s="253" t="n"/>
      <c r="C105" s="253" t="n"/>
      <c r="D105" s="253" t="n"/>
      <c r="E105" s="253" t="n"/>
      <c r="F105" s="253" t="n"/>
      <c r="G105" s="253" t="n"/>
      <c r="H105" s="253" t="n"/>
      <c r="I105" s="253" t="n"/>
      <c r="J105" s="253" t="n"/>
      <c r="K105" s="253" t="n"/>
      <c r="L105" s="253" t="n"/>
      <c r="M105" s="253" t="n"/>
      <c r="N105" s="253" t="n"/>
      <c r="O105" s="253" t="n"/>
      <c r="P105" s="253" t="n"/>
      <c r="Q105" s="253" t="n"/>
      <c r="R105" s="253" t="n"/>
      <c r="S105" s="253" t="n"/>
      <c r="T105" s="253" t="n"/>
      <c r="U105" s="253" t="n"/>
      <c r="V105" s="253" t="n"/>
      <c r="W105" s="253" t="n"/>
      <c r="X105" s="253" t="n"/>
      <c r="Y105" s="253" t="n"/>
      <c r="Z105" s="253" t="n"/>
    </row>
    <row r="106">
      <c r="A106" s="253" t="n"/>
      <c r="B106" s="253" t="n"/>
      <c r="C106" s="253" t="n"/>
      <c r="D106" s="253" t="n"/>
      <c r="E106" s="253" t="n"/>
      <c r="F106" s="253" t="n"/>
      <c r="G106" s="253" t="n"/>
      <c r="H106" s="253" t="n"/>
      <c r="I106" s="253" t="n"/>
      <c r="J106" s="253" t="n"/>
      <c r="K106" s="253" t="n"/>
      <c r="L106" s="253" t="n"/>
      <c r="M106" s="253" t="n"/>
      <c r="N106" s="253" t="n"/>
      <c r="O106" s="253" t="n"/>
      <c r="P106" s="253" t="n"/>
      <c r="Q106" s="253" t="n"/>
      <c r="R106" s="253" t="n"/>
      <c r="S106" s="253" t="n"/>
      <c r="T106" s="253" t="n"/>
      <c r="U106" s="253" t="n"/>
      <c r="V106" s="253" t="n"/>
      <c r="W106" s="253" t="n"/>
      <c r="X106" s="253" t="n"/>
      <c r="Y106" s="253" t="n"/>
      <c r="Z106" s="253" t="n"/>
    </row>
    <row r="107">
      <c r="A107" s="253" t="n"/>
      <c r="B107" s="253" t="n"/>
      <c r="C107" s="253" t="n"/>
      <c r="D107" s="253" t="n"/>
      <c r="E107" s="253" t="n"/>
      <c r="F107" s="253" t="n"/>
      <c r="G107" s="253" t="n"/>
      <c r="H107" s="253" t="n"/>
      <c r="I107" s="253" t="n"/>
      <c r="J107" s="253" t="n"/>
      <c r="K107" s="253" t="n"/>
      <c r="L107" s="253" t="n"/>
      <c r="M107" s="253" t="n"/>
      <c r="N107" s="253" t="n"/>
      <c r="O107" s="253" t="n"/>
      <c r="P107" s="253" t="n"/>
      <c r="Q107" s="253" t="n"/>
      <c r="R107" s="253" t="n"/>
      <c r="S107" s="253" t="n"/>
      <c r="T107" s="253" t="n"/>
      <c r="U107" s="253" t="n"/>
      <c r="V107" s="253" t="n"/>
      <c r="W107" s="253" t="n"/>
      <c r="X107" s="253" t="n"/>
      <c r="Y107" s="253" t="n"/>
      <c r="Z107" s="253" t="n"/>
    </row>
    <row r="108">
      <c r="A108" s="253" t="n"/>
      <c r="B108" s="253" t="n"/>
      <c r="C108" s="253" t="n"/>
      <c r="D108" s="253" t="n"/>
      <c r="E108" s="253" t="n"/>
      <c r="F108" s="253" t="n"/>
      <c r="G108" s="253" t="n"/>
      <c r="H108" s="253" t="n"/>
      <c r="I108" s="253" t="n"/>
      <c r="J108" s="253" t="n"/>
      <c r="K108" s="253" t="n"/>
      <c r="L108" s="253" t="n"/>
      <c r="M108" s="253" t="n"/>
      <c r="N108" s="253" t="n"/>
      <c r="O108" s="253" t="n"/>
      <c r="P108" s="253" t="n"/>
      <c r="Q108" s="253" t="n"/>
      <c r="R108" s="253" t="n"/>
      <c r="S108" s="253" t="n"/>
      <c r="T108" s="253" t="n"/>
      <c r="U108" s="253" t="n"/>
      <c r="V108" s="253" t="n"/>
      <c r="W108" s="253" t="n"/>
      <c r="X108" s="253" t="n"/>
      <c r="Y108" s="253" t="n"/>
      <c r="Z108" s="253" t="n"/>
    </row>
    <row r="109">
      <c r="A109" s="253" t="n"/>
      <c r="B109" s="253" t="n"/>
      <c r="C109" s="253" t="n"/>
      <c r="D109" s="253" t="n"/>
      <c r="E109" s="253" t="n"/>
      <c r="F109" s="253" t="n"/>
      <c r="G109" s="253" t="n"/>
      <c r="H109" s="253" t="n"/>
      <c r="I109" s="253" t="n"/>
      <c r="J109" s="253" t="n"/>
      <c r="K109" s="253" t="n"/>
      <c r="L109" s="253" t="n"/>
      <c r="M109" s="253" t="n"/>
      <c r="N109" s="253" t="n"/>
      <c r="O109" s="253" t="n"/>
      <c r="P109" s="253" t="n"/>
      <c r="Q109" s="253" t="n"/>
      <c r="R109" s="253" t="n"/>
      <c r="S109" s="253" t="n"/>
      <c r="T109" s="253" t="n"/>
      <c r="U109" s="253" t="n"/>
      <c r="V109" s="253" t="n"/>
      <c r="W109" s="253" t="n"/>
      <c r="X109" s="253" t="n"/>
      <c r="Y109" s="253" t="n"/>
      <c r="Z109" s="253" t="n"/>
    </row>
    <row r="110">
      <c r="A110" s="253" t="n"/>
      <c r="B110" s="253" t="n"/>
      <c r="C110" s="253" t="n"/>
      <c r="D110" s="253" t="n"/>
      <c r="E110" s="253" t="n"/>
      <c r="F110" s="253" t="n"/>
      <c r="G110" s="253" t="n"/>
      <c r="H110" s="253" t="n"/>
      <c r="I110" s="253" t="n"/>
      <c r="J110" s="253" t="n"/>
      <c r="K110" s="253" t="n"/>
      <c r="L110" s="253" t="n"/>
      <c r="M110" s="253" t="n"/>
      <c r="N110" s="253" t="n"/>
      <c r="O110" s="253" t="n"/>
      <c r="P110" s="253" t="n"/>
      <c r="Q110" s="253" t="n"/>
      <c r="R110" s="253" t="n"/>
      <c r="S110" s="253" t="n"/>
      <c r="T110" s="253" t="n"/>
      <c r="U110" s="253" t="n"/>
      <c r="V110" s="253" t="n"/>
      <c r="W110" s="253" t="n"/>
      <c r="X110" s="253" t="n"/>
      <c r="Y110" s="253" t="n"/>
      <c r="Z110" s="253" t="n"/>
    </row>
    <row r="111">
      <c r="A111" s="253" t="n"/>
      <c r="B111" s="253" t="n"/>
      <c r="C111" s="253" t="n"/>
      <c r="D111" s="253" t="n"/>
      <c r="E111" s="253" t="n"/>
      <c r="F111" s="253" t="n"/>
      <c r="G111" s="253" t="n"/>
      <c r="H111" s="253" t="n"/>
      <c r="I111" s="253" t="n"/>
      <c r="J111" s="253" t="n"/>
      <c r="K111" s="253" t="n"/>
      <c r="L111" s="253" t="n"/>
      <c r="M111" s="253" t="n"/>
      <c r="N111" s="253" t="n"/>
      <c r="O111" s="253" t="n"/>
      <c r="P111" s="253" t="n"/>
      <c r="Q111" s="253" t="n"/>
      <c r="R111" s="253" t="n"/>
      <c r="S111" s="253" t="n"/>
      <c r="T111" s="253" t="n"/>
      <c r="U111" s="253" t="n"/>
      <c r="V111" s="253" t="n"/>
      <c r="W111" s="253" t="n"/>
      <c r="X111" s="253" t="n"/>
      <c r="Y111" s="253" t="n"/>
      <c r="Z111" s="253" t="n"/>
    </row>
    <row r="112">
      <c r="A112" s="253" t="n"/>
      <c r="B112" s="253" t="n"/>
      <c r="C112" s="253" t="n"/>
      <c r="D112" s="253" t="n"/>
      <c r="E112" s="253" t="n"/>
      <c r="F112" s="253" t="n"/>
      <c r="G112" s="253" t="n"/>
      <c r="H112" s="253" t="n"/>
      <c r="I112" s="253" t="n"/>
      <c r="J112" s="253" t="n"/>
      <c r="K112" s="253" t="n"/>
      <c r="L112" s="253" t="n"/>
      <c r="M112" s="253" t="n"/>
      <c r="N112" s="253" t="n"/>
      <c r="O112" s="253" t="n"/>
      <c r="P112" s="253" t="n"/>
      <c r="Q112" s="253" t="n"/>
      <c r="R112" s="253" t="n"/>
      <c r="S112" s="253" t="n"/>
      <c r="T112" s="253" t="n"/>
      <c r="U112" s="253" t="n"/>
      <c r="V112" s="253" t="n"/>
      <c r="W112" s="253" t="n"/>
      <c r="X112" s="253" t="n"/>
      <c r="Y112" s="253" t="n"/>
      <c r="Z112" s="253" t="n"/>
    </row>
    <row r="113">
      <c r="A113" s="253" t="n"/>
      <c r="B113" s="253" t="n"/>
      <c r="C113" s="253" t="n"/>
      <c r="D113" s="253" t="n"/>
      <c r="E113" s="253" t="n"/>
      <c r="F113" s="253" t="n"/>
      <c r="G113" s="253" t="n"/>
      <c r="H113" s="253" t="n"/>
      <c r="I113" s="253" t="n"/>
      <c r="J113" s="253" t="n"/>
      <c r="K113" s="253" t="n"/>
      <c r="L113" s="253" t="n"/>
      <c r="M113" s="253" t="n"/>
      <c r="N113" s="253" t="n"/>
      <c r="O113" s="253" t="n"/>
      <c r="P113" s="253" t="n"/>
      <c r="Q113" s="253" t="n"/>
      <c r="R113" s="253" t="n"/>
      <c r="S113" s="253" t="n"/>
      <c r="T113" s="253" t="n"/>
      <c r="U113" s="253" t="n"/>
      <c r="V113" s="253" t="n"/>
      <c r="W113" s="253" t="n"/>
      <c r="X113" s="253" t="n"/>
      <c r="Y113" s="253" t="n"/>
      <c r="Z113" s="253" t="n"/>
    </row>
    <row r="114">
      <c r="A114" s="253" t="n"/>
      <c r="B114" s="253" t="n"/>
      <c r="C114" s="253" t="n"/>
      <c r="D114" s="253" t="n"/>
      <c r="E114" s="253" t="n"/>
      <c r="F114" s="253" t="n"/>
      <c r="G114" s="253" t="n"/>
      <c r="H114" s="253" t="n"/>
      <c r="I114" s="253" t="n"/>
      <c r="J114" s="253" t="n"/>
      <c r="K114" s="253" t="n"/>
      <c r="L114" s="253" t="n"/>
      <c r="M114" s="253" t="n"/>
      <c r="N114" s="253" t="n"/>
      <c r="O114" s="253" t="n"/>
      <c r="P114" s="253" t="n"/>
      <c r="Q114" s="253" t="n"/>
      <c r="R114" s="253" t="n"/>
      <c r="S114" s="253" t="n"/>
      <c r="T114" s="253" t="n"/>
      <c r="U114" s="253" t="n"/>
      <c r="V114" s="253" t="n"/>
      <c r="W114" s="253" t="n"/>
      <c r="X114" s="253" t="n"/>
      <c r="Y114" s="253" t="n"/>
      <c r="Z114" s="253" t="n"/>
    </row>
    <row r="115">
      <c r="A115" s="253" t="n"/>
      <c r="B115" s="253" t="n"/>
      <c r="C115" s="253" t="n"/>
      <c r="D115" s="253" t="n"/>
      <c r="E115" s="253" t="n"/>
      <c r="F115" s="253" t="n"/>
      <c r="G115" s="253" t="n"/>
      <c r="H115" s="253" t="n"/>
      <c r="I115" s="253" t="n"/>
      <c r="J115" s="253" t="n"/>
      <c r="K115" s="253" t="n"/>
      <c r="L115" s="253" t="n"/>
      <c r="M115" s="253" t="n"/>
      <c r="N115" s="253" t="n"/>
      <c r="O115" s="253" t="n"/>
      <c r="P115" s="253" t="n"/>
      <c r="Q115" s="253" t="n"/>
      <c r="R115" s="253" t="n"/>
      <c r="S115" s="253" t="n"/>
      <c r="T115" s="253" t="n"/>
      <c r="U115" s="253" t="n"/>
      <c r="V115" s="253" t="n"/>
      <c r="W115" s="253" t="n"/>
      <c r="X115" s="253" t="n"/>
      <c r="Y115" s="253" t="n"/>
      <c r="Z115" s="253" t="n"/>
    </row>
    <row r="116">
      <c r="A116" s="253" t="n"/>
      <c r="B116" s="253" t="n"/>
      <c r="C116" s="253" t="n"/>
      <c r="D116" s="253" t="n"/>
      <c r="E116" s="253" t="n"/>
      <c r="F116" s="253" t="n"/>
      <c r="G116" s="253" t="n"/>
      <c r="H116" s="253" t="n"/>
      <c r="I116" s="253" t="n"/>
      <c r="J116" s="253" t="n"/>
      <c r="K116" s="253" t="n"/>
      <c r="L116" s="253" t="n"/>
      <c r="M116" s="253" t="n"/>
      <c r="N116" s="253" t="n"/>
      <c r="O116" s="253" t="n"/>
      <c r="P116" s="253" t="n"/>
      <c r="Q116" s="253" t="n"/>
      <c r="R116" s="253" t="n"/>
      <c r="S116" s="253" t="n"/>
      <c r="T116" s="253" t="n"/>
      <c r="U116" s="253" t="n"/>
      <c r="V116" s="253" t="n"/>
      <c r="W116" s="253" t="n"/>
      <c r="X116" s="253" t="n"/>
      <c r="Y116" s="253" t="n"/>
      <c r="Z116" s="253" t="n"/>
    </row>
    <row r="117">
      <c r="A117" s="253" t="n"/>
      <c r="B117" s="253" t="n"/>
      <c r="C117" s="253" t="n"/>
      <c r="D117" s="253" t="n"/>
      <c r="E117" s="253" t="n"/>
      <c r="F117" s="253" t="n"/>
      <c r="G117" s="253" t="n"/>
      <c r="H117" s="253" t="n"/>
      <c r="I117" s="253" t="n"/>
      <c r="J117" s="253" t="n"/>
      <c r="K117" s="253" t="n"/>
      <c r="L117" s="253" t="n"/>
      <c r="M117" s="253" t="n"/>
      <c r="N117" s="253" t="n"/>
      <c r="O117" s="253" t="n"/>
      <c r="P117" s="253" t="n"/>
      <c r="Q117" s="253" t="n"/>
      <c r="R117" s="253" t="n"/>
      <c r="S117" s="253" t="n"/>
      <c r="T117" s="253" t="n"/>
      <c r="U117" s="253" t="n"/>
      <c r="V117" s="253" t="n"/>
      <c r="W117" s="253" t="n"/>
      <c r="X117" s="253" t="n"/>
      <c r="Y117" s="253" t="n"/>
      <c r="Z117" s="253" t="n"/>
    </row>
    <row r="118">
      <c r="A118" s="253" t="n"/>
      <c r="B118" s="253" t="n"/>
      <c r="C118" s="253" t="n"/>
      <c r="D118" s="253" t="n"/>
      <c r="E118" s="253" t="n"/>
      <c r="F118" s="253" t="n"/>
      <c r="G118" s="253" t="n"/>
      <c r="H118" s="253" t="n"/>
      <c r="I118" s="253" t="n"/>
      <c r="J118" s="253" t="n"/>
      <c r="K118" s="253" t="n"/>
      <c r="L118" s="253" t="n"/>
      <c r="M118" s="253" t="n"/>
      <c r="N118" s="253" t="n"/>
      <c r="O118" s="253" t="n"/>
      <c r="P118" s="253" t="n"/>
      <c r="Q118" s="253" t="n"/>
      <c r="R118" s="253" t="n"/>
      <c r="S118" s="253" t="n"/>
      <c r="T118" s="253" t="n"/>
      <c r="U118" s="253" t="n"/>
      <c r="V118" s="253" t="n"/>
      <c r="W118" s="253" t="n"/>
      <c r="X118" s="253" t="n"/>
      <c r="Y118" s="253" t="n"/>
      <c r="Z118" s="253" t="n"/>
    </row>
    <row r="119">
      <c r="A119" s="253" t="n"/>
      <c r="B119" s="253" t="n"/>
      <c r="C119" s="253" t="n"/>
      <c r="D119" s="253" t="n"/>
      <c r="E119" s="253" t="n"/>
      <c r="F119" s="253" t="n"/>
      <c r="G119" s="253" t="n"/>
      <c r="H119" s="253" t="n"/>
      <c r="I119" s="253" t="n"/>
      <c r="J119" s="253" t="n"/>
      <c r="K119" s="253" t="n"/>
      <c r="L119" s="253" t="n"/>
      <c r="M119" s="253" t="n"/>
      <c r="N119" s="253" t="n"/>
      <c r="O119" s="253" t="n"/>
      <c r="P119" s="253" t="n"/>
      <c r="Q119" s="253" t="n"/>
      <c r="R119" s="253" t="n"/>
      <c r="S119" s="253" t="n"/>
      <c r="T119" s="253" t="n"/>
      <c r="U119" s="253" t="n"/>
      <c r="V119" s="253" t="n"/>
      <c r="W119" s="253" t="n"/>
      <c r="X119" s="253" t="n"/>
      <c r="Y119" s="253" t="n"/>
      <c r="Z119" s="253" t="n"/>
    </row>
    <row r="120">
      <c r="A120" s="253" t="n"/>
      <c r="B120" s="253" t="n"/>
      <c r="C120" s="253" t="n"/>
      <c r="D120" s="253" t="n"/>
      <c r="E120" s="253" t="n"/>
      <c r="F120" s="253" t="n"/>
      <c r="G120" s="253" t="n"/>
      <c r="H120" s="253" t="n"/>
      <c r="I120" s="253" t="n"/>
      <c r="J120" s="253" t="n"/>
      <c r="K120" s="253" t="n"/>
      <c r="L120" s="253" t="n"/>
      <c r="M120" s="253" t="n"/>
      <c r="N120" s="253" t="n"/>
      <c r="O120" s="253" t="n"/>
      <c r="P120" s="253" t="n"/>
      <c r="Q120" s="253" t="n"/>
      <c r="R120" s="253" t="n"/>
      <c r="S120" s="253" t="n"/>
      <c r="T120" s="253" t="n"/>
      <c r="U120" s="253" t="n"/>
      <c r="V120" s="253" t="n"/>
      <c r="W120" s="253" t="n"/>
      <c r="X120" s="253" t="n"/>
      <c r="Y120" s="253" t="n"/>
      <c r="Z120" s="253" t="n"/>
    </row>
    <row r="121">
      <c r="A121" s="253" t="n"/>
      <c r="B121" s="253" t="n"/>
      <c r="C121" s="253" t="n"/>
      <c r="D121" s="253" t="n"/>
      <c r="E121" s="253" t="n"/>
      <c r="F121" s="253" t="n"/>
      <c r="G121" s="253" t="n"/>
      <c r="H121" s="253" t="n"/>
      <c r="I121" s="253" t="n"/>
      <c r="J121" s="253" t="n"/>
      <c r="K121" s="253" t="n"/>
      <c r="L121" s="253" t="n"/>
      <c r="M121" s="253" t="n"/>
      <c r="N121" s="253" t="n"/>
      <c r="O121" s="253" t="n"/>
      <c r="P121" s="253" t="n"/>
      <c r="Q121" s="253" t="n"/>
      <c r="R121" s="253" t="n"/>
      <c r="S121" s="253" t="n"/>
      <c r="T121" s="253" t="n"/>
      <c r="U121" s="253" t="n"/>
      <c r="V121" s="253" t="n"/>
      <c r="W121" s="253" t="n"/>
      <c r="X121" s="253" t="n"/>
      <c r="Y121" s="253" t="n"/>
      <c r="Z121" s="253" t="n"/>
    </row>
    <row r="122">
      <c r="A122" s="253" t="n"/>
      <c r="B122" s="253" t="n"/>
      <c r="C122" s="253" t="n"/>
      <c r="D122" s="253" t="n"/>
      <c r="E122" s="253" t="n"/>
      <c r="F122" s="253" t="n"/>
      <c r="G122" s="253" t="n"/>
      <c r="H122" s="253" t="n"/>
      <c r="I122" s="253" t="n"/>
      <c r="J122" s="253" t="n"/>
      <c r="K122" s="253" t="n"/>
      <c r="L122" s="253" t="n"/>
      <c r="M122" s="253" t="n"/>
      <c r="N122" s="253" t="n"/>
      <c r="O122" s="253" t="n"/>
      <c r="P122" s="253" t="n"/>
      <c r="Q122" s="253" t="n"/>
      <c r="R122" s="253" t="n"/>
      <c r="S122" s="253" t="n"/>
      <c r="T122" s="253" t="n"/>
      <c r="U122" s="253" t="n"/>
      <c r="V122" s="253" t="n"/>
      <c r="W122" s="253" t="n"/>
      <c r="X122" s="253" t="n"/>
      <c r="Y122" s="253" t="n"/>
      <c r="Z122" s="253" t="n"/>
    </row>
    <row r="123">
      <c r="A123" s="253" t="n"/>
      <c r="B123" s="253" t="n"/>
      <c r="C123" s="253" t="n"/>
      <c r="D123" s="253" t="n"/>
      <c r="E123" s="253" t="n"/>
      <c r="F123" s="253" t="n"/>
      <c r="G123" s="253" t="n"/>
      <c r="H123" s="253" t="n"/>
      <c r="I123" s="253" t="n"/>
      <c r="J123" s="253" t="n"/>
      <c r="K123" s="253" t="n"/>
      <c r="L123" s="253" t="n"/>
      <c r="M123" s="253" t="n"/>
      <c r="N123" s="253" t="n"/>
      <c r="O123" s="253" t="n"/>
      <c r="P123" s="253" t="n"/>
      <c r="Q123" s="253" t="n"/>
      <c r="R123" s="253" t="n"/>
      <c r="S123" s="253" t="n"/>
      <c r="T123" s="253" t="n"/>
      <c r="U123" s="253" t="n"/>
      <c r="V123" s="253" t="n"/>
      <c r="W123" s="253" t="n"/>
      <c r="X123" s="253" t="n"/>
      <c r="Y123" s="253" t="n"/>
      <c r="Z123" s="253" t="n"/>
    </row>
    <row r="124">
      <c r="A124" s="253" t="n"/>
      <c r="B124" s="253" t="n"/>
      <c r="C124" s="253" t="n"/>
      <c r="D124" s="253" t="n"/>
      <c r="E124" s="253" t="n"/>
      <c r="F124" s="253" t="n"/>
      <c r="G124" s="253" t="n"/>
      <c r="H124" s="253" t="n"/>
      <c r="I124" s="253" t="n"/>
      <c r="J124" s="253" t="n"/>
      <c r="K124" s="253" t="n"/>
      <c r="L124" s="253" t="n"/>
      <c r="M124" s="253" t="n"/>
      <c r="N124" s="253" t="n"/>
      <c r="O124" s="253" t="n"/>
      <c r="P124" s="253" t="n"/>
      <c r="Q124" s="253" t="n"/>
      <c r="R124" s="253" t="n"/>
      <c r="S124" s="253" t="n"/>
      <c r="T124" s="253" t="n"/>
      <c r="U124" s="253" t="n"/>
      <c r="V124" s="253" t="n"/>
      <c r="W124" s="253" t="n"/>
      <c r="X124" s="253" t="n"/>
      <c r="Y124" s="253" t="n"/>
      <c r="Z124" s="253" t="n"/>
    </row>
    <row r="125">
      <c r="A125" s="253" t="n"/>
      <c r="B125" s="253" t="n"/>
      <c r="C125" s="253" t="n"/>
      <c r="D125" s="253" t="n"/>
      <c r="E125" s="253" t="n"/>
      <c r="F125" s="253" t="n"/>
      <c r="G125" s="253" t="n"/>
      <c r="H125" s="253" t="n"/>
      <c r="I125" s="253" t="n"/>
      <c r="J125" s="253" t="n"/>
      <c r="K125" s="253" t="n"/>
      <c r="L125" s="253" t="n"/>
      <c r="M125" s="253" t="n"/>
      <c r="N125" s="253" t="n"/>
      <c r="O125" s="253" t="n"/>
      <c r="P125" s="253" t="n"/>
      <c r="Q125" s="253" t="n"/>
      <c r="R125" s="253" t="n"/>
      <c r="S125" s="253" t="n"/>
      <c r="T125" s="253" t="n"/>
      <c r="U125" s="253" t="n"/>
      <c r="V125" s="253" t="n"/>
      <c r="W125" s="253" t="n"/>
      <c r="X125" s="253" t="n"/>
      <c r="Y125" s="253" t="n"/>
      <c r="Z125" s="253" t="n"/>
    </row>
    <row r="126">
      <c r="A126" s="253" t="n"/>
      <c r="B126" s="253" t="n"/>
      <c r="C126" s="253" t="n"/>
      <c r="D126" s="253" t="n"/>
      <c r="E126" s="253" t="n"/>
      <c r="F126" s="253" t="n"/>
      <c r="G126" s="253" t="n"/>
      <c r="H126" s="253" t="n"/>
      <c r="I126" s="253" t="n"/>
      <c r="J126" s="253" t="n"/>
      <c r="K126" s="253" t="n"/>
      <c r="L126" s="253" t="n"/>
      <c r="M126" s="253" t="n"/>
      <c r="N126" s="253" t="n"/>
      <c r="O126" s="253" t="n"/>
      <c r="P126" s="253" t="n"/>
      <c r="Q126" s="253" t="n"/>
      <c r="R126" s="253" t="n"/>
      <c r="S126" s="253" t="n"/>
      <c r="T126" s="253" t="n"/>
      <c r="U126" s="253" t="n"/>
      <c r="V126" s="253" t="n"/>
      <c r="W126" s="253" t="n"/>
      <c r="X126" s="253" t="n"/>
      <c r="Y126" s="253" t="n"/>
      <c r="Z126" s="253" t="n"/>
    </row>
    <row r="127">
      <c r="A127" s="253" t="n"/>
      <c r="B127" s="253" t="n"/>
      <c r="C127" s="253" t="n"/>
      <c r="D127" s="253" t="n"/>
      <c r="E127" s="253" t="n"/>
      <c r="F127" s="253" t="n"/>
      <c r="G127" s="253" t="n"/>
      <c r="H127" s="253" t="n"/>
      <c r="I127" s="253" t="n"/>
      <c r="J127" s="253" t="n"/>
      <c r="K127" s="253" t="n"/>
      <c r="L127" s="253" t="n"/>
      <c r="M127" s="253" t="n"/>
      <c r="N127" s="253" t="n"/>
      <c r="O127" s="253" t="n"/>
      <c r="P127" s="253" t="n"/>
      <c r="Q127" s="253" t="n"/>
      <c r="R127" s="253" t="n"/>
      <c r="S127" s="253" t="n"/>
      <c r="T127" s="253" t="n"/>
      <c r="U127" s="253" t="n"/>
      <c r="V127" s="253" t="n"/>
      <c r="W127" s="253" t="n"/>
      <c r="X127" s="253" t="n"/>
      <c r="Y127" s="253" t="n"/>
      <c r="Z127" s="253" t="n"/>
    </row>
    <row r="128">
      <c r="A128" s="253" t="n"/>
      <c r="B128" s="253" t="n"/>
      <c r="C128" s="253" t="n"/>
      <c r="D128" s="253" t="n"/>
      <c r="E128" s="253" t="n"/>
      <c r="F128" s="253" t="n"/>
      <c r="G128" s="253" t="n"/>
      <c r="H128" s="253" t="n"/>
      <c r="I128" s="253" t="n"/>
      <c r="J128" s="253" t="n"/>
      <c r="K128" s="253" t="n"/>
      <c r="L128" s="253" t="n"/>
      <c r="M128" s="253" t="n"/>
      <c r="N128" s="253" t="n"/>
      <c r="O128" s="253" t="n"/>
      <c r="P128" s="253" t="n"/>
      <c r="Q128" s="253" t="n"/>
      <c r="R128" s="253" t="n"/>
      <c r="S128" s="253" t="n"/>
      <c r="T128" s="253" t="n"/>
      <c r="U128" s="253" t="n"/>
      <c r="V128" s="253" t="n"/>
      <c r="W128" s="253" t="n"/>
      <c r="X128" s="253" t="n"/>
      <c r="Y128" s="253" t="n"/>
      <c r="Z128" s="253" t="n"/>
    </row>
    <row r="129">
      <c r="A129" s="253" t="n"/>
      <c r="B129" s="253" t="n"/>
      <c r="C129" s="253" t="n"/>
      <c r="D129" s="253" t="n"/>
      <c r="E129" s="253" t="n"/>
      <c r="F129" s="253" t="n"/>
      <c r="G129" s="253" t="n"/>
      <c r="H129" s="253" t="n"/>
      <c r="I129" s="253" t="n"/>
      <c r="J129" s="253" t="n"/>
      <c r="K129" s="253" t="n"/>
      <c r="L129" s="253" t="n"/>
      <c r="M129" s="253" t="n"/>
      <c r="N129" s="253" t="n"/>
      <c r="O129" s="253" t="n"/>
      <c r="P129" s="253" t="n"/>
      <c r="Q129" s="253" t="n"/>
      <c r="R129" s="253" t="n"/>
      <c r="S129" s="253" t="n"/>
      <c r="T129" s="253" t="n"/>
      <c r="U129" s="253" t="n"/>
      <c r="V129" s="253" t="n"/>
      <c r="W129" s="253" t="n"/>
      <c r="X129" s="253" t="n"/>
      <c r="Y129" s="253" t="n"/>
      <c r="Z129" s="253" t="n"/>
    </row>
    <row r="130">
      <c r="A130" s="253" t="n"/>
      <c r="B130" s="253" t="n"/>
      <c r="C130" s="253" t="n"/>
      <c r="D130" s="253" t="n"/>
      <c r="E130" s="253" t="n"/>
      <c r="F130" s="253" t="n"/>
      <c r="G130" s="253" t="n"/>
      <c r="H130" s="253" t="n"/>
      <c r="I130" s="253" t="n"/>
      <c r="J130" s="253" t="n"/>
      <c r="K130" s="253" t="n"/>
      <c r="L130" s="253" t="n"/>
      <c r="M130" s="253" t="n"/>
      <c r="N130" s="253" t="n"/>
      <c r="O130" s="253" t="n"/>
      <c r="P130" s="253" t="n"/>
      <c r="Q130" s="253" t="n"/>
      <c r="R130" s="253" t="n"/>
      <c r="S130" s="253" t="n"/>
      <c r="T130" s="253" t="n"/>
      <c r="U130" s="253" t="n"/>
      <c r="V130" s="253" t="n"/>
      <c r="W130" s="253" t="n"/>
      <c r="X130" s="253" t="n"/>
      <c r="Y130" s="253" t="n"/>
      <c r="Z130" s="253" t="n"/>
    </row>
    <row r="131">
      <c r="A131" s="253" t="n"/>
      <c r="B131" s="253" t="n"/>
      <c r="C131" s="253" t="n"/>
      <c r="D131" s="253" t="n"/>
      <c r="E131" s="253" t="n"/>
      <c r="F131" s="253" t="n"/>
      <c r="G131" s="253" t="n"/>
      <c r="H131" s="253" t="n"/>
      <c r="I131" s="253" t="n"/>
      <c r="J131" s="253" t="n"/>
      <c r="K131" s="253" t="n"/>
      <c r="L131" s="253" t="n"/>
      <c r="M131" s="253" t="n"/>
      <c r="N131" s="253" t="n"/>
      <c r="O131" s="253" t="n"/>
      <c r="P131" s="253" t="n"/>
      <c r="Q131" s="253" t="n"/>
      <c r="R131" s="253" t="n"/>
      <c r="S131" s="253" t="n"/>
      <c r="T131" s="253" t="n"/>
      <c r="U131" s="253" t="n"/>
      <c r="V131" s="253" t="n"/>
      <c r="W131" s="253" t="n"/>
      <c r="X131" s="253" t="n"/>
      <c r="Y131" s="253" t="n"/>
      <c r="Z131" s="253" t="n"/>
    </row>
    <row r="132">
      <c r="A132" s="253" t="n"/>
      <c r="B132" s="253" t="n"/>
      <c r="C132" s="253" t="n"/>
      <c r="D132" s="253" t="n"/>
      <c r="E132" s="253" t="n"/>
      <c r="F132" s="253" t="n"/>
      <c r="G132" s="253" t="n"/>
      <c r="H132" s="253" t="n"/>
      <c r="I132" s="253" t="n"/>
      <c r="J132" s="253" t="n"/>
      <c r="K132" s="253" t="n"/>
      <c r="L132" s="253" t="n"/>
      <c r="M132" s="253" t="n"/>
      <c r="N132" s="253" t="n"/>
      <c r="O132" s="253" t="n"/>
      <c r="P132" s="253" t="n"/>
      <c r="Q132" s="253" t="n"/>
      <c r="R132" s="253" t="n"/>
      <c r="S132" s="253" t="n"/>
      <c r="T132" s="253" t="n"/>
      <c r="U132" s="253" t="n"/>
      <c r="V132" s="253" t="n"/>
      <c r="W132" s="253" t="n"/>
      <c r="X132" s="253" t="n"/>
      <c r="Y132" s="253" t="n"/>
      <c r="Z132" s="253" t="n"/>
    </row>
    <row r="133">
      <c r="A133" s="253" t="n"/>
      <c r="B133" s="253" t="n"/>
      <c r="C133" s="253" t="n"/>
      <c r="D133" s="253" t="n"/>
      <c r="E133" s="253" t="n"/>
      <c r="F133" s="253" t="n"/>
      <c r="G133" s="253" t="n"/>
      <c r="H133" s="253" t="n"/>
      <c r="I133" s="253" t="n"/>
      <c r="J133" s="253" t="n"/>
      <c r="K133" s="253" t="n"/>
      <c r="L133" s="253" t="n"/>
      <c r="M133" s="253" t="n"/>
      <c r="N133" s="253" t="n"/>
      <c r="O133" s="253" t="n"/>
      <c r="P133" s="253" t="n"/>
      <c r="Q133" s="253" t="n"/>
      <c r="R133" s="253" t="n"/>
      <c r="S133" s="253" t="n"/>
      <c r="T133" s="253" t="n"/>
      <c r="U133" s="253" t="n"/>
      <c r="V133" s="253" t="n"/>
      <c r="W133" s="253" t="n"/>
      <c r="X133" s="253" t="n"/>
      <c r="Y133" s="253" t="n"/>
      <c r="Z133" s="253" t="n"/>
    </row>
    <row r="134">
      <c r="A134" s="253" t="n"/>
      <c r="B134" s="253" t="n"/>
      <c r="C134" s="253" t="n"/>
      <c r="D134" s="253" t="n"/>
      <c r="E134" s="253" t="n"/>
      <c r="F134" s="253" t="n"/>
      <c r="G134" s="253" t="n"/>
      <c r="H134" s="253" t="n"/>
      <c r="I134" s="253" t="n"/>
      <c r="J134" s="253" t="n"/>
      <c r="K134" s="253" t="n"/>
      <c r="L134" s="253" t="n"/>
      <c r="M134" s="253" t="n"/>
      <c r="N134" s="253" t="n"/>
      <c r="O134" s="253" t="n"/>
      <c r="P134" s="253" t="n"/>
      <c r="Q134" s="253" t="n"/>
      <c r="R134" s="253" t="n"/>
      <c r="S134" s="253" t="n"/>
      <c r="T134" s="253" t="n"/>
      <c r="U134" s="253" t="n"/>
      <c r="V134" s="253" t="n"/>
      <c r="W134" s="253" t="n"/>
      <c r="X134" s="253" t="n"/>
      <c r="Y134" s="253" t="n"/>
      <c r="Z134" s="253" t="n"/>
    </row>
    <row r="135">
      <c r="A135" s="253" t="n"/>
      <c r="B135" s="253" t="n"/>
      <c r="C135" s="253" t="n"/>
      <c r="D135" s="253" t="n"/>
      <c r="E135" s="253" t="n"/>
      <c r="F135" s="253" t="n"/>
      <c r="G135" s="253" t="n"/>
      <c r="H135" s="253" t="n"/>
      <c r="I135" s="253" t="n"/>
      <c r="J135" s="253" t="n"/>
      <c r="K135" s="253" t="n"/>
      <c r="L135" s="253" t="n"/>
      <c r="M135" s="253" t="n"/>
      <c r="N135" s="253" t="n"/>
      <c r="O135" s="253" t="n"/>
      <c r="P135" s="253" t="n"/>
      <c r="Q135" s="253" t="n"/>
      <c r="R135" s="253" t="n"/>
      <c r="S135" s="253" t="n"/>
      <c r="T135" s="253" t="n"/>
      <c r="U135" s="253" t="n"/>
      <c r="V135" s="253" t="n"/>
      <c r="W135" s="253" t="n"/>
      <c r="X135" s="253" t="n"/>
      <c r="Y135" s="253" t="n"/>
      <c r="Z135" s="253" t="n"/>
    </row>
    <row r="136">
      <c r="A136" s="253" t="n"/>
      <c r="B136" s="253" t="n"/>
      <c r="C136" s="253" t="n"/>
      <c r="D136" s="253" t="n"/>
      <c r="E136" s="253" t="n"/>
      <c r="F136" s="253" t="n"/>
      <c r="G136" s="253" t="n"/>
      <c r="H136" s="253" t="n"/>
      <c r="I136" s="253" t="n"/>
      <c r="J136" s="253" t="n"/>
      <c r="K136" s="253" t="n"/>
      <c r="L136" s="253" t="n"/>
      <c r="M136" s="253" t="n"/>
      <c r="N136" s="253" t="n"/>
      <c r="O136" s="253" t="n"/>
      <c r="P136" s="253" t="n"/>
      <c r="Q136" s="253" t="n"/>
      <c r="R136" s="253" t="n"/>
      <c r="S136" s="253" t="n"/>
      <c r="T136" s="253" t="n"/>
      <c r="U136" s="253" t="n"/>
      <c r="V136" s="253" t="n"/>
      <c r="W136" s="253" t="n"/>
      <c r="X136" s="253" t="n"/>
      <c r="Y136" s="253" t="n"/>
      <c r="Z136" s="253" t="n"/>
    </row>
    <row r="137">
      <c r="A137" s="253" t="n"/>
      <c r="B137" s="253" t="n"/>
      <c r="C137" s="253" t="n"/>
      <c r="D137" s="253" t="n"/>
      <c r="E137" s="253" t="n"/>
      <c r="F137" s="253" t="n"/>
      <c r="G137" s="253" t="n"/>
      <c r="H137" s="253" t="n"/>
      <c r="I137" s="253" t="n"/>
      <c r="J137" s="253" t="n"/>
      <c r="K137" s="253" t="n"/>
      <c r="L137" s="253" t="n"/>
      <c r="M137" s="253" t="n"/>
      <c r="N137" s="253" t="n"/>
      <c r="O137" s="253" t="n"/>
      <c r="P137" s="253" t="n"/>
      <c r="Q137" s="253" t="n"/>
      <c r="R137" s="253" t="n"/>
      <c r="S137" s="253" t="n"/>
      <c r="T137" s="253" t="n"/>
      <c r="U137" s="253" t="n"/>
      <c r="V137" s="253" t="n"/>
      <c r="W137" s="253" t="n"/>
      <c r="X137" s="253" t="n"/>
      <c r="Y137" s="253" t="n"/>
      <c r="Z137" s="253" t="n"/>
    </row>
    <row r="138">
      <c r="A138" s="253" t="n"/>
      <c r="B138" s="253" t="n"/>
      <c r="C138" s="253" t="n"/>
      <c r="D138" s="253" t="n"/>
      <c r="E138" s="253" t="n"/>
      <c r="F138" s="253" t="n"/>
      <c r="G138" s="253" t="n"/>
      <c r="H138" s="253" t="n"/>
      <c r="I138" s="253" t="n"/>
      <c r="J138" s="253" t="n"/>
      <c r="K138" s="253" t="n"/>
      <c r="L138" s="253" t="n"/>
      <c r="M138" s="253" t="n"/>
      <c r="N138" s="253" t="n"/>
      <c r="O138" s="253" t="n"/>
      <c r="P138" s="253" t="n"/>
      <c r="Q138" s="253" t="n"/>
      <c r="R138" s="253" t="n"/>
      <c r="S138" s="253" t="n"/>
      <c r="T138" s="253" t="n"/>
      <c r="U138" s="253" t="n"/>
      <c r="V138" s="253" t="n"/>
      <c r="W138" s="253" t="n"/>
      <c r="X138" s="253" t="n"/>
      <c r="Y138" s="253" t="n"/>
      <c r="Z138" s="253" t="n"/>
    </row>
    <row r="139">
      <c r="A139" s="253" t="n"/>
      <c r="B139" s="253" t="n"/>
      <c r="C139" s="253" t="n"/>
      <c r="D139" s="253" t="n"/>
      <c r="E139" s="253" t="n"/>
      <c r="F139" s="253" t="n"/>
      <c r="G139" s="253" t="n"/>
      <c r="H139" s="253" t="n"/>
      <c r="I139" s="253" t="n"/>
      <c r="J139" s="253" t="n"/>
      <c r="K139" s="253" t="n"/>
      <c r="L139" s="253" t="n"/>
      <c r="M139" s="253" t="n"/>
      <c r="N139" s="253" t="n"/>
      <c r="O139" s="253" t="n"/>
      <c r="P139" s="253" t="n"/>
      <c r="Q139" s="253" t="n"/>
      <c r="R139" s="253" t="n"/>
      <c r="S139" s="253" t="n"/>
      <c r="T139" s="253" t="n"/>
      <c r="U139" s="253" t="n"/>
      <c r="V139" s="253" t="n"/>
      <c r="W139" s="253" t="n"/>
      <c r="X139" s="253" t="n"/>
      <c r="Y139" s="253" t="n"/>
      <c r="Z139" s="253" t="n"/>
    </row>
    <row r="140">
      <c r="A140" s="253" t="n"/>
      <c r="B140" s="253" t="n"/>
      <c r="C140" s="253" t="n"/>
      <c r="D140" s="253" t="n"/>
      <c r="E140" s="253" t="n"/>
      <c r="F140" s="253" t="n"/>
      <c r="G140" s="253" t="n"/>
      <c r="H140" s="253" t="n"/>
      <c r="I140" s="253" t="n"/>
      <c r="J140" s="253" t="n"/>
      <c r="K140" s="253" t="n"/>
      <c r="L140" s="253" t="n"/>
      <c r="M140" s="253" t="n"/>
      <c r="N140" s="253" t="n"/>
      <c r="O140" s="253" t="n"/>
      <c r="P140" s="253" t="n"/>
      <c r="Q140" s="253" t="n"/>
      <c r="R140" s="253" t="n"/>
      <c r="S140" s="253" t="n"/>
      <c r="T140" s="253" t="n"/>
      <c r="U140" s="253" t="n"/>
      <c r="V140" s="253" t="n"/>
      <c r="W140" s="253" t="n"/>
      <c r="X140" s="253" t="n"/>
      <c r="Y140" s="253" t="n"/>
      <c r="Z140" s="253" t="n"/>
    </row>
    <row r="141">
      <c r="A141" s="253" t="n"/>
      <c r="B141" s="253" t="n"/>
      <c r="C141" s="253" t="n"/>
      <c r="D141" s="253" t="n"/>
      <c r="E141" s="253" t="n"/>
      <c r="F141" s="253" t="n"/>
      <c r="G141" s="253" t="n"/>
      <c r="H141" s="253" t="n"/>
      <c r="I141" s="253" t="n"/>
      <c r="J141" s="253" t="n"/>
      <c r="K141" s="253" t="n"/>
      <c r="L141" s="253" t="n"/>
      <c r="M141" s="253" t="n"/>
      <c r="N141" s="253" t="n"/>
      <c r="O141" s="253" t="n"/>
      <c r="P141" s="253" t="n"/>
      <c r="Q141" s="253" t="n"/>
      <c r="R141" s="253" t="n"/>
      <c r="S141" s="253" t="n"/>
      <c r="T141" s="253" t="n"/>
      <c r="U141" s="253" t="n"/>
      <c r="V141" s="253" t="n"/>
      <c r="W141" s="253" t="n"/>
      <c r="X141" s="253" t="n"/>
      <c r="Y141" s="253" t="n"/>
      <c r="Z141" s="253" t="n"/>
    </row>
    <row r="142">
      <c r="A142" s="253" t="n"/>
      <c r="B142" s="253" t="n"/>
      <c r="C142" s="253" t="n"/>
      <c r="D142" s="253" t="n"/>
      <c r="E142" s="253" t="n"/>
      <c r="F142" s="253" t="n"/>
      <c r="G142" s="253" t="n"/>
      <c r="H142" s="253" t="n"/>
      <c r="I142" s="253" t="n"/>
      <c r="J142" s="253" t="n"/>
      <c r="K142" s="253" t="n"/>
      <c r="L142" s="253" t="n"/>
      <c r="M142" s="253" t="n"/>
      <c r="N142" s="253" t="n"/>
      <c r="O142" s="253" t="n"/>
      <c r="P142" s="253" t="n"/>
      <c r="Q142" s="253" t="n"/>
      <c r="R142" s="253" t="n"/>
      <c r="S142" s="253" t="n"/>
      <c r="T142" s="253" t="n"/>
      <c r="U142" s="253" t="n"/>
      <c r="V142" s="253" t="n"/>
      <c r="W142" s="253" t="n"/>
      <c r="X142" s="253" t="n"/>
      <c r="Y142" s="253" t="n"/>
      <c r="Z142" s="253" t="n"/>
    </row>
    <row r="143">
      <c r="A143" s="253" t="n"/>
      <c r="B143" s="253" t="n"/>
      <c r="C143" s="253" t="n"/>
      <c r="D143" s="253" t="n"/>
      <c r="E143" s="253" t="n"/>
      <c r="F143" s="253" t="n"/>
      <c r="G143" s="253" t="n"/>
      <c r="H143" s="253" t="n"/>
      <c r="I143" s="253" t="n"/>
      <c r="J143" s="253" t="n"/>
      <c r="K143" s="253" t="n"/>
      <c r="L143" s="253" t="n"/>
      <c r="M143" s="253" t="n"/>
      <c r="N143" s="253" t="n"/>
      <c r="O143" s="253" t="n"/>
      <c r="P143" s="253" t="n"/>
      <c r="Q143" s="253" t="n"/>
      <c r="R143" s="253" t="n"/>
      <c r="S143" s="253" t="n"/>
      <c r="T143" s="253" t="n"/>
      <c r="U143" s="253" t="n"/>
      <c r="V143" s="253" t="n"/>
      <c r="W143" s="253" t="n"/>
      <c r="X143" s="253" t="n"/>
      <c r="Y143" s="253" t="n"/>
      <c r="Z143" s="253" t="n"/>
    </row>
    <row r="144">
      <c r="A144" s="253" t="n"/>
      <c r="B144" s="253" t="n"/>
      <c r="C144" s="253" t="n"/>
      <c r="D144" s="253" t="n"/>
      <c r="E144" s="253" t="n"/>
      <c r="F144" s="253" t="n"/>
      <c r="G144" s="253" t="n"/>
      <c r="H144" s="253" t="n"/>
      <c r="I144" s="253" t="n"/>
      <c r="J144" s="253" t="n"/>
      <c r="K144" s="253" t="n"/>
      <c r="L144" s="253" t="n"/>
      <c r="M144" s="253" t="n"/>
      <c r="N144" s="253" t="n"/>
      <c r="O144" s="253" t="n"/>
      <c r="P144" s="253" t="n"/>
      <c r="Q144" s="253" t="n"/>
      <c r="R144" s="253" t="n"/>
      <c r="S144" s="253" t="n"/>
      <c r="T144" s="253" t="n"/>
      <c r="U144" s="253" t="n"/>
      <c r="V144" s="253" t="n"/>
      <c r="W144" s="253" t="n"/>
      <c r="X144" s="253" t="n"/>
      <c r="Y144" s="253" t="n"/>
      <c r="Z144" s="253" t="n"/>
    </row>
    <row r="145">
      <c r="A145" s="253" t="n"/>
      <c r="B145" s="253" t="n"/>
      <c r="C145" s="253" t="n"/>
      <c r="D145" s="253" t="n"/>
      <c r="E145" s="253" t="n"/>
      <c r="F145" s="253" t="n"/>
      <c r="G145" s="253" t="n"/>
      <c r="H145" s="253" t="n"/>
      <c r="I145" s="253" t="n"/>
      <c r="J145" s="253" t="n"/>
      <c r="K145" s="253" t="n"/>
      <c r="L145" s="253" t="n"/>
      <c r="M145" s="253" t="n"/>
      <c r="N145" s="253" t="n"/>
      <c r="O145" s="253" t="n"/>
      <c r="P145" s="253" t="n"/>
      <c r="Q145" s="253" t="n"/>
      <c r="R145" s="253" t="n"/>
      <c r="S145" s="253" t="n"/>
      <c r="T145" s="253" t="n"/>
      <c r="U145" s="253" t="n"/>
      <c r="V145" s="253" t="n"/>
      <c r="W145" s="253" t="n"/>
      <c r="X145" s="253" t="n"/>
      <c r="Y145" s="253" t="n"/>
      <c r="Z145" s="253" t="n"/>
    </row>
    <row r="146">
      <c r="A146" s="253" t="n"/>
      <c r="B146" s="253" t="n"/>
      <c r="C146" s="253" t="n"/>
      <c r="D146" s="253" t="n"/>
      <c r="E146" s="253" t="n"/>
      <c r="F146" s="253" t="n"/>
      <c r="G146" s="253" t="n"/>
      <c r="H146" s="253" t="n"/>
      <c r="I146" s="253" t="n"/>
      <c r="J146" s="253" t="n"/>
      <c r="K146" s="253" t="n"/>
      <c r="L146" s="253" t="n"/>
      <c r="M146" s="253" t="n"/>
      <c r="N146" s="253" t="n"/>
      <c r="O146" s="253" t="n"/>
      <c r="P146" s="253" t="n"/>
      <c r="Q146" s="253" t="n"/>
      <c r="R146" s="253" t="n"/>
      <c r="S146" s="253" t="n"/>
      <c r="T146" s="253" t="n"/>
      <c r="U146" s="253" t="n"/>
      <c r="V146" s="253" t="n"/>
      <c r="W146" s="253" t="n"/>
      <c r="X146" s="253" t="n"/>
      <c r="Y146" s="253" t="n"/>
      <c r="Z146" s="253" t="n"/>
    </row>
    <row r="147">
      <c r="A147" s="253" t="n"/>
      <c r="B147" s="253" t="n"/>
      <c r="C147" s="253" t="n"/>
      <c r="D147" s="253" t="n"/>
      <c r="E147" s="253" t="n"/>
      <c r="F147" s="253" t="n"/>
      <c r="G147" s="253" t="n"/>
      <c r="H147" s="253" t="n"/>
      <c r="I147" s="253" t="n"/>
      <c r="J147" s="253" t="n"/>
      <c r="K147" s="253" t="n"/>
      <c r="L147" s="253" t="n"/>
      <c r="M147" s="253" t="n"/>
      <c r="N147" s="253" t="n"/>
      <c r="O147" s="253" t="n"/>
      <c r="P147" s="253" t="n"/>
      <c r="Q147" s="253" t="n"/>
      <c r="R147" s="253" t="n"/>
      <c r="S147" s="253" t="n"/>
      <c r="T147" s="253" t="n"/>
      <c r="U147" s="253" t="n"/>
      <c r="V147" s="253" t="n"/>
      <c r="W147" s="253" t="n"/>
      <c r="X147" s="253" t="n"/>
      <c r="Y147" s="253" t="n"/>
      <c r="Z147" s="253" t="n"/>
    </row>
    <row r="148">
      <c r="A148" s="253" t="n"/>
      <c r="B148" s="253" t="n"/>
      <c r="C148" s="253" t="n"/>
      <c r="D148" s="253" t="n"/>
      <c r="E148" s="253" t="n"/>
      <c r="F148" s="253" t="n"/>
      <c r="G148" s="253" t="n"/>
      <c r="H148" s="253" t="n"/>
      <c r="I148" s="253" t="n"/>
      <c r="J148" s="253" t="n"/>
      <c r="K148" s="253" t="n"/>
      <c r="L148" s="253" t="n"/>
      <c r="M148" s="253" t="n"/>
      <c r="N148" s="253" t="n"/>
      <c r="O148" s="253" t="n"/>
      <c r="P148" s="253" t="n"/>
      <c r="Q148" s="253" t="n"/>
      <c r="R148" s="253" t="n"/>
      <c r="S148" s="253" t="n"/>
      <c r="T148" s="253" t="n"/>
      <c r="U148" s="253" t="n"/>
      <c r="V148" s="253" t="n"/>
      <c r="W148" s="253" t="n"/>
      <c r="X148" s="253" t="n"/>
      <c r="Y148" s="253" t="n"/>
      <c r="Z148" s="253" t="n"/>
    </row>
    <row r="149">
      <c r="A149" s="253" t="n"/>
      <c r="B149" s="253" t="n"/>
      <c r="C149" s="253" t="n"/>
      <c r="D149" s="253" t="n"/>
      <c r="E149" s="253" t="n"/>
      <c r="F149" s="253" t="n"/>
      <c r="G149" s="253" t="n"/>
      <c r="H149" s="253" t="n"/>
      <c r="I149" s="253" t="n"/>
      <c r="J149" s="253" t="n"/>
      <c r="K149" s="253" t="n"/>
      <c r="L149" s="253" t="n"/>
      <c r="M149" s="253" t="n"/>
      <c r="N149" s="253" t="n"/>
      <c r="O149" s="253" t="n"/>
      <c r="P149" s="253" t="n"/>
      <c r="Q149" s="253" t="n"/>
      <c r="R149" s="253" t="n"/>
      <c r="S149" s="253" t="n"/>
      <c r="T149" s="253" t="n"/>
      <c r="U149" s="253" t="n"/>
      <c r="V149" s="253" t="n"/>
      <c r="W149" s="253" t="n"/>
      <c r="X149" s="253" t="n"/>
      <c r="Y149" s="253" t="n"/>
      <c r="Z149" s="253" t="n"/>
    </row>
    <row r="150">
      <c r="A150" s="253" t="n"/>
      <c r="B150" s="253" t="n"/>
      <c r="C150" s="253" t="n"/>
      <c r="D150" s="253" t="n"/>
      <c r="E150" s="253" t="n"/>
      <c r="F150" s="253" t="n"/>
      <c r="G150" s="253" t="n"/>
      <c r="H150" s="253" t="n"/>
      <c r="I150" s="253" t="n"/>
      <c r="J150" s="253" t="n"/>
      <c r="K150" s="253" t="n"/>
      <c r="L150" s="253" t="n"/>
      <c r="M150" s="253" t="n"/>
      <c r="N150" s="253" t="n"/>
      <c r="O150" s="253" t="n"/>
      <c r="P150" s="253" t="n"/>
      <c r="Q150" s="253" t="n"/>
      <c r="R150" s="253" t="n"/>
      <c r="S150" s="253" t="n"/>
      <c r="T150" s="253" t="n"/>
      <c r="U150" s="253" t="n"/>
      <c r="V150" s="253" t="n"/>
      <c r="W150" s="253" t="n"/>
      <c r="X150" s="253" t="n"/>
      <c r="Y150" s="253" t="n"/>
      <c r="Z150" s="253" t="n"/>
    </row>
    <row r="151">
      <c r="A151" s="253" t="n"/>
      <c r="B151" s="253" t="n"/>
      <c r="C151" s="253" t="n"/>
      <c r="D151" s="253" t="n"/>
      <c r="E151" s="253" t="n"/>
      <c r="F151" s="253" t="n"/>
      <c r="G151" s="253" t="n"/>
      <c r="H151" s="253" t="n"/>
      <c r="I151" s="253" t="n"/>
      <c r="J151" s="253" t="n"/>
      <c r="K151" s="253" t="n"/>
      <c r="L151" s="253" t="n"/>
      <c r="M151" s="253" t="n"/>
      <c r="N151" s="253" t="n"/>
      <c r="O151" s="253" t="n"/>
      <c r="P151" s="253" t="n"/>
      <c r="Q151" s="253" t="n"/>
      <c r="R151" s="253" t="n"/>
      <c r="S151" s="253" t="n"/>
      <c r="T151" s="253" t="n"/>
      <c r="U151" s="253" t="n"/>
      <c r="V151" s="253" t="n"/>
      <c r="W151" s="253" t="n"/>
      <c r="X151" s="253" t="n"/>
      <c r="Y151" s="253" t="n"/>
      <c r="Z151" s="253" t="n"/>
    </row>
    <row r="152">
      <c r="A152" s="253" t="n"/>
      <c r="B152" s="253" t="n"/>
      <c r="C152" s="253" t="n"/>
      <c r="D152" s="253" t="n"/>
      <c r="E152" s="253" t="n"/>
      <c r="F152" s="253" t="n"/>
      <c r="G152" s="253" t="n"/>
      <c r="H152" s="253" t="n"/>
      <c r="I152" s="253" t="n"/>
      <c r="J152" s="253" t="n"/>
      <c r="K152" s="253" t="n"/>
      <c r="L152" s="253" t="n"/>
      <c r="M152" s="253" t="n"/>
      <c r="N152" s="253" t="n"/>
      <c r="O152" s="253" t="n"/>
      <c r="P152" s="253" t="n"/>
      <c r="Q152" s="253" t="n"/>
      <c r="R152" s="253" t="n"/>
      <c r="S152" s="253" t="n"/>
      <c r="T152" s="253" t="n"/>
      <c r="U152" s="253" t="n"/>
      <c r="V152" s="253" t="n"/>
      <c r="W152" s="253" t="n"/>
      <c r="X152" s="253" t="n"/>
      <c r="Y152" s="253" t="n"/>
      <c r="Z152" s="253" t="n"/>
    </row>
    <row r="153">
      <c r="A153" s="253" t="n"/>
      <c r="B153" s="253" t="n"/>
      <c r="C153" s="253" t="n"/>
      <c r="D153" s="253" t="n"/>
      <c r="E153" s="253" t="n"/>
      <c r="F153" s="253" t="n"/>
      <c r="G153" s="253" t="n"/>
      <c r="H153" s="253" t="n"/>
      <c r="I153" s="253" t="n"/>
      <c r="J153" s="253" t="n"/>
      <c r="K153" s="253" t="n"/>
      <c r="L153" s="253" t="n"/>
      <c r="M153" s="253" t="n"/>
      <c r="N153" s="253" t="n"/>
      <c r="O153" s="253" t="n"/>
      <c r="P153" s="253" t="n"/>
      <c r="Q153" s="253" t="n"/>
      <c r="R153" s="253" t="n"/>
      <c r="S153" s="253" t="n"/>
      <c r="T153" s="253" t="n"/>
      <c r="U153" s="253" t="n"/>
      <c r="V153" s="253" t="n"/>
      <c r="W153" s="253" t="n"/>
      <c r="X153" s="253" t="n"/>
      <c r="Y153" s="253" t="n"/>
      <c r="Z153" s="253" t="n"/>
    </row>
    <row r="154">
      <c r="A154" s="253" t="n"/>
      <c r="B154" s="253" t="n"/>
      <c r="C154" s="253" t="n"/>
      <c r="D154" s="253" t="n"/>
      <c r="E154" s="253" t="n"/>
      <c r="F154" s="253" t="n"/>
      <c r="G154" s="253" t="n"/>
      <c r="H154" s="253" t="n"/>
      <c r="I154" s="253" t="n"/>
      <c r="J154" s="253" t="n"/>
      <c r="K154" s="253" t="n"/>
      <c r="L154" s="253" t="n"/>
      <c r="M154" s="253" t="n"/>
      <c r="N154" s="253" t="n"/>
      <c r="O154" s="253" t="n"/>
      <c r="P154" s="253" t="n"/>
      <c r="Q154" s="253" t="n"/>
      <c r="R154" s="253" t="n"/>
      <c r="S154" s="253" t="n"/>
      <c r="T154" s="253" t="n"/>
      <c r="U154" s="253" t="n"/>
      <c r="V154" s="253" t="n"/>
      <c r="W154" s="253" t="n"/>
      <c r="X154" s="253" t="n"/>
      <c r="Y154" s="253" t="n"/>
      <c r="Z154" s="253" t="n"/>
    </row>
    <row r="155">
      <c r="A155" s="253" t="n"/>
      <c r="B155" s="253" t="n"/>
      <c r="C155" s="253" t="n"/>
      <c r="D155" s="253" t="n"/>
      <c r="E155" s="253" t="n"/>
      <c r="F155" s="253" t="n"/>
      <c r="G155" s="253" t="n"/>
      <c r="H155" s="253" t="n"/>
      <c r="I155" s="253" t="n"/>
      <c r="J155" s="253" t="n"/>
      <c r="K155" s="253" t="n"/>
      <c r="L155" s="253" t="n"/>
      <c r="M155" s="253" t="n"/>
      <c r="N155" s="253" t="n"/>
      <c r="O155" s="253" t="n"/>
      <c r="P155" s="253" t="n"/>
      <c r="Q155" s="253" t="n"/>
      <c r="R155" s="253" t="n"/>
      <c r="S155" s="253" t="n"/>
      <c r="T155" s="253" t="n"/>
      <c r="U155" s="253" t="n"/>
      <c r="V155" s="253" t="n"/>
      <c r="W155" s="253" t="n"/>
      <c r="X155" s="253" t="n"/>
      <c r="Y155" s="253" t="n"/>
      <c r="Z155" s="253" t="n"/>
    </row>
    <row r="156">
      <c r="A156" s="253" t="n"/>
      <c r="B156" s="253" t="n"/>
      <c r="C156" s="253" t="n"/>
      <c r="D156" s="253" t="n"/>
      <c r="E156" s="253" t="n"/>
      <c r="F156" s="253" t="n"/>
      <c r="G156" s="253" t="n"/>
      <c r="H156" s="253" t="n"/>
      <c r="I156" s="253" t="n"/>
      <c r="J156" s="253" t="n"/>
      <c r="K156" s="253" t="n"/>
      <c r="L156" s="253" t="n"/>
      <c r="M156" s="253" t="n"/>
      <c r="N156" s="253" t="n"/>
      <c r="O156" s="253" t="n"/>
      <c r="P156" s="253" t="n"/>
      <c r="Q156" s="253" t="n"/>
      <c r="R156" s="253" t="n"/>
      <c r="S156" s="253" t="n"/>
      <c r="T156" s="253" t="n"/>
      <c r="U156" s="253" t="n"/>
      <c r="V156" s="253" t="n"/>
      <c r="W156" s="253" t="n"/>
      <c r="X156" s="253" t="n"/>
      <c r="Y156" s="253" t="n"/>
      <c r="Z156" s="253" t="n"/>
    </row>
    <row r="157">
      <c r="A157" s="253" t="n"/>
      <c r="B157" s="253" t="n"/>
      <c r="C157" s="253" t="n"/>
      <c r="D157" s="253" t="n"/>
      <c r="E157" s="253" t="n"/>
      <c r="F157" s="253" t="n"/>
      <c r="G157" s="253" t="n"/>
      <c r="H157" s="253" t="n"/>
      <c r="I157" s="253" t="n"/>
      <c r="J157" s="253" t="n"/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</row>
    <row r="158">
      <c r="A158" s="253" t="n"/>
      <c r="B158" s="253" t="n"/>
      <c r="C158" s="253" t="n"/>
      <c r="D158" s="253" t="n"/>
      <c r="E158" s="253" t="n"/>
      <c r="F158" s="253" t="n"/>
      <c r="G158" s="253" t="n"/>
      <c r="H158" s="253" t="n"/>
      <c r="I158" s="253" t="n"/>
      <c r="J158" s="253" t="n"/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</row>
    <row r="159">
      <c r="A159" s="253" t="n"/>
      <c r="B159" s="253" t="n"/>
      <c r="C159" s="253" t="n"/>
      <c r="D159" s="253" t="n"/>
      <c r="E159" s="253" t="n"/>
      <c r="F159" s="253" t="n"/>
      <c r="G159" s="253" t="n"/>
      <c r="H159" s="253" t="n"/>
      <c r="I159" s="253" t="n"/>
      <c r="J159" s="253" t="n"/>
      <c r="K159" s="253" t="n"/>
      <c r="L159" s="253" t="n"/>
      <c r="M159" s="253" t="n"/>
      <c r="N159" s="253" t="n"/>
      <c r="O159" s="253" t="n"/>
      <c r="P159" s="253" t="n"/>
      <c r="Q159" s="253" t="n"/>
      <c r="R159" s="253" t="n"/>
      <c r="S159" s="253" t="n"/>
      <c r="T159" s="253" t="n"/>
      <c r="U159" s="253" t="n"/>
      <c r="V159" s="253" t="n"/>
      <c r="W159" s="253" t="n"/>
      <c r="X159" s="253" t="n"/>
      <c r="Y159" s="253" t="n"/>
      <c r="Z159" s="253" t="n"/>
    </row>
    <row r="160">
      <c r="A160" s="253" t="n"/>
      <c r="B160" s="253" t="n"/>
      <c r="C160" s="253" t="n"/>
      <c r="D160" s="253" t="n"/>
      <c r="E160" s="253" t="n"/>
      <c r="F160" s="253" t="n"/>
      <c r="G160" s="253" t="n"/>
      <c r="H160" s="253" t="n"/>
      <c r="I160" s="253" t="n"/>
      <c r="J160" s="253" t="n"/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</row>
    <row r="161">
      <c r="A161" s="253" t="n"/>
      <c r="B161" s="253" t="n"/>
      <c r="C161" s="253" t="n"/>
      <c r="D161" s="253" t="n"/>
      <c r="E161" s="253" t="n"/>
      <c r="F161" s="253" t="n"/>
      <c r="G161" s="253" t="n"/>
      <c r="H161" s="253" t="n"/>
      <c r="I161" s="253" t="n"/>
      <c r="J161" s="253" t="n"/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</row>
    <row r="162">
      <c r="A162" s="253" t="n"/>
      <c r="B162" s="253" t="n"/>
      <c r="C162" s="253" t="n"/>
      <c r="D162" s="253" t="n"/>
      <c r="E162" s="253" t="n"/>
      <c r="F162" s="253" t="n"/>
      <c r="G162" s="253" t="n"/>
      <c r="H162" s="253" t="n"/>
      <c r="I162" s="253" t="n"/>
      <c r="J162" s="253" t="n"/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</row>
    <row r="163">
      <c r="A163" s="253" t="n"/>
      <c r="B163" s="253" t="n"/>
      <c r="C163" s="253" t="n"/>
      <c r="D163" s="253" t="n"/>
      <c r="E163" s="253" t="n"/>
      <c r="F163" s="253" t="n"/>
      <c r="G163" s="253" t="n"/>
      <c r="H163" s="253" t="n"/>
      <c r="I163" s="253" t="n"/>
      <c r="J163" s="253" t="n"/>
      <c r="K163" s="253" t="n"/>
      <c r="L163" s="253" t="n"/>
      <c r="M163" s="253" t="n"/>
      <c r="N163" s="253" t="n"/>
      <c r="O163" s="253" t="n"/>
      <c r="P163" s="253" t="n"/>
      <c r="Q163" s="253" t="n"/>
      <c r="R163" s="253" t="n"/>
      <c r="S163" s="253" t="n"/>
      <c r="T163" s="253" t="n"/>
      <c r="U163" s="253" t="n"/>
      <c r="V163" s="253" t="n"/>
      <c r="W163" s="253" t="n"/>
      <c r="X163" s="253" t="n"/>
      <c r="Y163" s="253" t="n"/>
      <c r="Z163" s="253" t="n"/>
    </row>
    <row r="164">
      <c r="A164" s="253" t="n"/>
      <c r="B164" s="253" t="n"/>
      <c r="C164" s="253" t="n"/>
      <c r="D164" s="253" t="n"/>
      <c r="E164" s="253" t="n"/>
      <c r="F164" s="253" t="n"/>
      <c r="G164" s="253" t="n"/>
      <c r="H164" s="253" t="n"/>
      <c r="I164" s="253" t="n"/>
      <c r="J164" s="253" t="n"/>
      <c r="K164" s="253" t="n"/>
      <c r="L164" s="253" t="n"/>
      <c r="M164" s="253" t="n"/>
      <c r="N164" s="253" t="n"/>
      <c r="O164" s="253" t="n"/>
      <c r="P164" s="253" t="n"/>
      <c r="Q164" s="253" t="n"/>
      <c r="R164" s="253" t="n"/>
      <c r="S164" s="253" t="n"/>
      <c r="T164" s="253" t="n"/>
      <c r="U164" s="253" t="n"/>
      <c r="V164" s="253" t="n"/>
      <c r="W164" s="253" t="n"/>
      <c r="X164" s="253" t="n"/>
      <c r="Y164" s="253" t="n"/>
      <c r="Z164" s="253" t="n"/>
    </row>
    <row r="165">
      <c r="A165" s="253" t="n"/>
      <c r="B165" s="253" t="n"/>
      <c r="C165" s="253" t="n"/>
      <c r="D165" s="253" t="n"/>
      <c r="E165" s="253" t="n"/>
      <c r="F165" s="253" t="n"/>
      <c r="G165" s="253" t="n"/>
      <c r="H165" s="253" t="n"/>
      <c r="I165" s="253" t="n"/>
      <c r="J165" s="253" t="n"/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</row>
    <row r="166">
      <c r="A166" s="253" t="n"/>
      <c r="B166" s="253" t="n"/>
      <c r="C166" s="253" t="n"/>
      <c r="D166" s="253" t="n"/>
      <c r="E166" s="253" t="n"/>
      <c r="F166" s="253" t="n"/>
      <c r="G166" s="253" t="n"/>
      <c r="H166" s="253" t="n"/>
      <c r="I166" s="253" t="n"/>
      <c r="J166" s="253" t="n"/>
      <c r="K166" s="253" t="n"/>
      <c r="L166" s="253" t="n"/>
      <c r="M166" s="253" t="n"/>
      <c r="N166" s="253" t="n"/>
      <c r="O166" s="253" t="n"/>
      <c r="P166" s="253" t="n"/>
      <c r="Q166" s="253" t="n"/>
      <c r="R166" s="253" t="n"/>
      <c r="S166" s="253" t="n"/>
      <c r="T166" s="253" t="n"/>
      <c r="U166" s="253" t="n"/>
      <c r="V166" s="253" t="n"/>
      <c r="W166" s="253" t="n"/>
      <c r="X166" s="253" t="n"/>
      <c r="Y166" s="253" t="n"/>
      <c r="Z166" s="253" t="n"/>
    </row>
    <row r="167">
      <c r="A167" s="253" t="n"/>
      <c r="B167" s="253" t="n"/>
      <c r="C167" s="253" t="n"/>
      <c r="D167" s="253" t="n"/>
      <c r="E167" s="253" t="n"/>
      <c r="F167" s="253" t="n"/>
      <c r="G167" s="253" t="n"/>
      <c r="H167" s="253" t="n"/>
      <c r="I167" s="253" t="n"/>
      <c r="J167" s="253" t="n"/>
      <c r="K167" s="253" t="n"/>
      <c r="L167" s="253" t="n"/>
      <c r="M167" s="253" t="n"/>
      <c r="N167" s="253" t="n"/>
      <c r="O167" s="253" t="n"/>
      <c r="P167" s="253" t="n"/>
      <c r="Q167" s="253" t="n"/>
      <c r="R167" s="253" t="n"/>
      <c r="S167" s="253" t="n"/>
      <c r="T167" s="253" t="n"/>
      <c r="U167" s="253" t="n"/>
      <c r="V167" s="253" t="n"/>
      <c r="W167" s="253" t="n"/>
      <c r="X167" s="253" t="n"/>
      <c r="Y167" s="253" t="n"/>
      <c r="Z167" s="253" t="n"/>
    </row>
    <row r="168">
      <c r="A168" s="253" t="n"/>
      <c r="B168" s="253" t="n"/>
      <c r="C168" s="253" t="n"/>
      <c r="D168" s="253" t="n"/>
      <c r="E168" s="253" t="n"/>
      <c r="F168" s="253" t="n"/>
      <c r="G168" s="253" t="n"/>
      <c r="H168" s="253" t="n"/>
      <c r="I168" s="253" t="n"/>
      <c r="J168" s="253" t="n"/>
      <c r="K168" s="253" t="n"/>
      <c r="L168" s="253" t="n"/>
      <c r="M168" s="253" t="n"/>
      <c r="N168" s="253" t="n"/>
      <c r="O168" s="253" t="n"/>
      <c r="P168" s="253" t="n"/>
      <c r="Q168" s="253" t="n"/>
      <c r="R168" s="253" t="n"/>
      <c r="S168" s="253" t="n"/>
      <c r="T168" s="253" t="n"/>
      <c r="U168" s="253" t="n"/>
      <c r="V168" s="253" t="n"/>
      <c r="W168" s="253" t="n"/>
      <c r="X168" s="253" t="n"/>
      <c r="Y168" s="253" t="n"/>
      <c r="Z168" s="253" t="n"/>
    </row>
    <row r="169">
      <c r="A169" s="253" t="n"/>
      <c r="B169" s="253" t="n"/>
      <c r="C169" s="253" t="n"/>
      <c r="D169" s="253" t="n"/>
      <c r="E169" s="253" t="n"/>
      <c r="F169" s="253" t="n"/>
      <c r="G169" s="253" t="n"/>
      <c r="H169" s="253" t="n"/>
      <c r="I169" s="253" t="n"/>
      <c r="J169" s="253" t="n"/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</row>
    <row r="170">
      <c r="A170" s="253" t="n"/>
      <c r="B170" s="253" t="n"/>
      <c r="C170" s="253" t="n"/>
      <c r="D170" s="253" t="n"/>
      <c r="E170" s="253" t="n"/>
      <c r="F170" s="253" t="n"/>
      <c r="G170" s="253" t="n"/>
      <c r="H170" s="253" t="n"/>
      <c r="I170" s="253" t="n"/>
      <c r="J170" s="253" t="n"/>
      <c r="K170" s="253" t="n"/>
      <c r="L170" s="253" t="n"/>
      <c r="M170" s="253" t="n"/>
      <c r="N170" s="253" t="n"/>
      <c r="O170" s="253" t="n"/>
      <c r="P170" s="253" t="n"/>
      <c r="Q170" s="253" t="n"/>
      <c r="R170" s="253" t="n"/>
      <c r="S170" s="253" t="n"/>
      <c r="T170" s="253" t="n"/>
      <c r="U170" s="253" t="n"/>
      <c r="V170" s="253" t="n"/>
      <c r="W170" s="253" t="n"/>
      <c r="X170" s="253" t="n"/>
      <c r="Y170" s="253" t="n"/>
      <c r="Z170" s="253" t="n"/>
    </row>
    <row r="171">
      <c r="A171" s="253" t="n"/>
      <c r="B171" s="253" t="n"/>
      <c r="C171" s="253" t="n"/>
      <c r="D171" s="253" t="n"/>
      <c r="E171" s="253" t="n"/>
      <c r="F171" s="253" t="n"/>
      <c r="G171" s="253" t="n"/>
      <c r="H171" s="253" t="n"/>
      <c r="I171" s="253" t="n"/>
      <c r="J171" s="253" t="n"/>
      <c r="K171" s="253" t="n"/>
      <c r="L171" s="253" t="n"/>
      <c r="M171" s="253" t="n"/>
      <c r="N171" s="253" t="n"/>
      <c r="O171" s="253" t="n"/>
      <c r="P171" s="253" t="n"/>
      <c r="Q171" s="253" t="n"/>
      <c r="R171" s="253" t="n"/>
      <c r="S171" s="253" t="n"/>
      <c r="T171" s="253" t="n"/>
      <c r="U171" s="253" t="n"/>
      <c r="V171" s="253" t="n"/>
      <c r="W171" s="253" t="n"/>
      <c r="X171" s="253" t="n"/>
      <c r="Y171" s="253" t="n"/>
      <c r="Z171" s="253" t="n"/>
    </row>
    <row r="172">
      <c r="A172" s="253" t="n"/>
      <c r="B172" s="253" t="n"/>
      <c r="C172" s="253" t="n"/>
      <c r="D172" s="253" t="n"/>
      <c r="E172" s="253" t="n"/>
      <c r="F172" s="253" t="n"/>
      <c r="G172" s="253" t="n"/>
      <c r="H172" s="253" t="n"/>
      <c r="I172" s="253" t="n"/>
      <c r="J172" s="253" t="n"/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</row>
    <row r="173">
      <c r="A173" s="253" t="n"/>
      <c r="B173" s="253" t="n"/>
      <c r="C173" s="253" t="n"/>
      <c r="D173" s="253" t="n"/>
      <c r="E173" s="253" t="n"/>
      <c r="F173" s="253" t="n"/>
      <c r="G173" s="253" t="n"/>
      <c r="H173" s="253" t="n"/>
      <c r="I173" s="253" t="n"/>
      <c r="J173" s="253" t="n"/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</row>
    <row r="174">
      <c r="A174" s="253" t="n"/>
      <c r="B174" s="253" t="n"/>
      <c r="C174" s="253" t="n"/>
      <c r="D174" s="253" t="n"/>
      <c r="E174" s="253" t="n"/>
      <c r="F174" s="253" t="n"/>
      <c r="G174" s="253" t="n"/>
      <c r="H174" s="253" t="n"/>
      <c r="I174" s="253" t="n"/>
      <c r="J174" s="253" t="n"/>
      <c r="K174" s="253" t="n"/>
      <c r="L174" s="253" t="n"/>
      <c r="M174" s="253" t="n"/>
      <c r="N174" s="253" t="n"/>
      <c r="O174" s="253" t="n"/>
      <c r="P174" s="253" t="n"/>
      <c r="Q174" s="253" t="n"/>
      <c r="R174" s="253" t="n"/>
      <c r="S174" s="253" t="n"/>
      <c r="T174" s="253" t="n"/>
      <c r="U174" s="253" t="n"/>
      <c r="V174" s="253" t="n"/>
      <c r="W174" s="253" t="n"/>
      <c r="X174" s="253" t="n"/>
      <c r="Y174" s="253" t="n"/>
      <c r="Z174" s="253" t="n"/>
    </row>
    <row r="175">
      <c r="A175" s="253" t="n"/>
      <c r="B175" s="253" t="n"/>
      <c r="C175" s="253" t="n"/>
      <c r="D175" s="253" t="n"/>
      <c r="E175" s="253" t="n"/>
      <c r="F175" s="253" t="n"/>
      <c r="G175" s="253" t="n"/>
      <c r="H175" s="253" t="n"/>
      <c r="I175" s="253" t="n"/>
      <c r="J175" s="253" t="n"/>
      <c r="K175" s="253" t="n"/>
      <c r="L175" s="253" t="n"/>
      <c r="M175" s="253" t="n"/>
      <c r="N175" s="253" t="n"/>
      <c r="O175" s="253" t="n"/>
      <c r="P175" s="253" t="n"/>
      <c r="Q175" s="253" t="n"/>
      <c r="R175" s="253" t="n"/>
      <c r="S175" s="253" t="n"/>
      <c r="T175" s="253" t="n"/>
      <c r="U175" s="253" t="n"/>
      <c r="V175" s="253" t="n"/>
      <c r="W175" s="253" t="n"/>
      <c r="X175" s="253" t="n"/>
      <c r="Y175" s="253" t="n"/>
      <c r="Z175" s="253" t="n"/>
    </row>
    <row r="176">
      <c r="A176" s="253" t="n"/>
      <c r="B176" s="253" t="n"/>
      <c r="C176" s="253" t="n"/>
      <c r="D176" s="253" t="n"/>
      <c r="E176" s="253" t="n"/>
      <c r="F176" s="253" t="n"/>
      <c r="G176" s="253" t="n"/>
      <c r="H176" s="253" t="n"/>
      <c r="I176" s="253" t="n"/>
      <c r="J176" s="253" t="n"/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</row>
    <row r="177">
      <c r="A177" s="253" t="n"/>
      <c r="B177" s="253" t="n"/>
      <c r="C177" s="253" t="n"/>
      <c r="D177" s="253" t="n"/>
      <c r="E177" s="253" t="n"/>
      <c r="F177" s="253" t="n"/>
      <c r="G177" s="253" t="n"/>
      <c r="H177" s="253" t="n"/>
      <c r="I177" s="253" t="n"/>
      <c r="J177" s="253" t="n"/>
      <c r="K177" s="253" t="n"/>
      <c r="L177" s="253" t="n"/>
      <c r="M177" s="253" t="n"/>
      <c r="N177" s="253" t="n"/>
      <c r="O177" s="253" t="n"/>
      <c r="P177" s="253" t="n"/>
      <c r="Q177" s="253" t="n"/>
      <c r="R177" s="253" t="n"/>
      <c r="S177" s="253" t="n"/>
      <c r="T177" s="253" t="n"/>
      <c r="U177" s="253" t="n"/>
      <c r="V177" s="253" t="n"/>
      <c r="W177" s="253" t="n"/>
      <c r="X177" s="253" t="n"/>
      <c r="Y177" s="253" t="n"/>
      <c r="Z177" s="253" t="n"/>
    </row>
    <row r="178">
      <c r="A178" s="253" t="n"/>
      <c r="B178" s="253" t="n"/>
      <c r="C178" s="253" t="n"/>
      <c r="D178" s="253" t="n"/>
      <c r="E178" s="253" t="n"/>
      <c r="F178" s="253" t="n"/>
      <c r="G178" s="253" t="n"/>
      <c r="H178" s="253" t="n"/>
      <c r="I178" s="253" t="n"/>
      <c r="J178" s="253" t="n"/>
      <c r="K178" s="253" t="n"/>
      <c r="L178" s="253" t="n"/>
      <c r="M178" s="253" t="n"/>
      <c r="N178" s="253" t="n"/>
      <c r="O178" s="253" t="n"/>
      <c r="P178" s="253" t="n"/>
      <c r="Q178" s="253" t="n"/>
      <c r="R178" s="253" t="n"/>
      <c r="S178" s="253" t="n"/>
      <c r="T178" s="253" t="n"/>
      <c r="U178" s="253" t="n"/>
      <c r="V178" s="253" t="n"/>
      <c r="W178" s="253" t="n"/>
      <c r="X178" s="253" t="n"/>
      <c r="Y178" s="253" t="n"/>
      <c r="Z178" s="253" t="n"/>
    </row>
    <row r="179">
      <c r="A179" s="253" t="n"/>
      <c r="B179" s="253" t="n"/>
      <c r="C179" s="253" t="n"/>
      <c r="D179" s="253" t="n"/>
      <c r="E179" s="253" t="n"/>
      <c r="F179" s="253" t="n"/>
      <c r="G179" s="253" t="n"/>
      <c r="H179" s="253" t="n"/>
      <c r="I179" s="253" t="n"/>
      <c r="J179" s="253" t="n"/>
      <c r="K179" s="253" t="n"/>
      <c r="L179" s="253" t="n"/>
      <c r="M179" s="253" t="n"/>
      <c r="N179" s="253" t="n"/>
      <c r="O179" s="253" t="n"/>
      <c r="P179" s="253" t="n"/>
      <c r="Q179" s="253" t="n"/>
      <c r="R179" s="253" t="n"/>
      <c r="S179" s="253" t="n"/>
      <c r="T179" s="253" t="n"/>
      <c r="U179" s="253" t="n"/>
      <c r="V179" s="253" t="n"/>
      <c r="W179" s="253" t="n"/>
      <c r="X179" s="253" t="n"/>
      <c r="Y179" s="253" t="n"/>
      <c r="Z179" s="253" t="n"/>
    </row>
    <row r="180">
      <c r="A180" s="253" t="n"/>
      <c r="B180" s="253" t="n"/>
      <c r="C180" s="253" t="n"/>
      <c r="D180" s="253" t="n"/>
      <c r="E180" s="253" t="n"/>
      <c r="F180" s="253" t="n"/>
      <c r="G180" s="253" t="n"/>
      <c r="H180" s="253" t="n"/>
      <c r="I180" s="253" t="n"/>
      <c r="J180" s="253" t="n"/>
      <c r="K180" s="253" t="n"/>
      <c r="L180" s="253" t="n"/>
      <c r="M180" s="253" t="n"/>
      <c r="N180" s="253" t="n"/>
      <c r="O180" s="253" t="n"/>
      <c r="P180" s="253" t="n"/>
      <c r="Q180" s="253" t="n"/>
      <c r="R180" s="253" t="n"/>
      <c r="S180" s="253" t="n"/>
      <c r="T180" s="253" t="n"/>
      <c r="U180" s="253" t="n"/>
      <c r="V180" s="253" t="n"/>
      <c r="W180" s="253" t="n"/>
      <c r="X180" s="253" t="n"/>
      <c r="Y180" s="253" t="n"/>
      <c r="Z180" s="253" t="n"/>
    </row>
    <row r="181">
      <c r="A181" s="253" t="n"/>
      <c r="B181" s="253" t="n"/>
      <c r="C181" s="253" t="n"/>
      <c r="D181" s="253" t="n"/>
      <c r="E181" s="253" t="n"/>
      <c r="F181" s="253" t="n"/>
      <c r="G181" s="253" t="n"/>
      <c r="H181" s="253" t="n"/>
      <c r="I181" s="253" t="n"/>
      <c r="J181" s="253" t="n"/>
      <c r="K181" s="253" t="n"/>
      <c r="L181" s="253" t="n"/>
      <c r="M181" s="253" t="n"/>
      <c r="N181" s="253" t="n"/>
      <c r="O181" s="253" t="n"/>
      <c r="P181" s="253" t="n"/>
      <c r="Q181" s="253" t="n"/>
      <c r="R181" s="253" t="n"/>
      <c r="S181" s="253" t="n"/>
      <c r="T181" s="253" t="n"/>
      <c r="U181" s="253" t="n"/>
      <c r="V181" s="253" t="n"/>
      <c r="W181" s="253" t="n"/>
      <c r="X181" s="253" t="n"/>
      <c r="Y181" s="253" t="n"/>
      <c r="Z181" s="253" t="n"/>
    </row>
    <row r="182">
      <c r="A182" s="253" t="n"/>
      <c r="B182" s="253" t="n"/>
      <c r="C182" s="253" t="n"/>
      <c r="D182" s="253" t="n"/>
      <c r="E182" s="253" t="n"/>
      <c r="F182" s="253" t="n"/>
      <c r="G182" s="253" t="n"/>
      <c r="H182" s="253" t="n"/>
      <c r="I182" s="253" t="n"/>
      <c r="J182" s="253" t="n"/>
      <c r="K182" s="253" t="n"/>
      <c r="L182" s="253" t="n"/>
      <c r="M182" s="253" t="n"/>
      <c r="N182" s="253" t="n"/>
      <c r="O182" s="253" t="n"/>
      <c r="P182" s="253" t="n"/>
      <c r="Q182" s="253" t="n"/>
      <c r="R182" s="253" t="n"/>
      <c r="S182" s="253" t="n"/>
      <c r="T182" s="253" t="n"/>
      <c r="U182" s="253" t="n"/>
      <c r="V182" s="253" t="n"/>
      <c r="W182" s="253" t="n"/>
      <c r="X182" s="253" t="n"/>
      <c r="Y182" s="253" t="n"/>
      <c r="Z182" s="253" t="n"/>
    </row>
    <row r="183">
      <c r="A183" s="253" t="n"/>
      <c r="B183" s="253" t="n"/>
      <c r="C183" s="253" t="n"/>
      <c r="D183" s="253" t="n"/>
      <c r="E183" s="253" t="n"/>
      <c r="F183" s="253" t="n"/>
      <c r="G183" s="253" t="n"/>
      <c r="H183" s="253" t="n"/>
      <c r="I183" s="253" t="n"/>
      <c r="J183" s="253" t="n"/>
      <c r="K183" s="253" t="n"/>
      <c r="L183" s="253" t="n"/>
      <c r="M183" s="253" t="n"/>
      <c r="N183" s="253" t="n"/>
      <c r="O183" s="253" t="n"/>
      <c r="P183" s="253" t="n"/>
      <c r="Q183" s="253" t="n"/>
      <c r="R183" s="253" t="n"/>
      <c r="S183" s="253" t="n"/>
      <c r="T183" s="253" t="n"/>
      <c r="U183" s="253" t="n"/>
      <c r="V183" s="253" t="n"/>
      <c r="W183" s="253" t="n"/>
      <c r="X183" s="253" t="n"/>
      <c r="Y183" s="253" t="n"/>
      <c r="Z183" s="253" t="n"/>
    </row>
    <row r="184">
      <c r="A184" s="253" t="n"/>
      <c r="B184" s="253" t="n"/>
      <c r="C184" s="253" t="n"/>
      <c r="D184" s="253" t="n"/>
      <c r="E184" s="253" t="n"/>
      <c r="F184" s="253" t="n"/>
      <c r="G184" s="253" t="n"/>
      <c r="H184" s="253" t="n"/>
      <c r="I184" s="253" t="n"/>
      <c r="J184" s="253" t="n"/>
      <c r="K184" s="253" t="n"/>
      <c r="L184" s="253" t="n"/>
      <c r="M184" s="253" t="n"/>
      <c r="N184" s="253" t="n"/>
      <c r="O184" s="253" t="n"/>
      <c r="P184" s="253" t="n"/>
      <c r="Q184" s="253" t="n"/>
      <c r="R184" s="253" t="n"/>
      <c r="S184" s="253" t="n"/>
      <c r="T184" s="253" t="n"/>
      <c r="U184" s="253" t="n"/>
      <c r="V184" s="253" t="n"/>
      <c r="W184" s="253" t="n"/>
      <c r="X184" s="253" t="n"/>
      <c r="Y184" s="253" t="n"/>
      <c r="Z184" s="253" t="n"/>
    </row>
    <row r="185">
      <c r="A185" s="253" t="n"/>
      <c r="B185" s="253" t="n"/>
      <c r="C185" s="253" t="n"/>
      <c r="D185" s="253" t="n"/>
      <c r="E185" s="253" t="n"/>
      <c r="F185" s="253" t="n"/>
      <c r="G185" s="253" t="n"/>
      <c r="H185" s="253" t="n"/>
      <c r="I185" s="253" t="n"/>
      <c r="J185" s="253" t="n"/>
      <c r="K185" s="253" t="n"/>
      <c r="L185" s="253" t="n"/>
      <c r="M185" s="253" t="n"/>
      <c r="N185" s="253" t="n"/>
      <c r="O185" s="253" t="n"/>
      <c r="P185" s="253" t="n"/>
      <c r="Q185" s="253" t="n"/>
      <c r="R185" s="253" t="n"/>
      <c r="S185" s="253" t="n"/>
      <c r="T185" s="253" t="n"/>
      <c r="U185" s="253" t="n"/>
      <c r="V185" s="253" t="n"/>
      <c r="W185" s="253" t="n"/>
      <c r="X185" s="253" t="n"/>
      <c r="Y185" s="253" t="n"/>
      <c r="Z185" s="253" t="n"/>
    </row>
    <row r="186">
      <c r="A186" s="253" t="n"/>
      <c r="B186" s="253" t="n"/>
      <c r="C186" s="253" t="n"/>
      <c r="D186" s="253" t="n"/>
      <c r="E186" s="253" t="n"/>
      <c r="F186" s="253" t="n"/>
      <c r="G186" s="253" t="n"/>
      <c r="H186" s="253" t="n"/>
      <c r="I186" s="253" t="n"/>
      <c r="J186" s="253" t="n"/>
      <c r="K186" s="253" t="n"/>
      <c r="L186" s="253" t="n"/>
      <c r="M186" s="253" t="n"/>
      <c r="N186" s="253" t="n"/>
      <c r="O186" s="253" t="n"/>
      <c r="P186" s="253" t="n"/>
      <c r="Q186" s="253" t="n"/>
      <c r="R186" s="253" t="n"/>
      <c r="S186" s="253" t="n"/>
      <c r="T186" s="253" t="n"/>
      <c r="U186" s="253" t="n"/>
      <c r="V186" s="253" t="n"/>
      <c r="W186" s="253" t="n"/>
      <c r="X186" s="253" t="n"/>
      <c r="Y186" s="253" t="n"/>
      <c r="Z186" s="253" t="n"/>
    </row>
    <row r="187">
      <c r="A187" s="253" t="n"/>
      <c r="B187" s="253" t="n"/>
      <c r="C187" s="253" t="n"/>
      <c r="D187" s="253" t="n"/>
      <c r="E187" s="253" t="n"/>
      <c r="F187" s="253" t="n"/>
      <c r="G187" s="253" t="n"/>
      <c r="H187" s="253" t="n"/>
      <c r="I187" s="253" t="n"/>
      <c r="J187" s="253" t="n"/>
      <c r="K187" s="253" t="n"/>
      <c r="L187" s="253" t="n"/>
      <c r="M187" s="253" t="n"/>
      <c r="N187" s="253" t="n"/>
      <c r="O187" s="253" t="n"/>
      <c r="P187" s="253" t="n"/>
      <c r="Q187" s="253" t="n"/>
      <c r="R187" s="253" t="n"/>
      <c r="S187" s="253" t="n"/>
      <c r="T187" s="253" t="n"/>
      <c r="U187" s="253" t="n"/>
      <c r="V187" s="253" t="n"/>
      <c r="W187" s="253" t="n"/>
      <c r="X187" s="253" t="n"/>
      <c r="Y187" s="253" t="n"/>
      <c r="Z187" s="253" t="n"/>
    </row>
    <row r="188">
      <c r="A188" s="253" t="n"/>
      <c r="B188" s="253" t="n"/>
      <c r="C188" s="253" t="n"/>
      <c r="D188" s="253" t="n"/>
      <c r="E188" s="253" t="n"/>
      <c r="F188" s="253" t="n"/>
      <c r="G188" s="253" t="n"/>
      <c r="H188" s="253" t="n"/>
      <c r="I188" s="253" t="n"/>
      <c r="J188" s="253" t="n"/>
      <c r="K188" s="253" t="n"/>
      <c r="L188" s="253" t="n"/>
      <c r="M188" s="253" t="n"/>
      <c r="N188" s="253" t="n"/>
      <c r="O188" s="253" t="n"/>
      <c r="P188" s="253" t="n"/>
      <c r="Q188" s="253" t="n"/>
      <c r="R188" s="253" t="n"/>
      <c r="S188" s="253" t="n"/>
      <c r="T188" s="253" t="n"/>
      <c r="U188" s="253" t="n"/>
      <c r="V188" s="253" t="n"/>
      <c r="W188" s="253" t="n"/>
      <c r="X188" s="253" t="n"/>
      <c r="Y188" s="253" t="n"/>
      <c r="Z188" s="253" t="n"/>
    </row>
    <row r="189">
      <c r="A189" s="253" t="n"/>
      <c r="B189" s="253" t="n"/>
      <c r="C189" s="253" t="n"/>
      <c r="D189" s="253" t="n"/>
      <c r="E189" s="253" t="n"/>
      <c r="F189" s="253" t="n"/>
      <c r="G189" s="253" t="n"/>
      <c r="H189" s="253" t="n"/>
      <c r="I189" s="253" t="n"/>
      <c r="J189" s="253" t="n"/>
      <c r="K189" s="253" t="n"/>
      <c r="L189" s="253" t="n"/>
      <c r="M189" s="253" t="n"/>
      <c r="N189" s="253" t="n"/>
      <c r="O189" s="253" t="n"/>
      <c r="P189" s="253" t="n"/>
      <c r="Q189" s="253" t="n"/>
      <c r="R189" s="253" t="n"/>
      <c r="S189" s="253" t="n"/>
      <c r="T189" s="253" t="n"/>
      <c r="U189" s="253" t="n"/>
      <c r="V189" s="253" t="n"/>
      <c r="W189" s="253" t="n"/>
      <c r="X189" s="253" t="n"/>
      <c r="Y189" s="253" t="n"/>
      <c r="Z189" s="253" t="n"/>
    </row>
    <row r="190">
      <c r="A190" s="253" t="n"/>
      <c r="B190" s="253" t="n"/>
      <c r="C190" s="253" t="n"/>
      <c r="D190" s="253" t="n"/>
      <c r="E190" s="253" t="n"/>
      <c r="F190" s="253" t="n"/>
      <c r="G190" s="253" t="n"/>
      <c r="H190" s="253" t="n"/>
      <c r="I190" s="253" t="n"/>
      <c r="J190" s="253" t="n"/>
      <c r="K190" s="253" t="n"/>
      <c r="L190" s="253" t="n"/>
      <c r="M190" s="253" t="n"/>
      <c r="N190" s="253" t="n"/>
      <c r="O190" s="253" t="n"/>
      <c r="P190" s="253" t="n"/>
      <c r="Q190" s="253" t="n"/>
      <c r="R190" s="253" t="n"/>
      <c r="S190" s="253" t="n"/>
      <c r="T190" s="253" t="n"/>
      <c r="U190" s="253" t="n"/>
      <c r="V190" s="253" t="n"/>
      <c r="W190" s="253" t="n"/>
      <c r="X190" s="253" t="n"/>
      <c r="Y190" s="253" t="n"/>
      <c r="Z190" s="253" t="n"/>
    </row>
    <row r="191">
      <c r="A191" s="253" t="n"/>
      <c r="B191" s="253" t="n"/>
      <c r="C191" s="253" t="n"/>
      <c r="D191" s="253" t="n"/>
      <c r="E191" s="253" t="n"/>
      <c r="F191" s="253" t="n"/>
      <c r="G191" s="253" t="n"/>
      <c r="H191" s="253" t="n"/>
      <c r="I191" s="253" t="n"/>
      <c r="J191" s="253" t="n"/>
      <c r="K191" s="253" t="n"/>
      <c r="L191" s="253" t="n"/>
      <c r="M191" s="253" t="n"/>
      <c r="N191" s="253" t="n"/>
      <c r="O191" s="253" t="n"/>
      <c r="P191" s="253" t="n"/>
      <c r="Q191" s="253" t="n"/>
      <c r="R191" s="253" t="n"/>
      <c r="S191" s="253" t="n"/>
      <c r="T191" s="253" t="n"/>
      <c r="U191" s="253" t="n"/>
      <c r="V191" s="253" t="n"/>
      <c r="W191" s="253" t="n"/>
      <c r="X191" s="253" t="n"/>
      <c r="Y191" s="253" t="n"/>
      <c r="Z191" s="253" t="n"/>
    </row>
    <row r="192">
      <c r="A192" s="253" t="n"/>
      <c r="B192" s="253" t="n"/>
      <c r="C192" s="253" t="n"/>
      <c r="D192" s="253" t="n"/>
      <c r="E192" s="253" t="n"/>
      <c r="F192" s="253" t="n"/>
      <c r="G192" s="253" t="n"/>
      <c r="H192" s="253" t="n"/>
      <c r="I192" s="253" t="n"/>
      <c r="J192" s="253" t="n"/>
      <c r="K192" s="253" t="n"/>
      <c r="L192" s="253" t="n"/>
      <c r="M192" s="253" t="n"/>
      <c r="N192" s="253" t="n"/>
      <c r="O192" s="253" t="n"/>
      <c r="P192" s="253" t="n"/>
      <c r="Q192" s="253" t="n"/>
      <c r="R192" s="253" t="n"/>
      <c r="S192" s="253" t="n"/>
      <c r="T192" s="253" t="n"/>
      <c r="U192" s="253" t="n"/>
      <c r="V192" s="253" t="n"/>
      <c r="W192" s="253" t="n"/>
      <c r="X192" s="253" t="n"/>
      <c r="Y192" s="253" t="n"/>
      <c r="Z192" s="253" t="n"/>
    </row>
    <row r="193">
      <c r="A193" s="253" t="n"/>
      <c r="B193" s="253" t="n"/>
      <c r="C193" s="253" t="n"/>
      <c r="D193" s="253" t="n"/>
      <c r="E193" s="253" t="n"/>
      <c r="F193" s="253" t="n"/>
      <c r="G193" s="253" t="n"/>
      <c r="H193" s="253" t="n"/>
      <c r="I193" s="253" t="n"/>
      <c r="J193" s="253" t="n"/>
      <c r="K193" s="253" t="n"/>
      <c r="L193" s="253" t="n"/>
      <c r="M193" s="253" t="n"/>
      <c r="N193" s="253" t="n"/>
      <c r="O193" s="253" t="n"/>
      <c r="P193" s="253" t="n"/>
      <c r="Q193" s="253" t="n"/>
      <c r="R193" s="253" t="n"/>
      <c r="S193" s="253" t="n"/>
      <c r="T193" s="253" t="n"/>
      <c r="U193" s="253" t="n"/>
      <c r="V193" s="253" t="n"/>
      <c r="W193" s="253" t="n"/>
      <c r="X193" s="253" t="n"/>
      <c r="Y193" s="253" t="n"/>
      <c r="Z193" s="253" t="n"/>
    </row>
    <row r="194">
      <c r="A194" s="253" t="n"/>
      <c r="B194" s="253" t="n"/>
      <c r="C194" s="253" t="n"/>
      <c r="D194" s="253" t="n"/>
      <c r="E194" s="253" t="n"/>
      <c r="F194" s="253" t="n"/>
      <c r="G194" s="253" t="n"/>
      <c r="H194" s="253" t="n"/>
      <c r="I194" s="253" t="n"/>
      <c r="J194" s="253" t="n"/>
      <c r="K194" s="253" t="n"/>
      <c r="L194" s="253" t="n"/>
      <c r="M194" s="253" t="n"/>
      <c r="N194" s="253" t="n"/>
      <c r="O194" s="253" t="n"/>
      <c r="P194" s="253" t="n"/>
      <c r="Q194" s="253" t="n"/>
      <c r="R194" s="253" t="n"/>
      <c r="S194" s="253" t="n"/>
      <c r="T194" s="253" t="n"/>
      <c r="U194" s="253" t="n"/>
      <c r="V194" s="253" t="n"/>
      <c r="W194" s="253" t="n"/>
      <c r="X194" s="253" t="n"/>
      <c r="Y194" s="253" t="n"/>
      <c r="Z194" s="253" t="n"/>
    </row>
    <row r="195">
      <c r="A195" s="253" t="n"/>
      <c r="B195" s="253" t="n"/>
      <c r="C195" s="253" t="n"/>
      <c r="D195" s="253" t="n"/>
      <c r="E195" s="253" t="n"/>
      <c r="F195" s="253" t="n"/>
      <c r="G195" s="253" t="n"/>
      <c r="H195" s="253" t="n"/>
      <c r="I195" s="253" t="n"/>
      <c r="J195" s="253" t="n"/>
      <c r="K195" s="253" t="n"/>
      <c r="L195" s="253" t="n"/>
      <c r="M195" s="253" t="n"/>
      <c r="N195" s="253" t="n"/>
      <c r="O195" s="253" t="n"/>
      <c r="P195" s="253" t="n"/>
      <c r="Q195" s="253" t="n"/>
      <c r="R195" s="253" t="n"/>
      <c r="S195" s="253" t="n"/>
      <c r="T195" s="253" t="n"/>
      <c r="U195" s="253" t="n"/>
      <c r="V195" s="253" t="n"/>
      <c r="W195" s="253" t="n"/>
      <c r="X195" s="253" t="n"/>
      <c r="Y195" s="253" t="n"/>
      <c r="Z195" s="253" t="n"/>
    </row>
    <row r="196">
      <c r="A196" s="253" t="n"/>
      <c r="B196" s="253" t="n"/>
      <c r="C196" s="253" t="n"/>
      <c r="D196" s="253" t="n"/>
      <c r="E196" s="253" t="n"/>
      <c r="F196" s="253" t="n"/>
      <c r="G196" s="253" t="n"/>
      <c r="H196" s="253" t="n"/>
      <c r="I196" s="253" t="n"/>
      <c r="J196" s="253" t="n"/>
      <c r="K196" s="253" t="n"/>
      <c r="L196" s="253" t="n"/>
      <c r="M196" s="253" t="n"/>
      <c r="N196" s="253" t="n"/>
      <c r="O196" s="253" t="n"/>
      <c r="P196" s="253" t="n"/>
      <c r="Q196" s="253" t="n"/>
      <c r="R196" s="253" t="n"/>
      <c r="S196" s="253" t="n"/>
      <c r="T196" s="253" t="n"/>
      <c r="U196" s="253" t="n"/>
      <c r="V196" s="253" t="n"/>
      <c r="W196" s="253" t="n"/>
      <c r="X196" s="253" t="n"/>
      <c r="Y196" s="253" t="n"/>
      <c r="Z196" s="253" t="n"/>
    </row>
    <row r="197">
      <c r="A197" s="253" t="n"/>
      <c r="B197" s="253" t="n"/>
      <c r="C197" s="253" t="n"/>
      <c r="D197" s="253" t="n"/>
      <c r="E197" s="253" t="n"/>
      <c r="F197" s="253" t="n"/>
      <c r="G197" s="253" t="n"/>
      <c r="H197" s="253" t="n"/>
      <c r="I197" s="253" t="n"/>
      <c r="J197" s="253" t="n"/>
      <c r="K197" s="253" t="n"/>
      <c r="L197" s="253" t="n"/>
      <c r="M197" s="253" t="n"/>
      <c r="N197" s="253" t="n"/>
      <c r="O197" s="253" t="n"/>
      <c r="P197" s="253" t="n"/>
      <c r="Q197" s="253" t="n"/>
      <c r="R197" s="253" t="n"/>
      <c r="S197" s="253" t="n"/>
      <c r="T197" s="253" t="n"/>
      <c r="U197" s="253" t="n"/>
      <c r="V197" s="253" t="n"/>
      <c r="W197" s="253" t="n"/>
      <c r="X197" s="253" t="n"/>
      <c r="Y197" s="253" t="n"/>
      <c r="Z197" s="253" t="n"/>
    </row>
    <row r="198">
      <c r="A198" s="253" t="n"/>
      <c r="B198" s="253" t="n"/>
      <c r="C198" s="253" t="n"/>
      <c r="D198" s="253" t="n"/>
      <c r="E198" s="253" t="n"/>
      <c r="F198" s="253" t="n"/>
      <c r="G198" s="253" t="n"/>
      <c r="H198" s="253" t="n"/>
      <c r="I198" s="253" t="n"/>
      <c r="J198" s="253" t="n"/>
      <c r="K198" s="253" t="n"/>
      <c r="L198" s="253" t="n"/>
      <c r="M198" s="253" t="n"/>
      <c r="N198" s="253" t="n"/>
      <c r="O198" s="253" t="n"/>
      <c r="P198" s="253" t="n"/>
      <c r="Q198" s="253" t="n"/>
      <c r="R198" s="253" t="n"/>
      <c r="S198" s="253" t="n"/>
      <c r="T198" s="253" t="n"/>
      <c r="U198" s="253" t="n"/>
      <c r="V198" s="253" t="n"/>
      <c r="W198" s="253" t="n"/>
      <c r="X198" s="253" t="n"/>
      <c r="Y198" s="253" t="n"/>
      <c r="Z198" s="253" t="n"/>
    </row>
    <row r="199">
      <c r="A199" s="253" t="n"/>
      <c r="B199" s="253" t="n"/>
      <c r="C199" s="253" t="n"/>
      <c r="D199" s="253" t="n"/>
      <c r="E199" s="253" t="n"/>
      <c r="F199" s="253" t="n"/>
      <c r="G199" s="253" t="n"/>
      <c r="H199" s="253" t="n"/>
      <c r="I199" s="253" t="n"/>
      <c r="J199" s="253" t="n"/>
      <c r="K199" s="253" t="n"/>
      <c r="L199" s="253" t="n"/>
      <c r="M199" s="253" t="n"/>
      <c r="N199" s="253" t="n"/>
      <c r="O199" s="253" t="n"/>
      <c r="P199" s="253" t="n"/>
      <c r="Q199" s="253" t="n"/>
      <c r="R199" s="253" t="n"/>
      <c r="S199" s="253" t="n"/>
      <c r="T199" s="253" t="n"/>
      <c r="U199" s="253" t="n"/>
      <c r="V199" s="253" t="n"/>
      <c r="W199" s="253" t="n"/>
      <c r="X199" s="253" t="n"/>
      <c r="Y199" s="253" t="n"/>
      <c r="Z199" s="253" t="n"/>
    </row>
    <row r="200">
      <c r="A200" s="253" t="n"/>
      <c r="B200" s="253" t="n"/>
      <c r="C200" s="253" t="n"/>
      <c r="D200" s="253" t="n"/>
      <c r="E200" s="253" t="n"/>
      <c r="F200" s="253" t="n"/>
      <c r="G200" s="253" t="n"/>
      <c r="H200" s="253" t="n"/>
      <c r="I200" s="253" t="n"/>
      <c r="J200" s="253" t="n"/>
      <c r="K200" s="253" t="n"/>
      <c r="L200" s="253" t="n"/>
      <c r="M200" s="253" t="n"/>
      <c r="N200" s="253" t="n"/>
      <c r="O200" s="253" t="n"/>
      <c r="P200" s="253" t="n"/>
      <c r="Q200" s="253" t="n"/>
      <c r="R200" s="253" t="n"/>
      <c r="S200" s="253" t="n"/>
      <c r="T200" s="253" t="n"/>
      <c r="U200" s="253" t="n"/>
      <c r="V200" s="253" t="n"/>
      <c r="W200" s="253" t="n"/>
      <c r="X200" s="253" t="n"/>
      <c r="Y200" s="253" t="n"/>
      <c r="Z200" s="253" t="n"/>
    </row>
    <row r="201">
      <c r="A201" s="253" t="n"/>
      <c r="B201" s="253" t="n"/>
      <c r="C201" s="253" t="n"/>
      <c r="D201" s="253" t="n"/>
      <c r="E201" s="253" t="n"/>
      <c r="F201" s="253" t="n"/>
      <c r="G201" s="253" t="n"/>
      <c r="H201" s="253" t="n"/>
      <c r="I201" s="253" t="n"/>
      <c r="J201" s="253" t="n"/>
      <c r="K201" s="253" t="n"/>
      <c r="L201" s="253" t="n"/>
      <c r="M201" s="253" t="n"/>
      <c r="N201" s="253" t="n"/>
      <c r="O201" s="253" t="n"/>
      <c r="P201" s="253" t="n"/>
      <c r="Q201" s="253" t="n"/>
      <c r="R201" s="253" t="n"/>
      <c r="S201" s="253" t="n"/>
      <c r="T201" s="253" t="n"/>
      <c r="U201" s="253" t="n"/>
      <c r="V201" s="253" t="n"/>
      <c r="W201" s="253" t="n"/>
      <c r="X201" s="253" t="n"/>
      <c r="Y201" s="253" t="n"/>
      <c r="Z201" s="253" t="n"/>
    </row>
    <row r="202">
      <c r="A202" s="253" t="n"/>
      <c r="B202" s="253" t="n"/>
      <c r="C202" s="253" t="n"/>
      <c r="D202" s="253" t="n"/>
      <c r="E202" s="253" t="n"/>
      <c r="F202" s="253" t="n"/>
      <c r="G202" s="253" t="n"/>
      <c r="H202" s="253" t="n"/>
      <c r="I202" s="253" t="n"/>
      <c r="J202" s="253" t="n"/>
      <c r="K202" s="253" t="n"/>
      <c r="L202" s="253" t="n"/>
      <c r="M202" s="253" t="n"/>
      <c r="N202" s="253" t="n"/>
      <c r="O202" s="253" t="n"/>
      <c r="P202" s="253" t="n"/>
      <c r="Q202" s="253" t="n"/>
      <c r="R202" s="253" t="n"/>
      <c r="S202" s="253" t="n"/>
      <c r="T202" s="253" t="n"/>
      <c r="U202" s="253" t="n"/>
      <c r="V202" s="253" t="n"/>
      <c r="W202" s="253" t="n"/>
      <c r="X202" s="253" t="n"/>
      <c r="Y202" s="253" t="n"/>
      <c r="Z202" s="253" t="n"/>
    </row>
    <row r="203">
      <c r="A203" s="253" t="n"/>
      <c r="B203" s="253" t="n"/>
      <c r="C203" s="253" t="n"/>
      <c r="D203" s="253" t="n"/>
      <c r="E203" s="253" t="n"/>
      <c r="F203" s="253" t="n"/>
      <c r="G203" s="253" t="n"/>
      <c r="H203" s="253" t="n"/>
      <c r="I203" s="253" t="n"/>
      <c r="J203" s="253" t="n"/>
      <c r="K203" s="253" t="n"/>
      <c r="L203" s="253" t="n"/>
      <c r="M203" s="253" t="n"/>
      <c r="N203" s="253" t="n"/>
      <c r="O203" s="253" t="n"/>
      <c r="P203" s="253" t="n"/>
      <c r="Q203" s="253" t="n"/>
      <c r="R203" s="253" t="n"/>
      <c r="S203" s="253" t="n"/>
      <c r="T203" s="253" t="n"/>
      <c r="U203" s="253" t="n"/>
      <c r="V203" s="253" t="n"/>
      <c r="W203" s="253" t="n"/>
      <c r="X203" s="253" t="n"/>
      <c r="Y203" s="253" t="n"/>
      <c r="Z203" s="253" t="n"/>
    </row>
    <row r="204">
      <c r="A204" s="253" t="n"/>
      <c r="B204" s="253" t="n"/>
      <c r="C204" s="253" t="n"/>
      <c r="D204" s="253" t="n"/>
      <c r="E204" s="253" t="n"/>
      <c r="F204" s="253" t="n"/>
      <c r="G204" s="253" t="n"/>
      <c r="H204" s="253" t="n"/>
      <c r="I204" s="253" t="n"/>
      <c r="J204" s="253" t="n"/>
      <c r="K204" s="253" t="n"/>
      <c r="L204" s="253" t="n"/>
      <c r="M204" s="253" t="n"/>
      <c r="N204" s="253" t="n"/>
      <c r="O204" s="253" t="n"/>
      <c r="P204" s="253" t="n"/>
      <c r="Q204" s="253" t="n"/>
      <c r="R204" s="253" t="n"/>
      <c r="S204" s="253" t="n"/>
      <c r="T204" s="253" t="n"/>
      <c r="U204" s="253" t="n"/>
      <c r="V204" s="253" t="n"/>
      <c r="W204" s="253" t="n"/>
      <c r="X204" s="253" t="n"/>
      <c r="Y204" s="253" t="n"/>
      <c r="Z204" s="253" t="n"/>
    </row>
    <row r="205">
      <c r="A205" s="253" t="n"/>
      <c r="B205" s="253" t="n"/>
      <c r="C205" s="253" t="n"/>
      <c r="D205" s="253" t="n"/>
      <c r="E205" s="253" t="n"/>
      <c r="F205" s="253" t="n"/>
      <c r="G205" s="253" t="n"/>
      <c r="H205" s="253" t="n"/>
      <c r="I205" s="253" t="n"/>
      <c r="J205" s="253" t="n"/>
      <c r="K205" s="253" t="n"/>
      <c r="L205" s="253" t="n"/>
      <c r="M205" s="253" t="n"/>
      <c r="N205" s="253" t="n"/>
      <c r="O205" s="253" t="n"/>
      <c r="P205" s="253" t="n"/>
      <c r="Q205" s="253" t="n"/>
      <c r="R205" s="253" t="n"/>
      <c r="S205" s="253" t="n"/>
      <c r="T205" s="253" t="n"/>
      <c r="U205" s="253" t="n"/>
      <c r="V205" s="253" t="n"/>
      <c r="W205" s="253" t="n"/>
      <c r="X205" s="253" t="n"/>
      <c r="Y205" s="253" t="n"/>
      <c r="Z205" s="253" t="n"/>
    </row>
    <row r="206">
      <c r="A206" s="253" t="n"/>
      <c r="B206" s="253" t="n"/>
      <c r="C206" s="253" t="n"/>
      <c r="D206" s="253" t="n"/>
      <c r="E206" s="253" t="n"/>
      <c r="F206" s="253" t="n"/>
      <c r="G206" s="253" t="n"/>
      <c r="H206" s="253" t="n"/>
      <c r="I206" s="253" t="n"/>
      <c r="J206" s="253" t="n"/>
      <c r="K206" s="253" t="n"/>
      <c r="L206" s="253" t="n"/>
      <c r="M206" s="253" t="n"/>
      <c r="N206" s="253" t="n"/>
      <c r="O206" s="253" t="n"/>
      <c r="P206" s="253" t="n"/>
      <c r="Q206" s="253" t="n"/>
      <c r="R206" s="253" t="n"/>
      <c r="S206" s="253" t="n"/>
      <c r="T206" s="253" t="n"/>
      <c r="U206" s="253" t="n"/>
      <c r="V206" s="253" t="n"/>
      <c r="W206" s="253" t="n"/>
      <c r="X206" s="253" t="n"/>
      <c r="Y206" s="253" t="n"/>
      <c r="Z206" s="253" t="n"/>
    </row>
    <row r="207">
      <c r="A207" s="253" t="n"/>
      <c r="B207" s="253" t="n"/>
      <c r="C207" s="253" t="n"/>
      <c r="D207" s="253" t="n"/>
      <c r="E207" s="253" t="n"/>
      <c r="F207" s="253" t="n"/>
      <c r="G207" s="253" t="n"/>
      <c r="H207" s="253" t="n"/>
      <c r="I207" s="253" t="n"/>
      <c r="J207" s="253" t="n"/>
      <c r="K207" s="253" t="n"/>
      <c r="L207" s="253" t="n"/>
      <c r="M207" s="253" t="n"/>
      <c r="N207" s="253" t="n"/>
      <c r="O207" s="253" t="n"/>
      <c r="P207" s="253" t="n"/>
      <c r="Q207" s="253" t="n"/>
      <c r="R207" s="253" t="n"/>
      <c r="S207" s="253" t="n"/>
      <c r="T207" s="253" t="n"/>
      <c r="U207" s="253" t="n"/>
      <c r="V207" s="253" t="n"/>
      <c r="W207" s="253" t="n"/>
      <c r="X207" s="253" t="n"/>
      <c r="Y207" s="253" t="n"/>
      <c r="Z207" s="253" t="n"/>
    </row>
    <row r="208">
      <c r="A208" s="253" t="n"/>
      <c r="B208" s="253" t="n"/>
      <c r="C208" s="253" t="n"/>
      <c r="D208" s="253" t="n"/>
      <c r="E208" s="253" t="n"/>
      <c r="F208" s="253" t="n"/>
      <c r="G208" s="253" t="n"/>
      <c r="H208" s="253" t="n"/>
      <c r="I208" s="253" t="n"/>
      <c r="J208" s="253" t="n"/>
      <c r="K208" s="253" t="n"/>
      <c r="L208" s="253" t="n"/>
      <c r="M208" s="253" t="n"/>
      <c r="N208" s="253" t="n"/>
      <c r="O208" s="253" t="n"/>
      <c r="P208" s="253" t="n"/>
      <c r="Q208" s="253" t="n"/>
      <c r="R208" s="253" t="n"/>
      <c r="S208" s="253" t="n"/>
      <c r="T208" s="253" t="n"/>
      <c r="U208" s="253" t="n"/>
      <c r="V208" s="253" t="n"/>
      <c r="W208" s="253" t="n"/>
      <c r="X208" s="253" t="n"/>
      <c r="Y208" s="253" t="n"/>
      <c r="Z208" s="253" t="n"/>
    </row>
    <row r="209">
      <c r="A209" s="253" t="n"/>
      <c r="B209" s="253" t="n"/>
      <c r="C209" s="253" t="n"/>
      <c r="D209" s="253" t="n"/>
      <c r="E209" s="253" t="n"/>
      <c r="F209" s="253" t="n"/>
      <c r="G209" s="253" t="n"/>
      <c r="H209" s="253" t="n"/>
      <c r="I209" s="253" t="n"/>
      <c r="J209" s="253" t="n"/>
      <c r="K209" s="253" t="n"/>
      <c r="L209" s="253" t="n"/>
      <c r="M209" s="253" t="n"/>
      <c r="N209" s="253" t="n"/>
      <c r="O209" s="253" t="n"/>
      <c r="P209" s="253" t="n"/>
      <c r="Q209" s="253" t="n"/>
      <c r="R209" s="253" t="n"/>
      <c r="S209" s="253" t="n"/>
      <c r="T209" s="253" t="n"/>
      <c r="U209" s="253" t="n"/>
      <c r="V209" s="253" t="n"/>
      <c r="W209" s="253" t="n"/>
      <c r="X209" s="253" t="n"/>
      <c r="Y209" s="253" t="n"/>
      <c r="Z209" s="253" t="n"/>
    </row>
    <row r="210">
      <c r="A210" s="253" t="n"/>
      <c r="B210" s="253" t="n"/>
      <c r="C210" s="253" t="n"/>
      <c r="D210" s="253" t="n"/>
      <c r="E210" s="253" t="n"/>
      <c r="F210" s="253" t="n"/>
      <c r="G210" s="253" t="n"/>
      <c r="H210" s="253" t="n"/>
      <c r="I210" s="253" t="n"/>
      <c r="J210" s="253" t="n"/>
      <c r="K210" s="253" t="n"/>
      <c r="L210" s="253" t="n"/>
      <c r="M210" s="253" t="n"/>
      <c r="N210" s="253" t="n"/>
      <c r="O210" s="253" t="n"/>
      <c r="P210" s="253" t="n"/>
      <c r="Q210" s="253" t="n"/>
      <c r="R210" s="253" t="n"/>
      <c r="S210" s="253" t="n"/>
      <c r="T210" s="253" t="n"/>
      <c r="U210" s="253" t="n"/>
      <c r="V210" s="253" t="n"/>
      <c r="W210" s="253" t="n"/>
      <c r="X210" s="253" t="n"/>
      <c r="Y210" s="253" t="n"/>
      <c r="Z210" s="253" t="n"/>
    </row>
    <row r="211">
      <c r="A211" s="253" t="n"/>
      <c r="B211" s="253" t="n"/>
      <c r="C211" s="253" t="n"/>
      <c r="D211" s="253" t="n"/>
      <c r="E211" s="253" t="n"/>
      <c r="F211" s="253" t="n"/>
      <c r="G211" s="253" t="n"/>
      <c r="H211" s="253" t="n"/>
      <c r="I211" s="253" t="n"/>
      <c r="J211" s="253" t="n"/>
      <c r="K211" s="253" t="n"/>
      <c r="L211" s="253" t="n"/>
      <c r="M211" s="253" t="n"/>
      <c r="N211" s="253" t="n"/>
      <c r="O211" s="253" t="n"/>
      <c r="P211" s="253" t="n"/>
      <c r="Q211" s="253" t="n"/>
      <c r="R211" s="253" t="n"/>
      <c r="S211" s="253" t="n"/>
      <c r="T211" s="253" t="n"/>
      <c r="U211" s="253" t="n"/>
      <c r="V211" s="253" t="n"/>
      <c r="W211" s="253" t="n"/>
      <c r="X211" s="253" t="n"/>
      <c r="Y211" s="253" t="n"/>
      <c r="Z211" s="253" t="n"/>
    </row>
    <row r="212">
      <c r="A212" s="253" t="n"/>
      <c r="B212" s="253" t="n"/>
      <c r="C212" s="253" t="n"/>
      <c r="D212" s="253" t="n"/>
      <c r="E212" s="253" t="n"/>
      <c r="F212" s="253" t="n"/>
      <c r="G212" s="253" t="n"/>
      <c r="H212" s="253" t="n"/>
      <c r="I212" s="253" t="n"/>
      <c r="J212" s="253" t="n"/>
      <c r="K212" s="253" t="n"/>
      <c r="L212" s="253" t="n"/>
      <c r="M212" s="253" t="n"/>
      <c r="N212" s="253" t="n"/>
      <c r="O212" s="253" t="n"/>
      <c r="P212" s="253" t="n"/>
      <c r="Q212" s="253" t="n"/>
      <c r="R212" s="253" t="n"/>
      <c r="S212" s="253" t="n"/>
      <c r="T212" s="253" t="n"/>
      <c r="U212" s="253" t="n"/>
      <c r="V212" s="253" t="n"/>
      <c r="W212" s="253" t="n"/>
      <c r="X212" s="253" t="n"/>
      <c r="Y212" s="253" t="n"/>
      <c r="Z212" s="253" t="n"/>
    </row>
    <row r="213">
      <c r="A213" s="253" t="n"/>
      <c r="B213" s="253" t="n"/>
      <c r="C213" s="253" t="n"/>
      <c r="D213" s="253" t="n"/>
      <c r="E213" s="253" t="n"/>
      <c r="F213" s="253" t="n"/>
      <c r="G213" s="253" t="n"/>
      <c r="H213" s="253" t="n"/>
      <c r="I213" s="253" t="n"/>
      <c r="J213" s="253" t="n"/>
      <c r="K213" s="253" t="n"/>
      <c r="L213" s="253" t="n"/>
      <c r="M213" s="253" t="n"/>
      <c r="N213" s="253" t="n"/>
      <c r="O213" s="253" t="n"/>
      <c r="P213" s="253" t="n"/>
      <c r="Q213" s="253" t="n"/>
      <c r="R213" s="253" t="n"/>
      <c r="S213" s="253" t="n"/>
      <c r="T213" s="253" t="n"/>
      <c r="U213" s="253" t="n"/>
      <c r="V213" s="253" t="n"/>
      <c r="W213" s="253" t="n"/>
      <c r="X213" s="253" t="n"/>
      <c r="Y213" s="253" t="n"/>
      <c r="Z213" s="253" t="n"/>
    </row>
    <row r="214">
      <c r="A214" s="253" t="n"/>
      <c r="B214" s="253" t="n"/>
      <c r="C214" s="253" t="n"/>
      <c r="D214" s="253" t="n"/>
      <c r="E214" s="253" t="n"/>
      <c r="F214" s="253" t="n"/>
      <c r="G214" s="253" t="n"/>
      <c r="H214" s="253" t="n"/>
      <c r="I214" s="253" t="n"/>
      <c r="J214" s="253" t="n"/>
      <c r="K214" s="253" t="n"/>
      <c r="L214" s="253" t="n"/>
      <c r="M214" s="253" t="n"/>
      <c r="N214" s="253" t="n"/>
      <c r="O214" s="253" t="n"/>
      <c r="P214" s="253" t="n"/>
      <c r="Q214" s="253" t="n"/>
      <c r="R214" s="253" t="n"/>
      <c r="S214" s="253" t="n"/>
      <c r="T214" s="253" t="n"/>
      <c r="U214" s="253" t="n"/>
      <c r="V214" s="253" t="n"/>
      <c r="W214" s="253" t="n"/>
      <c r="X214" s="253" t="n"/>
      <c r="Y214" s="253" t="n"/>
      <c r="Z214" s="253" t="n"/>
    </row>
    <row r="215">
      <c r="A215" s="253" t="n"/>
      <c r="B215" s="253" t="n"/>
      <c r="C215" s="253" t="n"/>
      <c r="D215" s="253" t="n"/>
      <c r="E215" s="253" t="n"/>
      <c r="F215" s="253" t="n"/>
      <c r="G215" s="253" t="n"/>
      <c r="H215" s="253" t="n"/>
      <c r="I215" s="253" t="n"/>
      <c r="J215" s="253" t="n"/>
      <c r="K215" s="253" t="n"/>
      <c r="L215" s="253" t="n"/>
      <c r="M215" s="253" t="n"/>
      <c r="N215" s="253" t="n"/>
      <c r="O215" s="253" t="n"/>
      <c r="P215" s="253" t="n"/>
      <c r="Q215" s="253" t="n"/>
      <c r="R215" s="253" t="n"/>
      <c r="S215" s="253" t="n"/>
      <c r="T215" s="253" t="n"/>
      <c r="U215" s="253" t="n"/>
      <c r="V215" s="253" t="n"/>
      <c r="W215" s="253" t="n"/>
      <c r="X215" s="253" t="n"/>
      <c r="Y215" s="253" t="n"/>
      <c r="Z215" s="253" t="n"/>
    </row>
    <row r="216">
      <c r="A216" s="253" t="n"/>
      <c r="B216" s="253" t="n"/>
      <c r="C216" s="253" t="n"/>
      <c r="D216" s="253" t="n"/>
      <c r="E216" s="253" t="n"/>
      <c r="F216" s="253" t="n"/>
      <c r="G216" s="253" t="n"/>
      <c r="H216" s="253" t="n"/>
      <c r="I216" s="253" t="n"/>
      <c r="J216" s="253" t="n"/>
      <c r="K216" s="253" t="n"/>
      <c r="L216" s="253" t="n"/>
      <c r="M216" s="253" t="n"/>
      <c r="N216" s="253" t="n"/>
      <c r="O216" s="253" t="n"/>
      <c r="P216" s="253" t="n"/>
      <c r="Q216" s="253" t="n"/>
      <c r="R216" s="253" t="n"/>
      <c r="S216" s="253" t="n"/>
      <c r="T216" s="253" t="n"/>
      <c r="U216" s="253" t="n"/>
      <c r="V216" s="253" t="n"/>
      <c r="W216" s="253" t="n"/>
      <c r="X216" s="253" t="n"/>
      <c r="Y216" s="253" t="n"/>
      <c r="Z216" s="253" t="n"/>
    </row>
    <row r="217">
      <c r="A217" s="253" t="n"/>
      <c r="B217" s="253" t="n"/>
      <c r="C217" s="253" t="n"/>
      <c r="D217" s="253" t="n"/>
      <c r="E217" s="253" t="n"/>
      <c r="F217" s="253" t="n"/>
      <c r="G217" s="253" t="n"/>
      <c r="H217" s="253" t="n"/>
      <c r="I217" s="253" t="n"/>
      <c r="J217" s="253" t="n"/>
      <c r="K217" s="253" t="n"/>
      <c r="L217" s="253" t="n"/>
      <c r="M217" s="253" t="n"/>
      <c r="N217" s="253" t="n"/>
      <c r="O217" s="253" t="n"/>
      <c r="P217" s="253" t="n"/>
      <c r="Q217" s="253" t="n"/>
      <c r="R217" s="253" t="n"/>
      <c r="S217" s="253" t="n"/>
      <c r="T217" s="253" t="n"/>
      <c r="U217" s="253" t="n"/>
      <c r="V217" s="253" t="n"/>
      <c r="W217" s="253" t="n"/>
      <c r="X217" s="253" t="n"/>
      <c r="Y217" s="253" t="n"/>
      <c r="Z217" s="253" t="n"/>
    </row>
    <row r="218">
      <c r="A218" s="253" t="n"/>
      <c r="B218" s="253" t="n"/>
      <c r="C218" s="253" t="n"/>
      <c r="D218" s="253" t="n"/>
      <c r="E218" s="253" t="n"/>
      <c r="F218" s="253" t="n"/>
      <c r="G218" s="253" t="n"/>
      <c r="H218" s="253" t="n"/>
      <c r="I218" s="253" t="n"/>
      <c r="J218" s="253" t="n"/>
      <c r="K218" s="253" t="n"/>
      <c r="L218" s="253" t="n"/>
      <c r="M218" s="253" t="n"/>
      <c r="N218" s="253" t="n"/>
      <c r="O218" s="253" t="n"/>
      <c r="P218" s="253" t="n"/>
      <c r="Q218" s="253" t="n"/>
      <c r="R218" s="253" t="n"/>
      <c r="S218" s="253" t="n"/>
      <c r="T218" s="253" t="n"/>
      <c r="U218" s="253" t="n"/>
      <c r="V218" s="253" t="n"/>
      <c r="W218" s="253" t="n"/>
      <c r="X218" s="253" t="n"/>
      <c r="Y218" s="253" t="n"/>
      <c r="Z218" s="253" t="n"/>
    </row>
    <row r="219">
      <c r="A219" s="253" t="n"/>
      <c r="B219" s="253" t="n"/>
      <c r="C219" s="253" t="n"/>
      <c r="D219" s="253" t="n"/>
      <c r="E219" s="253" t="n"/>
      <c r="F219" s="253" t="n"/>
      <c r="G219" s="253" t="n"/>
      <c r="H219" s="253" t="n"/>
      <c r="I219" s="253" t="n"/>
      <c r="J219" s="253" t="n"/>
      <c r="K219" s="253" t="n"/>
      <c r="L219" s="253" t="n"/>
      <c r="M219" s="253" t="n"/>
      <c r="N219" s="253" t="n"/>
      <c r="O219" s="253" t="n"/>
      <c r="P219" s="253" t="n"/>
      <c r="Q219" s="253" t="n"/>
      <c r="R219" s="253" t="n"/>
      <c r="S219" s="253" t="n"/>
      <c r="T219" s="253" t="n"/>
      <c r="U219" s="253" t="n"/>
      <c r="V219" s="253" t="n"/>
      <c r="W219" s="253" t="n"/>
      <c r="X219" s="253" t="n"/>
      <c r="Y219" s="253" t="n"/>
      <c r="Z219" s="253" t="n"/>
    </row>
    <row r="220">
      <c r="A220" s="253" t="n"/>
      <c r="B220" s="253" t="n"/>
      <c r="C220" s="253" t="n"/>
      <c r="D220" s="253" t="n"/>
      <c r="E220" s="253" t="n"/>
      <c r="F220" s="253" t="n"/>
      <c r="G220" s="253" t="n"/>
      <c r="H220" s="253" t="n"/>
      <c r="I220" s="253" t="n"/>
      <c r="J220" s="253" t="n"/>
      <c r="K220" s="253" t="n"/>
      <c r="L220" s="253" t="n"/>
      <c r="M220" s="253" t="n"/>
      <c r="N220" s="253" t="n"/>
      <c r="O220" s="253" t="n"/>
      <c r="P220" s="253" t="n"/>
      <c r="Q220" s="253" t="n"/>
      <c r="R220" s="253" t="n"/>
      <c r="S220" s="253" t="n"/>
      <c r="T220" s="253" t="n"/>
      <c r="U220" s="253" t="n"/>
      <c r="V220" s="253" t="n"/>
      <c r="W220" s="253" t="n"/>
      <c r="X220" s="253" t="n"/>
      <c r="Y220" s="253" t="n"/>
      <c r="Z220" s="253" t="n"/>
    </row>
    <row r="221">
      <c r="A221" s="253" t="n"/>
      <c r="B221" s="253" t="n"/>
      <c r="C221" s="253" t="n"/>
      <c r="D221" s="253" t="n"/>
      <c r="E221" s="253" t="n"/>
      <c r="F221" s="253" t="n"/>
      <c r="G221" s="253" t="n"/>
      <c r="H221" s="253" t="n"/>
      <c r="I221" s="253" t="n"/>
      <c r="J221" s="253" t="n"/>
      <c r="K221" s="253" t="n"/>
      <c r="L221" s="253" t="n"/>
      <c r="M221" s="253" t="n"/>
      <c r="N221" s="253" t="n"/>
      <c r="O221" s="253" t="n"/>
      <c r="P221" s="253" t="n"/>
      <c r="Q221" s="253" t="n"/>
      <c r="R221" s="253" t="n"/>
      <c r="S221" s="253" t="n"/>
      <c r="T221" s="253" t="n"/>
      <c r="U221" s="253" t="n"/>
      <c r="V221" s="253" t="n"/>
      <c r="W221" s="253" t="n"/>
      <c r="X221" s="253" t="n"/>
      <c r="Y221" s="253" t="n"/>
      <c r="Z221" s="253" t="n"/>
    </row>
    <row r="222">
      <c r="A222" s="253" t="n"/>
      <c r="B222" s="253" t="n"/>
      <c r="C222" s="253" t="n"/>
      <c r="D222" s="253" t="n"/>
      <c r="E222" s="253" t="n"/>
      <c r="F222" s="253" t="n"/>
      <c r="G222" s="253" t="n"/>
      <c r="H222" s="253" t="n"/>
      <c r="I222" s="253" t="n"/>
      <c r="J222" s="253" t="n"/>
      <c r="K222" s="253" t="n"/>
      <c r="L222" s="253" t="n"/>
      <c r="M222" s="253" t="n"/>
      <c r="N222" s="253" t="n"/>
      <c r="O222" s="253" t="n"/>
      <c r="P222" s="253" t="n"/>
      <c r="Q222" s="253" t="n"/>
      <c r="R222" s="253" t="n"/>
      <c r="S222" s="253" t="n"/>
      <c r="T222" s="253" t="n"/>
      <c r="U222" s="253" t="n"/>
      <c r="V222" s="253" t="n"/>
      <c r="W222" s="253" t="n"/>
      <c r="X222" s="253" t="n"/>
      <c r="Y222" s="253" t="n"/>
      <c r="Z222" s="253" t="n"/>
    </row>
    <row r="223">
      <c r="A223" s="253" t="n"/>
      <c r="B223" s="253" t="n"/>
      <c r="C223" s="253" t="n"/>
      <c r="D223" s="253" t="n"/>
      <c r="E223" s="253" t="n"/>
      <c r="F223" s="253" t="n"/>
      <c r="G223" s="253" t="n"/>
      <c r="H223" s="253" t="n"/>
      <c r="I223" s="253" t="n"/>
      <c r="J223" s="253" t="n"/>
      <c r="K223" s="253" t="n"/>
      <c r="L223" s="253" t="n"/>
      <c r="M223" s="253" t="n"/>
      <c r="N223" s="253" t="n"/>
      <c r="O223" s="253" t="n"/>
      <c r="P223" s="253" t="n"/>
      <c r="Q223" s="253" t="n"/>
      <c r="R223" s="253" t="n"/>
      <c r="S223" s="253" t="n"/>
      <c r="T223" s="253" t="n"/>
      <c r="U223" s="253" t="n"/>
      <c r="V223" s="253" t="n"/>
      <c r="W223" s="253" t="n"/>
      <c r="X223" s="253" t="n"/>
      <c r="Y223" s="253" t="n"/>
      <c r="Z223" s="253" t="n"/>
    </row>
    <row r="224">
      <c r="A224" s="253" t="n"/>
      <c r="B224" s="253" t="n"/>
      <c r="C224" s="253" t="n"/>
      <c r="D224" s="253" t="n"/>
      <c r="E224" s="253" t="n"/>
      <c r="F224" s="253" t="n"/>
      <c r="G224" s="253" t="n"/>
      <c r="H224" s="253" t="n"/>
      <c r="I224" s="253" t="n"/>
      <c r="J224" s="253" t="n"/>
      <c r="K224" s="253" t="n"/>
      <c r="L224" s="253" t="n"/>
      <c r="M224" s="253" t="n"/>
      <c r="N224" s="253" t="n"/>
      <c r="O224" s="253" t="n"/>
      <c r="P224" s="253" t="n"/>
      <c r="Q224" s="253" t="n"/>
      <c r="R224" s="253" t="n"/>
      <c r="S224" s="253" t="n"/>
      <c r="T224" s="253" t="n"/>
      <c r="U224" s="253" t="n"/>
      <c r="V224" s="253" t="n"/>
      <c r="W224" s="253" t="n"/>
      <c r="X224" s="253" t="n"/>
      <c r="Y224" s="253" t="n"/>
      <c r="Z224" s="253" t="n"/>
    </row>
    <row r="225">
      <c r="A225" s="253" t="n"/>
      <c r="B225" s="253" t="n"/>
      <c r="C225" s="253" t="n"/>
      <c r="D225" s="253" t="n"/>
      <c r="E225" s="253" t="n"/>
      <c r="F225" s="253" t="n"/>
      <c r="G225" s="253" t="n"/>
      <c r="H225" s="253" t="n"/>
      <c r="I225" s="253" t="n"/>
      <c r="J225" s="253" t="n"/>
      <c r="K225" s="253" t="n"/>
      <c r="L225" s="253" t="n"/>
      <c r="M225" s="253" t="n"/>
      <c r="N225" s="253" t="n"/>
      <c r="O225" s="253" t="n"/>
      <c r="P225" s="253" t="n"/>
      <c r="Q225" s="253" t="n"/>
      <c r="R225" s="253" t="n"/>
      <c r="S225" s="253" t="n"/>
      <c r="T225" s="253" t="n"/>
      <c r="U225" s="253" t="n"/>
      <c r="V225" s="253" t="n"/>
      <c r="W225" s="253" t="n"/>
      <c r="X225" s="253" t="n"/>
      <c r="Y225" s="253" t="n"/>
      <c r="Z225" s="253" t="n"/>
    </row>
    <row r="226">
      <c r="A226" s="253" t="n"/>
      <c r="B226" s="253" t="n"/>
      <c r="C226" s="253" t="n"/>
      <c r="D226" s="253" t="n"/>
      <c r="E226" s="253" t="n"/>
      <c r="F226" s="253" t="n"/>
      <c r="G226" s="253" t="n"/>
      <c r="H226" s="253" t="n"/>
      <c r="I226" s="253" t="n"/>
      <c r="J226" s="253" t="n"/>
      <c r="K226" s="253" t="n"/>
      <c r="L226" s="253" t="n"/>
      <c r="M226" s="253" t="n"/>
      <c r="N226" s="253" t="n"/>
      <c r="O226" s="253" t="n"/>
      <c r="P226" s="253" t="n"/>
      <c r="Q226" s="253" t="n"/>
      <c r="R226" s="253" t="n"/>
      <c r="S226" s="253" t="n"/>
      <c r="T226" s="253" t="n"/>
      <c r="U226" s="253" t="n"/>
      <c r="V226" s="253" t="n"/>
      <c r="W226" s="253" t="n"/>
      <c r="X226" s="253" t="n"/>
      <c r="Y226" s="253" t="n"/>
      <c r="Z226" s="253" t="n"/>
    </row>
    <row r="227">
      <c r="A227" s="253" t="n"/>
      <c r="B227" s="253" t="n"/>
      <c r="C227" s="253" t="n"/>
      <c r="D227" s="253" t="n"/>
      <c r="E227" s="253" t="n"/>
      <c r="F227" s="253" t="n"/>
      <c r="G227" s="253" t="n"/>
      <c r="H227" s="253" t="n"/>
      <c r="I227" s="253" t="n"/>
      <c r="J227" s="253" t="n"/>
      <c r="K227" s="253" t="n"/>
      <c r="L227" s="253" t="n"/>
      <c r="M227" s="253" t="n"/>
      <c r="N227" s="253" t="n"/>
      <c r="O227" s="253" t="n"/>
      <c r="P227" s="253" t="n"/>
      <c r="Q227" s="253" t="n"/>
      <c r="R227" s="253" t="n"/>
      <c r="S227" s="253" t="n"/>
      <c r="T227" s="253" t="n"/>
      <c r="U227" s="253" t="n"/>
      <c r="V227" s="253" t="n"/>
      <c r="W227" s="253" t="n"/>
      <c r="X227" s="253" t="n"/>
      <c r="Y227" s="253" t="n"/>
      <c r="Z227" s="253" t="n"/>
    </row>
    <row r="228">
      <c r="A228" s="253" t="n"/>
      <c r="B228" s="253" t="n"/>
      <c r="C228" s="253" t="n"/>
      <c r="D228" s="253" t="n"/>
      <c r="E228" s="253" t="n"/>
      <c r="F228" s="253" t="n"/>
      <c r="G228" s="253" t="n"/>
      <c r="H228" s="253" t="n"/>
      <c r="I228" s="253" t="n"/>
      <c r="J228" s="253" t="n"/>
      <c r="K228" s="253" t="n"/>
      <c r="L228" s="253" t="n"/>
      <c r="M228" s="253" t="n"/>
      <c r="N228" s="253" t="n"/>
      <c r="O228" s="253" t="n"/>
      <c r="P228" s="253" t="n"/>
      <c r="Q228" s="253" t="n"/>
      <c r="R228" s="253" t="n"/>
      <c r="S228" s="253" t="n"/>
      <c r="T228" s="253" t="n"/>
      <c r="U228" s="253" t="n"/>
      <c r="V228" s="253" t="n"/>
      <c r="W228" s="253" t="n"/>
      <c r="X228" s="253" t="n"/>
      <c r="Y228" s="253" t="n"/>
      <c r="Z228" s="253" t="n"/>
    </row>
    <row r="229">
      <c r="A229" s="253" t="n"/>
      <c r="B229" s="253" t="n"/>
      <c r="C229" s="253" t="n"/>
      <c r="D229" s="253" t="n"/>
      <c r="E229" s="253" t="n"/>
      <c r="F229" s="253" t="n"/>
      <c r="G229" s="253" t="n"/>
      <c r="H229" s="253" t="n"/>
      <c r="I229" s="253" t="n"/>
      <c r="J229" s="253" t="n"/>
      <c r="K229" s="253" t="n"/>
      <c r="L229" s="253" t="n"/>
      <c r="M229" s="253" t="n"/>
      <c r="N229" s="253" t="n"/>
      <c r="O229" s="253" t="n"/>
      <c r="P229" s="253" t="n"/>
      <c r="Q229" s="253" t="n"/>
      <c r="R229" s="253" t="n"/>
      <c r="S229" s="253" t="n"/>
      <c r="T229" s="253" t="n"/>
      <c r="U229" s="253" t="n"/>
      <c r="V229" s="253" t="n"/>
      <c r="W229" s="253" t="n"/>
      <c r="X229" s="253" t="n"/>
      <c r="Y229" s="253" t="n"/>
      <c r="Z229" s="253" t="n"/>
    </row>
    <row r="230">
      <c r="A230" s="253" t="n"/>
      <c r="B230" s="253" t="n"/>
      <c r="C230" s="253" t="n"/>
      <c r="D230" s="253" t="n"/>
      <c r="E230" s="253" t="n"/>
      <c r="F230" s="253" t="n"/>
      <c r="G230" s="253" t="n"/>
      <c r="H230" s="253" t="n"/>
      <c r="I230" s="253" t="n"/>
      <c r="J230" s="253" t="n"/>
      <c r="K230" s="253" t="n"/>
      <c r="L230" s="253" t="n"/>
      <c r="M230" s="253" t="n"/>
      <c r="N230" s="253" t="n"/>
      <c r="O230" s="253" t="n"/>
      <c r="P230" s="253" t="n"/>
      <c r="Q230" s="253" t="n"/>
      <c r="R230" s="253" t="n"/>
      <c r="S230" s="253" t="n"/>
      <c r="T230" s="253" t="n"/>
      <c r="U230" s="253" t="n"/>
      <c r="V230" s="253" t="n"/>
      <c r="W230" s="253" t="n"/>
      <c r="X230" s="253" t="n"/>
      <c r="Y230" s="253" t="n"/>
      <c r="Z230" s="253" t="n"/>
    </row>
    <row r="231">
      <c r="A231" s="253" t="n"/>
      <c r="B231" s="253" t="n"/>
      <c r="C231" s="253" t="n"/>
      <c r="D231" s="253" t="n"/>
      <c r="E231" s="253" t="n"/>
      <c r="F231" s="253" t="n"/>
      <c r="G231" s="253" t="n"/>
      <c r="H231" s="253" t="n"/>
      <c r="I231" s="253" t="n"/>
      <c r="J231" s="253" t="n"/>
      <c r="K231" s="253" t="n"/>
      <c r="L231" s="253" t="n"/>
      <c r="M231" s="253" t="n"/>
      <c r="N231" s="253" t="n"/>
      <c r="O231" s="253" t="n"/>
      <c r="P231" s="253" t="n"/>
      <c r="Q231" s="253" t="n"/>
      <c r="R231" s="253" t="n"/>
      <c r="S231" s="253" t="n"/>
      <c r="T231" s="253" t="n"/>
      <c r="U231" s="253" t="n"/>
      <c r="V231" s="253" t="n"/>
      <c r="W231" s="253" t="n"/>
      <c r="X231" s="253" t="n"/>
      <c r="Y231" s="253" t="n"/>
      <c r="Z231" s="253" t="n"/>
    </row>
    <row r="232">
      <c r="A232" s="253" t="n"/>
      <c r="B232" s="253" t="n"/>
      <c r="C232" s="253" t="n"/>
      <c r="D232" s="253" t="n"/>
      <c r="E232" s="253" t="n"/>
      <c r="F232" s="253" t="n"/>
      <c r="G232" s="253" t="n"/>
      <c r="H232" s="253" t="n"/>
      <c r="I232" s="253" t="n"/>
      <c r="J232" s="253" t="n"/>
      <c r="K232" s="253" t="n"/>
      <c r="L232" s="253" t="n"/>
      <c r="M232" s="253" t="n"/>
      <c r="N232" s="253" t="n"/>
      <c r="O232" s="253" t="n"/>
      <c r="P232" s="253" t="n"/>
      <c r="Q232" s="253" t="n"/>
      <c r="R232" s="253" t="n"/>
      <c r="S232" s="253" t="n"/>
      <c r="T232" s="253" t="n"/>
      <c r="U232" s="253" t="n"/>
      <c r="V232" s="253" t="n"/>
      <c r="W232" s="253" t="n"/>
      <c r="X232" s="253" t="n"/>
      <c r="Y232" s="253" t="n"/>
      <c r="Z232" s="253" t="n"/>
    </row>
    <row r="233">
      <c r="A233" s="253" t="n"/>
      <c r="B233" s="253" t="n"/>
      <c r="C233" s="253" t="n"/>
      <c r="D233" s="253" t="n"/>
      <c r="E233" s="253" t="n"/>
      <c r="F233" s="253" t="n"/>
      <c r="G233" s="253" t="n"/>
      <c r="H233" s="253" t="n"/>
      <c r="I233" s="253" t="n"/>
      <c r="J233" s="253" t="n"/>
      <c r="K233" s="253" t="n"/>
      <c r="L233" s="253" t="n"/>
      <c r="M233" s="253" t="n"/>
      <c r="N233" s="253" t="n"/>
      <c r="O233" s="253" t="n"/>
      <c r="P233" s="253" t="n"/>
      <c r="Q233" s="253" t="n"/>
      <c r="R233" s="253" t="n"/>
      <c r="S233" s="253" t="n"/>
      <c r="T233" s="253" t="n"/>
      <c r="U233" s="253" t="n"/>
      <c r="V233" s="253" t="n"/>
      <c r="W233" s="253" t="n"/>
      <c r="X233" s="253" t="n"/>
      <c r="Y233" s="253" t="n"/>
      <c r="Z233" s="253" t="n"/>
    </row>
    <row r="234">
      <c r="A234" s="253" t="n"/>
      <c r="B234" s="253" t="n"/>
      <c r="C234" s="253" t="n"/>
      <c r="D234" s="253" t="n"/>
      <c r="E234" s="253" t="n"/>
      <c r="F234" s="253" t="n"/>
      <c r="G234" s="253" t="n"/>
      <c r="H234" s="253" t="n"/>
      <c r="I234" s="253" t="n"/>
      <c r="J234" s="253" t="n"/>
      <c r="K234" s="253" t="n"/>
      <c r="L234" s="253" t="n"/>
      <c r="M234" s="253" t="n"/>
      <c r="N234" s="253" t="n"/>
      <c r="O234" s="253" t="n"/>
      <c r="P234" s="253" t="n"/>
      <c r="Q234" s="253" t="n"/>
      <c r="R234" s="253" t="n"/>
      <c r="S234" s="253" t="n"/>
      <c r="T234" s="253" t="n"/>
      <c r="U234" s="253" t="n"/>
      <c r="V234" s="253" t="n"/>
      <c r="W234" s="253" t="n"/>
      <c r="X234" s="253" t="n"/>
      <c r="Y234" s="253" t="n"/>
      <c r="Z234" s="253" t="n"/>
    </row>
    <row r="235">
      <c r="A235" s="253" t="n"/>
      <c r="B235" s="253" t="n"/>
      <c r="C235" s="253" t="n"/>
      <c r="D235" s="253" t="n"/>
      <c r="E235" s="253" t="n"/>
      <c r="F235" s="253" t="n"/>
      <c r="G235" s="253" t="n"/>
      <c r="H235" s="253" t="n"/>
      <c r="I235" s="253" t="n"/>
      <c r="J235" s="253" t="n"/>
      <c r="K235" s="253" t="n"/>
      <c r="L235" s="253" t="n"/>
      <c r="M235" s="253" t="n"/>
      <c r="N235" s="253" t="n"/>
      <c r="O235" s="253" t="n"/>
      <c r="P235" s="253" t="n"/>
      <c r="Q235" s="253" t="n"/>
      <c r="R235" s="253" t="n"/>
      <c r="S235" s="253" t="n"/>
      <c r="T235" s="253" t="n"/>
      <c r="U235" s="253" t="n"/>
      <c r="V235" s="253" t="n"/>
      <c r="W235" s="253" t="n"/>
      <c r="X235" s="253" t="n"/>
      <c r="Y235" s="253" t="n"/>
      <c r="Z235" s="253" t="n"/>
    </row>
    <row r="236">
      <c r="A236" s="253" t="n"/>
      <c r="B236" s="253" t="n"/>
      <c r="C236" s="253" t="n"/>
      <c r="D236" s="253" t="n"/>
      <c r="E236" s="253" t="n"/>
      <c r="F236" s="253" t="n"/>
      <c r="G236" s="253" t="n"/>
      <c r="H236" s="253" t="n"/>
      <c r="I236" s="253" t="n"/>
      <c r="J236" s="253" t="n"/>
      <c r="K236" s="253" t="n"/>
      <c r="L236" s="253" t="n"/>
      <c r="M236" s="253" t="n"/>
      <c r="N236" s="253" t="n"/>
      <c r="O236" s="253" t="n"/>
      <c r="P236" s="253" t="n"/>
      <c r="Q236" s="253" t="n"/>
      <c r="R236" s="253" t="n"/>
      <c r="S236" s="253" t="n"/>
      <c r="T236" s="253" t="n"/>
      <c r="U236" s="253" t="n"/>
      <c r="V236" s="253" t="n"/>
      <c r="W236" s="253" t="n"/>
      <c r="X236" s="253" t="n"/>
      <c r="Y236" s="253" t="n"/>
      <c r="Z236" s="253" t="n"/>
    </row>
    <row r="237">
      <c r="A237" s="253" t="n"/>
      <c r="B237" s="253" t="n"/>
      <c r="C237" s="253" t="n"/>
      <c r="D237" s="253" t="n"/>
      <c r="E237" s="253" t="n"/>
      <c r="F237" s="253" t="n"/>
      <c r="G237" s="253" t="n"/>
      <c r="H237" s="253" t="n"/>
      <c r="I237" s="253" t="n"/>
      <c r="J237" s="253" t="n"/>
      <c r="K237" s="253" t="n"/>
      <c r="L237" s="253" t="n"/>
      <c r="M237" s="253" t="n"/>
      <c r="N237" s="253" t="n"/>
      <c r="O237" s="253" t="n"/>
      <c r="P237" s="253" t="n"/>
      <c r="Q237" s="253" t="n"/>
      <c r="R237" s="253" t="n"/>
      <c r="S237" s="253" t="n"/>
      <c r="T237" s="253" t="n"/>
      <c r="U237" s="253" t="n"/>
      <c r="V237" s="253" t="n"/>
      <c r="W237" s="253" t="n"/>
      <c r="X237" s="253" t="n"/>
      <c r="Y237" s="253" t="n"/>
      <c r="Z237" s="253" t="n"/>
    </row>
    <row r="238">
      <c r="A238" s="253" t="n"/>
      <c r="B238" s="253" t="n"/>
      <c r="C238" s="253" t="n"/>
      <c r="D238" s="253" t="n"/>
      <c r="E238" s="253" t="n"/>
      <c r="F238" s="253" t="n"/>
      <c r="G238" s="253" t="n"/>
      <c r="H238" s="253" t="n"/>
      <c r="I238" s="253" t="n"/>
      <c r="J238" s="253" t="n"/>
      <c r="K238" s="253" t="n"/>
      <c r="L238" s="253" t="n"/>
      <c r="M238" s="253" t="n"/>
      <c r="N238" s="253" t="n"/>
      <c r="O238" s="253" t="n"/>
      <c r="P238" s="253" t="n"/>
      <c r="Q238" s="253" t="n"/>
      <c r="R238" s="253" t="n"/>
      <c r="S238" s="253" t="n"/>
      <c r="T238" s="253" t="n"/>
      <c r="U238" s="253" t="n"/>
      <c r="V238" s="253" t="n"/>
      <c r="W238" s="253" t="n"/>
      <c r="X238" s="253" t="n"/>
      <c r="Y238" s="253" t="n"/>
      <c r="Z238" s="253" t="n"/>
    </row>
    <row r="239">
      <c r="A239" s="253" t="n"/>
      <c r="B239" s="253" t="n"/>
      <c r="C239" s="253" t="n"/>
      <c r="D239" s="253" t="n"/>
      <c r="E239" s="253" t="n"/>
      <c r="F239" s="253" t="n"/>
      <c r="G239" s="253" t="n"/>
      <c r="H239" s="253" t="n"/>
      <c r="I239" s="253" t="n"/>
      <c r="J239" s="253" t="n"/>
      <c r="K239" s="253" t="n"/>
      <c r="L239" s="253" t="n"/>
      <c r="M239" s="253" t="n"/>
      <c r="N239" s="253" t="n"/>
      <c r="O239" s="253" t="n"/>
      <c r="P239" s="253" t="n"/>
      <c r="Q239" s="253" t="n"/>
      <c r="R239" s="253" t="n"/>
      <c r="S239" s="253" t="n"/>
      <c r="T239" s="253" t="n"/>
      <c r="U239" s="253" t="n"/>
      <c r="V239" s="253" t="n"/>
      <c r="W239" s="253" t="n"/>
      <c r="X239" s="253" t="n"/>
      <c r="Y239" s="253" t="n"/>
      <c r="Z239" s="253" t="n"/>
    </row>
    <row r="240">
      <c r="A240" s="253" t="n"/>
      <c r="B240" s="253" t="n"/>
      <c r="C240" s="253" t="n"/>
      <c r="D240" s="253" t="n"/>
      <c r="E240" s="253" t="n"/>
      <c r="F240" s="253" t="n"/>
      <c r="G240" s="253" t="n"/>
      <c r="H240" s="253" t="n"/>
      <c r="I240" s="253" t="n"/>
      <c r="J240" s="253" t="n"/>
      <c r="K240" s="253" t="n"/>
      <c r="L240" s="253" t="n"/>
      <c r="M240" s="253" t="n"/>
      <c r="N240" s="253" t="n"/>
      <c r="O240" s="253" t="n"/>
      <c r="P240" s="253" t="n"/>
      <c r="Q240" s="253" t="n"/>
      <c r="R240" s="253" t="n"/>
      <c r="S240" s="253" t="n"/>
      <c r="T240" s="253" t="n"/>
      <c r="U240" s="253" t="n"/>
      <c r="V240" s="253" t="n"/>
      <c r="W240" s="253" t="n"/>
      <c r="X240" s="253" t="n"/>
      <c r="Y240" s="253" t="n"/>
      <c r="Z240" s="253" t="n"/>
    </row>
    <row r="241">
      <c r="A241" s="253" t="n"/>
      <c r="B241" s="253" t="n"/>
      <c r="C241" s="253" t="n"/>
      <c r="D241" s="253" t="n"/>
      <c r="E241" s="253" t="n"/>
      <c r="F241" s="253" t="n"/>
      <c r="G241" s="253" t="n"/>
      <c r="H241" s="253" t="n"/>
      <c r="I241" s="253" t="n"/>
      <c r="J241" s="253" t="n"/>
      <c r="K241" s="253" t="n"/>
      <c r="L241" s="253" t="n"/>
      <c r="M241" s="253" t="n"/>
      <c r="N241" s="253" t="n"/>
      <c r="O241" s="253" t="n"/>
      <c r="P241" s="253" t="n"/>
      <c r="Q241" s="253" t="n"/>
      <c r="R241" s="253" t="n"/>
      <c r="S241" s="253" t="n"/>
      <c r="T241" s="253" t="n"/>
      <c r="U241" s="253" t="n"/>
      <c r="V241" s="253" t="n"/>
      <c r="W241" s="253" t="n"/>
      <c r="X241" s="253" t="n"/>
      <c r="Y241" s="253" t="n"/>
      <c r="Z241" s="253" t="n"/>
    </row>
    <row r="242">
      <c r="A242" s="253" t="n"/>
      <c r="B242" s="253" t="n"/>
      <c r="C242" s="253" t="n"/>
      <c r="D242" s="253" t="n"/>
      <c r="E242" s="253" t="n"/>
      <c r="F242" s="253" t="n"/>
      <c r="G242" s="253" t="n"/>
      <c r="H242" s="253" t="n"/>
      <c r="I242" s="253" t="n"/>
      <c r="J242" s="253" t="n"/>
      <c r="K242" s="253" t="n"/>
      <c r="L242" s="253" t="n"/>
      <c r="M242" s="253" t="n"/>
      <c r="N242" s="253" t="n"/>
      <c r="O242" s="253" t="n"/>
      <c r="P242" s="253" t="n"/>
      <c r="Q242" s="253" t="n"/>
      <c r="R242" s="253" t="n"/>
      <c r="S242" s="253" t="n"/>
      <c r="T242" s="253" t="n"/>
      <c r="U242" s="253" t="n"/>
      <c r="V242" s="253" t="n"/>
      <c r="W242" s="253" t="n"/>
      <c r="X242" s="253" t="n"/>
      <c r="Y242" s="253" t="n"/>
      <c r="Z242" s="253" t="n"/>
    </row>
    <row r="243">
      <c r="A243" s="253" t="n"/>
      <c r="B243" s="253" t="n"/>
      <c r="C243" s="253" t="n"/>
      <c r="D243" s="253" t="n"/>
      <c r="E243" s="253" t="n"/>
      <c r="F243" s="253" t="n"/>
      <c r="G243" s="253" t="n"/>
      <c r="H243" s="253" t="n"/>
      <c r="I243" s="253" t="n"/>
      <c r="J243" s="253" t="n"/>
      <c r="K243" s="253" t="n"/>
      <c r="L243" s="253" t="n"/>
      <c r="M243" s="253" t="n"/>
      <c r="N243" s="253" t="n"/>
      <c r="O243" s="253" t="n"/>
      <c r="P243" s="253" t="n"/>
      <c r="Q243" s="253" t="n"/>
      <c r="R243" s="253" t="n"/>
      <c r="S243" s="253" t="n"/>
      <c r="T243" s="253" t="n"/>
      <c r="U243" s="253" t="n"/>
      <c r="V243" s="253" t="n"/>
      <c r="W243" s="253" t="n"/>
      <c r="X243" s="253" t="n"/>
      <c r="Y243" s="253" t="n"/>
      <c r="Z243" s="253" t="n"/>
    </row>
    <row r="244">
      <c r="A244" s="253" t="n"/>
      <c r="B244" s="253" t="n"/>
      <c r="C244" s="253" t="n"/>
      <c r="D244" s="253" t="n"/>
      <c r="E244" s="253" t="n"/>
      <c r="F244" s="253" t="n"/>
      <c r="G244" s="253" t="n"/>
      <c r="H244" s="253" t="n"/>
      <c r="I244" s="253" t="n"/>
      <c r="J244" s="253" t="n"/>
      <c r="K244" s="253" t="n"/>
      <c r="L244" s="253" t="n"/>
      <c r="M244" s="253" t="n"/>
      <c r="N244" s="253" t="n"/>
      <c r="O244" s="253" t="n"/>
      <c r="P244" s="253" t="n"/>
      <c r="Q244" s="253" t="n"/>
      <c r="R244" s="253" t="n"/>
      <c r="S244" s="253" t="n"/>
      <c r="T244" s="253" t="n"/>
      <c r="U244" s="253" t="n"/>
      <c r="V244" s="253" t="n"/>
      <c r="W244" s="253" t="n"/>
      <c r="X244" s="253" t="n"/>
      <c r="Y244" s="253" t="n"/>
      <c r="Z244" s="253" t="n"/>
    </row>
    <row r="245">
      <c r="A245" s="253" t="n"/>
      <c r="B245" s="253" t="n"/>
      <c r="C245" s="253" t="n"/>
      <c r="D245" s="253" t="n"/>
      <c r="E245" s="253" t="n"/>
      <c r="F245" s="253" t="n"/>
      <c r="G245" s="253" t="n"/>
      <c r="H245" s="253" t="n"/>
      <c r="I245" s="253" t="n"/>
      <c r="J245" s="253" t="n"/>
      <c r="K245" s="253" t="n"/>
      <c r="L245" s="253" t="n"/>
      <c r="M245" s="253" t="n"/>
      <c r="N245" s="253" t="n"/>
      <c r="O245" s="253" t="n"/>
      <c r="P245" s="253" t="n"/>
      <c r="Q245" s="253" t="n"/>
      <c r="R245" s="253" t="n"/>
      <c r="S245" s="253" t="n"/>
      <c r="T245" s="253" t="n"/>
      <c r="U245" s="253" t="n"/>
      <c r="V245" s="253" t="n"/>
      <c r="W245" s="253" t="n"/>
      <c r="X245" s="253" t="n"/>
      <c r="Y245" s="253" t="n"/>
      <c r="Z245" s="253" t="n"/>
    </row>
    <row r="246">
      <c r="A246" s="253" t="n"/>
      <c r="B246" s="253" t="n"/>
      <c r="C246" s="253" t="n"/>
      <c r="D246" s="253" t="n"/>
      <c r="E246" s="253" t="n"/>
      <c r="F246" s="253" t="n"/>
      <c r="G246" s="253" t="n"/>
      <c r="H246" s="253" t="n"/>
      <c r="I246" s="253" t="n"/>
      <c r="J246" s="253" t="n"/>
      <c r="K246" s="253" t="n"/>
      <c r="L246" s="253" t="n"/>
      <c r="M246" s="253" t="n"/>
      <c r="N246" s="253" t="n"/>
      <c r="O246" s="253" t="n"/>
      <c r="P246" s="253" t="n"/>
      <c r="Q246" s="253" t="n"/>
      <c r="R246" s="253" t="n"/>
      <c r="S246" s="253" t="n"/>
      <c r="T246" s="253" t="n"/>
      <c r="U246" s="253" t="n"/>
      <c r="V246" s="253" t="n"/>
      <c r="W246" s="253" t="n"/>
      <c r="X246" s="253" t="n"/>
      <c r="Y246" s="253" t="n"/>
      <c r="Z246" s="253" t="n"/>
    </row>
    <row r="247">
      <c r="A247" s="253" t="n"/>
      <c r="B247" s="253" t="n"/>
      <c r="C247" s="253" t="n"/>
      <c r="D247" s="253" t="n"/>
      <c r="E247" s="253" t="n"/>
      <c r="F247" s="253" t="n"/>
      <c r="G247" s="253" t="n"/>
      <c r="H247" s="253" t="n"/>
      <c r="I247" s="253" t="n"/>
      <c r="J247" s="253" t="n"/>
      <c r="K247" s="253" t="n"/>
      <c r="L247" s="253" t="n"/>
      <c r="M247" s="253" t="n"/>
      <c r="N247" s="253" t="n"/>
      <c r="O247" s="253" t="n"/>
      <c r="P247" s="253" t="n"/>
      <c r="Q247" s="253" t="n"/>
      <c r="R247" s="253" t="n"/>
      <c r="S247" s="253" t="n"/>
      <c r="T247" s="253" t="n"/>
      <c r="U247" s="253" t="n"/>
      <c r="V247" s="253" t="n"/>
      <c r="W247" s="253" t="n"/>
      <c r="X247" s="253" t="n"/>
      <c r="Y247" s="253" t="n"/>
      <c r="Z247" s="253" t="n"/>
    </row>
    <row r="248">
      <c r="A248" s="253" t="n"/>
      <c r="B248" s="253" t="n"/>
      <c r="C248" s="253" t="n"/>
      <c r="D248" s="253" t="n"/>
      <c r="E248" s="253" t="n"/>
      <c r="F248" s="253" t="n"/>
      <c r="G248" s="253" t="n"/>
      <c r="H248" s="253" t="n"/>
      <c r="I248" s="253" t="n"/>
      <c r="J248" s="253" t="n"/>
      <c r="K248" s="253" t="n"/>
      <c r="L248" s="253" t="n"/>
      <c r="M248" s="253" t="n"/>
      <c r="N248" s="253" t="n"/>
      <c r="O248" s="253" t="n"/>
      <c r="P248" s="253" t="n"/>
      <c r="Q248" s="253" t="n"/>
      <c r="R248" s="253" t="n"/>
      <c r="S248" s="253" t="n"/>
      <c r="T248" s="253" t="n"/>
      <c r="U248" s="253" t="n"/>
      <c r="V248" s="253" t="n"/>
      <c r="W248" s="253" t="n"/>
      <c r="X248" s="253" t="n"/>
      <c r="Y248" s="253" t="n"/>
      <c r="Z248" s="253" t="n"/>
    </row>
    <row r="249">
      <c r="A249" s="253" t="n"/>
      <c r="B249" s="253" t="n"/>
      <c r="C249" s="253" t="n"/>
      <c r="D249" s="253" t="n"/>
      <c r="E249" s="253" t="n"/>
      <c r="F249" s="253" t="n"/>
      <c r="G249" s="253" t="n"/>
      <c r="H249" s="253" t="n"/>
      <c r="I249" s="253" t="n"/>
      <c r="J249" s="253" t="n"/>
      <c r="K249" s="253" t="n"/>
      <c r="L249" s="253" t="n"/>
      <c r="M249" s="253" t="n"/>
      <c r="N249" s="253" t="n"/>
      <c r="O249" s="253" t="n"/>
      <c r="P249" s="253" t="n"/>
      <c r="Q249" s="253" t="n"/>
      <c r="R249" s="253" t="n"/>
      <c r="S249" s="253" t="n"/>
      <c r="T249" s="253" t="n"/>
      <c r="U249" s="253" t="n"/>
      <c r="V249" s="253" t="n"/>
      <c r="W249" s="253" t="n"/>
      <c r="X249" s="253" t="n"/>
      <c r="Y249" s="253" t="n"/>
      <c r="Z249" s="253" t="n"/>
    </row>
    <row r="250">
      <c r="A250" s="253" t="n"/>
      <c r="B250" s="253" t="n"/>
      <c r="C250" s="253" t="n"/>
      <c r="D250" s="253" t="n"/>
      <c r="E250" s="253" t="n"/>
      <c r="F250" s="253" t="n"/>
      <c r="G250" s="253" t="n"/>
      <c r="H250" s="253" t="n"/>
      <c r="I250" s="253" t="n"/>
      <c r="J250" s="253" t="n"/>
      <c r="K250" s="253" t="n"/>
      <c r="L250" s="253" t="n"/>
      <c r="M250" s="253" t="n"/>
      <c r="N250" s="253" t="n"/>
      <c r="O250" s="253" t="n"/>
      <c r="P250" s="253" t="n"/>
      <c r="Q250" s="253" t="n"/>
      <c r="R250" s="253" t="n"/>
      <c r="S250" s="253" t="n"/>
      <c r="T250" s="253" t="n"/>
      <c r="U250" s="253" t="n"/>
      <c r="V250" s="253" t="n"/>
      <c r="W250" s="253" t="n"/>
      <c r="X250" s="253" t="n"/>
      <c r="Y250" s="253" t="n"/>
      <c r="Z250" s="253" t="n"/>
    </row>
    <row r="251">
      <c r="A251" s="253" t="n"/>
      <c r="B251" s="253" t="n"/>
      <c r="C251" s="253" t="n"/>
      <c r="D251" s="253" t="n"/>
      <c r="E251" s="253" t="n"/>
      <c r="F251" s="253" t="n"/>
      <c r="G251" s="253" t="n"/>
      <c r="H251" s="253" t="n"/>
      <c r="I251" s="253" t="n"/>
      <c r="J251" s="253" t="n"/>
      <c r="K251" s="253" t="n"/>
      <c r="L251" s="253" t="n"/>
      <c r="M251" s="253" t="n"/>
      <c r="N251" s="253" t="n"/>
      <c r="O251" s="253" t="n"/>
      <c r="P251" s="253" t="n"/>
      <c r="Q251" s="253" t="n"/>
      <c r="R251" s="253" t="n"/>
      <c r="S251" s="253" t="n"/>
      <c r="T251" s="253" t="n"/>
      <c r="U251" s="253" t="n"/>
      <c r="V251" s="253" t="n"/>
      <c r="W251" s="253" t="n"/>
      <c r="X251" s="253" t="n"/>
      <c r="Y251" s="253" t="n"/>
      <c r="Z251" s="253" t="n"/>
    </row>
    <row r="252">
      <c r="A252" s="253" t="n"/>
      <c r="B252" s="253" t="n"/>
      <c r="C252" s="253" t="n"/>
      <c r="D252" s="253" t="n"/>
      <c r="E252" s="253" t="n"/>
      <c r="F252" s="253" t="n"/>
      <c r="G252" s="253" t="n"/>
      <c r="H252" s="253" t="n"/>
      <c r="I252" s="253" t="n"/>
      <c r="J252" s="253" t="n"/>
      <c r="K252" s="253" t="n"/>
      <c r="L252" s="253" t="n"/>
      <c r="M252" s="253" t="n"/>
      <c r="N252" s="253" t="n"/>
      <c r="O252" s="253" t="n"/>
      <c r="P252" s="253" t="n"/>
      <c r="Q252" s="253" t="n"/>
      <c r="R252" s="253" t="n"/>
      <c r="S252" s="253" t="n"/>
      <c r="T252" s="253" t="n"/>
      <c r="U252" s="253" t="n"/>
      <c r="V252" s="253" t="n"/>
      <c r="W252" s="253" t="n"/>
      <c r="X252" s="253" t="n"/>
      <c r="Y252" s="253" t="n"/>
      <c r="Z252" s="253" t="n"/>
    </row>
    <row r="253">
      <c r="A253" s="253" t="n"/>
      <c r="B253" s="253" t="n"/>
      <c r="C253" s="253" t="n"/>
      <c r="D253" s="253" t="n"/>
      <c r="E253" s="253" t="n"/>
      <c r="F253" s="253" t="n"/>
      <c r="G253" s="253" t="n"/>
      <c r="H253" s="253" t="n"/>
      <c r="I253" s="253" t="n"/>
      <c r="J253" s="253" t="n"/>
      <c r="K253" s="253" t="n"/>
      <c r="L253" s="253" t="n"/>
      <c r="M253" s="253" t="n"/>
      <c r="N253" s="253" t="n"/>
      <c r="O253" s="253" t="n"/>
      <c r="P253" s="253" t="n"/>
      <c r="Q253" s="253" t="n"/>
      <c r="R253" s="253" t="n"/>
      <c r="S253" s="253" t="n"/>
      <c r="T253" s="253" t="n"/>
      <c r="U253" s="253" t="n"/>
      <c r="V253" s="253" t="n"/>
      <c r="W253" s="253" t="n"/>
      <c r="X253" s="253" t="n"/>
      <c r="Y253" s="253" t="n"/>
      <c r="Z253" s="253" t="n"/>
    </row>
    <row r="254">
      <c r="A254" s="253" t="n"/>
      <c r="B254" s="253" t="n"/>
      <c r="C254" s="253" t="n"/>
      <c r="D254" s="253" t="n"/>
      <c r="E254" s="253" t="n"/>
      <c r="F254" s="253" t="n"/>
      <c r="G254" s="253" t="n"/>
      <c r="H254" s="253" t="n"/>
      <c r="I254" s="253" t="n"/>
      <c r="J254" s="253" t="n"/>
      <c r="K254" s="253" t="n"/>
      <c r="L254" s="253" t="n"/>
      <c r="M254" s="253" t="n"/>
      <c r="N254" s="253" t="n"/>
      <c r="O254" s="253" t="n"/>
      <c r="P254" s="253" t="n"/>
      <c r="Q254" s="253" t="n"/>
      <c r="R254" s="253" t="n"/>
      <c r="S254" s="253" t="n"/>
      <c r="T254" s="253" t="n"/>
      <c r="U254" s="253" t="n"/>
      <c r="V254" s="253" t="n"/>
      <c r="W254" s="253" t="n"/>
      <c r="X254" s="253" t="n"/>
      <c r="Y254" s="253" t="n"/>
      <c r="Z254" s="253" t="n"/>
    </row>
    <row r="255">
      <c r="A255" s="253" t="n"/>
      <c r="B255" s="253" t="n"/>
      <c r="C255" s="253" t="n"/>
      <c r="D255" s="253" t="n"/>
      <c r="E255" s="253" t="n"/>
      <c r="F255" s="253" t="n"/>
      <c r="G255" s="253" t="n"/>
      <c r="H255" s="253" t="n"/>
      <c r="I255" s="253" t="n"/>
      <c r="J255" s="253" t="n"/>
      <c r="K255" s="253" t="n"/>
      <c r="L255" s="253" t="n"/>
      <c r="M255" s="253" t="n"/>
      <c r="N255" s="253" t="n"/>
      <c r="O255" s="253" t="n"/>
      <c r="P255" s="253" t="n"/>
      <c r="Q255" s="253" t="n"/>
      <c r="R255" s="253" t="n"/>
      <c r="S255" s="253" t="n"/>
      <c r="T255" s="253" t="n"/>
      <c r="U255" s="253" t="n"/>
      <c r="V255" s="253" t="n"/>
      <c r="W255" s="253" t="n"/>
      <c r="X255" s="253" t="n"/>
      <c r="Y255" s="253" t="n"/>
      <c r="Z255" s="253" t="n"/>
    </row>
    <row r="256">
      <c r="A256" s="253" t="n"/>
      <c r="B256" s="253" t="n"/>
      <c r="C256" s="253" t="n"/>
      <c r="D256" s="253" t="n"/>
      <c r="E256" s="253" t="n"/>
      <c r="F256" s="253" t="n"/>
      <c r="G256" s="253" t="n"/>
      <c r="H256" s="253" t="n"/>
      <c r="I256" s="253" t="n"/>
      <c r="J256" s="253" t="n"/>
      <c r="K256" s="253" t="n"/>
      <c r="L256" s="253" t="n"/>
      <c r="M256" s="253" t="n"/>
      <c r="N256" s="253" t="n"/>
      <c r="O256" s="253" t="n"/>
      <c r="P256" s="253" t="n"/>
      <c r="Q256" s="253" t="n"/>
      <c r="R256" s="253" t="n"/>
      <c r="S256" s="253" t="n"/>
      <c r="T256" s="253" t="n"/>
      <c r="U256" s="253" t="n"/>
      <c r="V256" s="253" t="n"/>
      <c r="W256" s="253" t="n"/>
      <c r="X256" s="253" t="n"/>
      <c r="Y256" s="253" t="n"/>
      <c r="Z256" s="253" t="n"/>
    </row>
    <row r="257">
      <c r="A257" s="253" t="n"/>
      <c r="B257" s="253" t="n"/>
      <c r="C257" s="253" t="n"/>
      <c r="D257" s="253" t="n"/>
      <c r="E257" s="253" t="n"/>
      <c r="F257" s="253" t="n"/>
      <c r="G257" s="253" t="n"/>
      <c r="H257" s="253" t="n"/>
      <c r="I257" s="253" t="n"/>
      <c r="J257" s="253" t="n"/>
      <c r="K257" s="253" t="n"/>
      <c r="L257" s="253" t="n"/>
      <c r="M257" s="253" t="n"/>
      <c r="N257" s="253" t="n"/>
      <c r="O257" s="253" t="n"/>
      <c r="P257" s="253" t="n"/>
      <c r="Q257" s="253" t="n"/>
      <c r="R257" s="253" t="n"/>
      <c r="S257" s="253" t="n"/>
      <c r="T257" s="253" t="n"/>
      <c r="U257" s="253" t="n"/>
      <c r="V257" s="253" t="n"/>
      <c r="W257" s="253" t="n"/>
      <c r="X257" s="253" t="n"/>
      <c r="Y257" s="253" t="n"/>
      <c r="Z257" s="253" t="n"/>
    </row>
    <row r="258">
      <c r="A258" s="253" t="n"/>
      <c r="B258" s="253" t="n"/>
      <c r="C258" s="253" t="n"/>
      <c r="D258" s="253" t="n"/>
      <c r="E258" s="253" t="n"/>
      <c r="F258" s="253" t="n"/>
      <c r="G258" s="253" t="n"/>
      <c r="H258" s="253" t="n"/>
      <c r="I258" s="253" t="n"/>
      <c r="J258" s="253" t="n"/>
      <c r="K258" s="253" t="n"/>
      <c r="L258" s="253" t="n"/>
      <c r="M258" s="253" t="n"/>
      <c r="N258" s="253" t="n"/>
      <c r="O258" s="253" t="n"/>
      <c r="P258" s="253" t="n"/>
      <c r="Q258" s="253" t="n"/>
      <c r="R258" s="253" t="n"/>
      <c r="S258" s="253" t="n"/>
      <c r="T258" s="253" t="n"/>
      <c r="U258" s="253" t="n"/>
      <c r="V258" s="253" t="n"/>
      <c r="W258" s="253" t="n"/>
      <c r="X258" s="253" t="n"/>
      <c r="Y258" s="253" t="n"/>
      <c r="Z258" s="253" t="n"/>
    </row>
    <row r="259">
      <c r="A259" s="253" t="n"/>
      <c r="B259" s="253" t="n"/>
      <c r="C259" s="253" t="n"/>
      <c r="D259" s="253" t="n"/>
      <c r="E259" s="253" t="n"/>
      <c r="F259" s="253" t="n"/>
      <c r="G259" s="253" t="n"/>
      <c r="H259" s="253" t="n"/>
      <c r="I259" s="253" t="n"/>
      <c r="J259" s="253" t="n"/>
      <c r="K259" s="253" t="n"/>
      <c r="L259" s="253" t="n"/>
      <c r="M259" s="253" t="n"/>
      <c r="N259" s="253" t="n"/>
      <c r="O259" s="253" t="n"/>
      <c r="P259" s="253" t="n"/>
      <c r="Q259" s="253" t="n"/>
      <c r="R259" s="253" t="n"/>
      <c r="S259" s="253" t="n"/>
      <c r="T259" s="253" t="n"/>
      <c r="U259" s="253" t="n"/>
      <c r="V259" s="253" t="n"/>
      <c r="W259" s="253" t="n"/>
      <c r="X259" s="253" t="n"/>
      <c r="Y259" s="253" t="n"/>
      <c r="Z259" s="253" t="n"/>
    </row>
    <row r="260">
      <c r="A260" s="253" t="n"/>
      <c r="B260" s="253" t="n"/>
      <c r="C260" s="253" t="n"/>
      <c r="D260" s="253" t="n"/>
      <c r="E260" s="253" t="n"/>
      <c r="F260" s="253" t="n"/>
      <c r="G260" s="253" t="n"/>
      <c r="H260" s="253" t="n"/>
      <c r="I260" s="253" t="n"/>
      <c r="J260" s="253" t="n"/>
      <c r="K260" s="253" t="n"/>
      <c r="L260" s="253" t="n"/>
      <c r="M260" s="253" t="n"/>
      <c r="N260" s="253" t="n"/>
      <c r="O260" s="253" t="n"/>
      <c r="P260" s="253" t="n"/>
      <c r="Q260" s="253" t="n"/>
      <c r="R260" s="253" t="n"/>
      <c r="S260" s="253" t="n"/>
      <c r="T260" s="253" t="n"/>
      <c r="U260" s="253" t="n"/>
      <c r="V260" s="253" t="n"/>
      <c r="W260" s="253" t="n"/>
      <c r="X260" s="253" t="n"/>
      <c r="Y260" s="253" t="n"/>
      <c r="Z260" s="253" t="n"/>
    </row>
    <row r="261">
      <c r="A261" s="253" t="n"/>
      <c r="B261" s="253" t="n"/>
      <c r="C261" s="253" t="n"/>
      <c r="D261" s="253" t="n"/>
      <c r="E261" s="253" t="n"/>
      <c r="F261" s="253" t="n"/>
      <c r="G261" s="253" t="n"/>
      <c r="H261" s="253" t="n"/>
      <c r="I261" s="253" t="n"/>
      <c r="J261" s="253" t="n"/>
      <c r="K261" s="253" t="n"/>
      <c r="L261" s="253" t="n"/>
      <c r="M261" s="253" t="n"/>
      <c r="N261" s="253" t="n"/>
      <c r="O261" s="253" t="n"/>
      <c r="P261" s="253" t="n"/>
      <c r="Q261" s="253" t="n"/>
      <c r="R261" s="253" t="n"/>
      <c r="S261" s="253" t="n"/>
      <c r="T261" s="253" t="n"/>
      <c r="U261" s="253" t="n"/>
      <c r="V261" s="253" t="n"/>
      <c r="W261" s="253" t="n"/>
      <c r="X261" s="253" t="n"/>
      <c r="Y261" s="253" t="n"/>
      <c r="Z261" s="253" t="n"/>
    </row>
    <row r="262">
      <c r="A262" s="253" t="n"/>
      <c r="B262" s="253" t="n"/>
      <c r="C262" s="253" t="n"/>
      <c r="D262" s="253" t="n"/>
      <c r="E262" s="253" t="n"/>
      <c r="F262" s="253" t="n"/>
      <c r="G262" s="253" t="n"/>
      <c r="H262" s="253" t="n"/>
      <c r="I262" s="253" t="n"/>
      <c r="J262" s="253" t="n"/>
      <c r="K262" s="253" t="n"/>
      <c r="L262" s="253" t="n"/>
      <c r="M262" s="253" t="n"/>
      <c r="N262" s="253" t="n"/>
      <c r="O262" s="253" t="n"/>
      <c r="P262" s="253" t="n"/>
      <c r="Q262" s="253" t="n"/>
      <c r="R262" s="253" t="n"/>
      <c r="S262" s="253" t="n"/>
      <c r="T262" s="253" t="n"/>
      <c r="U262" s="253" t="n"/>
      <c r="V262" s="253" t="n"/>
      <c r="W262" s="253" t="n"/>
      <c r="X262" s="253" t="n"/>
      <c r="Y262" s="253" t="n"/>
      <c r="Z262" s="253" t="n"/>
    </row>
    <row r="263">
      <c r="A263" s="253" t="n"/>
      <c r="B263" s="253" t="n"/>
      <c r="C263" s="253" t="n"/>
      <c r="D263" s="253" t="n"/>
      <c r="E263" s="253" t="n"/>
      <c r="F263" s="253" t="n"/>
      <c r="G263" s="253" t="n"/>
      <c r="H263" s="253" t="n"/>
      <c r="I263" s="253" t="n"/>
      <c r="J263" s="253" t="n"/>
      <c r="K263" s="253" t="n"/>
      <c r="L263" s="253" t="n"/>
      <c r="M263" s="253" t="n"/>
      <c r="N263" s="253" t="n"/>
      <c r="O263" s="253" t="n"/>
      <c r="P263" s="253" t="n"/>
      <c r="Q263" s="253" t="n"/>
      <c r="R263" s="253" t="n"/>
      <c r="S263" s="253" t="n"/>
      <c r="T263" s="253" t="n"/>
      <c r="U263" s="253" t="n"/>
      <c r="V263" s="253" t="n"/>
      <c r="W263" s="253" t="n"/>
      <c r="X263" s="253" t="n"/>
      <c r="Y263" s="253" t="n"/>
      <c r="Z263" s="253" t="n"/>
    </row>
    <row r="264">
      <c r="A264" s="253" t="n"/>
      <c r="B264" s="253" t="n"/>
      <c r="C264" s="253" t="n"/>
      <c r="D264" s="253" t="n"/>
      <c r="E264" s="253" t="n"/>
      <c r="F264" s="253" t="n"/>
      <c r="G264" s="253" t="n"/>
      <c r="H264" s="253" t="n"/>
      <c r="I264" s="253" t="n"/>
      <c r="J264" s="253" t="n"/>
      <c r="K264" s="253" t="n"/>
      <c r="L264" s="253" t="n"/>
      <c r="M264" s="253" t="n"/>
      <c r="N264" s="253" t="n"/>
      <c r="O264" s="253" t="n"/>
      <c r="P264" s="253" t="n"/>
      <c r="Q264" s="253" t="n"/>
      <c r="R264" s="253" t="n"/>
      <c r="S264" s="253" t="n"/>
      <c r="T264" s="253" t="n"/>
      <c r="U264" s="253" t="n"/>
      <c r="V264" s="253" t="n"/>
      <c r="W264" s="253" t="n"/>
      <c r="X264" s="253" t="n"/>
      <c r="Y264" s="253" t="n"/>
      <c r="Z264" s="253" t="n"/>
    </row>
    <row r="265">
      <c r="A265" s="253" t="n"/>
      <c r="B265" s="253" t="n"/>
      <c r="C265" s="253" t="n"/>
      <c r="D265" s="253" t="n"/>
      <c r="E265" s="253" t="n"/>
      <c r="F265" s="253" t="n"/>
      <c r="G265" s="253" t="n"/>
      <c r="H265" s="253" t="n"/>
      <c r="I265" s="253" t="n"/>
      <c r="J265" s="253" t="n"/>
      <c r="K265" s="253" t="n"/>
      <c r="L265" s="253" t="n"/>
      <c r="M265" s="253" t="n"/>
      <c r="N265" s="253" t="n"/>
      <c r="O265" s="253" t="n"/>
      <c r="P265" s="253" t="n"/>
      <c r="Q265" s="253" t="n"/>
      <c r="R265" s="253" t="n"/>
      <c r="S265" s="253" t="n"/>
      <c r="T265" s="253" t="n"/>
      <c r="U265" s="253" t="n"/>
      <c r="V265" s="253" t="n"/>
      <c r="W265" s="253" t="n"/>
      <c r="X265" s="253" t="n"/>
      <c r="Y265" s="253" t="n"/>
      <c r="Z265" s="253" t="n"/>
    </row>
    <row r="266">
      <c r="A266" s="253" t="n"/>
      <c r="B266" s="253" t="n"/>
      <c r="C266" s="253" t="n"/>
      <c r="D266" s="253" t="n"/>
      <c r="E266" s="253" t="n"/>
      <c r="F266" s="253" t="n"/>
      <c r="G266" s="253" t="n"/>
      <c r="H266" s="253" t="n"/>
      <c r="I266" s="253" t="n"/>
      <c r="J266" s="253" t="n"/>
      <c r="K266" s="253" t="n"/>
      <c r="L266" s="253" t="n"/>
      <c r="M266" s="253" t="n"/>
      <c r="N266" s="253" t="n"/>
      <c r="O266" s="253" t="n"/>
      <c r="P266" s="253" t="n"/>
      <c r="Q266" s="253" t="n"/>
      <c r="R266" s="253" t="n"/>
      <c r="S266" s="253" t="n"/>
      <c r="T266" s="253" t="n"/>
      <c r="U266" s="253" t="n"/>
      <c r="V266" s="253" t="n"/>
      <c r="W266" s="253" t="n"/>
      <c r="X266" s="253" t="n"/>
      <c r="Y266" s="253" t="n"/>
      <c r="Z266" s="253" t="n"/>
    </row>
    <row r="267">
      <c r="A267" s="253" t="n"/>
      <c r="B267" s="253" t="n"/>
      <c r="C267" s="253" t="n"/>
      <c r="D267" s="253" t="n"/>
      <c r="E267" s="253" t="n"/>
      <c r="F267" s="253" t="n"/>
      <c r="G267" s="253" t="n"/>
      <c r="H267" s="253" t="n"/>
      <c r="I267" s="253" t="n"/>
      <c r="J267" s="253" t="n"/>
      <c r="K267" s="253" t="n"/>
      <c r="L267" s="253" t="n"/>
      <c r="M267" s="253" t="n"/>
      <c r="N267" s="253" t="n"/>
      <c r="O267" s="253" t="n"/>
      <c r="P267" s="253" t="n"/>
      <c r="Q267" s="253" t="n"/>
      <c r="R267" s="253" t="n"/>
      <c r="S267" s="253" t="n"/>
      <c r="T267" s="253" t="n"/>
      <c r="U267" s="253" t="n"/>
      <c r="V267" s="253" t="n"/>
      <c r="W267" s="253" t="n"/>
      <c r="X267" s="253" t="n"/>
      <c r="Y267" s="253" t="n"/>
      <c r="Z267" s="253" t="n"/>
    </row>
    <row r="268">
      <c r="A268" s="253" t="n"/>
      <c r="B268" s="253" t="n"/>
      <c r="C268" s="253" t="n"/>
      <c r="D268" s="253" t="n"/>
      <c r="E268" s="253" t="n"/>
      <c r="F268" s="253" t="n"/>
      <c r="G268" s="253" t="n"/>
      <c r="H268" s="253" t="n"/>
      <c r="I268" s="253" t="n"/>
      <c r="J268" s="253" t="n"/>
      <c r="K268" s="253" t="n"/>
      <c r="L268" s="253" t="n"/>
      <c r="M268" s="253" t="n"/>
      <c r="N268" s="253" t="n"/>
      <c r="O268" s="253" t="n"/>
      <c r="P268" s="253" t="n"/>
      <c r="Q268" s="253" t="n"/>
      <c r="R268" s="253" t="n"/>
      <c r="S268" s="253" t="n"/>
      <c r="T268" s="253" t="n"/>
      <c r="U268" s="253" t="n"/>
      <c r="V268" s="253" t="n"/>
      <c r="W268" s="253" t="n"/>
      <c r="X268" s="253" t="n"/>
      <c r="Y268" s="253" t="n"/>
      <c r="Z268" s="253" t="n"/>
    </row>
    <row r="269">
      <c r="A269" s="253" t="n"/>
      <c r="B269" s="253" t="n"/>
      <c r="C269" s="253" t="n"/>
      <c r="D269" s="253" t="n"/>
      <c r="E269" s="253" t="n"/>
      <c r="F269" s="253" t="n"/>
      <c r="G269" s="253" t="n"/>
      <c r="H269" s="253" t="n"/>
      <c r="I269" s="253" t="n"/>
      <c r="J269" s="253" t="n"/>
      <c r="K269" s="253" t="n"/>
      <c r="L269" s="253" t="n"/>
      <c r="M269" s="253" t="n"/>
      <c r="N269" s="253" t="n"/>
      <c r="O269" s="253" t="n"/>
      <c r="P269" s="253" t="n"/>
      <c r="Q269" s="253" t="n"/>
      <c r="R269" s="253" t="n"/>
      <c r="S269" s="253" t="n"/>
      <c r="T269" s="253" t="n"/>
      <c r="U269" s="253" t="n"/>
      <c r="V269" s="253" t="n"/>
      <c r="W269" s="253" t="n"/>
      <c r="X269" s="253" t="n"/>
      <c r="Y269" s="253" t="n"/>
      <c r="Z269" s="253" t="n"/>
    </row>
    <row r="270">
      <c r="A270" s="253" t="n"/>
      <c r="B270" s="253" t="n"/>
      <c r="C270" s="253" t="n"/>
      <c r="D270" s="253" t="n"/>
      <c r="E270" s="253" t="n"/>
      <c r="F270" s="253" t="n"/>
      <c r="G270" s="253" t="n"/>
      <c r="H270" s="253" t="n"/>
      <c r="I270" s="253" t="n"/>
      <c r="J270" s="253" t="n"/>
      <c r="K270" s="253" t="n"/>
      <c r="L270" s="253" t="n"/>
      <c r="M270" s="253" t="n"/>
      <c r="N270" s="253" t="n"/>
      <c r="O270" s="253" t="n"/>
      <c r="P270" s="253" t="n"/>
      <c r="Q270" s="253" t="n"/>
      <c r="R270" s="253" t="n"/>
      <c r="S270" s="253" t="n"/>
      <c r="T270" s="253" t="n"/>
      <c r="U270" s="253" t="n"/>
      <c r="V270" s="253" t="n"/>
      <c r="W270" s="253" t="n"/>
      <c r="X270" s="253" t="n"/>
      <c r="Y270" s="253" t="n"/>
      <c r="Z270" s="253" t="n"/>
    </row>
    <row r="271">
      <c r="A271" s="253" t="n"/>
      <c r="B271" s="253" t="n"/>
      <c r="C271" s="253" t="n"/>
      <c r="D271" s="253" t="n"/>
      <c r="E271" s="253" t="n"/>
      <c r="F271" s="253" t="n"/>
      <c r="G271" s="253" t="n"/>
      <c r="H271" s="253" t="n"/>
      <c r="I271" s="253" t="n"/>
      <c r="J271" s="253" t="n"/>
      <c r="K271" s="253" t="n"/>
      <c r="L271" s="253" t="n"/>
      <c r="M271" s="253" t="n"/>
      <c r="N271" s="253" t="n"/>
      <c r="O271" s="253" t="n"/>
      <c r="P271" s="253" t="n"/>
      <c r="Q271" s="253" t="n"/>
      <c r="R271" s="253" t="n"/>
      <c r="S271" s="253" t="n"/>
      <c r="T271" s="253" t="n"/>
      <c r="U271" s="253" t="n"/>
      <c r="V271" s="253" t="n"/>
      <c r="W271" s="253" t="n"/>
      <c r="X271" s="253" t="n"/>
      <c r="Y271" s="253" t="n"/>
      <c r="Z271" s="253" t="n"/>
    </row>
    <row r="272">
      <c r="A272" s="253" t="n"/>
      <c r="B272" s="253" t="n"/>
      <c r="C272" s="253" t="n"/>
      <c r="D272" s="253" t="n"/>
      <c r="E272" s="253" t="n"/>
      <c r="F272" s="253" t="n"/>
      <c r="G272" s="253" t="n"/>
      <c r="H272" s="253" t="n"/>
      <c r="I272" s="253" t="n"/>
      <c r="J272" s="253" t="n"/>
      <c r="K272" s="253" t="n"/>
      <c r="L272" s="253" t="n"/>
      <c r="M272" s="253" t="n"/>
      <c r="N272" s="253" t="n"/>
      <c r="O272" s="253" t="n"/>
      <c r="P272" s="253" t="n"/>
      <c r="Q272" s="253" t="n"/>
      <c r="R272" s="253" t="n"/>
      <c r="S272" s="253" t="n"/>
      <c r="T272" s="253" t="n"/>
      <c r="U272" s="253" t="n"/>
      <c r="V272" s="253" t="n"/>
      <c r="W272" s="253" t="n"/>
      <c r="X272" s="253" t="n"/>
      <c r="Y272" s="253" t="n"/>
      <c r="Z272" s="253" t="n"/>
    </row>
    <row r="273">
      <c r="A273" s="253" t="n"/>
      <c r="B273" s="253" t="n"/>
      <c r="C273" s="253" t="n"/>
      <c r="D273" s="253" t="n"/>
      <c r="E273" s="253" t="n"/>
      <c r="F273" s="253" t="n"/>
      <c r="G273" s="253" t="n"/>
      <c r="H273" s="253" t="n"/>
      <c r="I273" s="253" t="n"/>
      <c r="J273" s="253" t="n"/>
      <c r="K273" s="253" t="n"/>
      <c r="L273" s="253" t="n"/>
      <c r="M273" s="253" t="n"/>
      <c r="N273" s="253" t="n"/>
      <c r="O273" s="253" t="n"/>
      <c r="P273" s="253" t="n"/>
      <c r="Q273" s="253" t="n"/>
      <c r="R273" s="253" t="n"/>
      <c r="S273" s="253" t="n"/>
      <c r="T273" s="253" t="n"/>
      <c r="U273" s="253" t="n"/>
      <c r="V273" s="253" t="n"/>
      <c r="W273" s="253" t="n"/>
      <c r="X273" s="253" t="n"/>
      <c r="Y273" s="253" t="n"/>
      <c r="Z273" s="253" t="n"/>
    </row>
    <row r="274">
      <c r="A274" s="253" t="n"/>
      <c r="B274" s="253" t="n"/>
      <c r="C274" s="253" t="n"/>
      <c r="D274" s="253" t="n"/>
      <c r="E274" s="253" t="n"/>
      <c r="F274" s="253" t="n"/>
      <c r="G274" s="253" t="n"/>
      <c r="H274" s="253" t="n"/>
      <c r="I274" s="253" t="n"/>
      <c r="J274" s="253" t="n"/>
      <c r="K274" s="253" t="n"/>
      <c r="L274" s="253" t="n"/>
      <c r="M274" s="253" t="n"/>
      <c r="N274" s="253" t="n"/>
      <c r="O274" s="253" t="n"/>
      <c r="P274" s="253" t="n"/>
      <c r="Q274" s="253" t="n"/>
      <c r="R274" s="253" t="n"/>
      <c r="S274" s="253" t="n"/>
      <c r="T274" s="253" t="n"/>
      <c r="U274" s="253" t="n"/>
      <c r="V274" s="253" t="n"/>
      <c r="W274" s="253" t="n"/>
      <c r="X274" s="253" t="n"/>
      <c r="Y274" s="253" t="n"/>
      <c r="Z274" s="253" t="n"/>
    </row>
    <row r="275">
      <c r="A275" s="253" t="n"/>
      <c r="B275" s="253" t="n"/>
      <c r="C275" s="253" t="n"/>
      <c r="D275" s="253" t="n"/>
      <c r="E275" s="253" t="n"/>
      <c r="F275" s="253" t="n"/>
      <c r="G275" s="253" t="n"/>
      <c r="H275" s="253" t="n"/>
      <c r="I275" s="253" t="n"/>
      <c r="J275" s="253" t="n"/>
      <c r="K275" s="253" t="n"/>
      <c r="L275" s="253" t="n"/>
      <c r="M275" s="253" t="n"/>
      <c r="N275" s="253" t="n"/>
      <c r="O275" s="253" t="n"/>
      <c r="P275" s="253" t="n"/>
      <c r="Q275" s="253" t="n"/>
      <c r="R275" s="253" t="n"/>
      <c r="S275" s="253" t="n"/>
      <c r="T275" s="253" t="n"/>
      <c r="U275" s="253" t="n"/>
      <c r="V275" s="253" t="n"/>
      <c r="W275" s="253" t="n"/>
      <c r="X275" s="253" t="n"/>
      <c r="Y275" s="253" t="n"/>
      <c r="Z275" s="253" t="n"/>
    </row>
    <row r="276">
      <c r="A276" s="253" t="n"/>
      <c r="B276" s="253" t="n"/>
      <c r="C276" s="253" t="n"/>
      <c r="D276" s="253" t="n"/>
      <c r="E276" s="253" t="n"/>
      <c r="F276" s="253" t="n"/>
      <c r="G276" s="253" t="n"/>
      <c r="H276" s="253" t="n"/>
      <c r="I276" s="253" t="n"/>
      <c r="J276" s="253" t="n"/>
      <c r="K276" s="253" t="n"/>
      <c r="L276" s="253" t="n"/>
      <c r="M276" s="253" t="n"/>
      <c r="N276" s="253" t="n"/>
      <c r="O276" s="253" t="n"/>
      <c r="P276" s="253" t="n"/>
      <c r="Q276" s="253" t="n"/>
      <c r="R276" s="253" t="n"/>
      <c r="S276" s="253" t="n"/>
      <c r="T276" s="253" t="n"/>
      <c r="U276" s="253" t="n"/>
      <c r="V276" s="253" t="n"/>
      <c r="W276" s="253" t="n"/>
      <c r="X276" s="253" t="n"/>
      <c r="Y276" s="253" t="n"/>
      <c r="Z276" s="253" t="n"/>
    </row>
    <row r="277">
      <c r="A277" s="253" t="n"/>
      <c r="B277" s="253" t="n"/>
      <c r="C277" s="253" t="n"/>
      <c r="D277" s="253" t="n"/>
      <c r="E277" s="253" t="n"/>
      <c r="F277" s="253" t="n"/>
      <c r="G277" s="253" t="n"/>
      <c r="H277" s="253" t="n"/>
      <c r="I277" s="253" t="n"/>
      <c r="J277" s="253" t="n"/>
      <c r="K277" s="253" t="n"/>
      <c r="L277" s="253" t="n"/>
      <c r="M277" s="253" t="n"/>
      <c r="N277" s="253" t="n"/>
      <c r="O277" s="253" t="n"/>
      <c r="P277" s="253" t="n"/>
      <c r="Q277" s="253" t="n"/>
      <c r="R277" s="253" t="n"/>
      <c r="S277" s="253" t="n"/>
      <c r="T277" s="253" t="n"/>
      <c r="U277" s="253" t="n"/>
      <c r="V277" s="253" t="n"/>
      <c r="W277" s="253" t="n"/>
      <c r="X277" s="253" t="n"/>
      <c r="Y277" s="253" t="n"/>
      <c r="Z277" s="253" t="n"/>
    </row>
    <row r="278">
      <c r="A278" s="253" t="n"/>
      <c r="B278" s="253" t="n"/>
      <c r="C278" s="253" t="n"/>
      <c r="D278" s="253" t="n"/>
      <c r="E278" s="253" t="n"/>
      <c r="F278" s="253" t="n"/>
      <c r="G278" s="253" t="n"/>
      <c r="H278" s="253" t="n"/>
      <c r="I278" s="253" t="n"/>
      <c r="J278" s="253" t="n"/>
      <c r="K278" s="253" t="n"/>
      <c r="L278" s="253" t="n"/>
      <c r="M278" s="253" t="n"/>
      <c r="N278" s="253" t="n"/>
      <c r="O278" s="253" t="n"/>
      <c r="P278" s="253" t="n"/>
      <c r="Q278" s="253" t="n"/>
      <c r="R278" s="253" t="n"/>
      <c r="S278" s="253" t="n"/>
      <c r="T278" s="253" t="n"/>
      <c r="U278" s="253" t="n"/>
      <c r="V278" s="253" t="n"/>
      <c r="W278" s="253" t="n"/>
      <c r="X278" s="253" t="n"/>
      <c r="Y278" s="253" t="n"/>
      <c r="Z278" s="253" t="n"/>
    </row>
    <row r="279">
      <c r="A279" s="253" t="n"/>
      <c r="B279" s="253" t="n"/>
      <c r="C279" s="253" t="n"/>
      <c r="D279" s="253" t="n"/>
      <c r="E279" s="253" t="n"/>
      <c r="F279" s="253" t="n"/>
      <c r="G279" s="253" t="n"/>
      <c r="H279" s="253" t="n"/>
      <c r="I279" s="253" t="n"/>
      <c r="J279" s="253" t="n"/>
      <c r="K279" s="253" t="n"/>
      <c r="L279" s="253" t="n"/>
      <c r="M279" s="253" t="n"/>
      <c r="N279" s="253" t="n"/>
      <c r="O279" s="253" t="n"/>
      <c r="P279" s="253" t="n"/>
      <c r="Q279" s="253" t="n"/>
      <c r="R279" s="253" t="n"/>
      <c r="S279" s="253" t="n"/>
      <c r="T279" s="253" t="n"/>
      <c r="U279" s="253" t="n"/>
      <c r="V279" s="253" t="n"/>
      <c r="W279" s="253" t="n"/>
      <c r="X279" s="253" t="n"/>
      <c r="Y279" s="253" t="n"/>
      <c r="Z279" s="253" t="n"/>
    </row>
    <row r="280">
      <c r="A280" s="253" t="n"/>
      <c r="B280" s="253" t="n"/>
      <c r="C280" s="253" t="n"/>
      <c r="D280" s="253" t="n"/>
      <c r="E280" s="253" t="n"/>
      <c r="F280" s="253" t="n"/>
      <c r="G280" s="253" t="n"/>
      <c r="H280" s="253" t="n"/>
      <c r="I280" s="253" t="n"/>
      <c r="J280" s="253" t="n"/>
      <c r="K280" s="253" t="n"/>
      <c r="L280" s="253" t="n"/>
      <c r="M280" s="253" t="n"/>
      <c r="N280" s="253" t="n"/>
      <c r="O280" s="253" t="n"/>
      <c r="P280" s="253" t="n"/>
      <c r="Q280" s="253" t="n"/>
      <c r="R280" s="253" t="n"/>
      <c r="S280" s="253" t="n"/>
      <c r="T280" s="253" t="n"/>
      <c r="U280" s="253" t="n"/>
      <c r="V280" s="253" t="n"/>
      <c r="W280" s="253" t="n"/>
      <c r="X280" s="253" t="n"/>
      <c r="Y280" s="253" t="n"/>
      <c r="Z280" s="253" t="n"/>
    </row>
    <row r="281">
      <c r="A281" s="253" t="n"/>
      <c r="B281" s="253" t="n"/>
      <c r="C281" s="253" t="n"/>
      <c r="D281" s="253" t="n"/>
      <c r="E281" s="253" t="n"/>
      <c r="F281" s="253" t="n"/>
      <c r="G281" s="253" t="n"/>
      <c r="H281" s="253" t="n"/>
      <c r="I281" s="253" t="n"/>
      <c r="J281" s="253" t="n"/>
      <c r="K281" s="253" t="n"/>
      <c r="L281" s="253" t="n"/>
      <c r="M281" s="253" t="n"/>
      <c r="N281" s="253" t="n"/>
      <c r="O281" s="253" t="n"/>
      <c r="P281" s="253" t="n"/>
      <c r="Q281" s="253" t="n"/>
      <c r="R281" s="253" t="n"/>
      <c r="S281" s="253" t="n"/>
      <c r="T281" s="253" t="n"/>
      <c r="U281" s="253" t="n"/>
      <c r="V281" s="253" t="n"/>
      <c r="W281" s="253" t="n"/>
      <c r="X281" s="253" t="n"/>
      <c r="Y281" s="253" t="n"/>
      <c r="Z281" s="253" t="n"/>
    </row>
    <row r="282">
      <c r="A282" s="253" t="n"/>
      <c r="B282" s="253" t="n"/>
      <c r="C282" s="253" t="n"/>
      <c r="D282" s="253" t="n"/>
      <c r="E282" s="253" t="n"/>
      <c r="F282" s="253" t="n"/>
      <c r="G282" s="253" t="n"/>
      <c r="H282" s="253" t="n"/>
      <c r="I282" s="253" t="n"/>
      <c r="J282" s="253" t="n"/>
      <c r="K282" s="253" t="n"/>
      <c r="L282" s="253" t="n"/>
      <c r="M282" s="253" t="n"/>
      <c r="N282" s="253" t="n"/>
      <c r="O282" s="253" t="n"/>
      <c r="P282" s="253" t="n"/>
      <c r="Q282" s="253" t="n"/>
      <c r="R282" s="253" t="n"/>
      <c r="S282" s="253" t="n"/>
      <c r="T282" s="253" t="n"/>
      <c r="U282" s="253" t="n"/>
      <c r="V282" s="253" t="n"/>
      <c r="W282" s="253" t="n"/>
      <c r="X282" s="253" t="n"/>
      <c r="Y282" s="253" t="n"/>
      <c r="Z282" s="253" t="n"/>
    </row>
    <row r="283">
      <c r="A283" s="253" t="n"/>
      <c r="B283" s="253" t="n"/>
      <c r="C283" s="253" t="n"/>
      <c r="D283" s="253" t="n"/>
      <c r="E283" s="253" t="n"/>
      <c r="F283" s="253" t="n"/>
      <c r="G283" s="253" t="n"/>
      <c r="H283" s="253" t="n"/>
      <c r="I283" s="253" t="n"/>
      <c r="J283" s="253" t="n"/>
      <c r="K283" s="253" t="n"/>
      <c r="L283" s="253" t="n"/>
      <c r="M283" s="253" t="n"/>
      <c r="N283" s="253" t="n"/>
      <c r="O283" s="253" t="n"/>
      <c r="P283" s="253" t="n"/>
      <c r="Q283" s="253" t="n"/>
      <c r="R283" s="253" t="n"/>
      <c r="S283" s="253" t="n"/>
      <c r="T283" s="253" t="n"/>
      <c r="U283" s="253" t="n"/>
      <c r="V283" s="253" t="n"/>
      <c r="W283" s="253" t="n"/>
      <c r="X283" s="253" t="n"/>
      <c r="Y283" s="253" t="n"/>
      <c r="Z283" s="253" t="n"/>
    </row>
    <row r="284">
      <c r="A284" s="253" t="n"/>
      <c r="B284" s="253" t="n"/>
      <c r="C284" s="253" t="n"/>
      <c r="D284" s="253" t="n"/>
      <c r="E284" s="253" t="n"/>
      <c r="F284" s="253" t="n"/>
      <c r="G284" s="253" t="n"/>
      <c r="H284" s="253" t="n"/>
      <c r="I284" s="253" t="n"/>
      <c r="J284" s="253" t="n"/>
      <c r="K284" s="253" t="n"/>
      <c r="L284" s="253" t="n"/>
      <c r="M284" s="253" t="n"/>
      <c r="N284" s="253" t="n"/>
      <c r="O284" s="253" t="n"/>
      <c r="P284" s="253" t="n"/>
      <c r="Q284" s="253" t="n"/>
      <c r="R284" s="253" t="n"/>
      <c r="S284" s="253" t="n"/>
      <c r="T284" s="253" t="n"/>
      <c r="U284" s="253" t="n"/>
      <c r="V284" s="253" t="n"/>
      <c r="W284" s="253" t="n"/>
      <c r="X284" s="253" t="n"/>
      <c r="Y284" s="253" t="n"/>
      <c r="Z284" s="253" t="n"/>
    </row>
    <row r="285">
      <c r="A285" s="253" t="n"/>
      <c r="B285" s="253" t="n"/>
      <c r="C285" s="253" t="n"/>
      <c r="D285" s="253" t="n"/>
      <c r="E285" s="253" t="n"/>
      <c r="F285" s="253" t="n"/>
      <c r="G285" s="253" t="n"/>
      <c r="H285" s="253" t="n"/>
      <c r="I285" s="253" t="n"/>
      <c r="J285" s="253" t="n"/>
      <c r="K285" s="253" t="n"/>
      <c r="L285" s="253" t="n"/>
      <c r="M285" s="253" t="n"/>
      <c r="N285" s="253" t="n"/>
      <c r="O285" s="253" t="n"/>
      <c r="P285" s="253" t="n"/>
      <c r="Q285" s="253" t="n"/>
      <c r="R285" s="253" t="n"/>
      <c r="S285" s="253" t="n"/>
      <c r="T285" s="253" t="n"/>
      <c r="U285" s="253" t="n"/>
      <c r="V285" s="253" t="n"/>
      <c r="W285" s="253" t="n"/>
      <c r="X285" s="253" t="n"/>
      <c r="Y285" s="253" t="n"/>
      <c r="Z285" s="253" t="n"/>
    </row>
    <row r="286">
      <c r="A286" s="253" t="n"/>
      <c r="B286" s="253" t="n"/>
      <c r="C286" s="253" t="n"/>
      <c r="D286" s="253" t="n"/>
      <c r="E286" s="253" t="n"/>
      <c r="F286" s="253" t="n"/>
      <c r="G286" s="253" t="n"/>
      <c r="H286" s="253" t="n"/>
      <c r="I286" s="253" t="n"/>
      <c r="J286" s="253" t="n"/>
      <c r="K286" s="253" t="n"/>
      <c r="L286" s="253" t="n"/>
      <c r="M286" s="253" t="n"/>
      <c r="N286" s="253" t="n"/>
      <c r="O286" s="253" t="n"/>
      <c r="P286" s="253" t="n"/>
      <c r="Q286" s="253" t="n"/>
      <c r="R286" s="253" t="n"/>
      <c r="S286" s="253" t="n"/>
      <c r="T286" s="253" t="n"/>
      <c r="U286" s="253" t="n"/>
      <c r="V286" s="253" t="n"/>
      <c r="W286" s="253" t="n"/>
      <c r="X286" s="253" t="n"/>
      <c r="Y286" s="253" t="n"/>
      <c r="Z286" s="253" t="n"/>
    </row>
    <row r="287">
      <c r="A287" s="253" t="n"/>
      <c r="B287" s="253" t="n"/>
      <c r="C287" s="253" t="n"/>
      <c r="D287" s="253" t="n"/>
      <c r="E287" s="253" t="n"/>
      <c r="F287" s="253" t="n"/>
      <c r="G287" s="253" t="n"/>
      <c r="H287" s="253" t="n"/>
      <c r="I287" s="253" t="n"/>
      <c r="J287" s="253" t="n"/>
      <c r="K287" s="253" t="n"/>
      <c r="L287" s="253" t="n"/>
      <c r="M287" s="253" t="n"/>
      <c r="N287" s="253" t="n"/>
      <c r="O287" s="253" t="n"/>
      <c r="P287" s="253" t="n"/>
      <c r="Q287" s="253" t="n"/>
      <c r="R287" s="253" t="n"/>
      <c r="S287" s="253" t="n"/>
      <c r="T287" s="253" t="n"/>
      <c r="U287" s="253" t="n"/>
      <c r="V287" s="253" t="n"/>
      <c r="W287" s="253" t="n"/>
      <c r="X287" s="253" t="n"/>
      <c r="Y287" s="253" t="n"/>
      <c r="Z287" s="253" t="n"/>
    </row>
    <row r="288">
      <c r="A288" s="253" t="n"/>
      <c r="B288" s="253" t="n"/>
      <c r="C288" s="253" t="n"/>
      <c r="D288" s="253" t="n"/>
      <c r="E288" s="253" t="n"/>
      <c r="F288" s="253" t="n"/>
      <c r="G288" s="253" t="n"/>
      <c r="H288" s="253" t="n"/>
      <c r="I288" s="253" t="n"/>
      <c r="J288" s="253" t="n"/>
      <c r="K288" s="253" t="n"/>
      <c r="L288" s="253" t="n"/>
      <c r="M288" s="253" t="n"/>
      <c r="N288" s="253" t="n"/>
      <c r="O288" s="253" t="n"/>
      <c r="P288" s="253" t="n"/>
      <c r="Q288" s="253" t="n"/>
      <c r="R288" s="253" t="n"/>
      <c r="S288" s="253" t="n"/>
      <c r="T288" s="253" t="n"/>
      <c r="U288" s="253" t="n"/>
      <c r="V288" s="253" t="n"/>
      <c r="W288" s="253" t="n"/>
      <c r="X288" s="253" t="n"/>
      <c r="Y288" s="253" t="n"/>
      <c r="Z288" s="253" t="n"/>
    </row>
    <row r="289">
      <c r="A289" s="253" t="n"/>
      <c r="B289" s="253" t="n"/>
      <c r="C289" s="253" t="n"/>
      <c r="D289" s="253" t="n"/>
      <c r="E289" s="253" t="n"/>
      <c r="F289" s="253" t="n"/>
      <c r="G289" s="253" t="n"/>
      <c r="H289" s="253" t="n"/>
      <c r="I289" s="253" t="n"/>
      <c r="J289" s="253" t="n"/>
      <c r="K289" s="253" t="n"/>
      <c r="L289" s="253" t="n"/>
      <c r="M289" s="253" t="n"/>
      <c r="N289" s="253" t="n"/>
      <c r="O289" s="253" t="n"/>
      <c r="P289" s="253" t="n"/>
      <c r="Q289" s="253" t="n"/>
      <c r="R289" s="253" t="n"/>
      <c r="S289" s="253" t="n"/>
      <c r="T289" s="253" t="n"/>
      <c r="U289" s="253" t="n"/>
      <c r="V289" s="253" t="n"/>
      <c r="W289" s="253" t="n"/>
      <c r="X289" s="253" t="n"/>
      <c r="Y289" s="253" t="n"/>
      <c r="Z289" s="253" t="n"/>
    </row>
    <row r="290">
      <c r="A290" s="253" t="n"/>
      <c r="B290" s="253" t="n"/>
      <c r="C290" s="253" t="n"/>
      <c r="D290" s="253" t="n"/>
      <c r="E290" s="253" t="n"/>
      <c r="F290" s="253" t="n"/>
      <c r="G290" s="253" t="n"/>
      <c r="H290" s="253" t="n"/>
      <c r="I290" s="253" t="n"/>
      <c r="J290" s="253" t="n"/>
      <c r="K290" s="253" t="n"/>
      <c r="L290" s="253" t="n"/>
      <c r="M290" s="253" t="n"/>
      <c r="N290" s="253" t="n"/>
      <c r="O290" s="253" t="n"/>
      <c r="P290" s="253" t="n"/>
      <c r="Q290" s="253" t="n"/>
      <c r="R290" s="253" t="n"/>
      <c r="S290" s="253" t="n"/>
      <c r="T290" s="253" t="n"/>
      <c r="U290" s="253" t="n"/>
      <c r="V290" s="253" t="n"/>
      <c r="W290" s="253" t="n"/>
      <c r="X290" s="253" t="n"/>
      <c r="Y290" s="253" t="n"/>
      <c r="Z290" s="253" t="n"/>
    </row>
    <row r="291">
      <c r="A291" s="253" t="n"/>
      <c r="B291" s="253" t="n"/>
      <c r="C291" s="253" t="n"/>
      <c r="D291" s="253" t="n"/>
      <c r="E291" s="253" t="n"/>
      <c r="F291" s="253" t="n"/>
      <c r="G291" s="253" t="n"/>
      <c r="H291" s="253" t="n"/>
      <c r="I291" s="253" t="n"/>
      <c r="J291" s="253" t="n"/>
      <c r="K291" s="253" t="n"/>
      <c r="L291" s="253" t="n"/>
      <c r="M291" s="253" t="n"/>
      <c r="N291" s="253" t="n"/>
      <c r="O291" s="253" t="n"/>
      <c r="P291" s="253" t="n"/>
      <c r="Q291" s="253" t="n"/>
      <c r="R291" s="253" t="n"/>
      <c r="S291" s="253" t="n"/>
      <c r="T291" s="253" t="n"/>
      <c r="U291" s="253" t="n"/>
      <c r="V291" s="253" t="n"/>
      <c r="W291" s="253" t="n"/>
      <c r="X291" s="253" t="n"/>
      <c r="Y291" s="253" t="n"/>
      <c r="Z291" s="253" t="n"/>
    </row>
    <row r="292">
      <c r="A292" s="253" t="n"/>
      <c r="B292" s="253" t="n"/>
      <c r="C292" s="253" t="n"/>
      <c r="D292" s="253" t="n"/>
      <c r="E292" s="253" t="n"/>
      <c r="F292" s="253" t="n"/>
      <c r="G292" s="253" t="n"/>
      <c r="H292" s="253" t="n"/>
      <c r="I292" s="253" t="n"/>
      <c r="J292" s="253" t="n"/>
      <c r="K292" s="253" t="n"/>
      <c r="L292" s="253" t="n"/>
      <c r="M292" s="253" t="n"/>
      <c r="N292" s="253" t="n"/>
      <c r="O292" s="253" t="n"/>
      <c r="P292" s="253" t="n"/>
      <c r="Q292" s="253" t="n"/>
      <c r="R292" s="253" t="n"/>
      <c r="S292" s="253" t="n"/>
      <c r="T292" s="253" t="n"/>
      <c r="U292" s="253" t="n"/>
      <c r="V292" s="253" t="n"/>
      <c r="W292" s="253" t="n"/>
      <c r="X292" s="253" t="n"/>
      <c r="Y292" s="253" t="n"/>
      <c r="Z292" s="253" t="n"/>
    </row>
    <row r="293">
      <c r="A293" s="253" t="n"/>
      <c r="B293" s="253" t="n"/>
      <c r="C293" s="253" t="n"/>
      <c r="D293" s="253" t="n"/>
      <c r="E293" s="253" t="n"/>
      <c r="F293" s="253" t="n"/>
      <c r="G293" s="253" t="n"/>
      <c r="H293" s="253" t="n"/>
      <c r="I293" s="253" t="n"/>
      <c r="J293" s="253" t="n"/>
      <c r="K293" s="253" t="n"/>
      <c r="L293" s="253" t="n"/>
      <c r="M293" s="253" t="n"/>
      <c r="N293" s="253" t="n"/>
      <c r="O293" s="253" t="n"/>
      <c r="P293" s="253" t="n"/>
      <c r="Q293" s="253" t="n"/>
      <c r="R293" s="253" t="n"/>
      <c r="S293" s="253" t="n"/>
      <c r="T293" s="253" t="n"/>
      <c r="U293" s="253" t="n"/>
      <c r="V293" s="253" t="n"/>
      <c r="W293" s="253" t="n"/>
      <c r="X293" s="253" t="n"/>
      <c r="Y293" s="253" t="n"/>
      <c r="Z293" s="253" t="n"/>
    </row>
    <row r="294">
      <c r="A294" s="253" t="n"/>
      <c r="B294" s="253" t="n"/>
      <c r="C294" s="253" t="n"/>
      <c r="D294" s="253" t="n"/>
      <c r="E294" s="253" t="n"/>
      <c r="F294" s="253" t="n"/>
      <c r="G294" s="253" t="n"/>
      <c r="H294" s="253" t="n"/>
      <c r="I294" s="253" t="n"/>
      <c r="J294" s="253" t="n"/>
      <c r="K294" s="253" t="n"/>
      <c r="L294" s="253" t="n"/>
      <c r="M294" s="253" t="n"/>
      <c r="N294" s="253" t="n"/>
      <c r="O294" s="253" t="n"/>
      <c r="P294" s="253" t="n"/>
      <c r="Q294" s="253" t="n"/>
      <c r="R294" s="253" t="n"/>
      <c r="S294" s="253" t="n"/>
      <c r="T294" s="253" t="n"/>
      <c r="U294" s="253" t="n"/>
      <c r="V294" s="253" t="n"/>
      <c r="W294" s="253" t="n"/>
      <c r="X294" s="253" t="n"/>
      <c r="Y294" s="253" t="n"/>
      <c r="Z294" s="253" t="n"/>
    </row>
    <row r="295">
      <c r="A295" s="253" t="n"/>
      <c r="B295" s="253" t="n"/>
      <c r="C295" s="253" t="n"/>
      <c r="D295" s="253" t="n"/>
      <c r="E295" s="253" t="n"/>
      <c r="F295" s="253" t="n"/>
      <c r="G295" s="253" t="n"/>
      <c r="H295" s="253" t="n"/>
      <c r="I295" s="253" t="n"/>
      <c r="J295" s="253" t="n"/>
      <c r="K295" s="253" t="n"/>
      <c r="L295" s="253" t="n"/>
      <c r="M295" s="253" t="n"/>
      <c r="N295" s="253" t="n"/>
      <c r="O295" s="253" t="n"/>
      <c r="P295" s="253" t="n"/>
      <c r="Q295" s="253" t="n"/>
      <c r="R295" s="253" t="n"/>
      <c r="S295" s="253" t="n"/>
      <c r="T295" s="253" t="n"/>
      <c r="U295" s="253" t="n"/>
      <c r="V295" s="253" t="n"/>
      <c r="W295" s="253" t="n"/>
      <c r="X295" s="253" t="n"/>
      <c r="Y295" s="253" t="n"/>
      <c r="Z295" s="253" t="n"/>
    </row>
    <row r="296">
      <c r="A296" s="253" t="n"/>
      <c r="B296" s="253" t="n"/>
      <c r="C296" s="253" t="n"/>
      <c r="D296" s="253" t="n"/>
      <c r="E296" s="253" t="n"/>
      <c r="F296" s="253" t="n"/>
      <c r="G296" s="253" t="n"/>
      <c r="H296" s="253" t="n"/>
      <c r="I296" s="253" t="n"/>
      <c r="J296" s="253" t="n"/>
      <c r="K296" s="253" t="n"/>
      <c r="L296" s="253" t="n"/>
      <c r="M296" s="253" t="n"/>
      <c r="N296" s="253" t="n"/>
      <c r="O296" s="253" t="n"/>
      <c r="P296" s="253" t="n"/>
      <c r="Q296" s="253" t="n"/>
      <c r="R296" s="253" t="n"/>
      <c r="S296" s="253" t="n"/>
      <c r="T296" s="253" t="n"/>
      <c r="U296" s="253" t="n"/>
      <c r="V296" s="253" t="n"/>
      <c r="W296" s="253" t="n"/>
      <c r="X296" s="253" t="n"/>
      <c r="Y296" s="253" t="n"/>
      <c r="Z296" s="253" t="n"/>
    </row>
    <row r="297">
      <c r="A297" s="253" t="n"/>
      <c r="B297" s="253" t="n"/>
      <c r="C297" s="253" t="n"/>
      <c r="D297" s="253" t="n"/>
      <c r="E297" s="253" t="n"/>
      <c r="F297" s="253" t="n"/>
      <c r="G297" s="253" t="n"/>
      <c r="H297" s="253" t="n"/>
      <c r="I297" s="253" t="n"/>
      <c r="J297" s="253" t="n"/>
      <c r="K297" s="253" t="n"/>
      <c r="L297" s="253" t="n"/>
      <c r="M297" s="253" t="n"/>
      <c r="N297" s="253" t="n"/>
      <c r="O297" s="253" t="n"/>
      <c r="P297" s="253" t="n"/>
      <c r="Q297" s="253" t="n"/>
      <c r="R297" s="253" t="n"/>
      <c r="S297" s="253" t="n"/>
      <c r="T297" s="253" t="n"/>
      <c r="U297" s="253" t="n"/>
      <c r="V297" s="253" t="n"/>
      <c r="W297" s="253" t="n"/>
      <c r="X297" s="253" t="n"/>
      <c r="Y297" s="253" t="n"/>
      <c r="Z297" s="253" t="n"/>
    </row>
    <row r="298">
      <c r="A298" s="253" t="n"/>
      <c r="B298" s="253" t="n"/>
      <c r="C298" s="253" t="n"/>
      <c r="D298" s="253" t="n"/>
      <c r="E298" s="253" t="n"/>
      <c r="F298" s="253" t="n"/>
      <c r="G298" s="253" t="n"/>
      <c r="H298" s="253" t="n"/>
      <c r="I298" s="253" t="n"/>
      <c r="J298" s="253" t="n"/>
      <c r="K298" s="253" t="n"/>
      <c r="L298" s="253" t="n"/>
      <c r="M298" s="253" t="n"/>
      <c r="N298" s="253" t="n"/>
      <c r="O298" s="253" t="n"/>
      <c r="P298" s="253" t="n"/>
      <c r="Q298" s="253" t="n"/>
      <c r="R298" s="253" t="n"/>
      <c r="S298" s="253" t="n"/>
      <c r="T298" s="253" t="n"/>
      <c r="U298" s="253" t="n"/>
      <c r="V298" s="253" t="n"/>
      <c r="W298" s="253" t="n"/>
      <c r="X298" s="253" t="n"/>
      <c r="Y298" s="253" t="n"/>
      <c r="Z298" s="253" t="n"/>
    </row>
    <row r="299">
      <c r="A299" s="253" t="n"/>
      <c r="B299" s="253" t="n"/>
      <c r="C299" s="253" t="n"/>
      <c r="D299" s="253" t="n"/>
      <c r="E299" s="253" t="n"/>
      <c r="F299" s="253" t="n"/>
      <c r="G299" s="253" t="n"/>
      <c r="H299" s="253" t="n"/>
      <c r="I299" s="253" t="n"/>
      <c r="J299" s="253" t="n"/>
      <c r="K299" s="253" t="n"/>
      <c r="L299" s="253" t="n"/>
      <c r="M299" s="253" t="n"/>
      <c r="N299" s="253" t="n"/>
      <c r="O299" s="253" t="n"/>
      <c r="P299" s="253" t="n"/>
      <c r="Q299" s="253" t="n"/>
      <c r="R299" s="253" t="n"/>
      <c r="S299" s="253" t="n"/>
      <c r="T299" s="253" t="n"/>
      <c r="U299" s="253" t="n"/>
      <c r="V299" s="253" t="n"/>
      <c r="W299" s="253" t="n"/>
      <c r="X299" s="253" t="n"/>
      <c r="Y299" s="253" t="n"/>
      <c r="Z299" s="253" t="n"/>
    </row>
    <row r="300">
      <c r="A300" s="253" t="n"/>
      <c r="B300" s="253" t="n"/>
      <c r="C300" s="253" t="n"/>
      <c r="D300" s="253" t="n"/>
      <c r="E300" s="253" t="n"/>
      <c r="F300" s="253" t="n"/>
      <c r="G300" s="253" t="n"/>
      <c r="H300" s="253" t="n"/>
      <c r="I300" s="253" t="n"/>
      <c r="J300" s="253" t="n"/>
      <c r="K300" s="253" t="n"/>
      <c r="L300" s="253" t="n"/>
      <c r="M300" s="253" t="n"/>
      <c r="N300" s="253" t="n"/>
      <c r="O300" s="253" t="n"/>
      <c r="P300" s="253" t="n"/>
      <c r="Q300" s="253" t="n"/>
      <c r="R300" s="253" t="n"/>
      <c r="S300" s="253" t="n"/>
      <c r="T300" s="253" t="n"/>
      <c r="U300" s="253" t="n"/>
      <c r="V300" s="253" t="n"/>
      <c r="W300" s="253" t="n"/>
      <c r="X300" s="253" t="n"/>
      <c r="Y300" s="253" t="n"/>
      <c r="Z300" s="253" t="n"/>
    </row>
  </sheetData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2026-05-07T01:52:33Z</dcterms:created>
  <dcterms:modified xmlns:dcterms="http://purl.org/dc/terms/" xmlns:xsi="http://www.w3.org/2001/XMLSchema-instance" xsi:type="dcterms:W3CDTF">2026-05-07T01:52:33Z</dcterms:modified>
</cp:coreProperties>
</file>