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da70078a81094a5e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Корица и навигация" sheetId="1" r:id="R262adadd18c54e80"/>
    <sheet name="Настройки" sheetId="2" r:id="R88b7b15fb3884e20"/>
    <sheet name="Подробна разбивка на разходите" sheetId="3" r:id="R6736e183a2b44da9"/>
    <sheet name="Спецификация и материали" sheetId="4" r:id="R87de49d79071464f"/>
    <sheet name="Труд и производство" sheetId="5" r:id="R66603872ed80443b"/>
    <sheet name="Логистика и мита" sheetId="6" r:id="Ra8121ddb53a34047"/>
    <sheet name="Оферти от доставчици" sheetId="7" r:id="R8daf044d32a44ba1"/>
    <sheet name="Задължения и паричен поток" sheetId="8" r:id="R0c9f01bab6e84b43"/>
    <sheet name="Възможности за спестявания" sheetId="9" r:id="R70bb9427a0f84180"/>
    <sheet name="Табло за управление" sheetId="10" r:id="R123398b5fdc14999"/>
    <sheet name="Източници и предположения" sheetId="11" r:id="R275287d9d53b4b71"/>
  </sheets>
</workbook>
</file>

<file path=xl/sharedStrings.xml><?xml version="1.0" encoding="utf-8"?>
<sst xmlns="http://schemas.openxmlformats.org/spreadsheetml/2006/main" count="1398" uniqueCount="1">
  <si>
    <t/>
  </si>
</sst>
</file>

<file path=xl/styles.xml><?xml version="1.0" encoding="utf-8"?>
<styleSheet xmlns="http://schemas.openxmlformats.org/spreadsheetml/2006/main">
  <numFmts count="8">
    <numFmt numFmtId="200" formatCode="0.00%"/>
    <numFmt numFmtId="201" formatCode="¥#,##0"/>
    <numFmt numFmtId="202" formatCode="0.0000"/>
    <numFmt numFmtId="203" formatCode="#,##0.00"/>
    <numFmt numFmtId="204" formatCode="#,##0"/>
    <numFmt numFmtId="205" formatCode="0"/>
    <numFmt numFmtId="206" formatCode="yyyy-mm-dd"/>
    <numFmt numFmtId="207" formatCode="@"/>
  </numFmts>
  <fonts count="7">
    <font>
      <sz val="11"/>
      <name val="Carlito"/>
    </font>
    <font>
      <sz val="10"/>
      <color rgb="FF1F2937"/>
      <name val="Microsoft YaHei"/>
    </font>
    <font>
      <b val="1"/>
      <sz val="18"/>
      <color rgb="FF1F2937"/>
      <name val="Microsoft YaHei"/>
    </font>
    <font>
      <sz val="10"/>
      <color rgb="FF6B7280"/>
      <name val="Microsoft YaHei"/>
    </font>
    <font>
      <b val="1"/>
      <sz val="12"/>
      <color rgb="FF1F2937"/>
      <name val="Microsoft YaHei"/>
    </font>
    <font>
      <b val="1"/>
      <sz val="10"/>
      <color rgb="FF1F2937"/>
      <name val="Microsoft YaHei"/>
    </font>
    <font>
      <sz val="10"/>
      <color rgb="FF1F2937"/>
      <name val="Microsoft YaHei"/>
    </font>
  </fonts>
  <fills count="7">
    <fill>
      <patternFill patternType="none"/>
    </fill>
    <fill>
      <patternFill patternType="gray125"/>
    </fill>
    <fill>
      <patternFill patternType="solid">
        <fgColor rgb="FFEAF3F8"/>
      </patternFill>
    </fill>
    <fill>
      <patternFill patternType="solid">
        <fgColor rgb="FFDDEBF7"/>
      </patternFill>
    </fill>
    <fill>
      <patternFill patternType="solid">
        <fgColor rgb="FFE2F0D9"/>
      </patternFill>
    </fill>
    <fill>
      <patternFill patternType="solid">
        <fgColor rgb="FFFFF7D6"/>
      </patternFill>
    </fill>
    <fill>
      <patternFill patternType="solid">
        <fgColor rgb="FFF3F6FA"/>
      </patternFill>
    </fill>
  </fills>
  <borders count="14">
    <border/>
    <border/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D9E2EC"/>
      </top>
      <bottom style="thin">
        <color rgb="FFD9E2EC"/>
      </bottom>
    </border>
    <border>
      <left style="thin">
        <color rgb="FFE5E7EB"/>
      </left>
      <right style="thin">
        <color rgb="FFE5E7EB"/>
      </right>
      <top style="thin">
        <color rgb="FFD9E2EC"/>
      </top>
      <bottom style="thin">
        <color rgb="FFD9E2EC"/>
      </bottom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1" xfId="0" applyNumberFormat="true" applyFont="true" applyFill="true" applyBorder="true"/>
    <xf numFmtId="0" fontId="2" fillId="2" borderId="0" xfId="0" applyNumberFormat="true" applyFont="true" applyFill="true" applyBorder="true"/>
    <xf numFmtId="0" fontId="2" fillId="2" borderId="1" xfId="0" applyNumberFormat="true" applyFont="true" applyFill="true" applyBorder="true"/>
    <xf numFmtId="0" fontId="2" fillId="2" borderId="0" xfId="0" applyNumberFormat="true" applyFont="true" applyFill="true" applyBorder="true" applyAlignment="true">
      <alignment horizontal="left"/>
    </xf>
    <xf numFmtId="0" fontId="2" fillId="2" borderId="1" xfId="0" applyNumberFormat="true" applyFont="true" applyFill="true" applyBorder="true" applyAlignment="true">
      <alignment horizontal="left"/>
    </xf>
    <xf numFmtId="0" fontId="2" fillId="2" borderId="0" xfId="0" applyNumberFormat="true" applyFont="true" applyFill="true" applyBorder="true" applyAlignment="true">
      <alignment horizontal="left" vertical="center"/>
    </xf>
    <xf numFmtId="0" fontId="2" fillId="2" borderId="1" xfId="0" applyNumberFormat="true" applyFont="true" applyFill="true" applyBorder="true" applyAlignment="true">
      <alignment horizontal="left" vertical="center"/>
    </xf>
    <xf numFmtId="0" fontId="3" fillId="0" borderId="0" xfId="0" applyNumberFormat="true" applyFont="true" applyFill="true" applyBorder="true"/>
    <xf numFmtId="0" fontId="3" fillId="0" borderId="1" xfId="0" applyNumberFormat="true" applyFont="true" applyFill="true" applyBorder="true"/>
    <xf numFmtId="0" fontId="3" fillId="0" borderId="0" xfId="0" applyNumberFormat="true" applyFont="true" applyFill="true" applyBorder="true" applyAlignment="true">
      <alignment wrapText="true"/>
    </xf>
    <xf numFmtId="0" fontId="3" fillId="0" borderId="1" xfId="0" applyNumberFormat="true" applyFont="true" applyFill="true" applyBorder="true" applyAlignment="true">
      <alignment wrapText="true"/>
    </xf>
    <xf numFmtId="0" fontId="0" fillId="3" borderId="0" xfId="0" applyNumberFormat="true" applyFont="true" applyFill="true" applyBorder="true"/>
    <xf numFmtId="0" fontId="0" fillId="3" borderId="1" xfId="0" applyNumberFormat="true" applyFont="true" applyFill="true" applyBorder="true"/>
    <xf numFmtId="0" fontId="4" fillId="3" borderId="0" xfId="0" applyNumberFormat="true" applyFont="true" applyFill="true" applyBorder="true"/>
    <xf numFmtId="0" fontId="4" fillId="3" borderId="1" xfId="0" applyNumberFormat="true" applyFont="true" applyFill="true" applyBorder="true"/>
    <xf numFmtId="0" fontId="4" fillId="3" borderId="0" xfId="0" applyNumberFormat="true" applyFont="true" applyFill="true" applyBorder="true" applyAlignment="true">
      <alignment horizontal="left"/>
    </xf>
    <xf numFmtId="0" fontId="4" fillId="3" borderId="1" xfId="0" applyNumberFormat="true" applyFont="true" applyFill="true" applyBorder="true" applyAlignment="true">
      <alignment horizontal="left"/>
    </xf>
    <xf numFmtId="0" fontId="4" fillId="3" borderId="0" xfId="0" applyNumberFormat="true" applyFont="true" applyFill="true" applyBorder="true" applyAlignment="true">
      <alignment horizontal="left" vertical="center"/>
    </xf>
    <xf numFmtId="0" fontId="4" fillId="3" borderId="1" xfId="0" applyNumberFormat="true" applyFont="true" applyFill="true" applyBorder="true" applyAlignment="true">
      <alignment horizontal="left" vertical="center"/>
    </xf>
    <xf numFmtId="0" fontId="4" fillId="3" borderId="2" xfId="0" applyNumberFormat="true" applyFont="true" applyFill="true" applyBorder="true" applyAlignment="true">
      <alignment horizontal="left" vertical="center"/>
    </xf>
    <xf numFmtId="0" fontId="4" fillId="3" borderId="3" xfId="0" applyNumberFormat="true" applyFont="true" applyFill="true" applyBorder="true" applyAlignment="true">
      <alignment horizontal="left" vertical="center"/>
    </xf>
    <xf numFmtId="0" fontId="4" fillId="3" borderId="4" xfId="0" applyNumberFormat="true" applyFont="true" applyFill="true" applyBorder="true" applyAlignment="true">
      <alignment horizontal="left" vertical="center"/>
    </xf>
    <xf numFmtId="0" fontId="4" fillId="3" borderId="5" xfId="0" applyNumberFormat="true" applyFont="true" applyFill="true" applyBorder="true" applyAlignment="true">
      <alignment horizontal="left" vertical="center"/>
    </xf>
    <xf numFmtId="0" fontId="4" fillId="3" borderId="6" xfId="0" applyNumberFormat="true" applyFont="true" applyFill="true" applyBorder="true" applyAlignment="true">
      <alignment horizontal="left" vertical="center"/>
    </xf>
    <xf numFmtId="0" fontId="4" fillId="3" borderId="7" xfId="0" applyNumberFormat="true" applyFont="true" applyFill="true" applyBorder="true" applyAlignment="true">
      <alignment horizontal="left" vertical="center"/>
    </xf>
    <xf numFmtId="0" fontId="0" fillId="4" borderId="0" xfId="0" applyNumberFormat="true" applyFont="true" applyFill="true" applyBorder="true"/>
    <xf numFmtId="0" fontId="0" fillId="4" borderId="1" xfId="0" applyNumberFormat="true" applyFont="true" applyFill="true" applyBorder="true"/>
    <xf numFmtId="0" fontId="5" fillId="4" borderId="0" xfId="0" applyNumberFormat="true" applyFont="true" applyFill="true" applyBorder="true"/>
    <xf numFmtId="0" fontId="5" fillId="4" borderId="1" xfId="0" applyNumberFormat="true" applyFont="true" applyFill="true" applyBorder="true"/>
    <xf numFmtId="0" fontId="5" fillId="4" borderId="0" xfId="0" applyNumberFormat="true" applyFont="true" applyFill="true" applyBorder="true" applyAlignment="true">
      <alignment horizontal="center"/>
    </xf>
    <xf numFmtId="0" fontId="5" fillId="4" borderId="1" xfId="0" applyNumberFormat="true" applyFont="true" applyFill="true" applyBorder="true" applyAlignment="true">
      <alignment horizontal="center"/>
    </xf>
    <xf numFmtId="0" fontId="5" fillId="4" borderId="0" xfId="0" applyNumberFormat="true" applyFont="true" applyFill="true" applyBorder="true" applyAlignment="true">
      <alignment horizontal="center" vertical="center"/>
    </xf>
    <xf numFmtId="0" fontId="5" fillId="4" borderId="1" xfId="0" applyNumberFormat="true" applyFont="true" applyFill="true" applyBorder="true" applyAlignment="true">
      <alignment horizontal="center" vertical="center"/>
    </xf>
    <xf numFmtId="0" fontId="5" fillId="4" borderId="0" xfId="0" applyNumberFormat="true" applyFont="true" applyFill="true" applyBorder="true" applyAlignment="true">
      <alignment horizontal="center" vertical="center" wrapText="true"/>
    </xf>
    <xf numFmtId="0" fontId="5" fillId="4" borderId="1" xfId="0" applyNumberFormat="true" applyFont="true" applyFill="true" applyBorder="true" applyAlignment="true">
      <alignment horizontal="center" vertical="center" wrapText="true"/>
    </xf>
    <xf numFmtId="0" fontId="5" fillId="4" borderId="8" xfId="0" applyNumberFormat="true" applyFont="true" applyFill="true" applyBorder="true" applyAlignment="true">
      <alignment horizontal="center" vertical="center" wrapText="true"/>
    </xf>
    <xf numFmtId="0" fontId="5" fillId="4" borderId="9" xfId="0" applyNumberFormat="true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Border="true"/>
    <xf numFmtId="0" fontId="6" fillId="0" borderId="1" xfId="0" applyNumberFormat="true" applyFont="true" applyFill="true" applyBorder="true"/>
    <xf numFmtId="0" fontId="6" fillId="0" borderId="0" xfId="0" applyNumberFormat="true" applyFont="true" applyFill="true" applyBorder="true" applyAlignment="true">
      <alignment vertical="center"/>
    </xf>
    <xf numFmtId="0" fontId="6" fillId="0" borderId="1" xfId="0" applyNumberFormat="true" applyFont="true" applyFill="true" applyBorder="true" applyAlignment="true">
      <alignment vertical="center"/>
    </xf>
    <xf numFmtId="0" fontId="6" fillId="0" borderId="0" xfId="0" applyNumberFormat="true" applyFont="true" applyFill="true" applyBorder="true" applyAlignment="true">
      <alignment vertical="center" wrapText="true"/>
    </xf>
    <xf numFmtId="0" fontId="6" fillId="0" borderId="1" xfId="0" applyNumberFormat="true" applyFont="true" applyFill="true" applyBorder="true" applyAlignment="true">
      <alignment vertical="center" wrapText="true"/>
    </xf>
    <xf numFmtId="0" fontId="6" fillId="0" borderId="10" xfId="0" applyNumberFormat="true" applyFont="true" applyFill="true" applyBorder="true" applyAlignment="true">
      <alignment vertical="center" wrapText="true"/>
    </xf>
    <xf numFmtId="0" fontId="6" fillId="0" borderId="11" xfId="0" applyNumberFormat="true" applyFont="true" applyFill="true" applyBorder="true" applyAlignment="true">
      <alignment vertical="center" wrapText="true"/>
    </xf>
    <xf numFmtId="0" fontId="6" fillId="0" borderId="10" xfId="0" applyNumberFormat="true" applyFont="true" applyFill="true" applyBorder="true" applyAlignment="true">
      <alignment horizontal="center" vertical="center" wrapText="true"/>
    </xf>
    <xf numFmtId="0" fontId="6" fillId="0" borderId="11" xfId="0" applyNumberFormat="true" applyFont="true" applyFill="true" applyBorder="true" applyAlignment="true">
      <alignment horizontal="center" vertical="center" wrapText="true"/>
    </xf>
    <xf numFmtId="0" fontId="6" fillId="3" borderId="10" xfId="0" applyNumberFormat="true" applyFont="true" applyFill="true" applyBorder="true" applyAlignment="true">
      <alignment vertical="center" wrapText="true"/>
    </xf>
    <xf numFmtId="0" fontId="6" fillId="3" borderId="11" xfId="0" applyNumberFormat="true" applyFont="true" applyFill="true" applyBorder="true" applyAlignment="true">
      <alignment vertical="center" wrapText="true"/>
    </xf>
    <xf numFmtId="0" fontId="4" fillId="3" borderId="10" xfId="0" applyNumberFormat="true" applyFont="true" applyFill="true" applyBorder="true" applyAlignment="true">
      <alignment vertical="center" wrapText="true"/>
    </xf>
    <xf numFmtId="0" fontId="4" fillId="3" borderId="11" xfId="0" applyNumberFormat="true" applyFont="true" applyFill="true" applyBorder="true" applyAlignment="true">
      <alignment vertical="center" wrapText="true"/>
    </xf>
    <xf numFmtId="0" fontId="4" fillId="3" borderId="10" xfId="0" applyNumberFormat="true" applyFont="true" applyFill="true" applyBorder="true" applyAlignment="true">
      <alignment horizontal="left" vertical="center" wrapText="true"/>
    </xf>
    <xf numFmtId="0" fontId="4" fillId="3" borderId="11" xfId="0" applyNumberFormat="true" applyFont="true" applyFill="true" applyBorder="true" applyAlignment="true">
      <alignment horizontal="left" vertical="center" wrapText="true"/>
    </xf>
    <xf numFmtId="0" fontId="4" fillId="3" borderId="12" xfId="0" applyNumberFormat="true" applyFont="true" applyFill="true" applyBorder="true" applyAlignment="true">
      <alignment horizontal="left" vertical="center" wrapText="true"/>
    </xf>
    <xf numFmtId="0" fontId="4" fillId="3" borderId="13" xfId="0" applyNumberFormat="true" applyFont="true" applyFill="true" applyBorder="true" applyAlignment="true">
      <alignment horizontal="left" vertical="center" wrapText="true"/>
    </xf>
    <xf numFmtId="0" fontId="6" fillId="5" borderId="10" xfId="0" applyNumberFormat="true" applyFont="true" applyFill="true" applyBorder="true" applyAlignment="true">
      <alignment vertical="center" wrapText="true"/>
    </xf>
    <xf numFmtId="0" fontId="6" fillId="5" borderId="11" xfId="0" applyNumberFormat="true" applyFont="true" applyFill="true" applyBorder="true" applyAlignment="true">
      <alignment vertical="center" wrapText="true"/>
    </xf>
    <xf numFmtId="200" fontId="6" fillId="5" borderId="10" xfId="0" applyNumberFormat="true" applyFont="true" applyFill="true" applyBorder="true" applyAlignment="true">
      <alignment vertical="center" wrapText="true"/>
    </xf>
    <xf numFmtId="200" fontId="6" fillId="5" borderId="11" xfId="0" applyNumberFormat="true" applyFont="true" applyFill="true" applyBorder="true" applyAlignment="true">
      <alignment vertical="center" wrapText="true"/>
    </xf>
    <xf numFmtId="201" fontId="6" fillId="5" borderId="10" xfId="0" applyNumberFormat="true" applyFont="true" applyFill="true" applyBorder="true" applyAlignment="true">
      <alignment vertical="center" wrapText="true"/>
    </xf>
    <xf numFmtId="201" fontId="6" fillId="5" borderId="11" xfId="0" applyNumberFormat="true" applyFont="true" applyFill="true" applyBorder="true" applyAlignment="true">
      <alignment vertical="center" wrapText="true"/>
    </xf>
    <xf numFmtId="202" fontId="6" fillId="5" borderId="10" xfId="0" applyNumberFormat="true" applyFont="true" applyFill="true" applyBorder="true" applyAlignment="true">
      <alignment vertical="center" wrapText="true"/>
    </xf>
    <xf numFmtId="202" fontId="6" fillId="5" borderId="11" xfId="0" applyNumberFormat="true" applyFont="true" applyFill="true" applyBorder="true" applyAlignment="true">
      <alignment vertical="center" wrapText="true"/>
    </xf>
    <xf numFmtId="0" fontId="6" fillId="6" borderId="10" xfId="0" applyNumberFormat="true" applyFont="true" applyFill="true" applyBorder="true" applyAlignment="true">
      <alignment vertical="center" wrapText="true"/>
    </xf>
    <xf numFmtId="0" fontId="6" fillId="6" borderId="11" xfId="0" applyNumberFormat="true" applyFont="true" applyFill="true" applyBorder="true" applyAlignment="true">
      <alignment vertical="center" wrapText="true"/>
    </xf>
    <xf numFmtId="200" fontId="6" fillId="6" borderId="10" xfId="0" applyNumberFormat="true" applyFont="true" applyFill="true" applyBorder="true" applyAlignment="true">
      <alignment vertical="center" wrapText="true"/>
    </xf>
    <xf numFmtId="200" fontId="6" fillId="6" borderId="11" xfId="0" applyNumberFormat="true" applyFont="true" applyFill="true" applyBorder="true" applyAlignment="true">
      <alignment vertical="center" wrapText="true"/>
    </xf>
    <xf numFmtId="202" fontId="6" fillId="6" borderId="10" xfId="0" applyNumberFormat="true" applyFont="true" applyFill="true" applyBorder="true" applyAlignment="true">
      <alignment vertical="center" wrapText="true"/>
    </xf>
    <xf numFmtId="202" fontId="6" fillId="6" borderId="11" xfId="0" applyNumberFormat="true" applyFont="true" applyFill="true" applyBorder="true" applyAlignment="true">
      <alignment vertical="center" wrapText="true"/>
    </xf>
    <xf numFmtId="203" fontId="6" fillId="5" borderId="10" xfId="0" applyNumberFormat="true" applyFont="true" applyFill="true" applyBorder="true" applyAlignment="true">
      <alignment vertical="center" wrapText="true"/>
    </xf>
    <xf numFmtId="203" fontId="6" fillId="5" borderId="11" xfId="0" applyNumberFormat="true" applyFont="true" applyFill="true" applyBorder="true" applyAlignment="true">
      <alignment vertical="center" wrapText="true"/>
    </xf>
    <xf numFmtId="203" fontId="6" fillId="6" borderId="10" xfId="0" applyNumberFormat="true" applyFont="true" applyFill="true" applyBorder="true" applyAlignment="true">
      <alignment vertical="center" wrapText="true"/>
    </xf>
    <xf numFmtId="203" fontId="6" fillId="6" borderId="11" xfId="0" applyNumberFormat="true" applyFont="true" applyFill="true" applyBorder="true" applyAlignment="true">
      <alignment vertical="center" wrapText="true"/>
    </xf>
    <xf numFmtId="201" fontId="6" fillId="6" borderId="10" xfId="0" applyNumberFormat="true" applyFont="true" applyFill="true" applyBorder="true" applyAlignment="true">
      <alignment vertical="center" wrapText="true"/>
    </xf>
    <xf numFmtId="201" fontId="6" fillId="6" borderId="11" xfId="0" applyNumberFormat="true" applyFont="true" applyFill="true" applyBorder="true" applyAlignment="true">
      <alignment vertical="center" wrapText="true"/>
    </xf>
    <xf numFmtId="204" fontId="6" fillId="5" borderId="10" xfId="0" applyNumberFormat="true" applyFont="true" applyFill="true" applyBorder="true" applyAlignment="true">
      <alignment vertical="center" wrapText="true"/>
    </xf>
    <xf numFmtId="204" fontId="6" fillId="5" borderId="11" xfId="0" applyNumberFormat="true" applyFont="true" applyFill="true" applyBorder="true" applyAlignment="true">
      <alignment vertical="center" wrapText="true"/>
    </xf>
    <xf numFmtId="0" fontId="6" fillId="5" borderId="10" xfId="0" applyNumberFormat="true" applyFont="true" applyFill="true" applyBorder="true" applyAlignment="true">
      <alignment horizontal="center" vertical="center" wrapText="true"/>
    </xf>
    <xf numFmtId="0" fontId="6" fillId="5" borderId="11" xfId="0" applyNumberFormat="true" applyFont="true" applyFill="true" applyBorder="true" applyAlignment="true">
      <alignment horizontal="center" vertical="center" wrapText="true"/>
    </xf>
    <xf numFmtId="202" fontId="6" fillId="6" borderId="10" xfId="0" applyNumberFormat="true" applyFont="true" applyFill="true" applyBorder="true" applyAlignment="true">
      <alignment horizontal="center" vertical="center" wrapText="true"/>
    </xf>
    <xf numFmtId="202" fontId="6" fillId="6" borderId="11" xfId="0" applyNumberFormat="true" applyFont="true" applyFill="true" applyBorder="true" applyAlignment="true">
      <alignment horizontal="center" vertical="center" wrapText="true"/>
    </xf>
    <xf numFmtId="205" fontId="6" fillId="5" borderId="10" xfId="0" applyNumberFormat="true" applyFont="true" applyFill="true" applyBorder="true" applyAlignment="true">
      <alignment vertical="center" wrapText="true"/>
    </xf>
    <xf numFmtId="205" fontId="6" fillId="5" borderId="11" xfId="0" applyNumberFormat="true" applyFont="true" applyFill="true" applyBorder="true" applyAlignment="true">
      <alignment vertical="center" wrapText="true"/>
    </xf>
    <xf numFmtId="204" fontId="6" fillId="6" borderId="10" xfId="0" applyNumberFormat="true" applyFont="true" applyFill="true" applyBorder="true" applyAlignment="true">
      <alignment vertical="center" wrapText="true"/>
    </xf>
    <xf numFmtId="204" fontId="6" fillId="6" borderId="11" xfId="0" applyNumberFormat="true" applyFont="true" applyFill="true" applyBorder="true" applyAlignment="true">
      <alignment vertical="center" wrapText="true"/>
    </xf>
    <xf numFmtId="205" fontId="6" fillId="6" borderId="10" xfId="0" applyNumberFormat="true" applyFont="true" applyFill="true" applyBorder="true" applyAlignment="true">
      <alignment vertical="center" wrapText="true"/>
    </xf>
    <xf numFmtId="205" fontId="6" fillId="6" borderId="11" xfId="0" applyNumberFormat="true" applyFont="true" applyFill="true" applyBorder="true" applyAlignment="true">
      <alignment vertical="center" wrapText="true"/>
    </xf>
    <xf numFmtId="206" fontId="6" fillId="5" borderId="10" xfId="0" applyNumberFormat="true" applyFont="true" applyFill="true" applyBorder="true" applyAlignment="true">
      <alignment vertical="center" wrapText="true"/>
    </xf>
    <xf numFmtId="206" fontId="6" fillId="5" borderId="11" xfId="0" applyNumberFormat="true" applyFont="true" applyFill="true" applyBorder="true" applyAlignment="true">
      <alignment vertical="center" wrapText="true"/>
    </xf>
    <xf numFmtId="0" fontId="1" fillId="0" borderId="0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>
      <alignment vertical="center" wrapText="true"/>
    </xf>
    <xf numFmtId="0" fontId="0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3" fillId="0" borderId="1" xfId="0" applyNumberFormat="true" applyFont="true" applyFill="true" applyBorder="true" applyAlignment="true">
      <alignment vertical="center" wrapText="true"/>
    </xf>
    <xf numFmtId="0" fontId="0" fillId="0" borderId="1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>
      <alignment vertical="center"/>
    </xf>
    <xf numFmtId="0" fontId="3" fillId="0" borderId="1" xfId="0" applyNumberFormat="true" applyFont="true" applyFill="true" applyBorder="true" applyAlignment="true">
      <alignment vertical="center"/>
    </xf>
    <xf numFmtId="207" fontId="6" fillId="6" borderId="10" xfId="0" applyNumberFormat="true" applyFont="true" applyFill="true" applyBorder="true" applyAlignment="true">
      <alignment vertical="center" wrapText="true"/>
    </xf>
  </cellXfs>
  <cellStyles count="1">
    <cellStyle name="Normal" xfId="0"/>
  </cellStyles>
  <dxfs count="6">
    <dxf>
      <font>
        <b val="1"/>
        <color rgb="FF9C5700"/>
      </font>
      <fill>
        <patternFill patternType="solid">
          <bgColor rgb="FFFCE4D6"/>
        </patternFill>
      </fill>
    </dxf>
    <dxf>
      <font>
        <b val="1"/>
        <color rgb="FF9C0006"/>
      </font>
      <fill>
        <patternFill patternType="solid">
          <bgColor rgb="FFF8CBAD"/>
        </patternFill>
      </fill>
    </dxf>
    <dxf>
      <font>
        <b val="1"/>
        <color rgb="FF9C0006"/>
      </font>
      <fill>
        <patternFill patternType="solid">
          <bgColor rgb="FFF4CCCC"/>
        </patternFill>
      </fill>
    </dxf>
    <dxf>
      <font>
        <color rgb="FF006100"/>
      </font>
      <fill>
        <patternFill patternType="solid">
          <bgColor rgb="FFE2F0D9"/>
        </patternFill>
      </fill>
    </dxf>
    <dxf>
      <font>
        <b val="1"/>
        <color rgb="FF9C5700"/>
      </font>
      <fill>
        <patternFill patternType="solid">
          <bgColor rgb="FFFCE4D6"/>
        </patternFill>
      </fill>
    </dxf>
    <dxf>
      <font>
        <b val="1"/>
        <color rgb="FF9C0006"/>
      </font>
      <fill>
        <patternFill patternType="solid">
          <bgColor rgb="FFF8CBAD"/>
        </patternFill>
      </fill>
    </dxf>
  </dxfs>
</styleSheet>
</file>

<file path=xl/_rels/workbook.xml.rels><?xml version="1.0" encoding="UTF-8"?>
<Relationships xmlns="http://schemas.openxmlformats.org/package/2006/relationships"><Relationship Id="Ra0932d57534441e1" Target="styles.xml" Type="http://schemas.openxmlformats.org/officeDocument/2006/relationships/styles"></Relationship><Relationship Id="R97c274afb685430f" Target="theme/theme1.xml" Type="http://schemas.openxmlformats.org/officeDocument/2006/relationships/theme"></Relationship><Relationship Id="R8e2a28c65bca4407" Target="sharedStrings.xml" Type="http://schemas.openxmlformats.org/officeDocument/2006/relationships/sharedStrings"></Relationship><Relationship Id="R262adadd18c54e80" Target="worksheets/sheet1.xml" Type="http://schemas.openxmlformats.org/officeDocument/2006/relationships/worksheet"></Relationship><Relationship Id="R88b7b15fb3884e20" Target="worksheets/sheet2.xml" Type="http://schemas.openxmlformats.org/officeDocument/2006/relationships/worksheet"></Relationship><Relationship Id="R6736e183a2b44da9" Target="worksheets/sheet3.xml" Type="http://schemas.openxmlformats.org/officeDocument/2006/relationships/worksheet"></Relationship><Relationship Id="R87de49d79071464f" Target="worksheets/sheet4.xml" Type="http://schemas.openxmlformats.org/officeDocument/2006/relationships/worksheet"></Relationship><Relationship Id="R66603872ed80443b" Target="worksheets/sheet5.xml" Type="http://schemas.openxmlformats.org/officeDocument/2006/relationships/worksheet"></Relationship><Relationship Id="Ra8121ddb53a34047" Target="worksheets/sheet6.xml" Type="http://schemas.openxmlformats.org/officeDocument/2006/relationships/worksheet"></Relationship><Relationship Id="R8daf044d32a44ba1" Target="worksheets/sheet7.xml" Type="http://schemas.openxmlformats.org/officeDocument/2006/relationships/worksheet"></Relationship><Relationship Id="R0c9f01bab6e84b43" Target="worksheets/sheet8.xml" Type="http://schemas.openxmlformats.org/officeDocument/2006/relationships/worksheet"></Relationship><Relationship Id="R70bb9427a0f84180" Target="worksheets/sheet9.xml" Type="http://schemas.openxmlformats.org/officeDocument/2006/relationships/worksheet"></Relationship><Relationship Id="R123398b5fdc14999" Target="worksheets/sheet10.xml" Type="http://schemas.openxmlformats.org/officeDocument/2006/relationships/worksheet"></Relationship><Relationship Id="R275287d9d53b4b71" Target="worksheets/sheet11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84293db5a6a34924" /><Relationship Type="http://schemas.openxmlformats.org/officeDocument/2006/relationships/chart" Target="charts/chart2.xml" Id="R46b4e8347be54aa4" /><Relationship Type="http://schemas.openxmlformats.org/officeDocument/2006/relationships/chart" Target="charts/chart3.xml" Id="R91b29ae9752c4fa6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年間あるべき原価構成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年間金額 CNY</c:v>
          </c:tx>
          <c:cat>
            <c:strRef>
              <c:f>'Табло за управление'!$A$17:$A$25</c:f>
              <c:strCache>
                <c:ptCount val="0"/>
              </c:strCache>
            </c:strRef>
          </c:cat>
          <c:val>
            <c:numRef>
              <c:f>'Табло за управление'!$B$17:$B$25</c:f>
              <c:numCache>
                <c:formatCode>¥#,##0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原価対象種別別の見積、あるべき原価、削減額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'Табло за управление'!$E$6:$E$15</c:f>
              <c:strCache>
                <c:ptCount val="0"/>
              </c:strCache>
            </c:strRef>
          </c:cat>
          <c:val>
            <c:numRef>
              <c:f>'Табло за управление'!$F$6:$F$15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あるべき原価 CNY</c:v>
          </c:tx>
          <c:cat>
            <c:strRef>
              <c:f>'Табло за управление'!$E$6:$E$15</c:f>
              <c:strCache>
                <c:ptCount val="0"/>
              </c:strCache>
            </c:strRef>
          </c:cat>
          <c:val>
            <c:numRef>
              <c:f>'Табло за управление'!$G$6:$G$15</c:f>
              <c:numCache>
                <c:formatCode>¥#,##0</c:formatCode>
                <c:ptCount val="0"/>
              </c:numCache>
            </c:numRef>
          </c:val>
        </c:ser>
        <c:ser>
          <c:idx val="2"/>
          <c:order val="2"/>
          <c:tx>
            <c:v>見積額 CNY</c:v>
          </c:tx>
          <c:cat>
            <c:strRef>
              <c:f>'Табло за управление'!$E$6:$E$15</c:f>
              <c:strCache>
                <c:ptCount val="0"/>
              </c:strCache>
            </c:strRef>
          </c:cat>
          <c:val>
            <c:numRef>
              <c:f>'Табло за управление'!$H$6:$H$15</c:f>
              <c:numCache>
                <c:formatCode>¥#,##0</c:formatCode>
                <c:ptCount val="0"/>
              </c:numCache>
            </c:numRef>
          </c:val>
        </c:ser>
        <c:ser>
          <c:idx val="3"/>
          <c:order val="3"/>
          <c:tx>
            <c:v>削減余地 CNY</c:v>
          </c:tx>
          <c:cat>
            <c:strRef>
              <c:f>'Табло за управление'!$E$6:$E$15</c:f>
              <c:strCache>
                <c:ptCount val="0"/>
              </c:strCache>
            </c:strRef>
          </c:cat>
          <c:val>
            <c:numRef>
              <c:f>'Табло за управление'!$I$6:$I$15</c:f>
              <c:numCache>
                <c:formatCode>¥#,##0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買掛金滞留金額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金額 CNY</c:v>
          </c:tx>
          <c:cat>
            <c:strRef>
              <c:f>'Табло за управление'!$K$6:$K$10</c:f>
              <c:strCache>
                <c:ptCount val="0"/>
              </c:strCache>
            </c:strRef>
          </c:cat>
          <c:val>
            <c:numRef>
              <c:f>'Табло за управление'!$L$6:$L$10</c:f>
              <c:numCache>
                <c:formatCode>¥#,##0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15</xdr:row>
      <xdr:rowOff>0</xdr:rowOff>
    </xdr:from>
    <xdr:to>
      <xdr:col>10</xdr:col>
      <xdr:colOff>0</xdr:colOff>
      <xdr:row>31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4293db5a6a34924"/>
        </a:graphicData>
      </a:graphic>
    </xdr:graphicFrame>
    <xdr:clientData/>
  </xdr:twoCellAnchor>
  <xdr:twoCellAnchor>
    <xdr:from>
      <xdr:col>3</xdr:col>
      <xdr:colOff>0</xdr:colOff>
      <xdr:row>31</xdr:row>
      <xdr:rowOff>0</xdr:rowOff>
    </xdr:from>
    <xdr:to>
      <xdr:col>10</xdr:col>
      <xdr:colOff>0</xdr:colOff>
      <xdr:row>49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6b4e8347be54aa4"/>
        </a:graphicData>
      </a:graphic>
    </xdr:graphicFrame>
    <xdr:clientData/>
  </xdr:twoCellAnchor>
  <xdr:twoCellAnchor>
    <xdr:from>
      <xdr:col>10</xdr:col>
      <xdr:colOff>0</xdr:colOff>
      <xdr:row>23</xdr:row>
      <xdr:rowOff>0</xdr:rowOff>
    </xdr:from>
    <xdr:to>
      <xdr:col>14</xdr:col>
      <xdr:colOff>0</xdr:colOff>
      <xdr:row>39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1b29ae9752c4fa6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CostBreakdownTable" displayName="CostBreakdownTable" ref="A5:AG55" headerRowCount="1">
  <x:tableColumns count="33">
    <x:tableColumn id="1" name="原価ID"/>
    <x:tableColumn id="2" name="購買対象と品名"/>
    <x:tableColumn id="3" name="原価対象種別"/>
    <x:tableColumn id="4" name="業務シナリオ"/>
    <x:tableColumn id="5" name="購買方式"/>
    <x:tableColumn id="6" name="年間需要量"/>
    <x:tableColumn id="7" name="単位"/>
    <x:tableColumn id="8" name="通貨"/>
    <x:tableColumn id="9" name="人民元換算レート"/>
    <x:tableColumn id="10" name="単位材料費"/>
    <x:tableColumn id="11" name="単位直接労務費"/>
    <x:tableColumn id="12" name="単位製造・サービス費"/>
    <x:tableColumn id="13" name="単位品質検査・梱包費"/>
    <x:tableColumn id="14" name="単位物流・関税・保険費"/>
    <x:tableColumn id="15" name="単位治工具・開発・認証償却費"/>
    <x:tableColumn id="16" name="単位支払・金融費"/>
    <x:tableColumn id="17" name="単位リスク・コンプライアンス・サステナビリティ費"/>
    <x:tableColumn id="18" name="間接費率"/>
    <x:tableColumn id="19" name="仕入先利益率"/>
    <x:tableColumn id="20" name="税率"/>
    <x:tableColumn id="21" name="単位税抜あるべき原価"/>
    <x:tableColumn id="22" name="単位税込買掛原価"/>
    <x:tableColumn id="23" name="年間あるべき原価 CNY"/>
    <x:tableColumn id="24" name="単位仕入先見積"/>
    <x:tableColumn id="25" name="年間見積額 CNY"/>
    <x:tableColumn id="26" name="単位見積差異"/>
    <x:tableColumn id="27" name="見積差異率"/>
    <x:tableColumn id="28" name="交渉可能削減額 CNY"/>
    <x:tableColumn id="29" name="優先度"/>
    <x:tableColumn id="30" name="状態"/>
    <x:tableColumn id="31" name="主要前提とメモ"/>
    <x:tableColumn id="32" name="データソースと根拠"/>
    <x:tableColumn id="33" name="担当者"/>
  </x:tableColumns>
  <x:tableStyleInfo name="TableStyleMedium2" showRowStripes="1"/>
</x:table>
</file>

<file path=xl/tables/table2.xml><?xml version="1.0" encoding="utf-8"?>
<x:table xmlns:x="http://schemas.openxmlformats.org/spreadsheetml/2006/main" id="2" name="BOMMaterialTable" displayName="BOMMaterialTable" ref="A5:O45" headerRowCount="1">
  <x:tableColumns count="15">
    <x:tableColumn id="1" name="原価ID"/>
    <x:tableColumn id="2" name="材料または部品"/>
    <x:tableColumn id="3" name="分類"/>
    <x:tableColumn id="4" name="製品単位あたり使用量"/>
    <x:tableColumn id="5" name="単位"/>
    <x:tableColumn id="6" name="市場または契約単価"/>
    <x:tableColumn id="7" name="通貨"/>
    <x:tableColumn id="8" name="人民元換算レート"/>
    <x:tableColumn id="9" name="ロス率"/>
    <x:tableColumn id="10" name="単位税抜材料費"/>
    <x:tableColumn id="11" name="年間需要量"/>
    <x:tableColumn id="12" name="年間材料費 CNY"/>
    <x:tableColumn id="13" name="価格ベンチマーク"/>
    <x:tableColumn id="14" name="代替材料と削減機会"/>
    <x:tableColumn id="15" name="出所とメモ"/>
  </x:tableColumns>
  <x:tableStyleInfo name="TableStyleMedium2" showRowStripes="1"/>
</x:table>
</file>

<file path=xl/tables/table3.xml><?xml version="1.0" encoding="utf-8"?>
<x:table xmlns:x="http://schemas.openxmlformats.org/spreadsheetml/2006/main" id="3" name="ProcessCostTable" displayName="ProcessCostTable" ref="A5:N45" headerRowCount="1">
  <x:tableColumns count="14">
    <x:tableColumn id="1" name="原価ID"/>
    <x:tableColumn id="2" name="工程またはサービス作業"/>
    <x:tableColumn id="3" name="シナリオ"/>
    <x:tableColumn id="4" name="単位標準工数"/>
    <x:tableColumn id="5" name="時間あたり労務単価"/>
    <x:tableColumn id="6" name="単位機械時間"/>
    <x:tableColumn id="7" name="時間あたり設備単価"/>
    <x:tableColumn id="8" name="単位エネルギー・Consumables費"/>
    <x:tableColumn id="9" name="ロットと償却基準"/>
    <x:tableColumn id="10" name="ロットあたり段取り費"/>
    <x:tableColumn id="11" name="単位工程費"/>
    <x:tableColumn id="12" name="品質手直し率"/>
    <x:tableColumn id="13" name="調整後単位工程費"/>
    <x:tableColumn id="14" name="出所とメモ"/>
  </x:tableColumns>
  <x:tableStyleInfo name="TableStyleMedium2" showRowStripes="1"/>
</x:table>
</file>

<file path=xl/tables/table4.xml><?xml version="1.0" encoding="utf-8"?>
<x:table xmlns:x="http://schemas.openxmlformats.org/spreadsheetml/2006/main" id="4" name="LogisticsPaymentTable" displayName="LogisticsPaymentTable" ref="A5:P40" headerRowCount="1">
  <x:tableColumns count="16">
    <x:tableColumn id="1" name="原価ID"/>
    <x:tableColumn id="2" name="出荷地と納入先"/>
    <x:tableColumn id="3" name="Incoterms"/>
    <x:tableColumn id="4" name="重量と容積"/>
    <x:tableColumn id="5" name="単位運賃"/>
    <x:tableColumn id="6" name="保険料率"/>
    <x:tableColumn id="7" name="関税率"/>
    <x:tableColumn id="8" name="単位通関・倉庫費"/>
    <x:tableColumn id="9" name="通貨"/>
    <x:tableColumn id="10" name="人民元換算レート"/>
    <x:tableColumn id="11" name="単位税抜物流費"/>
    <x:tableColumn id="12" name="支払条件"/>
    <x:tableColumn id="13" name="支払サイト日数"/>
    <x:tableColumn id="14" name="年間金融利率"/>
    <x:tableColumn id="15" name="単位金融費"/>
    <x:tableColumn id="16" name="メモ"/>
  </x:tableColumns>
  <x:tableStyleInfo name="TableStyleMedium2" showRowStripes="1"/>
</x:table>
</file>

<file path=xl/tables/table5.xml><?xml version="1.0" encoding="utf-8"?>
<x:table xmlns:x="http://schemas.openxmlformats.org/spreadsheetml/2006/main" id="5" name="SupplierQuoteTable" displayName="SupplierQuoteTable" ref="A5:T50" headerRowCount="1">
  <x:tableColumns count="20">
    <x:tableColumn id="1" name="原価ID"/>
    <x:tableColumn id="2" name="仕入先"/>
    <x:tableColumn id="3" name="国と地域"/>
    <x:tableColumn id="4" name="仕入先評価"/>
    <x:tableColumn id="5" name="見積通貨"/>
    <x:tableColumn id="6" name="人民元換算レート"/>
    <x:tableColumn id="7" name="見積単価"/>
    <x:tableColumn id="8" name="支払条件"/>
    <x:tableColumn id="9" name="支払サイト日数"/>
    <x:tableColumn id="10" name="税金と運賃の注記"/>
    <x:tableColumn id="11" name="モデル単位税込買掛原価"/>
    <x:tableColumn id="12" name="単位差異"/>
    <x:tableColumn id="13" name="差異率"/>
    <x:tableColumn id="14" name="年間需要量"/>
    <x:tableColumn id="15" name="年間見積額 CNY"/>
    <x:tableColumn id="16" name="年間あるべき原価 CNY"/>
    <x:tableColumn id="17" name="削減余地 CNY"/>
    <x:tableColumn id="18" name="価格順位"/>
    <x:tableColumn id="19" name="推奨対応"/>
    <x:tableColumn id="20" name="リスクとメモ"/>
  </x:tableColumns>
  <x:tableStyleInfo name="TableStyleMedium2" showRowStripes="1"/>
</x:table>
</file>

<file path=xl/tables/table6.xml><?xml version="1.0" encoding="utf-8"?>
<x:table xmlns:x="http://schemas.openxmlformats.org/spreadsheetml/2006/main" id="6" name="APCashflowTable" displayName="APCashflowTable" ref="A5:Q45" headerRowCount="1">
  <x:tableColumns count="17">
    <x:tableColumn id="1" name="発注書と契約番号"/>
    <x:tableColumn id="2" name="原価ID"/>
    <x:tableColumn id="3" name="仕入先"/>
    <x:tableColumn id="4" name="請求書番号"/>
    <x:tableColumn id="5" name="請求日"/>
    <x:tableColumn id="6" name="支払期日"/>
    <x:tableColumn id="7" name="支払条件"/>
    <x:tableColumn id="8" name="買掛金額 CNY"/>
    <x:tableColumn id="9" name="支払予定日"/>
    <x:tableColumn id="10" name="期日前または遅延日数"/>
    <x:tableColumn id="11" name="滞留区分"/>
    <x:tableColumn id="12" name="利用可能な早期支払割引率"/>
    <x:tableColumn id="13" name="割引額"/>
    <x:tableColumn id="14" name="実支払額"/>
    <x:tableColumn id="15" name="キャッシュフロー月"/>
    <x:tableColumn id="16" name="状態"/>
    <x:tableColumn id="17" name="メモ"/>
  </x:tableColumns>
  <x:tableStyleInfo name="TableStyleMedium2" showRowStripes="1"/>
</x:table>
</file>

<file path=xl/tables/table7.xml><?xml version="1.0" encoding="utf-8"?>
<x:table xmlns:x="http://schemas.openxmlformats.org/spreadsheetml/2006/main" id="7" name="SavingsOpportunityTable" displayName="SavingsOpportunityTable" ref="A5:N40" headerRowCount="1">
  <x:tableColumns count="14">
    <x:tableColumn id="1" name="機会ID"/>
    <x:tableColumn id="2" name="原価ID"/>
    <x:tableColumn id="3" name="購買対象"/>
    <x:tableColumn id="4" name="施策種別"/>
    <x:tableColumn id="5" name="発見事項"/>
    <x:tableColumn id="6" name="現在の原価基準 CNY"/>
    <x:tableColumn id="7" name="目標削減率"/>
    <x:tableColumn id="8" name="見込削減額 CNY"/>
    <x:tableColumn id="9" name="実施難易度"/>
    <x:tableColumn id="10" name="リスク水準"/>
    <x:tableColumn id="11" name="担当者"/>
    <x:tableColumn id="12" name="期限"/>
    <x:tableColumn id="13" name="状態"/>
    <x:tableColumn id="14" name="次の対応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.xml" Id="R17210e0023c244d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1.xml" Id="R5b53338e59b7471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2.xml" Id="R113c2ca0625546d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3.xml" Id="Re7f8e149b1124373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4.xml" Id="R49e3726a0b64492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5.xml" Id="R1a1c2e1c1fc64de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6.xml" Id="R5491b50eb6744a4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7.xml" Id="R6ae42ccd6e4e4f00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showGridLines="false" tabSelected="true" workbookViewId="0"/>
  </sheetViews>
  <sheetFormatPr defaultRowHeight="15"/>
  <cols>
    <col customWidth="true" max="1" min="1" width="20"/>
    <col customWidth="true" max="2" min="2" width="30"/>
    <col customWidth="true" max="3" min="3" width="58"/>
    <col customWidth="true" max="4" min="4" width="40"/>
    <col customWidth="true" max="5" min="5" width="22"/>
    <col customWidth="true" max="6" min="6" width="48"/>
    <col customWidth="true" max="7" min="7" width="16"/>
    <col customWidth="true" max="10" min="8" width="14"/>
  </cols>
  <sheetData>
    <row r="1" ht="34" customHeight="true">
      <c r="A1" s="10" t="s">
        <v>0</v>
      </c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95" t="s">
        <v>0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 ht="24" customHeight="true">
      <c r="A4" s="24" t="s">
        <v>0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>
      <c r="A5" s="40" t="s">
        <v>0</v>
      </c>
      <c r="B5" s="40" t="s">
        <v>0</v>
      </c>
      <c r="C5" s="40" t="s">
        <v>0</v>
      </c>
      <c r="D5" s="96"/>
      <c r="E5" s="40" t="s">
        <v>0</v>
      </c>
      <c r="F5" s="40" t="s">
        <v>0</v>
      </c>
      <c r="G5" s="40" t="s">
        <v>0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30" customHeight="true">
      <c r="A6" s="50" t="str">
        <v>1</v>
      </c>
      <c r="B6" s="48" t="s">
        <v>0</v>
      </c>
      <c r="C6" s="48" t="s">
        <v>0</v>
      </c>
      <c r="D6" s="96"/>
      <c r="E6" s="48" t="s">
        <v>0</v>
      </c>
      <c r="F6" s="48" t="s">
        <v>0</v>
      </c>
      <c r="G6" s="48" t="s">
        <v>0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30" customHeight="true">
      <c r="A7" s="50" t="str">
        <v>2</v>
      </c>
      <c r="B7" s="48" t="s">
        <v>0</v>
      </c>
      <c r="C7" s="48" t="s">
        <v>0</v>
      </c>
      <c r="D7" s="96"/>
      <c r="E7" s="48" t="s">
        <v>0</v>
      </c>
      <c r="F7" s="48" t="s">
        <v>0</v>
      </c>
      <c r="G7" s="48" t="s">
        <v>0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30" customHeight="true">
      <c r="A8" s="50" t="str">
        <v>3</v>
      </c>
      <c r="B8" s="48" t="s">
        <v>0</v>
      </c>
      <c r="C8" s="48" t="s">
        <v>0</v>
      </c>
      <c r="D8" s="96"/>
      <c r="E8" s="48" t="s">
        <v>0</v>
      </c>
      <c r="F8" s="48" t="s">
        <v>0</v>
      </c>
      <c r="G8" s="48" t="s">
        <v>0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30" customHeight="true">
      <c r="A9" s="50" t="str">
        <v>4</v>
      </c>
      <c r="B9" s="48" t="s">
        <v>0</v>
      </c>
      <c r="C9" s="48" t="s">
        <v>0</v>
      </c>
      <c r="D9" s="96"/>
      <c r="E9" s="48" t="s">
        <v>0</v>
      </c>
      <c r="F9" s="48" t="s">
        <v>0</v>
      </c>
      <c r="G9" s="48" t="s">
        <v>0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30" customHeight="true">
      <c r="A10" s="50" t="str">
        <v>5</v>
      </c>
      <c r="B10" s="48" t="s">
        <v>0</v>
      </c>
      <c r="C10" s="48" t="s">
        <v>0</v>
      </c>
      <c r="D10" s="96"/>
      <c r="E10" s="48" t="s">
        <v>0</v>
      </c>
      <c r="F10" s="48" t="s">
        <v>0</v>
      </c>
      <c r="G10" s="48" t="s">
        <v>0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30" customHeight="true">
      <c r="A11" s="50" t="str">
        <v>6</v>
      </c>
      <c r="B11" s="48" t="s">
        <v>0</v>
      </c>
      <c r="C11" s="48" t="s">
        <v>0</v>
      </c>
      <c r="D11" s="96"/>
      <c r="E11" s="48" t="s">
        <v>0</v>
      </c>
      <c r="F11" s="48" t="s">
        <v>0</v>
      </c>
      <c r="G11" s="48" t="s">
        <v>0</v>
      </c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>
      <c r="A12" s="96"/>
      <c r="B12" s="96"/>
      <c r="C12" s="96"/>
      <c r="D12" s="96"/>
      <c r="E12" s="48" t="s">
        <v>0</v>
      </c>
      <c r="F12" s="48" t="s">
        <v>0</v>
      </c>
      <c r="G12" s="48" t="s">
        <v>0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>
      <c r="A13" s="96"/>
      <c r="B13" s="96"/>
      <c r="C13" s="96"/>
      <c r="D13" s="96"/>
      <c r="E13" s="48" t="s">
        <v>0</v>
      </c>
      <c r="F13" s="48" t="s">
        <v>0</v>
      </c>
      <c r="G13" s="48" t="s">
        <v>0</v>
      </c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4" customHeight="true">
      <c r="A14" s="24" t="s">
        <v>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>
      <c r="A15" s="40" t="s">
        <v>0</v>
      </c>
      <c r="B15" s="40" t="s">
        <v>0</v>
      </c>
      <c r="C15" s="40" t="s">
        <v>0</v>
      </c>
      <c r="D15" s="40" t="s">
        <v>0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36" customHeight="true">
      <c r="A16" s="48" t="s">
        <v>0</v>
      </c>
      <c r="B16" s="48" t="s">
        <v>0</v>
      </c>
      <c r="C16" s="48" t="s">
        <v>0</v>
      </c>
      <c r="D16" s="48" t="s">
        <v>0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36" customHeight="true">
      <c r="A17" s="48" t="s">
        <v>0</v>
      </c>
      <c r="B17" s="48" t="s">
        <v>0</v>
      </c>
      <c r="C17" s="48" t="s">
        <v>0</v>
      </c>
      <c r="D17" s="48" t="s">
        <v>0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36" customHeight="true">
      <c r="A18" s="48" t="s">
        <v>0</v>
      </c>
      <c r="B18" s="48" t="s">
        <v>0</v>
      </c>
      <c r="C18" s="48" t="s">
        <v>0</v>
      </c>
      <c r="D18" s="48" t="s">
        <v>0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36" customHeight="true">
      <c r="A19" s="48" t="s">
        <v>0</v>
      </c>
      <c r="B19" s="48" t="s">
        <v>0</v>
      </c>
      <c r="C19" s="48" t="s">
        <v>0</v>
      </c>
      <c r="D19" s="48" t="s">
        <v>0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36" customHeight="true">
      <c r="A20" s="48" t="s">
        <v>0</v>
      </c>
      <c r="B20" s="48" t="s">
        <v>0</v>
      </c>
      <c r="C20" s="48" t="s">
        <v>0</v>
      </c>
      <c r="D20" s="48" t="s">
        <v>0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36" customHeight="true">
      <c r="A21" s="48" t="s">
        <v>0</v>
      </c>
      <c r="B21" s="48" t="s">
        <v>0</v>
      </c>
      <c r="C21" s="48" t="s">
        <v>0</v>
      </c>
      <c r="D21" s="48" t="s">
        <v>0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36" customHeight="true">
      <c r="A22" s="48" t="s">
        <v>0</v>
      </c>
      <c r="B22" s="48" t="s">
        <v>0</v>
      </c>
      <c r="C22" s="48" t="s">
        <v>0</v>
      </c>
      <c r="D22" s="48" t="s">
        <v>0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</sheetData>
  <mergeCells count="4">
    <mergeCell ref="A1:J1"/>
    <mergeCell ref="A2:J2"/>
    <mergeCell ref="A4:J4"/>
    <mergeCell ref="A14:J1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10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2" min="1" width="18"/>
    <col customWidth="true" max="3" min="3" width="32"/>
    <col customWidth="true" max="4" min="4" width="2"/>
    <col customWidth="true" max="5" min="5" width="18"/>
    <col customWidth="true" max="6" min="6" width="10"/>
    <col customWidth="true" max="9" min="7" width="18"/>
    <col customWidth="true" max="10" min="10" width="2"/>
    <col customWidth="true" max="11" min="11" width="14"/>
    <col customWidth="true" max="12" min="12" width="18"/>
    <col customWidth="true" max="13" min="13" width="12"/>
    <col customWidth="true" max="14" min="14" width="18"/>
  </cols>
  <sheetData>
    <row r="1" ht="34" customHeight="true">
      <c r="A1" s="10" t="s">
        <v>0</v>
      </c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 ht="24" customHeight="true">
      <c r="A4" s="24" t="s">
        <v>0</v>
      </c>
      <c r="E4" s="24" t="s">
        <v>0</v>
      </c>
      <c r="J4" s="96"/>
      <c r="K4" s="24" t="s">
        <v>0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>
      <c r="A5" s="40" t="s">
        <v>0</v>
      </c>
      <c r="B5" s="40" t="s">
        <v>0</v>
      </c>
      <c r="C5" s="40" t="s">
        <v>0</v>
      </c>
      <c r="D5" s="96"/>
      <c r="E5" s="40" t="s">
        <v>0</v>
      </c>
      <c r="F5" s="40" t="s">
        <v>0</v>
      </c>
      <c r="G5" s="40" t="s">
        <v>0</v>
      </c>
      <c r="H5" s="40" t="s">
        <v>0</v>
      </c>
      <c r="I5" s="40" t="s">
        <v>0</v>
      </c>
      <c r="J5" s="96"/>
      <c r="K5" s="40" t="s">
        <v>0</v>
      </c>
      <c r="L5" s="40" t="s">
        <v>0</v>
      </c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>
      <c r="A6" s="48" t="s">
        <v>0</v>
      </c>
      <c r="B6" s="88">
        <f>ROUND(SUM('Подробна разбивка на разходите'!Y6:Y55),0)</f>
      </c>
      <c r="C6" s="48" t="s">
        <v>0</v>
      </c>
      <c r="D6" s="96"/>
      <c r="E6" s="48" t="s">
        <v>0</v>
      </c>
      <c r="F6" s="68">
        <f>COUNTIF('Подробна разбивка на разходите'!$C$6:$C$55,E6)</f>
      </c>
      <c r="G6" s="88">
        <f>ROUND(SUMIF('Подробна разбивка на разходите'!$C$6:$C$55,E6,'Подробна разбивка на разходите'!$W$6:$W$55),0)</f>
      </c>
      <c r="H6" s="88">
        <f>ROUND(SUMIF('Подробна разбивка на разходите'!$C$6:$C$55,E6,'Подробна разбивка на разходите'!$Y$6:$Y$55),0)</f>
      </c>
      <c r="I6" s="88">
        <f>ROUND(SUMIF('Подробна разбивка на разходите'!$C$6:$C$55,E6,'Подробна разбивка на разходите'!$AB$6:$AB$55),0)</f>
      </c>
      <c r="J6" s="96"/>
      <c r="K6" s="48" t="s">
        <v>0</v>
      </c>
      <c r="L6" s="88">
        <f>ROUND(SUMIF('Задължения и паричен поток'!K6:K45,"期日前",'Задължения и паричен поток'!N6:N45),0)</f>
      </c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>
      <c r="A7" s="48" t="s">
        <v>0</v>
      </c>
      <c r="B7" s="88">
        <f>ROUND(SUM('Подробна разбивка на разходите'!W6:W55),0)</f>
      </c>
      <c r="C7" s="48" t="s">
        <v>0</v>
      </c>
      <c r="D7" s="96"/>
      <c r="E7" s="48" t="s">
        <v>0</v>
      </c>
      <c r="F7" s="68">
        <f>COUNTIF('Подробна разбивка на разходите'!$C$6:$C$55,E7)</f>
      </c>
      <c r="G7" s="88">
        <f>ROUND(SUMIF('Подробна разбивка на разходите'!$C$6:$C$55,E7,'Подробна разбивка на разходите'!$W$6:$W$55),0)</f>
      </c>
      <c r="H7" s="88">
        <f>ROUND(SUMIF('Подробна разбивка на разходите'!$C$6:$C$55,E7,'Подробна разбивка на разходите'!$Y$6:$Y$55),0)</f>
      </c>
      <c r="I7" s="88">
        <f>ROUND(SUMIF('Подробна разбивка на разходите'!$C$6:$C$55,E7,'Подробна разбивка на разходите'!$AB$6:$AB$55),0)</f>
      </c>
      <c r="J7" s="96"/>
      <c r="K7" s="48" t="s">
        <v>0</v>
      </c>
      <c r="L7" s="88">
        <f>ROUND(SUMIF('Задължения и паричен поток'!K6:K45,"30日以内",'Задължения и паричен поток'!N6:N45),0)</f>
      </c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>
      <c r="A8" s="48" t="s">
        <v>0</v>
      </c>
      <c r="B8" s="88">
        <f>ROUND(SUM('Подробна разбивка на разходите'!AB6:AB55),0)</f>
      </c>
      <c r="C8" s="48" t="s">
        <v>0</v>
      </c>
      <c r="D8" s="96"/>
      <c r="E8" s="48" t="s">
        <v>0</v>
      </c>
      <c r="F8" s="68">
        <f>COUNTIF('Подробна разбивка на разходите'!$C$6:$C$55,E8)</f>
      </c>
      <c r="G8" s="88">
        <f>ROUND(SUMIF('Подробна разбивка на разходите'!$C$6:$C$55,E8,'Подробна разбивка на разходите'!$W$6:$W$55),0)</f>
      </c>
      <c r="H8" s="88">
        <f>ROUND(SUMIF('Подробна разбивка на разходите'!$C$6:$C$55,E8,'Подробна разбивка на разходите'!$Y$6:$Y$55),0)</f>
      </c>
      <c r="I8" s="88">
        <f>ROUND(SUMIF('Подробна разбивка на разходите'!$C$6:$C$55,E8,'Подробна разбивка на разходите'!$AB$6:$AB$55),0)</f>
      </c>
      <c r="J8" s="96"/>
      <c r="K8" s="48" t="s">
        <v>0</v>
      </c>
      <c r="L8" s="88">
        <f>ROUND(SUMIF('Задължения и паричен поток'!K6:K45,"31日から60日",'Задължения и паричен поток'!N6:N45),0)</f>
      </c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>
      <c r="A9" s="48" t="s">
        <v>0</v>
      </c>
      <c r="B9" s="70">
        <f>IFERROR(ROUND(B6/B7-1,4),0)</f>
      </c>
      <c r="C9" s="48" t="s">
        <v>0</v>
      </c>
      <c r="D9" s="96"/>
      <c r="E9" s="48" t="s">
        <v>0</v>
      </c>
      <c r="F9" s="68">
        <f>COUNTIF('Подробна разбивка на разходите'!$C$6:$C$55,E9)</f>
      </c>
      <c r="G9" s="88">
        <f>ROUND(SUMIF('Подробна разбивка на разходите'!$C$6:$C$55,E9,'Подробна разбивка на разходите'!$W$6:$W$55),0)</f>
      </c>
      <c r="H9" s="88">
        <f>ROUND(SUMIF('Подробна разбивка на разходите'!$C$6:$C$55,E9,'Подробна разбивка на разходите'!$Y$6:$Y$55),0)</f>
      </c>
      <c r="I9" s="88">
        <f>ROUND(SUMIF('Подробна разбивка на разходите'!$C$6:$C$55,E9,'Подробна разбивка на разходите'!$AB$6:$AB$55),0)</f>
      </c>
      <c r="J9" s="96"/>
      <c r="K9" s="48" t="s">
        <v>0</v>
      </c>
      <c r="L9" s="88">
        <f>ROUND(SUMIF('Задължения и паричен поток'!K6:K45,"61日から90日",'Задължения и паричен поток'!N6:N45),0)</f>
      </c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>
      <c r="A10" s="48" t="s">
        <v>0</v>
      </c>
      <c r="B10" s="90">
        <f>COUNTIF('Подробна разбивка на разходите'!AC6:AC55,"高")</f>
      </c>
      <c r="C10" s="48" t="s">
        <v>0</v>
      </c>
      <c r="D10" s="96"/>
      <c r="E10" s="48" t="s">
        <v>0</v>
      </c>
      <c r="F10" s="68">
        <f>COUNTIF('Подробна разбивка на разходите'!$C$6:$C$55,E10)</f>
      </c>
      <c r="G10" s="88">
        <f>ROUND(SUMIF('Подробна разбивка на разходите'!$C$6:$C$55,E10,'Подробна разбивка на разходите'!$W$6:$W$55),0)</f>
      </c>
      <c r="H10" s="88">
        <f>ROUND(SUMIF('Подробна разбивка на разходите'!$C$6:$C$55,E10,'Подробна разбивка на разходите'!$Y$6:$Y$55),0)</f>
      </c>
      <c r="I10" s="88">
        <f>ROUND(SUMIF('Подробна разбивка на разходите'!$C$6:$C$55,E10,'Подробна разбивка на разходите'!$AB$6:$AB$55),0)</f>
      </c>
      <c r="J10" s="96"/>
      <c r="K10" s="48" t="s">
        <v>0</v>
      </c>
      <c r="L10" s="88">
        <f>ROUND(SUMIF('Задължения и паричен поток'!K6:K45,"90日超",'Задължения и паричен поток'!N6:N45),0)</f>
      </c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>
      <c r="A11" s="48" t="s">
        <v>0</v>
      </c>
      <c r="B11" s="88">
        <f>ROUND(SUMIF('Задължения и паричен поток'!K6:K45,"&lt;&gt;期日前",'Задължения и паричен поток'!N6:N45),0)</f>
      </c>
      <c r="C11" s="48" t="s">
        <v>0</v>
      </c>
      <c r="D11" s="96"/>
      <c r="E11" s="48" t="s">
        <v>0</v>
      </c>
      <c r="F11" s="68">
        <f>COUNTIF('Подробна разбивка на разходите'!$C$6:$C$55,E11)</f>
      </c>
      <c r="G11" s="88">
        <f>ROUND(SUMIF('Подробна разбивка на разходите'!$C$6:$C$55,E11,'Подробна разбивка на разходите'!$W$6:$W$55),0)</f>
      </c>
      <c r="H11" s="88">
        <f>ROUND(SUMIF('Подробна разбивка на разходите'!$C$6:$C$55,E11,'Подробна разбивка на разходите'!$Y$6:$Y$55),0)</f>
      </c>
      <c r="I11" s="88">
        <f>ROUND(SUMIF('Подробна разбивка на разходите'!$C$6:$C$55,E11,'Подробна разбивка на разходите'!$AB$6:$AB$55),0)</f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>
      <c r="A12" s="48" t="s">
        <v>0</v>
      </c>
      <c r="B12" s="88">
        <f>ROUND(SUMIFS('Задължения и паричен поток'!N6:N45,'Задължения и паричен поток'!I6:I45,"&gt;="&amp;TODAY(),'Задължения и паричен поток'!I6:I45,"&lt;="&amp;TODAY()+30),0)</f>
      </c>
      <c r="C12" s="48" t="s">
        <v>0</v>
      </c>
      <c r="D12" s="96"/>
      <c r="E12" s="48" t="s">
        <v>0</v>
      </c>
      <c r="F12" s="68">
        <f>COUNTIF('Подробна разбивка на разходите'!$C$6:$C$55,E12)</f>
      </c>
      <c r="G12" s="88">
        <f>ROUND(SUMIF('Подробна разбивка на разходите'!$C$6:$C$55,E12,'Подробна разбивка на разходите'!$W$6:$W$55),0)</f>
      </c>
      <c r="H12" s="88">
        <f>ROUND(SUMIF('Подробна разбивка на разходите'!$C$6:$C$55,E12,'Подробна разбивка на разходите'!$Y$6:$Y$55),0)</f>
      </c>
      <c r="I12" s="88">
        <f>ROUND(SUMIF('Подробна разбивка на разходите'!$C$6:$C$55,E12,'Подробна разбивка на разходите'!$AB$6:$AB$55),0)</f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4" customHeight="true">
      <c r="A13" s="96"/>
      <c r="B13" s="96"/>
      <c r="C13" s="96"/>
      <c r="D13" s="96"/>
      <c r="E13" s="48" t="s">
        <v>0</v>
      </c>
      <c r="F13" s="68">
        <f>COUNTIF('Подробна разбивка на разходите'!$C$6:$C$55,E13)</f>
      </c>
      <c r="G13" s="88">
        <f>ROUND(SUMIF('Подробна разбивка на разходите'!$C$6:$C$55,E13,'Подробна разбивка на разходите'!$W$6:$W$55),0)</f>
      </c>
      <c r="H13" s="88">
        <f>ROUND(SUMIF('Подробна разбивка на разходите'!$C$6:$C$55,E13,'Подробна разбивка на разходите'!$Y$6:$Y$55),0)</f>
      </c>
      <c r="I13" s="88">
        <f>ROUND(SUMIF('Подробна разбивка на разходите'!$C$6:$C$55,E13,'Подробна разбивка на разходите'!$AB$6:$AB$55),0)</f>
      </c>
      <c r="J13" s="96"/>
      <c r="K13" s="24" t="s">
        <v>0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>
      <c r="A14" s="96"/>
      <c r="B14" s="96"/>
      <c r="C14" s="96"/>
      <c r="D14" s="96"/>
      <c r="E14" s="48" t="s">
        <v>0</v>
      </c>
      <c r="F14" s="68">
        <f>COUNTIF('Подробна разбивка на разходите'!$C$6:$C$55,E14)</f>
      </c>
      <c r="G14" s="88">
        <f>ROUND(SUMIF('Подробна разбивка на разходите'!$C$6:$C$55,E14,'Подробна разбивка на разходите'!$W$6:$W$55),0)</f>
      </c>
      <c r="H14" s="88">
        <f>ROUND(SUMIF('Подробна разбивка на разходите'!$C$6:$C$55,E14,'Подробна разбивка на разходите'!$Y$6:$Y$55),0)</f>
      </c>
      <c r="I14" s="88">
        <f>ROUND(SUMIF('Подробна разбивка на разходите'!$C$6:$C$55,E14,'Подробна разбивка на разходите'!$AB$6:$AB$55),0)</f>
      </c>
      <c r="J14" s="96"/>
      <c r="K14" s="40" t="s">
        <v>0</v>
      </c>
      <c r="L14" s="40" t="s">
        <v>0</v>
      </c>
      <c r="M14" s="40" t="s">
        <v>0</v>
      </c>
      <c r="N14" s="40" t="s">
        <v>0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4" customHeight="true">
      <c r="A15" s="24" t="s">
        <v>0</v>
      </c>
      <c r="D15" s="96"/>
      <c r="E15" s="48" t="s">
        <v>0</v>
      </c>
      <c r="F15" s="68">
        <f>COUNTIF('Подробна разбивка на разходите'!$C$6:$C$55,E15)</f>
      </c>
      <c r="G15" s="88">
        <f>ROUND(SUMIF('Подробна разбивка на разходите'!$C$6:$C$55,E15,'Подробна разбивка на разходите'!$W$6:$W$55),0)</f>
      </c>
      <c r="H15" s="88">
        <f>ROUND(SUMIF('Подробна разбивка на разходите'!$C$6:$C$55,E15,'Подробна разбивка на разходите'!$Y$6:$Y$55),0)</f>
      </c>
      <c r="I15" s="88">
        <f>ROUND(SUMIF('Подробна разбивка на разходите'!$C$6:$C$55,E15,'Подробна разбивка на разходите'!$AB$6:$AB$55),0)</f>
      </c>
      <c r="J15" s="96"/>
      <c r="K15" s="68">
        <f>'Оферти от доставчици'!A6</f>
      </c>
      <c r="L15" s="68">
        <f>'Оферти от доставчици'!B6</f>
      </c>
      <c r="M15" s="70">
        <f>'Оферти от доставчици'!M6</f>
      </c>
      <c r="N15" s="88">
        <f>ROUND('Оферти от доставчици'!Q6,0)</f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>
      <c r="A16" s="40" t="s">
        <v>0</v>
      </c>
      <c r="B16" s="40" t="s">
        <v>0</v>
      </c>
      <c r="C16" s="96"/>
      <c r="D16" s="96"/>
      <c r="E16" s="96"/>
      <c r="F16" s="96"/>
      <c r="G16" s="96"/>
      <c r="H16" s="96"/>
      <c r="I16" s="96"/>
      <c r="J16" s="96"/>
      <c r="K16" s="68">
        <f>'Оферти от доставчици'!A7</f>
      </c>
      <c r="L16" s="68">
        <f>'Оферти от доставчици'!B7</f>
      </c>
      <c r="M16" s="70">
        <f>'Оферти от доставчици'!M7</f>
      </c>
      <c r="N16" s="88">
        <f>ROUND('Оферти от доставчици'!Q7,0)</f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>
      <c r="A17" s="48" t="s">
        <v>0</v>
      </c>
      <c r="B17" s="88">
        <f>ROUND(SUMPRODUCT('Подробна разбивка на разходите'!J6:J55,'Подробна разбивка на разходите'!F6:F55,'Подробна разбивка на разходите'!I6:I55),0)</f>
      </c>
      <c r="C17" s="96"/>
      <c r="D17" s="96"/>
      <c r="E17" s="96"/>
      <c r="F17" s="96"/>
      <c r="G17" s="96"/>
      <c r="H17" s="96"/>
      <c r="I17" s="96"/>
      <c r="J17" s="96"/>
      <c r="K17" s="68">
        <f>'Оферти от доставчици'!A8</f>
      </c>
      <c r="L17" s="68">
        <f>'Оферти от доставчици'!B8</f>
      </c>
      <c r="M17" s="70">
        <f>'Оферти от доставчици'!M8</f>
      </c>
      <c r="N17" s="88">
        <f>ROUND('Оферти от доставчици'!Q8,0)</f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>
      <c r="A18" s="48" t="s">
        <v>0</v>
      </c>
      <c r="B18" s="88">
        <f>ROUND(SUMPRODUCT('Подробна разбивка на разходите'!K6:K55,'Подробна разбивка на разходите'!F6:F55,'Подробна разбивка на разходите'!I6:I55),0)</f>
      </c>
      <c r="C18" s="96"/>
      <c r="D18" s="96"/>
      <c r="E18" s="96"/>
      <c r="F18" s="96"/>
      <c r="G18" s="96"/>
      <c r="H18" s="96"/>
      <c r="I18" s="96"/>
      <c r="J18" s="96"/>
      <c r="K18" s="68">
        <f>'Оферти от доставчици'!A9</f>
      </c>
      <c r="L18" s="68">
        <f>'Оферти от доставчици'!B9</f>
      </c>
      <c r="M18" s="70">
        <f>'Оферти от доставчици'!M9</f>
      </c>
      <c r="N18" s="88">
        <f>ROUND('Оферти от доставчици'!Q9,0)</f>
      </c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>
      <c r="A19" s="48" t="s">
        <v>0</v>
      </c>
      <c r="B19" s="88">
        <f>ROUND(SUMPRODUCT('Подробна разбивка на разходите'!L6:L55,'Подробна разбивка на разходите'!F6:F55,'Подробна разбивка на разходите'!I6:I55),0)</f>
      </c>
      <c r="C19" s="96"/>
      <c r="D19" s="96"/>
      <c r="E19" s="96"/>
      <c r="F19" s="96"/>
      <c r="G19" s="96"/>
      <c r="H19" s="96"/>
      <c r="I19" s="96"/>
      <c r="J19" s="96"/>
      <c r="K19" s="68">
        <f>'Оферти от доставчици'!A10</f>
      </c>
      <c r="L19" s="68">
        <f>'Оферти от доставчици'!B10</f>
      </c>
      <c r="M19" s="70">
        <f>'Оферти от доставчици'!M10</f>
      </c>
      <c r="N19" s="88">
        <f>ROUND('Оферти от доставчици'!Q10,0)</f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>
      <c r="A20" s="48" t="s">
        <v>0</v>
      </c>
      <c r="B20" s="88">
        <f>ROUND(SUMPRODUCT('Подробна разбивка на разходите'!M6:M55,'Подробна разбивка на разходите'!F6:F55,'Подробна разбивка на разходите'!I6:I55),0)</f>
      </c>
      <c r="C20" s="96"/>
      <c r="D20" s="96"/>
      <c r="E20" s="96"/>
      <c r="F20" s="96"/>
      <c r="G20" s="96"/>
      <c r="H20" s="96"/>
      <c r="I20" s="96"/>
      <c r="J20" s="96"/>
      <c r="K20" s="68">
        <f>'Оферти от доставчици'!A11</f>
      </c>
      <c r="L20" s="68">
        <f>'Оферти от доставчици'!B11</f>
      </c>
      <c r="M20" s="70">
        <f>'Оферти от доставчици'!M11</f>
      </c>
      <c r="N20" s="88">
        <f>ROUND('Оферти от доставчици'!Q11,0)</f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>
      <c r="A21" s="48" t="s">
        <v>0</v>
      </c>
      <c r="B21" s="88">
        <f>ROUND(SUMPRODUCT('Подробна разбивка на разходите'!N6:N55,'Подробна разбивка на разходите'!F6:F55,'Подробна разбивка на разходите'!I6:I55),0)</f>
      </c>
      <c r="C21" s="96"/>
      <c r="D21" s="96"/>
      <c r="E21" s="96"/>
      <c r="F21" s="96"/>
      <c r="G21" s="96"/>
      <c r="H21" s="96"/>
      <c r="I21" s="96"/>
      <c r="J21" s="96"/>
      <c r="K21" s="68">
        <f>'Оферти от доставчици'!A12</f>
      </c>
      <c r="L21" s="68">
        <f>'Оферти от доставчици'!B12</f>
      </c>
      <c r="M21" s="70">
        <f>'Оферти от доставчици'!M12</f>
      </c>
      <c r="N21" s="88">
        <f>ROUND('Оферти от доставчици'!Q12,0)</f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>
      <c r="A22" s="48" t="s">
        <v>0</v>
      </c>
      <c r="B22" s="88">
        <f>ROUND(SUMPRODUCT('Подробна разбивка на разходите'!O6:O55,'Подробна разбивка на разходите'!F6:F55,'Подробна разбивка на разходите'!I6:I55),0)</f>
      </c>
      <c r="C22" s="96"/>
      <c r="D22" s="96"/>
      <c r="E22" s="96"/>
      <c r="F22" s="96"/>
      <c r="G22" s="96"/>
      <c r="H22" s="96"/>
      <c r="I22" s="96"/>
      <c r="J22" s="96"/>
      <c r="K22" s="68">
        <f>'Оферти от доставчици'!A13</f>
      </c>
      <c r="L22" s="68">
        <f>'Оферти от доставчици'!B13</f>
      </c>
      <c r="M22" s="70">
        <f>'Оферти от доставчици'!M13</f>
      </c>
      <c r="N22" s="88">
        <f>ROUND('Оферти от доставчици'!Q13,0)</f>
      </c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>
      <c r="A23" s="48" t="s">
        <v>0</v>
      </c>
      <c r="B23" s="88">
        <f>ROUND(SUMPRODUCT('Подробна разбивка на разходите'!P6:P55,'Подробна разбивка на разходите'!F6:F55,'Подробна разбивка на разходите'!I6:I55),0)</f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>
      <c r="A24" s="48" t="s">
        <v>0</v>
      </c>
      <c r="B24" s="88">
        <f>ROUND(SUMPRODUCT('Подробна разбивка на разходите'!Q6:Q55,'Подробна разбивка на разходите'!F6:F55,'Подробна разбивка на разходите'!I6:I55),0)</f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>
      <c r="A25" s="48" t="s">
        <v>0</v>
      </c>
      <c r="B25" s="88">
        <f>ROUND(MAX(0,$B$7-SUM(B17:B24)),0)</f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</sheetData>
  <mergeCells count="7">
    <mergeCell ref="A1:N1"/>
    <mergeCell ref="A2:N2"/>
    <mergeCell ref="A4:D4"/>
    <mergeCell ref="A15:C15"/>
    <mergeCell ref="E4:I4"/>
    <mergeCell ref="K4:N4"/>
    <mergeCell ref="K13:N1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17210e0023c244d7"/>
</worksheet>
</file>

<file path=xl/worksheets/sheet11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8"/>
    <col customWidth="true" max="2" min="2" width="42"/>
    <col customWidth="true" max="3" min="3" width="68"/>
    <col customWidth="true" max="4" min="4" width="36"/>
    <col customWidth="true" max="5" min="5" width="20"/>
    <col customWidth="true" max="6" min="6" width="36"/>
  </cols>
  <sheetData>
    <row r="1" ht="34" customHeight="true">
      <c r="A1" s="10" t="s">
        <v>0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95" t="s">
        <v>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>
      <c r="A5" s="40" t="s">
        <v>0</v>
      </c>
      <c r="B5" s="40" t="s">
        <v>0</v>
      </c>
      <c r="C5" s="40" t="s">
        <v>0</v>
      </c>
      <c r="D5" s="40" t="s">
        <v>0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>
      <c r="A6" s="48" t="s">
        <v>0</v>
      </c>
      <c r="B6" s="48" t="s">
        <v>0</v>
      </c>
      <c r="C6" s="48" t="s">
        <v>0</v>
      </c>
      <c r="D6" s="48" t="s">
        <v>0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>
      <c r="A7" s="48" t="s">
        <v>0</v>
      </c>
      <c r="B7" s="48" t="s">
        <v>0</v>
      </c>
      <c r="C7" s="48" t="s">
        <v>0</v>
      </c>
      <c r="D7" s="48" t="s">
        <v>0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>
      <c r="A8" s="48" t="s">
        <v>0</v>
      </c>
      <c r="B8" s="48" t="s">
        <v>0</v>
      </c>
      <c r="C8" s="48" t="s">
        <v>0</v>
      </c>
      <c r="D8" s="48" t="s">
        <v>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>
      <c r="A9" s="48" t="s">
        <v>0</v>
      </c>
      <c r="B9" s="48" t="s">
        <v>0</v>
      </c>
      <c r="C9" s="48" t="s">
        <v>0</v>
      </c>
      <c r="D9" s="48" t="s">
        <v>0</v>
      </c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>
      <c r="A10" s="48" t="s">
        <v>0</v>
      </c>
      <c r="B10" s="48" t="s">
        <v>0</v>
      </c>
      <c r="C10" s="48" t="s">
        <v>0</v>
      </c>
      <c r="D10" s="48" t="s">
        <v>0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4" customHeight="true">
      <c r="A13" s="24" t="s">
        <v>0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>
      <c r="A14" s="40" t="s">
        <v>0</v>
      </c>
      <c r="B14" s="40" t="s">
        <v>0</v>
      </c>
      <c r="C14" s="40" t="s">
        <v>0</v>
      </c>
      <c r="D14" s="40" t="s">
        <v>0</v>
      </c>
      <c r="E14" s="40" t="s">
        <v>0</v>
      </c>
      <c r="F14" s="40" t="s">
        <v>0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>
      <c r="A15" s="48" t="s">
        <v>0</v>
      </c>
      <c r="B15" s="60"/>
      <c r="C15" s="60"/>
      <c r="D15" s="60" t="s">
        <v>0</v>
      </c>
      <c r="E15" s="60" t="s">
        <v>0</v>
      </c>
      <c r="F15" s="60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>
      <c r="A16" s="48" t="s">
        <v>0</v>
      </c>
      <c r="B16" s="60"/>
      <c r="C16" s="60"/>
      <c r="D16" s="60" t="s">
        <v>0</v>
      </c>
      <c r="E16" s="60" t="s">
        <v>0</v>
      </c>
      <c r="F16" s="60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>
      <c r="A17" s="48" t="s">
        <v>0</v>
      </c>
      <c r="B17" s="60"/>
      <c r="C17" s="60"/>
      <c r="D17" s="60" t="s">
        <v>0</v>
      </c>
      <c r="E17" s="60" t="s">
        <v>0</v>
      </c>
      <c r="F17" s="60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>
      <c r="A18" s="48" t="s">
        <v>0</v>
      </c>
      <c r="B18" s="60"/>
      <c r="C18" s="60"/>
      <c r="D18" s="60" t="s">
        <v>0</v>
      </c>
      <c r="E18" s="60" t="s">
        <v>0</v>
      </c>
      <c r="F18" s="60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>
      <c r="A19" s="48" t="s">
        <v>0</v>
      </c>
      <c r="B19" s="60"/>
      <c r="C19" s="60"/>
      <c r="D19" s="60" t="s">
        <v>0</v>
      </c>
      <c r="E19" s="60" t="s">
        <v>0</v>
      </c>
      <c r="F19" s="60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>
      <c r="A20" s="48" t="s">
        <v>0</v>
      </c>
      <c r="B20" s="60"/>
      <c r="C20" s="60"/>
      <c r="D20" s="60" t="s">
        <v>0</v>
      </c>
      <c r="E20" s="60" t="s">
        <v>0</v>
      </c>
      <c r="F20" s="60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</sheetData>
  <mergeCells count="3">
    <mergeCell ref="A1:F1"/>
    <mergeCell ref="A2:F2"/>
    <mergeCell ref="A13:F1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22"/>
    <col customWidth="true" max="2" min="2" width="16"/>
    <col customWidth="true" max="3" min="3" width="42"/>
    <col customWidth="true" max="4" min="4" width="18"/>
    <col customWidth="true" max="7" min="6" width="18"/>
    <col customWidth="true" max="9" min="8" width="16"/>
    <col customWidth="true" max="10" min="10" width="18"/>
  </cols>
  <sheetData>
    <row r="1" ht="34" customHeight="true">
      <c r="A1" s="10" t="s">
        <v>0</v>
      </c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95" t="s">
        <v>0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 ht="24" customHeight="true">
      <c r="A4" s="24" t="s">
        <v>0</v>
      </c>
      <c r="E4" s="96"/>
      <c r="F4" s="24" t="s">
        <v>0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>
      <c r="A5" s="40" t="s">
        <v>0</v>
      </c>
      <c r="B5" s="40" t="s">
        <v>0</v>
      </c>
      <c r="C5" s="40" t="s">
        <v>0</v>
      </c>
      <c r="D5" s="40" t="s">
        <v>0</v>
      </c>
      <c r="E5" s="96"/>
      <c r="F5" s="40" t="s">
        <v>0</v>
      </c>
      <c r="G5" s="40" t="s">
        <v>0</v>
      </c>
      <c r="H5" s="40" t="s">
        <v>0</v>
      </c>
      <c r="I5" s="40" t="s">
        <v>0</v>
      </c>
      <c r="J5" s="40" t="s">
        <v>0</v>
      </c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>
      <c r="A6" s="48" t="s">
        <v>0</v>
      </c>
      <c r="B6" s="60" t="s">
        <v>0</v>
      </c>
      <c r="C6" s="48" t="s">
        <v>0</v>
      </c>
      <c r="D6" s="48"/>
      <c r="E6" s="96"/>
      <c r="F6" s="60" t="s">
        <v>0</v>
      </c>
      <c r="G6" s="60" t="s">
        <v>0</v>
      </c>
      <c r="H6" s="60" t="s">
        <v>0</v>
      </c>
      <c r="I6" s="60" t="s">
        <v>0</v>
      </c>
      <c r="J6" s="60" t="s">
        <v>0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>
      <c r="A7" s="48" t="s">
        <v>0</v>
      </c>
      <c r="B7" s="60" t="s">
        <v>0</v>
      </c>
      <c r="C7" s="48" t="s">
        <v>0</v>
      </c>
      <c r="D7" s="48"/>
      <c r="E7" s="96"/>
      <c r="F7" s="60" t="s">
        <v>0</v>
      </c>
      <c r="G7" s="60" t="s">
        <v>0</v>
      </c>
      <c r="H7" s="60" t="s">
        <v>0</v>
      </c>
      <c r="I7" s="60" t="s">
        <v>0</v>
      </c>
      <c r="J7" s="60" t="s">
        <v>0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>
      <c r="A8" s="48" t="s">
        <v>0</v>
      </c>
      <c r="B8" s="60" t="s">
        <v>0</v>
      </c>
      <c r="C8" s="48" t="s">
        <v>0</v>
      </c>
      <c r="D8" s="48"/>
      <c r="E8" s="96"/>
      <c r="F8" s="60" t="s">
        <v>0</v>
      </c>
      <c r="G8" s="60" t="s">
        <v>0</v>
      </c>
      <c r="H8" s="60" t="s">
        <v>0</v>
      </c>
      <c r="I8" s="60" t="s">
        <v>0</v>
      </c>
      <c r="J8" s="60" t="s">
        <v>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>
      <c r="A9" s="48" t="s">
        <v>0</v>
      </c>
      <c r="B9" s="62" t="s">
        <v>0</v>
      </c>
      <c r="C9" s="48" t="s">
        <v>0</v>
      </c>
      <c r="D9" s="48"/>
      <c r="E9" s="96"/>
      <c r="F9" s="60" t="s">
        <v>0</v>
      </c>
      <c r="G9" s="60" t="s">
        <v>0</v>
      </c>
      <c r="H9" s="60" t="s">
        <v>0</v>
      </c>
      <c r="I9" s="60" t="s">
        <v>0</v>
      </c>
      <c r="J9" s="60" t="s">
        <v>0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>
      <c r="A10" s="48" t="s">
        <v>0</v>
      </c>
      <c r="B10" s="62" t="s">
        <v>0</v>
      </c>
      <c r="C10" s="48" t="s">
        <v>0</v>
      </c>
      <c r="D10" s="48"/>
      <c r="E10" s="96"/>
      <c r="F10" s="60" t="s">
        <v>0</v>
      </c>
      <c r="G10" s="60" t="s">
        <v>0</v>
      </c>
      <c r="H10" s="60" t="s">
        <v>0</v>
      </c>
      <c r="I10" s="60" t="s">
        <v>0</v>
      </c>
      <c r="J10" s="60" t="s">
        <v>0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>
      <c r="A11" s="48" t="s">
        <v>0</v>
      </c>
      <c r="B11" s="62" t="s">
        <v>0</v>
      </c>
      <c r="C11" s="48" t="s">
        <v>0</v>
      </c>
      <c r="D11" s="48"/>
      <c r="E11" s="96"/>
      <c r="F11" s="60" t="s">
        <v>0</v>
      </c>
      <c r="G11" s="60" t="s">
        <v>0</v>
      </c>
      <c r="H11" s="60" t="s">
        <v>0</v>
      </c>
      <c r="I11" s="60" t="s">
        <v>0</v>
      </c>
      <c r="J11" s="60" t="s">
        <v>0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>
      <c r="A12" s="48" t="s">
        <v>0</v>
      </c>
      <c r="B12" s="62" t="s">
        <v>0</v>
      </c>
      <c r="C12" s="48" t="s">
        <v>0</v>
      </c>
      <c r="D12" s="48"/>
      <c r="E12" s="96"/>
      <c r="F12" s="60" t="s">
        <v>0</v>
      </c>
      <c r="G12" s="60" t="s">
        <v>0</v>
      </c>
      <c r="H12" s="60" t="s">
        <v>0</v>
      </c>
      <c r="I12" s="60" t="s">
        <v>0</v>
      </c>
      <c r="J12" s="60" t="s">
        <v>0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>
      <c r="A13" s="48" t="s">
        <v>0</v>
      </c>
      <c r="B13" s="62" t="s">
        <v>0</v>
      </c>
      <c r="C13" s="48" t="s">
        <v>0</v>
      </c>
      <c r="D13" s="48"/>
      <c r="E13" s="96"/>
      <c r="F13" s="60" t="s">
        <v>0</v>
      </c>
      <c r="G13" s="60" t="s">
        <v>0</v>
      </c>
      <c r="H13" s="60" t="s">
        <v>0</v>
      </c>
      <c r="I13" s="60" t="s">
        <v>0</v>
      </c>
      <c r="J13" s="60" t="s">
        <v>0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>
      <c r="A14" s="96"/>
      <c r="B14" s="96"/>
      <c r="C14" s="96"/>
      <c r="D14" s="96"/>
      <c r="E14" s="96"/>
      <c r="F14" s="60" t="s">
        <v>0</v>
      </c>
      <c r="G14" s="60" t="s">
        <v>0</v>
      </c>
      <c r="H14" s="96"/>
      <c r="I14" s="96"/>
      <c r="J14" s="60" t="s">
        <v>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>
      <c r="A15" s="96"/>
      <c r="B15" s="96"/>
      <c r="C15" s="96"/>
      <c r="D15" s="96"/>
      <c r="E15" s="96"/>
      <c r="F15" s="60" t="s">
        <v>0</v>
      </c>
      <c r="G15" s="60" t="s">
        <v>0</v>
      </c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4" customHeight="true">
      <c r="A16" s="24" t="s">
        <v>0</v>
      </c>
      <c r="E16" s="96"/>
      <c r="F16" s="24" t="s">
        <v>0</v>
      </c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>
      <c r="A17" s="40" t="s">
        <v>0</v>
      </c>
      <c r="B17" s="40" t="s">
        <v>0</v>
      </c>
      <c r="C17" s="40" t="s">
        <v>0</v>
      </c>
      <c r="D17" s="40" t="s">
        <v>0</v>
      </c>
      <c r="E17" s="96"/>
      <c r="F17" s="40" t="s">
        <v>0</v>
      </c>
      <c r="G17" s="40" t="s">
        <v>0</v>
      </c>
      <c r="H17" s="40" t="s">
        <v>0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>
      <c r="A18" s="48" t="s">
        <v>0</v>
      </c>
      <c r="B18" s="62" t="s">
        <v>0</v>
      </c>
      <c r="C18" s="48" t="s">
        <v>0</v>
      </c>
      <c r="D18" s="48"/>
      <c r="E18" s="96"/>
      <c r="F18" s="48" t="s">
        <v>0</v>
      </c>
      <c r="G18" s="66" t="n">
        <v>1</v>
      </c>
      <c r="H18" s="48" t="s">
        <v>0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>
      <c r="A19" s="48" t="s">
        <v>0</v>
      </c>
      <c r="B19" s="62" t="s">
        <v>0</v>
      </c>
      <c r="C19" s="48" t="s">
        <v>0</v>
      </c>
      <c r="D19" s="48"/>
      <c r="E19" s="96"/>
      <c r="F19" s="48" t="s">
        <v>0</v>
      </c>
      <c r="G19" s="66" t="n">
        <v>7.2</v>
      </c>
      <c r="H19" s="48" t="s">
        <v>0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>
      <c r="A20" s="48" t="s">
        <v>0</v>
      </c>
      <c r="B20" s="62" t="s">
        <v>0</v>
      </c>
      <c r="C20" s="48" t="s">
        <v>0</v>
      </c>
      <c r="D20" s="48"/>
      <c r="E20" s="96"/>
      <c r="F20" s="48" t="s">
        <v>0</v>
      </c>
      <c r="G20" s="66" t="n">
        <v>7.8</v>
      </c>
      <c r="H20" s="48" t="s">
        <v>0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>
      <c r="A21" s="48" t="s">
        <v>0</v>
      </c>
      <c r="B21" s="64" t="s">
        <v>0</v>
      </c>
      <c r="C21" s="48" t="s">
        <v>0</v>
      </c>
      <c r="D21" s="48" t="s">
        <v>0</v>
      </c>
      <c r="E21" s="96"/>
      <c r="F21" s="48" t="s">
        <v>0</v>
      </c>
      <c r="G21" s="66" t="n">
        <v>9.1</v>
      </c>
      <c r="H21" s="48" t="s">
        <v>0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>
      <c r="A22" s="48" t="s">
        <v>0</v>
      </c>
      <c r="B22" s="64" t="s">
        <v>0</v>
      </c>
      <c r="C22" s="48" t="s">
        <v>0</v>
      </c>
      <c r="D22" s="48" t="s">
        <v>0</v>
      </c>
      <c r="E22" s="96"/>
      <c r="F22" s="48" t="s">
        <v>0</v>
      </c>
      <c r="G22" s="66" t="n">
        <v>0.049</v>
      </c>
      <c r="H22" s="48" t="s">
        <v>0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>
      <c r="A23" s="48" t="s">
        <v>0</v>
      </c>
      <c r="B23" s="62" t="s">
        <v>0</v>
      </c>
      <c r="C23" s="48" t="s">
        <v>0</v>
      </c>
      <c r="D23" s="48"/>
      <c r="E23" s="96"/>
      <c r="F23" s="48" t="s">
        <v>0</v>
      </c>
      <c r="G23" s="66" t="n">
        <v>0.92</v>
      </c>
      <c r="H23" s="48" t="s">
        <v>0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>
      <c r="A24" s="48" t="s">
        <v>0</v>
      </c>
      <c r="B24" s="60" t="n">
        <v>70</v>
      </c>
      <c r="C24" s="48" t="s">
        <v>0</v>
      </c>
      <c r="D24" s="48"/>
      <c r="E24" s="96"/>
      <c r="F24" s="48" t="s">
        <v>0</v>
      </c>
      <c r="G24" s="66" t="n">
        <v>5.35</v>
      </c>
      <c r="H24" s="48" t="s">
        <v>0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4" customHeight="true">
      <c r="A27" s="24" t="s">
        <v>0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>
      <c r="A28" s="40" t="s">
        <v>0</v>
      </c>
      <c r="B28" s="40" t="s">
        <v>0</v>
      </c>
      <c r="C28" s="40" t="s">
        <v>0</v>
      </c>
      <c r="D28" s="40" t="s">
        <v>0</v>
      </c>
      <c r="E28" s="40" t="s">
        <v>0</v>
      </c>
      <c r="F28" s="40" t="s">
        <v>0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>
      <c r="A29" s="48" t="s">
        <v>0</v>
      </c>
      <c r="B29" s="48" t="s">
        <v>0</v>
      </c>
      <c r="C29" s="60" t="n">
        <v>60</v>
      </c>
      <c r="D29" s="48" t="s">
        <v>0</v>
      </c>
      <c r="E29" s="48" t="s">
        <v>0</v>
      </c>
      <c r="F29" s="48" t="s">
        <v>0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>
      <c r="A30" s="48" t="s">
        <v>0</v>
      </c>
      <c r="B30" s="48" t="s">
        <v>0</v>
      </c>
      <c r="C30" s="60" t="n">
        <v>100</v>
      </c>
      <c r="D30" s="48" t="s">
        <v>0</v>
      </c>
      <c r="E30" s="48" t="s">
        <v>0</v>
      </c>
      <c r="F30" s="48" t="s">
        <v>0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>
      <c r="A31" s="48" t="s">
        <v>0</v>
      </c>
      <c r="B31" s="48" t="s">
        <v>0</v>
      </c>
      <c r="C31" s="60" t="n">
        <v>180</v>
      </c>
      <c r="D31" s="48" t="s">
        <v>0</v>
      </c>
      <c r="E31" s="48" t="s">
        <v>0</v>
      </c>
      <c r="F31" s="48" t="s">
        <v>0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>
      <c r="A32" s="48" t="s">
        <v>0</v>
      </c>
      <c r="B32" s="48" t="s">
        <v>0</v>
      </c>
      <c r="C32" s="60" t="n">
        <v>120</v>
      </c>
      <c r="D32" s="48" t="s">
        <v>0</v>
      </c>
      <c r="E32" s="48" t="s">
        <v>0</v>
      </c>
      <c r="F32" s="48" t="s">
        <v>0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>
      <c r="A33" s="48" t="s">
        <v>0</v>
      </c>
      <c r="B33" s="48" t="s">
        <v>0</v>
      </c>
      <c r="C33" s="60" t="n">
        <v>280</v>
      </c>
      <c r="D33" s="48" t="s">
        <v>0</v>
      </c>
      <c r="E33" s="48" t="s">
        <v>0</v>
      </c>
      <c r="F33" s="48" t="s">
        <v>0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>
      <c r="A34" s="48" t="s">
        <v>0</v>
      </c>
      <c r="B34" s="48" t="s">
        <v>0</v>
      </c>
      <c r="C34" s="62" t="s">
        <v>0</v>
      </c>
      <c r="D34" s="48" t="s">
        <v>0</v>
      </c>
      <c r="E34" s="48" t="s">
        <v>0</v>
      </c>
      <c r="F34" s="48" t="s">
        <v>0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>
      <c r="A35" s="48" t="s">
        <v>0</v>
      </c>
      <c r="B35" s="48" t="s">
        <v>0</v>
      </c>
      <c r="C35" s="62" t="s">
        <v>0</v>
      </c>
      <c r="D35" s="48" t="s">
        <v>0</v>
      </c>
      <c r="E35" s="48" t="s">
        <v>0</v>
      </c>
      <c r="F35" s="48" t="s">
        <v>0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>
      <c r="A36" s="48" t="s">
        <v>0</v>
      </c>
      <c r="B36" s="48" t="s">
        <v>0</v>
      </c>
      <c r="C36" s="62" t="s">
        <v>0</v>
      </c>
      <c r="D36" s="48" t="s">
        <v>0</v>
      </c>
      <c r="E36" s="48" t="s">
        <v>0</v>
      </c>
      <c r="F36" s="48" t="s">
        <v>0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</sheetData>
  <mergeCells count="7">
    <mergeCell ref="A1:J1"/>
    <mergeCell ref="A2:J2"/>
    <mergeCell ref="A4:D4"/>
    <mergeCell ref="F4:J4"/>
    <mergeCell ref="A16:D16"/>
    <mergeCell ref="F16:J16"/>
    <mergeCell ref="A27:J2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0"/>
    <col customWidth="true" max="2" min="2" width="22"/>
    <col customWidth="true" max="4" min="3" width="16"/>
    <col customWidth="true" max="5" min="5" width="14"/>
    <col customWidth="true" max="6" min="6" width="12"/>
    <col customWidth="true" max="8" min="7" width="8"/>
    <col customWidth="true" max="9" min="9" width="10"/>
    <col customWidth="true" max="11" min="10" width="13"/>
    <col customWidth="true" max="12" min="12" width="15"/>
    <col customWidth="true" max="14" min="13" width="16"/>
    <col customWidth="true" max="15" min="15" width="18"/>
    <col customWidth="true" max="16" min="16" width="16"/>
    <col customWidth="true" max="17" min="17" width="17"/>
    <col customWidth="true" max="18" min="18" width="16"/>
    <col customWidth="true" max="19" min="19" width="14"/>
    <col customWidth="true" max="20" min="20" width="10"/>
    <col customWidth="true" max="22" min="21" width="16"/>
    <col customWidth="true" max="23" min="23" width="18"/>
    <col customWidth="true" max="25" min="24" width="16"/>
    <col customWidth="true" max="26" min="26" width="14"/>
    <col customWidth="true" max="27" min="27" width="12"/>
    <col customWidth="true" max="28" min="28" width="16"/>
    <col customWidth="true" max="29" min="29" width="10"/>
    <col customWidth="true" max="30" min="30" width="14"/>
    <col customWidth="true" max="31" min="31" width="28"/>
    <col customWidth="true" max="32" min="32" width="24"/>
    <col customWidth="true" max="33" min="33" width="14"/>
  </cols>
  <sheetData>
    <row r="1" ht="34" customHeight="true">
      <c r="A1" s="10" t="s">
        <v>0</v>
      </c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95" t="s">
        <v>0</v>
      </c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原価ID</t>
        </is>
      </c>
      <c r="B5" s="40" t="inlineStr">
        <is>
          <t>購買対象と品名</t>
        </is>
      </c>
      <c r="C5" s="40" t="inlineStr">
        <is>
          <t>原価対象種別</t>
        </is>
      </c>
      <c r="D5" s="40" t="inlineStr">
        <is>
          <t>業務シナリオ</t>
        </is>
      </c>
      <c r="E5" s="40" t="inlineStr">
        <is>
          <t>購買方式</t>
        </is>
      </c>
      <c r="F5" s="40" t="inlineStr">
        <is>
          <t>年間需要量</t>
        </is>
      </c>
      <c r="G5" s="40" t="inlineStr">
        <is>
          <t>単位</t>
        </is>
      </c>
      <c r="H5" s="40" t="inlineStr">
        <is>
          <t>通貨</t>
        </is>
      </c>
      <c r="I5" s="40" t="inlineStr">
        <is>
          <t>人民元換算レート</t>
        </is>
      </c>
      <c r="J5" s="40" t="inlineStr">
        <is>
          <t>単位材料費</t>
        </is>
      </c>
      <c r="K5" s="40" t="inlineStr">
        <is>
          <t>単位直接労務費</t>
        </is>
      </c>
      <c r="L5" s="40" t="inlineStr">
        <is>
          <t>単位製造・サービス費</t>
        </is>
      </c>
      <c r="M5" s="40" t="inlineStr">
        <is>
          <t>単位品質検査・梱包費</t>
        </is>
      </c>
      <c r="N5" s="40" t="inlineStr">
        <is>
          <t>単位物流・関税・保険費</t>
        </is>
      </c>
      <c r="O5" s="40" t="inlineStr">
        <is>
          <t>単位治工具・開発・認証償却費</t>
        </is>
      </c>
      <c r="P5" s="40" t="inlineStr">
        <is>
          <t>単位支払・金融費</t>
        </is>
      </c>
      <c r="Q5" s="40" t="inlineStr">
        <is>
          <t>単位リスク・コンプライアンス・サステナビリティ費</t>
        </is>
      </c>
      <c r="R5" s="40" t="inlineStr">
        <is>
          <t>間接費率</t>
        </is>
      </c>
      <c r="S5" s="40" t="inlineStr">
        <is>
          <t>仕入先利益率</t>
        </is>
      </c>
      <c r="T5" s="40" t="inlineStr">
        <is>
          <t>税率</t>
        </is>
      </c>
      <c r="U5" s="40" t="inlineStr">
        <is>
          <t>単位税抜あるべき原価</t>
        </is>
      </c>
      <c r="V5" s="40" t="inlineStr">
        <is>
          <t>単位税込買掛原価</t>
        </is>
      </c>
      <c r="W5" s="40" t="inlineStr">
        <is>
          <t>年間あるべき原価 CNY</t>
        </is>
      </c>
      <c r="X5" s="40" t="inlineStr">
        <is>
          <t>単位仕入先見積</t>
        </is>
      </c>
      <c r="Y5" s="40" t="inlineStr">
        <is>
          <t>年間見積額 CNY</t>
        </is>
      </c>
      <c r="Z5" s="40" t="inlineStr">
        <is>
          <t>単位見積差異</t>
        </is>
      </c>
      <c r="AA5" s="40" t="inlineStr">
        <is>
          <t>見積差異率</t>
        </is>
      </c>
      <c r="AB5" s="40" t="inlineStr">
        <is>
          <t>交渉可能削減額 CNY</t>
        </is>
      </c>
      <c r="AC5" s="40" t="inlineStr">
        <is>
          <t>優先度</t>
        </is>
      </c>
      <c r="AD5" s="40" t="inlineStr">
        <is>
          <t>状態</t>
        </is>
      </c>
      <c r="AE5" s="40" t="inlineStr">
        <is>
          <t>主要前提とメモ</t>
        </is>
      </c>
      <c r="AF5" s="40" t="inlineStr">
        <is>
          <t>データソースと根拠</t>
        </is>
      </c>
      <c r="AG5" s="40" t="inlineStr">
        <is>
          <t>担当者</t>
        </is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82" t="s">
        <v>0</v>
      </c>
      <c r="B6" s="60" t="s">
        <v>0</v>
      </c>
      <c r="C6" s="82" t="s">
        <v>0</v>
      </c>
      <c r="D6" s="82" t="s">
        <v>0</v>
      </c>
      <c r="E6" s="82" t="s">
        <v>0</v>
      </c>
      <c r="F6" s="80" t="s">
        <v>0</v>
      </c>
      <c r="G6" s="60" t="s">
        <v>0</v>
      </c>
      <c r="H6" s="82" t="s">
        <v>0</v>
      </c>
      <c r="I6" s="84">
        <f>IFERROR(VLOOKUP(H6,'Настройки'!$F$18:$G$24,2,FALSE),1)</f>
      </c>
      <c r="J6" s="74" t="n">
        <v>28.5</v>
      </c>
      <c r="K6" s="74" t="n">
        <v>6.8</v>
      </c>
      <c r="L6" s="74" t="n">
        <v>8.6</v>
      </c>
      <c r="M6" s="74" t="n">
        <v>1.2</v>
      </c>
      <c r="N6" s="74" t="n">
        <v>2.1</v>
      </c>
      <c r="O6" s="74" t="n">
        <v>0.9</v>
      </c>
      <c r="P6" s="74" t="n">
        <v>0.3</v>
      </c>
      <c r="Q6" s="74" t="n">
        <v>0.5</v>
      </c>
      <c r="R6" s="62" t="s">
        <v>0</v>
      </c>
      <c r="S6" s="62" t="s">
        <v>0</v>
      </c>
      <c r="T6" s="62" t="s">
        <v>0</v>
      </c>
      <c r="U6" s="76">
        <f>IFERROR(SUM(J6:Q6)*(1+R6)*(1+S6),0)</f>
      </c>
      <c r="V6" s="76">
        <f>IFERROR(U6*(1+T6),0)</f>
      </c>
      <c r="W6" s="76">
        <f>IFERROR(V6*F6*I6,0)</f>
      </c>
      <c r="X6" s="74" t="n">
        <v>55</v>
      </c>
      <c r="Y6" s="76">
        <f>IFERROR(X6*F6*I6,0)</f>
      </c>
      <c r="Z6" s="76">
        <f>IFERROR(X6-V6,"")</f>
      </c>
      <c r="AA6" s="70">
        <f>IFERROR(X6/V6-1,"")</f>
      </c>
      <c r="AB6" s="88">
        <f>MAX(0,Y6-W6)</f>
      </c>
      <c r="AC6" s="102">
        <f>IF(AB6&gt;='Настройки'!$B$21,"高",IF(AB6&gt;='Настройки'!$B$22,"中","低"))</f>
      </c>
      <c r="AD6" s="82" t="s">
        <v>0</v>
      </c>
      <c r="AE6" s="82" t="s">
        <v>0</v>
      </c>
      <c r="AF6" s="60" t="s">
        <v>0</v>
      </c>
      <c r="AG6" s="60" t="s">
        <v>0</v>
      </c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82" t="s">
        <v>0</v>
      </c>
      <c r="B7" s="60" t="s">
        <v>0</v>
      </c>
      <c r="C7" s="82" t="s">
        <v>0</v>
      </c>
      <c r="D7" s="82" t="s">
        <v>0</v>
      </c>
      <c r="E7" s="82" t="s">
        <v>0</v>
      </c>
      <c r="F7" s="80" t="s">
        <v>0</v>
      </c>
      <c r="G7" s="60" t="s">
        <v>0</v>
      </c>
      <c r="H7" s="82" t="s">
        <v>0</v>
      </c>
      <c r="I7" s="84">
        <f>IFERROR(VLOOKUP(H7,'Настройки'!$F$18:$G$24,2,FALSE),1)</f>
      </c>
      <c r="J7" s="74" t="n">
        <v>2.4</v>
      </c>
      <c r="K7" s="74" t="n">
        <v>0.15</v>
      </c>
      <c r="L7" s="74" t="n">
        <v>0.25</v>
      </c>
      <c r="M7" s="74" t="n">
        <v>0.08</v>
      </c>
      <c r="N7" s="74" t="n">
        <v>0.12</v>
      </c>
      <c r="O7" s="74" t="n">
        <v>0</v>
      </c>
      <c r="P7" s="74" t="n">
        <v>0.02</v>
      </c>
      <c r="Q7" s="74" t="n">
        <v>0.03</v>
      </c>
      <c r="R7" s="62" t="s">
        <v>0</v>
      </c>
      <c r="S7" s="62" t="s">
        <v>0</v>
      </c>
      <c r="T7" s="62" t="s">
        <v>0</v>
      </c>
      <c r="U7" s="76">
        <f>IFERROR(SUM(J7:Q7)*(1+R7)*(1+S7),0)</f>
      </c>
      <c r="V7" s="76">
        <f>IFERROR(U7*(1+T7),0)</f>
      </c>
      <c r="W7" s="76">
        <f>IFERROR(V7*F7*I7,0)</f>
      </c>
      <c r="X7" s="74" t="n">
        <v>3.45</v>
      </c>
      <c r="Y7" s="76">
        <f>IFERROR(X7*F7*I7,0)</f>
      </c>
      <c r="Z7" s="76">
        <f>IFERROR(X7-V7,"")</f>
      </c>
      <c r="AA7" s="70">
        <f>IFERROR(X7/V7-1,"")</f>
      </c>
      <c r="AB7" s="88">
        <f>MAX(0,Y7-W7)</f>
      </c>
      <c r="AC7" s="102">
        <f>IF(AB7&gt;='Настройки'!$B$21,"高",IF(AB7&gt;='Настройки'!$B$22,"中","低"))</f>
      </c>
      <c r="AD7" s="82" t="s">
        <v>0</v>
      </c>
      <c r="AE7" s="82" t="s">
        <v>0</v>
      </c>
      <c r="AF7" s="60" t="s">
        <v>0</v>
      </c>
      <c r="AG7" s="60" t="s">
        <v>0</v>
      </c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82" t="s">
        <v>0</v>
      </c>
      <c r="B8" s="60" t="s">
        <v>0</v>
      </c>
      <c r="C8" s="82" t="s">
        <v>0</v>
      </c>
      <c r="D8" s="82" t="s">
        <v>0</v>
      </c>
      <c r="E8" s="82" t="s">
        <v>0</v>
      </c>
      <c r="F8" s="80" t="s">
        <v>0</v>
      </c>
      <c r="G8" s="60" t="s">
        <v>0</v>
      </c>
      <c r="H8" s="82" t="s">
        <v>0</v>
      </c>
      <c r="I8" s="84">
        <f>IFERROR(VLOOKUP(H8,'Настройки'!$F$18:$G$24,2,FALSE),1)</f>
      </c>
      <c r="J8" s="74" t="n">
        <v>0</v>
      </c>
      <c r="K8" s="74" t="n">
        <v>0.6</v>
      </c>
      <c r="L8" s="74" t="n">
        <v>1.8</v>
      </c>
      <c r="M8" s="74" t="n">
        <v>0.1</v>
      </c>
      <c r="N8" s="74" t="n">
        <v>2.3</v>
      </c>
      <c r="O8" s="74" t="n">
        <v>0</v>
      </c>
      <c r="P8" s="74" t="n">
        <v>0.08</v>
      </c>
      <c r="Q8" s="74" t="n">
        <v>0.12</v>
      </c>
      <c r="R8" s="62" t="s">
        <v>0</v>
      </c>
      <c r="S8" s="62" t="s">
        <v>0</v>
      </c>
      <c r="T8" s="62" t="s">
        <v>0</v>
      </c>
      <c r="U8" s="76">
        <f>IFERROR(SUM(J8:Q8)*(1+R8)*(1+S8),0)</f>
      </c>
      <c r="V8" s="76">
        <f>IFERROR(U8*(1+T8),0)</f>
      </c>
      <c r="W8" s="76">
        <f>IFERROR(V8*F8*I8,0)</f>
      </c>
      <c r="X8" s="74" t="n">
        <v>5.85</v>
      </c>
      <c r="Y8" s="76">
        <f>IFERROR(X8*F8*I8,0)</f>
      </c>
      <c r="Z8" s="76">
        <f>IFERROR(X8-V8,"")</f>
      </c>
      <c r="AA8" s="70">
        <f>IFERROR(X8/V8-1,"")</f>
      </c>
      <c r="AB8" s="88">
        <f>MAX(0,Y8-W8)</f>
      </c>
      <c r="AC8" s="102">
        <f>IF(AB8&gt;='Настройки'!$B$21,"高",IF(AB8&gt;='Настройки'!$B$22,"中","低"))</f>
      </c>
      <c r="AD8" s="82" t="s">
        <v>0</v>
      </c>
      <c r="AE8" s="82" t="s">
        <v>0</v>
      </c>
      <c r="AF8" s="60" t="s">
        <v>0</v>
      </c>
      <c r="AG8" s="60" t="s">
        <v>0</v>
      </c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82" t="s">
        <v>0</v>
      </c>
      <c r="B9" s="60" t="s">
        <v>0</v>
      </c>
      <c r="C9" s="82" t="s">
        <v>0</v>
      </c>
      <c r="D9" s="82" t="s">
        <v>0</v>
      </c>
      <c r="E9" s="82" t="s">
        <v>0</v>
      </c>
      <c r="F9" s="80" t="n">
        <v>450</v>
      </c>
      <c r="G9" s="60" t="s">
        <v>0</v>
      </c>
      <c r="H9" s="82" t="s">
        <v>0</v>
      </c>
      <c r="I9" s="84">
        <f>IFERROR(VLOOKUP(H9,'Настройки'!$F$18:$G$24,2,FALSE),1)</f>
      </c>
      <c r="J9" s="74" t="n">
        <v>0</v>
      </c>
      <c r="K9" s="74" t="n">
        <v>18</v>
      </c>
      <c r="L9" s="74" t="n">
        <v>42</v>
      </c>
      <c r="M9" s="74" t="n">
        <v>3</v>
      </c>
      <c r="N9" s="74" t="n">
        <v>0</v>
      </c>
      <c r="O9" s="74" t="n">
        <v>6</v>
      </c>
      <c r="P9" s="74" t="n">
        <v>1.5</v>
      </c>
      <c r="Q9" s="74" t="n">
        <v>2</v>
      </c>
      <c r="R9" s="62" t="s">
        <v>0</v>
      </c>
      <c r="S9" s="62" t="s">
        <v>0</v>
      </c>
      <c r="T9" s="62" t="s">
        <v>0</v>
      </c>
      <c r="U9" s="76">
        <f>IFERROR(SUM(J9:Q9)*(1+R9)*(1+S9),0)</f>
      </c>
      <c r="V9" s="76">
        <f>IFERROR(U9*(1+T9),0)</f>
      </c>
      <c r="W9" s="76">
        <f>IFERROR(V9*F9*I9,0)</f>
      </c>
      <c r="X9" s="74" t="n">
        <v>92</v>
      </c>
      <c r="Y9" s="76">
        <f>IFERROR(X9*F9*I9,0)</f>
      </c>
      <c r="Z9" s="76">
        <f>IFERROR(X9-V9,"")</f>
      </c>
      <c r="AA9" s="70">
        <f>IFERROR(X9/V9-1,"")</f>
      </c>
      <c r="AB9" s="88">
        <f>MAX(0,Y9-W9)</f>
      </c>
      <c r="AC9" s="102">
        <f>IF(AB9&gt;='Настройки'!$B$21,"高",IF(AB9&gt;='Настройки'!$B$22,"中","低"))</f>
      </c>
      <c r="AD9" s="82" t="s">
        <v>0</v>
      </c>
      <c r="AE9" s="82" t="s">
        <v>0</v>
      </c>
      <c r="AF9" s="60" t="s">
        <v>0</v>
      </c>
      <c r="AG9" s="60" t="s">
        <v>0</v>
      </c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82" t="s">
        <v>0</v>
      </c>
      <c r="B10" s="60" t="s">
        <v>0</v>
      </c>
      <c r="C10" s="82" t="s">
        <v>0</v>
      </c>
      <c r="D10" s="82" t="s">
        <v>0</v>
      </c>
      <c r="E10" s="82" t="s">
        <v>0</v>
      </c>
      <c r="F10" s="80" t="n">
        <v>36</v>
      </c>
      <c r="G10" s="60" t="s">
        <v>0</v>
      </c>
      <c r="H10" s="82" t="s">
        <v>0</v>
      </c>
      <c r="I10" s="84">
        <f>IFERROR(VLOOKUP(H10,'Настройки'!$F$18:$G$24,2,FALSE),1)</f>
      </c>
      <c r="J10" s="74" t="n">
        <v>500</v>
      </c>
      <c r="K10" s="74" t="s">
        <v>0</v>
      </c>
      <c r="L10" s="74" t="n">
        <v>900</v>
      </c>
      <c r="M10" s="74" t="n">
        <v>300</v>
      </c>
      <c r="N10" s="74" t="n">
        <v>120</v>
      </c>
      <c r="O10" s="74" t="n">
        <v>80</v>
      </c>
      <c r="P10" s="74" t="n">
        <v>60</v>
      </c>
      <c r="Q10" s="74" t="n">
        <v>150</v>
      </c>
      <c r="R10" s="62" t="s">
        <v>0</v>
      </c>
      <c r="S10" s="62" t="s">
        <v>0</v>
      </c>
      <c r="T10" s="62" t="s">
        <v>0</v>
      </c>
      <c r="U10" s="76">
        <f>IFERROR(SUM(J10:Q10)*(1+R10)*(1+S10),0)</f>
      </c>
      <c r="V10" s="76">
        <f>IFERROR(U10*(1+T10),0)</f>
      </c>
      <c r="W10" s="76">
        <f>IFERROR(V10*F10*I10,0)</f>
      </c>
      <c r="X10" s="74" t="s">
        <v>0</v>
      </c>
      <c r="Y10" s="76">
        <f>IFERROR(X10*F10*I10,0)</f>
      </c>
      <c r="Z10" s="76">
        <f>IFERROR(X10-V10,"")</f>
      </c>
      <c r="AA10" s="70">
        <f>IFERROR(X10/V10-1,"")</f>
      </c>
      <c r="AB10" s="88">
        <f>MAX(0,Y10-W10)</f>
      </c>
      <c r="AC10" s="102">
        <f>IF(AB10&gt;='Настройки'!$B$21,"高",IF(AB10&gt;='Настройки'!$B$22,"中","低"))</f>
      </c>
      <c r="AD10" s="82" t="s">
        <v>0</v>
      </c>
      <c r="AE10" s="82" t="s">
        <v>0</v>
      </c>
      <c r="AF10" s="60" t="s">
        <v>0</v>
      </c>
      <c r="AG10" s="60" t="s">
        <v>0</v>
      </c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82" t="s">
        <v>0</v>
      </c>
      <c r="B11" s="60" t="s">
        <v>0</v>
      </c>
      <c r="C11" s="82" t="s">
        <v>0</v>
      </c>
      <c r="D11" s="82" t="s">
        <v>0</v>
      </c>
      <c r="E11" s="82" t="s">
        <v>0</v>
      </c>
      <c r="F11" s="80" t="n">
        <v>2</v>
      </c>
      <c r="G11" s="60" t="s">
        <v>0</v>
      </c>
      <c r="H11" s="82" t="s">
        <v>0</v>
      </c>
      <c r="I11" s="84">
        <f>IFERROR(VLOOKUP(H11,'Настройки'!$F$18:$G$24,2,FALSE),1)</f>
      </c>
      <c r="J11" s="74" t="s">
        <v>0</v>
      </c>
      <c r="K11" s="74" t="s">
        <v>0</v>
      </c>
      <c r="L11" s="74" t="s">
        <v>0</v>
      </c>
      <c r="M11" s="74" t="n">
        <v>900</v>
      </c>
      <c r="N11" s="74" t="s">
        <v>0</v>
      </c>
      <c r="O11" s="74" t="s">
        <v>0</v>
      </c>
      <c r="P11" s="74" t="n">
        <v>600</v>
      </c>
      <c r="Q11" s="74" t="s">
        <v>0</v>
      </c>
      <c r="R11" s="62" t="s">
        <v>0</v>
      </c>
      <c r="S11" s="62" t="s">
        <v>0</v>
      </c>
      <c r="T11" s="62" t="s">
        <v>0</v>
      </c>
      <c r="U11" s="76">
        <f>IFERROR(SUM(J11:Q11)*(1+R11)*(1+S11),0)</f>
      </c>
      <c r="V11" s="76">
        <f>IFERROR(U11*(1+T11),0)</f>
      </c>
      <c r="W11" s="76">
        <f>IFERROR(V11*F11*I11,0)</f>
      </c>
      <c r="X11" s="74" t="s">
        <v>0</v>
      </c>
      <c r="Y11" s="76">
        <f>IFERROR(X11*F11*I11,0)</f>
      </c>
      <c r="Z11" s="76">
        <f>IFERROR(X11-V11,"")</f>
      </c>
      <c r="AA11" s="70">
        <f>IFERROR(X11/V11-1,"")</f>
      </c>
      <c r="AB11" s="88">
        <f>MAX(0,Y11-W11)</f>
      </c>
      <c r="AC11" s="102">
        <f>IF(AB11&gt;='Настройки'!$B$21,"高",IF(AB11&gt;='Настройки'!$B$22,"中","低"))</f>
      </c>
      <c r="AD11" s="82" t="s">
        <v>0</v>
      </c>
      <c r="AE11" s="82" t="s">
        <v>0</v>
      </c>
      <c r="AF11" s="60" t="s">
        <v>0</v>
      </c>
      <c r="AG11" s="60" t="s">
        <v>0</v>
      </c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82" t="s">
        <v>0</v>
      </c>
      <c r="B12" s="60" t="s">
        <v>0</v>
      </c>
      <c r="C12" s="82" t="s">
        <v>0</v>
      </c>
      <c r="D12" s="82" t="s">
        <v>0</v>
      </c>
      <c r="E12" s="82" t="s">
        <v>0</v>
      </c>
      <c r="F12" s="80" t="s">
        <v>0</v>
      </c>
      <c r="G12" s="60" t="s">
        <v>0</v>
      </c>
      <c r="H12" s="82" t="s">
        <v>0</v>
      </c>
      <c r="I12" s="84">
        <f>IFERROR(VLOOKUP(H12,'Настройки'!$F$18:$G$24,2,FALSE),1)</f>
      </c>
      <c r="J12" s="74" t="n">
        <v>8.2</v>
      </c>
      <c r="K12" s="74" t="n">
        <v>0</v>
      </c>
      <c r="L12" s="74" t="n">
        <v>0</v>
      </c>
      <c r="M12" s="74" t="n">
        <v>0.05</v>
      </c>
      <c r="N12" s="74" t="n">
        <v>0.35</v>
      </c>
      <c r="O12" s="74" t="n">
        <v>0</v>
      </c>
      <c r="P12" s="74" t="n">
        <v>0.03</v>
      </c>
      <c r="Q12" s="74" t="n">
        <v>0.04</v>
      </c>
      <c r="R12" s="62" t="s">
        <v>0</v>
      </c>
      <c r="S12" s="62" t="s">
        <v>0</v>
      </c>
      <c r="T12" s="62" t="s">
        <v>0</v>
      </c>
      <c r="U12" s="76">
        <f>IFERROR(SUM(J12:Q12)*(1+R12)*(1+S12),0)</f>
      </c>
      <c r="V12" s="76">
        <f>IFERROR(U12*(1+T12),0)</f>
      </c>
      <c r="W12" s="76">
        <f>IFERROR(V12*F12*I12,0)</f>
      </c>
      <c r="X12" s="74" t="n">
        <v>10.35</v>
      </c>
      <c r="Y12" s="76">
        <f>IFERROR(X12*F12*I12,0)</f>
      </c>
      <c r="Z12" s="76">
        <f>IFERROR(X12-V12,"")</f>
      </c>
      <c r="AA12" s="70">
        <f>IFERROR(X12/V12-1,"")</f>
      </c>
      <c r="AB12" s="88">
        <f>MAX(0,Y12-W12)</f>
      </c>
      <c r="AC12" s="102">
        <f>IF(AB12&gt;='Настройки'!$B$21,"高",IF(AB12&gt;='Настройки'!$B$22,"中","低"))</f>
      </c>
      <c r="AD12" s="82" t="s">
        <v>0</v>
      </c>
      <c r="AE12" s="82" t="s">
        <v>0</v>
      </c>
      <c r="AF12" s="60" t="s">
        <v>0</v>
      </c>
      <c r="AG12" s="60" t="s">
        <v>0</v>
      </c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82" t="s">
        <v>0</v>
      </c>
      <c r="B13" s="60" t="s">
        <v>0</v>
      </c>
      <c r="C13" s="82" t="s">
        <v>0</v>
      </c>
      <c r="D13" s="82" t="s">
        <v>0</v>
      </c>
      <c r="E13" s="82" t="s">
        <v>0</v>
      </c>
      <c r="F13" s="80" t="s">
        <v>0</v>
      </c>
      <c r="G13" s="60" t="s">
        <v>0</v>
      </c>
      <c r="H13" s="82" t="s">
        <v>0</v>
      </c>
      <c r="I13" s="84">
        <f>IFERROR(VLOOKUP(H13,'Настройки'!$F$18:$G$24,2,FALSE),1)</f>
      </c>
      <c r="J13" s="74" t="n">
        <v>72</v>
      </c>
      <c r="K13" s="74" t="n">
        <v>9</v>
      </c>
      <c r="L13" s="74" t="n">
        <v>14</v>
      </c>
      <c r="M13" s="74" t="n">
        <v>4</v>
      </c>
      <c r="N13" s="74" t="n">
        <v>3.5</v>
      </c>
      <c r="O13" s="74" t="n">
        <v>2.5</v>
      </c>
      <c r="P13" s="74" t="n">
        <v>0.8</v>
      </c>
      <c r="Q13" s="74" t="n">
        <v>1.2</v>
      </c>
      <c r="R13" s="62" t="s">
        <v>0</v>
      </c>
      <c r="S13" s="62" t="s">
        <v>0</v>
      </c>
      <c r="T13" s="62" t="s">
        <v>0</v>
      </c>
      <c r="U13" s="76">
        <f>IFERROR(SUM(J13:Q13)*(1+R13)*(1+S13),0)</f>
      </c>
      <c r="V13" s="76">
        <f>IFERROR(U13*(1+T13),0)</f>
      </c>
      <c r="W13" s="76">
        <f>IFERROR(V13*F13*I13,0)</f>
      </c>
      <c r="X13" s="74" t="n">
        <v>135</v>
      </c>
      <c r="Y13" s="76">
        <f>IFERROR(X13*F13*I13,0)</f>
      </c>
      <c r="Z13" s="76">
        <f>IFERROR(X13-V13,"")</f>
      </c>
      <c r="AA13" s="70">
        <f>IFERROR(X13/V13-1,"")</f>
      </c>
      <c r="AB13" s="88">
        <f>MAX(0,Y13-W13)</f>
      </c>
      <c r="AC13" s="102">
        <f>IF(AB13&gt;='Настройки'!$B$21,"高",IF(AB13&gt;='Настройки'!$B$22,"中","低"))</f>
      </c>
      <c r="AD13" s="82" t="s">
        <v>0</v>
      </c>
      <c r="AE13" s="82" t="s">
        <v>0</v>
      </c>
      <c r="AF13" s="60" t="s">
        <v>0</v>
      </c>
      <c r="AG13" s="60" t="s">
        <v>0</v>
      </c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82" t="s">
        <v>0</v>
      </c>
      <c r="B14" s="60"/>
      <c r="C14" s="82"/>
      <c r="D14" s="82"/>
      <c r="E14" s="82"/>
      <c r="F14" s="80"/>
      <c r="G14" s="60"/>
      <c r="H14" s="82" t="s">
        <v>0</v>
      </c>
      <c r="I14" s="84">
        <f>IFERROR(VLOOKUP(H14,'Настройки'!$F$18:$G$24,2,FALSE),1)</f>
      </c>
      <c r="J14" s="74"/>
      <c r="K14" s="74"/>
      <c r="L14" s="74"/>
      <c r="M14" s="74"/>
      <c r="N14" s="74"/>
      <c r="O14" s="74"/>
      <c r="P14" s="74"/>
      <c r="Q14" s="74"/>
      <c r="R14" s="62">
        <f>'Настройки'!$B$10</f>
      </c>
      <c r="S14" s="62">
        <f>'Настройки'!$B$11</f>
      </c>
      <c r="T14" s="62">
        <f>'Настройки'!$B$9</f>
      </c>
      <c r="U14" s="76">
        <f>IFERROR(SUM(J14:Q14)*(1+R14)*(1+S14),0)</f>
      </c>
      <c r="V14" s="76">
        <f>IFERROR(U14*(1+T14),0)</f>
      </c>
      <c r="W14" s="76">
        <f>IFERROR(V14*F14*I14,0)</f>
      </c>
      <c r="X14" s="74"/>
      <c r="Y14" s="76">
        <f>IFERROR(X14*F14*I14,0)</f>
      </c>
      <c r="Z14" s="76">
        <f>IFERROR(X14-V14,"")</f>
      </c>
      <c r="AA14" s="70" t="str">
        <f>IFERROR(X14/V14-1,"")</f>
      </c>
      <c r="AB14" s="88">
        <f>MAX(0,Y14-W14)</f>
      </c>
      <c r="AC14" s="102">
        <f>IF(AB14&gt;='Настройки'!$B$21,"高",IF(AB14&gt;='Настройки'!$B$22,"中","低"))</f>
      </c>
      <c r="AD14" s="82" t="s">
        <v>0</v>
      </c>
      <c r="AE14" s="82"/>
      <c r="AF14" s="60"/>
      <c r="AG14" s="60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82" t="s">
        <v>0</v>
      </c>
      <c r="B15" s="60"/>
      <c r="C15" s="82"/>
      <c r="D15" s="82"/>
      <c r="E15" s="82"/>
      <c r="F15" s="80"/>
      <c r="G15" s="60"/>
      <c r="H15" s="82" t="s">
        <v>0</v>
      </c>
      <c r="I15" s="84">
        <f>IFERROR(VLOOKUP(H15,'Настройки'!$F$18:$G$24,2,FALSE),1)</f>
      </c>
      <c r="J15" s="74"/>
      <c r="K15" s="74"/>
      <c r="L15" s="74"/>
      <c r="M15" s="74"/>
      <c r="N15" s="74"/>
      <c r="O15" s="74"/>
      <c r="P15" s="74"/>
      <c r="Q15" s="74"/>
      <c r="R15" s="62">
        <f>'Настройки'!$B$10</f>
      </c>
      <c r="S15" s="62">
        <f>'Настройки'!$B$11</f>
      </c>
      <c r="T15" s="62">
        <f>'Настройки'!$B$9</f>
      </c>
      <c r="U15" s="76">
        <f>IFERROR(SUM(J15:Q15)*(1+R15)*(1+S15),0)</f>
      </c>
      <c r="V15" s="76">
        <f>IFERROR(U15*(1+T15),0)</f>
      </c>
      <c r="W15" s="76">
        <f>IFERROR(V15*F15*I15,0)</f>
      </c>
      <c r="X15" s="74"/>
      <c r="Y15" s="76">
        <f>IFERROR(X15*F15*I15,0)</f>
      </c>
      <c r="Z15" s="76">
        <f>IFERROR(X15-V15,"")</f>
      </c>
      <c r="AA15" s="70" t="str">
        <f>IFERROR(X15/V15-1,"")</f>
      </c>
      <c r="AB15" s="88">
        <f>MAX(0,Y15-W15)</f>
      </c>
      <c r="AC15" s="102">
        <f>IF(AB15&gt;='Настройки'!$B$21,"高",IF(AB15&gt;='Настройки'!$B$22,"中","低"))</f>
      </c>
      <c r="AD15" s="82" t="s">
        <v>0</v>
      </c>
      <c r="AE15" s="82"/>
      <c r="AF15" s="60"/>
      <c r="AG15" s="60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82" t="s">
        <v>0</v>
      </c>
      <c r="B16" s="60"/>
      <c r="C16" s="82"/>
      <c r="D16" s="82"/>
      <c r="E16" s="82"/>
      <c r="F16" s="80"/>
      <c r="G16" s="60"/>
      <c r="H16" s="82" t="s">
        <v>0</v>
      </c>
      <c r="I16" s="84">
        <f>IFERROR(VLOOKUP(H16,'Настройки'!$F$18:$G$24,2,FALSE),1)</f>
      </c>
      <c r="J16" s="74"/>
      <c r="K16" s="74"/>
      <c r="L16" s="74"/>
      <c r="M16" s="74"/>
      <c r="N16" s="74"/>
      <c r="O16" s="74"/>
      <c r="P16" s="74"/>
      <c r="Q16" s="74"/>
      <c r="R16" s="62">
        <f>'Настройки'!$B$10</f>
      </c>
      <c r="S16" s="62">
        <f>'Настройки'!$B$11</f>
      </c>
      <c r="T16" s="62">
        <f>'Настройки'!$B$9</f>
      </c>
      <c r="U16" s="76">
        <f>IFERROR(SUM(J16:Q16)*(1+R16)*(1+S16),0)</f>
      </c>
      <c r="V16" s="76">
        <f>IFERROR(U16*(1+T16),0)</f>
      </c>
      <c r="W16" s="76">
        <f>IFERROR(V16*F16*I16,0)</f>
      </c>
      <c r="X16" s="74"/>
      <c r="Y16" s="76">
        <f>IFERROR(X16*F16*I16,0)</f>
      </c>
      <c r="Z16" s="76">
        <f>IFERROR(X16-V16,"")</f>
      </c>
      <c r="AA16" s="70" t="str">
        <f>IFERROR(X16/V16-1,"")</f>
      </c>
      <c r="AB16" s="88">
        <f>MAX(0,Y16-W16)</f>
      </c>
      <c r="AC16" s="102">
        <f>IF(AB16&gt;='Настройки'!$B$21,"高",IF(AB16&gt;='Настройки'!$B$22,"中","低"))</f>
      </c>
      <c r="AD16" s="82" t="s">
        <v>0</v>
      </c>
      <c r="AE16" s="82"/>
      <c r="AF16" s="60"/>
      <c r="AG16" s="60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82" t="s">
        <v>0</v>
      </c>
      <c r="B17" s="60"/>
      <c r="C17" s="82"/>
      <c r="D17" s="82"/>
      <c r="E17" s="82"/>
      <c r="F17" s="80"/>
      <c r="G17" s="60"/>
      <c r="H17" s="82" t="s">
        <v>0</v>
      </c>
      <c r="I17" s="84">
        <f>IFERROR(VLOOKUP(H17,'Настройки'!$F$18:$G$24,2,FALSE),1)</f>
      </c>
      <c r="J17" s="74"/>
      <c r="K17" s="74"/>
      <c r="L17" s="74"/>
      <c r="M17" s="74"/>
      <c r="N17" s="74"/>
      <c r="O17" s="74"/>
      <c r="P17" s="74"/>
      <c r="Q17" s="74"/>
      <c r="R17" s="62">
        <f>'Настройки'!$B$10</f>
      </c>
      <c r="S17" s="62">
        <f>'Настройки'!$B$11</f>
      </c>
      <c r="T17" s="62">
        <f>'Настройки'!$B$9</f>
      </c>
      <c r="U17" s="76">
        <f>IFERROR(SUM(J17:Q17)*(1+R17)*(1+S17),0)</f>
      </c>
      <c r="V17" s="76">
        <f>IFERROR(U17*(1+T17),0)</f>
      </c>
      <c r="W17" s="76">
        <f>IFERROR(V17*F17*I17,0)</f>
      </c>
      <c r="X17" s="74"/>
      <c r="Y17" s="76">
        <f>IFERROR(X17*F17*I17,0)</f>
      </c>
      <c r="Z17" s="76">
        <f>IFERROR(X17-V17,"")</f>
      </c>
      <c r="AA17" s="70" t="str">
        <f>IFERROR(X17/V17-1,"")</f>
      </c>
      <c r="AB17" s="88">
        <f>MAX(0,Y17-W17)</f>
      </c>
      <c r="AC17" s="102">
        <f>IF(AB17&gt;='Настройки'!$B$21,"高",IF(AB17&gt;='Настройки'!$B$22,"中","低"))</f>
      </c>
      <c r="AD17" s="82" t="s">
        <v>0</v>
      </c>
      <c r="AE17" s="82"/>
      <c r="AF17" s="60"/>
      <c r="AG17" s="60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82" t="s">
        <v>0</v>
      </c>
      <c r="B18" s="60"/>
      <c r="C18" s="82"/>
      <c r="D18" s="82"/>
      <c r="E18" s="82"/>
      <c r="F18" s="80"/>
      <c r="G18" s="60"/>
      <c r="H18" s="82" t="s">
        <v>0</v>
      </c>
      <c r="I18" s="84">
        <f>IFERROR(VLOOKUP(H18,'Настройки'!$F$18:$G$24,2,FALSE),1)</f>
      </c>
      <c r="J18" s="74"/>
      <c r="K18" s="74"/>
      <c r="L18" s="74"/>
      <c r="M18" s="74"/>
      <c r="N18" s="74"/>
      <c r="O18" s="74"/>
      <c r="P18" s="74"/>
      <c r="Q18" s="74"/>
      <c r="R18" s="62">
        <f>'Настройки'!$B$10</f>
      </c>
      <c r="S18" s="62">
        <f>'Настройки'!$B$11</f>
      </c>
      <c r="T18" s="62">
        <f>'Настройки'!$B$9</f>
      </c>
      <c r="U18" s="76">
        <f>IFERROR(SUM(J18:Q18)*(1+R18)*(1+S18),0)</f>
      </c>
      <c r="V18" s="76">
        <f>IFERROR(U18*(1+T18),0)</f>
      </c>
      <c r="W18" s="76">
        <f>IFERROR(V18*F18*I18,0)</f>
      </c>
      <c r="X18" s="74"/>
      <c r="Y18" s="76">
        <f>IFERROR(X18*F18*I18,0)</f>
      </c>
      <c r="Z18" s="76">
        <f>IFERROR(X18-V18,"")</f>
      </c>
      <c r="AA18" s="70" t="str">
        <f>IFERROR(X18/V18-1,"")</f>
      </c>
      <c r="AB18" s="88">
        <f>MAX(0,Y18-W18)</f>
      </c>
      <c r="AC18" s="102">
        <f>IF(AB18&gt;='Настройки'!$B$21,"高",IF(AB18&gt;='Настройки'!$B$22,"中","低"))</f>
      </c>
      <c r="AD18" s="82" t="s">
        <v>0</v>
      </c>
      <c r="AE18" s="82"/>
      <c r="AF18" s="60"/>
      <c r="AG18" s="60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82" t="s">
        <v>0</v>
      </c>
      <c r="B19" s="60"/>
      <c r="C19" s="82"/>
      <c r="D19" s="82"/>
      <c r="E19" s="82"/>
      <c r="F19" s="80"/>
      <c r="G19" s="60"/>
      <c r="H19" s="82" t="s">
        <v>0</v>
      </c>
      <c r="I19" s="84">
        <f>IFERROR(VLOOKUP(H19,'Настройки'!$F$18:$G$24,2,FALSE),1)</f>
      </c>
      <c r="J19" s="74"/>
      <c r="K19" s="74"/>
      <c r="L19" s="74"/>
      <c r="M19" s="74"/>
      <c r="N19" s="74"/>
      <c r="O19" s="74"/>
      <c r="P19" s="74"/>
      <c r="Q19" s="74"/>
      <c r="R19" s="62">
        <f>'Настройки'!$B$10</f>
      </c>
      <c r="S19" s="62">
        <f>'Настройки'!$B$11</f>
      </c>
      <c r="T19" s="62">
        <f>'Настройки'!$B$9</f>
      </c>
      <c r="U19" s="76">
        <f>IFERROR(SUM(J19:Q19)*(1+R19)*(1+S19),0)</f>
      </c>
      <c r="V19" s="76">
        <f>IFERROR(U19*(1+T19),0)</f>
      </c>
      <c r="W19" s="76">
        <f>IFERROR(V19*F19*I19,0)</f>
      </c>
      <c r="X19" s="74"/>
      <c r="Y19" s="76">
        <f>IFERROR(X19*F19*I19,0)</f>
      </c>
      <c r="Z19" s="76">
        <f>IFERROR(X19-V19,"")</f>
      </c>
      <c r="AA19" s="70" t="str">
        <f>IFERROR(X19/V19-1,"")</f>
      </c>
      <c r="AB19" s="88">
        <f>MAX(0,Y19-W19)</f>
      </c>
      <c r="AC19" s="102">
        <f>IF(AB19&gt;='Настройки'!$B$21,"高",IF(AB19&gt;='Настройки'!$B$22,"中","低"))</f>
      </c>
      <c r="AD19" s="82" t="s">
        <v>0</v>
      </c>
      <c r="AE19" s="82"/>
      <c r="AF19" s="60"/>
      <c r="AG19" s="60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82" t="s">
        <v>0</v>
      </c>
      <c r="B20" s="60"/>
      <c r="C20" s="82"/>
      <c r="D20" s="82"/>
      <c r="E20" s="82"/>
      <c r="F20" s="80"/>
      <c r="G20" s="60"/>
      <c r="H20" s="82" t="s">
        <v>0</v>
      </c>
      <c r="I20" s="84">
        <f>IFERROR(VLOOKUP(H20,'Настройки'!$F$18:$G$24,2,FALSE),1)</f>
      </c>
      <c r="J20" s="74"/>
      <c r="K20" s="74"/>
      <c r="L20" s="74"/>
      <c r="M20" s="74"/>
      <c r="N20" s="74"/>
      <c r="O20" s="74"/>
      <c r="P20" s="74"/>
      <c r="Q20" s="74"/>
      <c r="R20" s="62">
        <f>'Настройки'!$B$10</f>
      </c>
      <c r="S20" s="62">
        <f>'Настройки'!$B$11</f>
      </c>
      <c r="T20" s="62">
        <f>'Настройки'!$B$9</f>
      </c>
      <c r="U20" s="76">
        <f>IFERROR(SUM(J20:Q20)*(1+R20)*(1+S20),0)</f>
      </c>
      <c r="V20" s="76">
        <f>IFERROR(U20*(1+T20),0)</f>
      </c>
      <c r="W20" s="76">
        <f>IFERROR(V20*F20*I20,0)</f>
      </c>
      <c r="X20" s="74"/>
      <c r="Y20" s="76">
        <f>IFERROR(X20*F20*I20,0)</f>
      </c>
      <c r="Z20" s="76">
        <f>IFERROR(X20-V20,"")</f>
      </c>
      <c r="AA20" s="70" t="str">
        <f>IFERROR(X20/V20-1,"")</f>
      </c>
      <c r="AB20" s="88">
        <f>MAX(0,Y20-W20)</f>
      </c>
      <c r="AC20" s="102">
        <f>IF(AB20&gt;='Настройки'!$B$21,"高",IF(AB20&gt;='Настройки'!$B$22,"中","低"))</f>
      </c>
      <c r="AD20" s="82" t="s">
        <v>0</v>
      </c>
      <c r="AE20" s="82"/>
      <c r="AF20" s="60"/>
      <c r="AG20" s="60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82" t="s">
        <v>0</v>
      </c>
      <c r="B21" s="60"/>
      <c r="C21" s="82"/>
      <c r="D21" s="82"/>
      <c r="E21" s="82"/>
      <c r="F21" s="80"/>
      <c r="G21" s="60"/>
      <c r="H21" s="82" t="s">
        <v>0</v>
      </c>
      <c r="I21" s="84">
        <f>IFERROR(VLOOKUP(H21,'Настройки'!$F$18:$G$24,2,FALSE),1)</f>
      </c>
      <c r="J21" s="74"/>
      <c r="K21" s="74"/>
      <c r="L21" s="74"/>
      <c r="M21" s="74"/>
      <c r="N21" s="74"/>
      <c r="O21" s="74"/>
      <c r="P21" s="74"/>
      <c r="Q21" s="74"/>
      <c r="R21" s="62">
        <f>'Настройки'!$B$10</f>
      </c>
      <c r="S21" s="62">
        <f>'Настройки'!$B$11</f>
      </c>
      <c r="T21" s="62">
        <f>'Настройки'!$B$9</f>
      </c>
      <c r="U21" s="76">
        <f>IFERROR(SUM(J21:Q21)*(1+R21)*(1+S21),0)</f>
      </c>
      <c r="V21" s="76">
        <f>IFERROR(U21*(1+T21),0)</f>
      </c>
      <c r="W21" s="76">
        <f>IFERROR(V21*F21*I21,0)</f>
      </c>
      <c r="X21" s="74"/>
      <c r="Y21" s="76">
        <f>IFERROR(X21*F21*I21,0)</f>
      </c>
      <c r="Z21" s="76">
        <f>IFERROR(X21-V21,"")</f>
      </c>
      <c r="AA21" s="70" t="str">
        <f>IFERROR(X21/V21-1,"")</f>
      </c>
      <c r="AB21" s="88">
        <f>MAX(0,Y21-W21)</f>
      </c>
      <c r="AC21" s="102">
        <f>IF(AB21&gt;='Настройки'!$B$21,"高",IF(AB21&gt;='Настройки'!$B$22,"中","低"))</f>
      </c>
      <c r="AD21" s="82" t="s">
        <v>0</v>
      </c>
      <c r="AE21" s="82"/>
      <c r="AF21" s="60"/>
      <c r="AG21" s="60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82" t="s">
        <v>0</v>
      </c>
      <c r="B22" s="60"/>
      <c r="C22" s="82"/>
      <c r="D22" s="82"/>
      <c r="E22" s="82"/>
      <c r="F22" s="80"/>
      <c r="G22" s="60"/>
      <c r="H22" s="82" t="s">
        <v>0</v>
      </c>
      <c r="I22" s="84">
        <f>IFERROR(VLOOKUP(H22,'Настройки'!$F$18:$G$24,2,FALSE),1)</f>
      </c>
      <c r="J22" s="74"/>
      <c r="K22" s="74"/>
      <c r="L22" s="74"/>
      <c r="M22" s="74"/>
      <c r="N22" s="74"/>
      <c r="O22" s="74"/>
      <c r="P22" s="74"/>
      <c r="Q22" s="74"/>
      <c r="R22" s="62">
        <f>'Настройки'!$B$10</f>
      </c>
      <c r="S22" s="62">
        <f>'Настройки'!$B$11</f>
      </c>
      <c r="T22" s="62">
        <f>'Настройки'!$B$9</f>
      </c>
      <c r="U22" s="76">
        <f>IFERROR(SUM(J22:Q22)*(1+R22)*(1+S22),0)</f>
      </c>
      <c r="V22" s="76">
        <f>IFERROR(U22*(1+T22),0)</f>
      </c>
      <c r="W22" s="76">
        <f>IFERROR(V22*F22*I22,0)</f>
      </c>
      <c r="X22" s="74"/>
      <c r="Y22" s="76">
        <f>IFERROR(X22*F22*I22,0)</f>
      </c>
      <c r="Z22" s="76">
        <f>IFERROR(X22-V22,"")</f>
      </c>
      <c r="AA22" s="70" t="str">
        <f>IFERROR(X22/V22-1,"")</f>
      </c>
      <c r="AB22" s="88">
        <f>MAX(0,Y22-W22)</f>
      </c>
      <c r="AC22" s="102">
        <f>IF(AB22&gt;='Настройки'!$B$21,"高",IF(AB22&gt;='Настройки'!$B$22,"中","低"))</f>
      </c>
      <c r="AD22" s="82" t="s">
        <v>0</v>
      </c>
      <c r="AE22" s="82"/>
      <c r="AF22" s="60"/>
      <c r="AG22" s="60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82" t="s">
        <v>0</v>
      </c>
      <c r="B23" s="60"/>
      <c r="C23" s="82"/>
      <c r="D23" s="82"/>
      <c r="E23" s="82"/>
      <c r="F23" s="80"/>
      <c r="G23" s="60"/>
      <c r="H23" s="82" t="s">
        <v>0</v>
      </c>
      <c r="I23" s="84">
        <f>IFERROR(VLOOKUP(H23,'Настройки'!$F$18:$G$24,2,FALSE),1)</f>
      </c>
      <c r="J23" s="74"/>
      <c r="K23" s="74"/>
      <c r="L23" s="74"/>
      <c r="M23" s="74"/>
      <c r="N23" s="74"/>
      <c r="O23" s="74"/>
      <c r="P23" s="74"/>
      <c r="Q23" s="74"/>
      <c r="R23" s="62">
        <f>'Настройки'!$B$10</f>
      </c>
      <c r="S23" s="62">
        <f>'Настройки'!$B$11</f>
      </c>
      <c r="T23" s="62">
        <f>'Настройки'!$B$9</f>
      </c>
      <c r="U23" s="76">
        <f>IFERROR(SUM(J23:Q23)*(1+R23)*(1+S23),0)</f>
      </c>
      <c r="V23" s="76">
        <f>IFERROR(U23*(1+T23),0)</f>
      </c>
      <c r="W23" s="76">
        <f>IFERROR(V23*F23*I23,0)</f>
      </c>
      <c r="X23" s="74"/>
      <c r="Y23" s="76">
        <f>IFERROR(X23*F23*I23,0)</f>
      </c>
      <c r="Z23" s="76">
        <f>IFERROR(X23-V23,"")</f>
      </c>
      <c r="AA23" s="70" t="str">
        <f>IFERROR(X23/V23-1,"")</f>
      </c>
      <c r="AB23" s="88">
        <f>MAX(0,Y23-W23)</f>
      </c>
      <c r="AC23" s="102">
        <f>IF(AB23&gt;='Настройки'!$B$21,"高",IF(AB23&gt;='Настройки'!$B$22,"中","低"))</f>
      </c>
      <c r="AD23" s="82" t="s">
        <v>0</v>
      </c>
      <c r="AE23" s="82"/>
      <c r="AF23" s="60"/>
      <c r="AG23" s="60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82" t="s">
        <v>0</v>
      </c>
      <c r="B24" s="60"/>
      <c r="C24" s="82"/>
      <c r="D24" s="82"/>
      <c r="E24" s="82"/>
      <c r="F24" s="80"/>
      <c r="G24" s="60"/>
      <c r="H24" s="82" t="s">
        <v>0</v>
      </c>
      <c r="I24" s="84">
        <f>IFERROR(VLOOKUP(H24,'Настройки'!$F$18:$G$24,2,FALSE),1)</f>
      </c>
      <c r="J24" s="74"/>
      <c r="K24" s="74"/>
      <c r="L24" s="74"/>
      <c r="M24" s="74"/>
      <c r="N24" s="74"/>
      <c r="O24" s="74"/>
      <c r="P24" s="74"/>
      <c r="Q24" s="74"/>
      <c r="R24" s="62">
        <f>'Настройки'!$B$10</f>
      </c>
      <c r="S24" s="62">
        <f>'Настройки'!$B$11</f>
      </c>
      <c r="T24" s="62">
        <f>'Настройки'!$B$9</f>
      </c>
      <c r="U24" s="76">
        <f>IFERROR(SUM(J24:Q24)*(1+R24)*(1+S24),0)</f>
      </c>
      <c r="V24" s="76">
        <f>IFERROR(U24*(1+T24),0)</f>
      </c>
      <c r="W24" s="76">
        <f>IFERROR(V24*F24*I24,0)</f>
      </c>
      <c r="X24" s="74"/>
      <c r="Y24" s="76">
        <f>IFERROR(X24*F24*I24,0)</f>
      </c>
      <c r="Z24" s="76">
        <f>IFERROR(X24-V24,"")</f>
      </c>
      <c r="AA24" s="70" t="str">
        <f>IFERROR(X24/V24-1,"")</f>
      </c>
      <c r="AB24" s="88">
        <f>MAX(0,Y24-W24)</f>
      </c>
      <c r="AC24" s="102">
        <f>IF(AB24&gt;='Настройки'!$B$21,"高",IF(AB24&gt;='Настройки'!$B$22,"中","低"))</f>
      </c>
      <c r="AD24" s="82" t="s">
        <v>0</v>
      </c>
      <c r="AE24" s="82"/>
      <c r="AF24" s="60"/>
      <c r="AG24" s="60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82" t="s">
        <v>0</v>
      </c>
      <c r="B25" s="60"/>
      <c r="C25" s="82"/>
      <c r="D25" s="82"/>
      <c r="E25" s="82"/>
      <c r="F25" s="80"/>
      <c r="G25" s="60"/>
      <c r="H25" s="82" t="s">
        <v>0</v>
      </c>
      <c r="I25" s="84">
        <f>IFERROR(VLOOKUP(H25,'Настройки'!$F$18:$G$24,2,FALSE),1)</f>
      </c>
      <c r="J25" s="74"/>
      <c r="K25" s="74"/>
      <c r="L25" s="74"/>
      <c r="M25" s="74"/>
      <c r="N25" s="74"/>
      <c r="O25" s="74"/>
      <c r="P25" s="74"/>
      <c r="Q25" s="74"/>
      <c r="R25" s="62">
        <f>'Настройки'!$B$10</f>
      </c>
      <c r="S25" s="62">
        <f>'Настройки'!$B$11</f>
      </c>
      <c r="T25" s="62">
        <f>'Настройки'!$B$9</f>
      </c>
      <c r="U25" s="76">
        <f>IFERROR(SUM(J25:Q25)*(1+R25)*(1+S25),0)</f>
      </c>
      <c r="V25" s="76">
        <f>IFERROR(U25*(1+T25),0)</f>
      </c>
      <c r="W25" s="76">
        <f>IFERROR(V25*F25*I25,0)</f>
      </c>
      <c r="X25" s="74"/>
      <c r="Y25" s="76">
        <f>IFERROR(X25*F25*I25,0)</f>
      </c>
      <c r="Z25" s="76">
        <f>IFERROR(X25-V25,"")</f>
      </c>
      <c r="AA25" s="70" t="str">
        <f>IFERROR(X25/V25-1,"")</f>
      </c>
      <c r="AB25" s="88">
        <f>MAX(0,Y25-W25)</f>
      </c>
      <c r="AC25" s="102">
        <f>IF(AB25&gt;='Настройки'!$B$21,"高",IF(AB25&gt;='Настройки'!$B$22,"中","低"))</f>
      </c>
      <c r="AD25" s="82" t="s">
        <v>0</v>
      </c>
      <c r="AE25" s="82"/>
      <c r="AF25" s="60"/>
      <c r="AG25" s="60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82" t="s">
        <v>0</v>
      </c>
      <c r="B26" s="60"/>
      <c r="C26" s="82"/>
      <c r="D26" s="82"/>
      <c r="E26" s="82"/>
      <c r="F26" s="80"/>
      <c r="G26" s="60"/>
      <c r="H26" s="82" t="s">
        <v>0</v>
      </c>
      <c r="I26" s="84">
        <f>IFERROR(VLOOKUP(H26,'Настройки'!$F$18:$G$24,2,FALSE),1)</f>
      </c>
      <c r="J26" s="74"/>
      <c r="K26" s="74"/>
      <c r="L26" s="74"/>
      <c r="M26" s="74"/>
      <c r="N26" s="74"/>
      <c r="O26" s="74"/>
      <c r="P26" s="74"/>
      <c r="Q26" s="74"/>
      <c r="R26" s="62">
        <f>'Настройки'!$B$10</f>
      </c>
      <c r="S26" s="62">
        <f>'Настройки'!$B$11</f>
      </c>
      <c r="T26" s="62">
        <f>'Настройки'!$B$9</f>
      </c>
      <c r="U26" s="76">
        <f>IFERROR(SUM(J26:Q26)*(1+R26)*(1+S26),0)</f>
      </c>
      <c r="V26" s="76">
        <f>IFERROR(U26*(1+T26),0)</f>
      </c>
      <c r="W26" s="76">
        <f>IFERROR(V26*F26*I26,0)</f>
      </c>
      <c r="X26" s="74"/>
      <c r="Y26" s="76">
        <f>IFERROR(X26*F26*I26,0)</f>
      </c>
      <c r="Z26" s="76">
        <f>IFERROR(X26-V26,"")</f>
      </c>
      <c r="AA26" s="70" t="str">
        <f>IFERROR(X26/V26-1,"")</f>
      </c>
      <c r="AB26" s="88">
        <f>MAX(0,Y26-W26)</f>
      </c>
      <c r="AC26" s="102">
        <f>IF(AB26&gt;='Настройки'!$B$21,"高",IF(AB26&gt;='Настройки'!$B$22,"中","低"))</f>
      </c>
      <c r="AD26" s="82" t="s">
        <v>0</v>
      </c>
      <c r="AE26" s="82"/>
      <c r="AF26" s="60"/>
      <c r="AG26" s="60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82" t="s">
        <v>0</v>
      </c>
      <c r="B27" s="60"/>
      <c r="C27" s="82"/>
      <c r="D27" s="82"/>
      <c r="E27" s="82"/>
      <c r="F27" s="80"/>
      <c r="G27" s="60"/>
      <c r="H27" s="82" t="s">
        <v>0</v>
      </c>
      <c r="I27" s="84">
        <f>IFERROR(VLOOKUP(H27,'Настройки'!$F$18:$G$24,2,FALSE),1)</f>
      </c>
      <c r="J27" s="74"/>
      <c r="K27" s="74"/>
      <c r="L27" s="74"/>
      <c r="M27" s="74"/>
      <c r="N27" s="74"/>
      <c r="O27" s="74"/>
      <c r="P27" s="74"/>
      <c r="Q27" s="74"/>
      <c r="R27" s="62">
        <f>'Настройки'!$B$10</f>
      </c>
      <c r="S27" s="62">
        <f>'Настройки'!$B$11</f>
      </c>
      <c r="T27" s="62">
        <f>'Настройки'!$B$9</f>
      </c>
      <c r="U27" s="76">
        <f>IFERROR(SUM(J27:Q27)*(1+R27)*(1+S27),0)</f>
      </c>
      <c r="V27" s="76">
        <f>IFERROR(U27*(1+T27),0)</f>
      </c>
      <c r="W27" s="76">
        <f>IFERROR(V27*F27*I27,0)</f>
      </c>
      <c r="X27" s="74"/>
      <c r="Y27" s="76">
        <f>IFERROR(X27*F27*I27,0)</f>
      </c>
      <c r="Z27" s="76">
        <f>IFERROR(X27-V27,"")</f>
      </c>
      <c r="AA27" s="70" t="str">
        <f>IFERROR(X27/V27-1,"")</f>
      </c>
      <c r="AB27" s="88">
        <f>MAX(0,Y27-W27)</f>
      </c>
      <c r="AC27" s="102">
        <f>IF(AB27&gt;='Настройки'!$B$21,"高",IF(AB27&gt;='Настройки'!$B$22,"中","低"))</f>
      </c>
      <c r="AD27" s="82" t="s">
        <v>0</v>
      </c>
      <c r="AE27" s="82"/>
      <c r="AF27" s="60"/>
      <c r="AG27" s="60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82" t="s">
        <v>0</v>
      </c>
      <c r="B28" s="60"/>
      <c r="C28" s="82"/>
      <c r="D28" s="82"/>
      <c r="E28" s="82"/>
      <c r="F28" s="80"/>
      <c r="G28" s="60"/>
      <c r="H28" s="82" t="s">
        <v>0</v>
      </c>
      <c r="I28" s="84">
        <f>IFERROR(VLOOKUP(H28,'Настройки'!$F$18:$G$24,2,FALSE),1)</f>
      </c>
      <c r="J28" s="74"/>
      <c r="K28" s="74"/>
      <c r="L28" s="74"/>
      <c r="M28" s="74"/>
      <c r="N28" s="74"/>
      <c r="O28" s="74"/>
      <c r="P28" s="74"/>
      <c r="Q28" s="74"/>
      <c r="R28" s="62">
        <f>'Настройки'!$B$10</f>
      </c>
      <c r="S28" s="62">
        <f>'Настройки'!$B$11</f>
      </c>
      <c r="T28" s="62">
        <f>'Настройки'!$B$9</f>
      </c>
      <c r="U28" s="76">
        <f>IFERROR(SUM(J28:Q28)*(1+R28)*(1+S28),0)</f>
      </c>
      <c r="V28" s="76">
        <f>IFERROR(U28*(1+T28),0)</f>
      </c>
      <c r="W28" s="76">
        <f>IFERROR(V28*F28*I28,0)</f>
      </c>
      <c r="X28" s="74"/>
      <c r="Y28" s="76">
        <f>IFERROR(X28*F28*I28,0)</f>
      </c>
      <c r="Z28" s="76">
        <f>IFERROR(X28-V28,"")</f>
      </c>
      <c r="AA28" s="70" t="str">
        <f>IFERROR(X28/V28-1,"")</f>
      </c>
      <c r="AB28" s="88">
        <f>MAX(0,Y28-W28)</f>
      </c>
      <c r="AC28" s="102">
        <f>IF(AB28&gt;='Настройки'!$B$21,"高",IF(AB28&gt;='Настройки'!$B$22,"中","低"))</f>
      </c>
      <c r="AD28" s="82" t="s">
        <v>0</v>
      </c>
      <c r="AE28" s="82"/>
      <c r="AF28" s="60"/>
      <c r="AG28" s="60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82" t="s">
        <v>0</v>
      </c>
      <c r="B29" s="60"/>
      <c r="C29" s="82"/>
      <c r="D29" s="82"/>
      <c r="E29" s="82"/>
      <c r="F29" s="80"/>
      <c r="G29" s="60"/>
      <c r="H29" s="82" t="s">
        <v>0</v>
      </c>
      <c r="I29" s="84">
        <f>IFERROR(VLOOKUP(H29,'Настройки'!$F$18:$G$24,2,FALSE),1)</f>
      </c>
      <c r="J29" s="74"/>
      <c r="K29" s="74"/>
      <c r="L29" s="74"/>
      <c r="M29" s="74"/>
      <c r="N29" s="74"/>
      <c r="O29" s="74"/>
      <c r="P29" s="74"/>
      <c r="Q29" s="74"/>
      <c r="R29" s="62">
        <f>'Настройки'!$B$10</f>
      </c>
      <c r="S29" s="62">
        <f>'Настройки'!$B$11</f>
      </c>
      <c r="T29" s="62">
        <f>'Настройки'!$B$9</f>
      </c>
      <c r="U29" s="76">
        <f>IFERROR(SUM(J29:Q29)*(1+R29)*(1+S29),0)</f>
      </c>
      <c r="V29" s="76">
        <f>IFERROR(U29*(1+T29),0)</f>
      </c>
      <c r="W29" s="76">
        <f>IFERROR(V29*F29*I29,0)</f>
      </c>
      <c r="X29" s="74"/>
      <c r="Y29" s="76">
        <f>IFERROR(X29*F29*I29,0)</f>
      </c>
      <c r="Z29" s="76">
        <f>IFERROR(X29-V29,"")</f>
      </c>
      <c r="AA29" s="70" t="str">
        <f>IFERROR(X29/V29-1,"")</f>
      </c>
      <c r="AB29" s="88">
        <f>MAX(0,Y29-W29)</f>
      </c>
      <c r="AC29" s="102">
        <f>IF(AB29&gt;='Настройки'!$B$21,"高",IF(AB29&gt;='Настройки'!$B$22,"中","低"))</f>
      </c>
      <c r="AD29" s="82" t="s">
        <v>0</v>
      </c>
      <c r="AE29" s="82"/>
      <c r="AF29" s="60"/>
      <c r="AG29" s="60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82" t="s">
        <v>0</v>
      </c>
      <c r="B30" s="60"/>
      <c r="C30" s="82"/>
      <c r="D30" s="82"/>
      <c r="E30" s="82"/>
      <c r="F30" s="80"/>
      <c r="G30" s="60"/>
      <c r="H30" s="82" t="s">
        <v>0</v>
      </c>
      <c r="I30" s="84">
        <f>IFERROR(VLOOKUP(H30,'Настройки'!$F$18:$G$24,2,FALSE),1)</f>
      </c>
      <c r="J30" s="74"/>
      <c r="K30" s="74"/>
      <c r="L30" s="74"/>
      <c r="M30" s="74"/>
      <c r="N30" s="74"/>
      <c r="O30" s="74"/>
      <c r="P30" s="74"/>
      <c r="Q30" s="74"/>
      <c r="R30" s="62">
        <f>'Настройки'!$B$10</f>
      </c>
      <c r="S30" s="62">
        <f>'Настройки'!$B$11</f>
      </c>
      <c r="T30" s="62">
        <f>'Настройки'!$B$9</f>
      </c>
      <c r="U30" s="76">
        <f>IFERROR(SUM(J30:Q30)*(1+R30)*(1+S30),0)</f>
      </c>
      <c r="V30" s="76">
        <f>IFERROR(U30*(1+T30),0)</f>
      </c>
      <c r="W30" s="76">
        <f>IFERROR(V30*F30*I30,0)</f>
      </c>
      <c r="X30" s="74"/>
      <c r="Y30" s="76">
        <f>IFERROR(X30*F30*I30,0)</f>
      </c>
      <c r="Z30" s="76">
        <f>IFERROR(X30-V30,"")</f>
      </c>
      <c r="AA30" s="70" t="str">
        <f>IFERROR(X30/V30-1,"")</f>
      </c>
      <c r="AB30" s="88">
        <f>MAX(0,Y30-W30)</f>
      </c>
      <c r="AC30" s="102">
        <f>IF(AB30&gt;='Настройки'!$B$21,"高",IF(AB30&gt;='Настройки'!$B$22,"中","低"))</f>
      </c>
      <c r="AD30" s="82" t="s">
        <v>0</v>
      </c>
      <c r="AE30" s="82"/>
      <c r="AF30" s="60"/>
      <c r="AG30" s="60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82" t="s">
        <v>0</v>
      </c>
      <c r="B31" s="60"/>
      <c r="C31" s="82"/>
      <c r="D31" s="82"/>
      <c r="E31" s="82"/>
      <c r="F31" s="80"/>
      <c r="G31" s="60"/>
      <c r="H31" s="82" t="s">
        <v>0</v>
      </c>
      <c r="I31" s="84">
        <f>IFERROR(VLOOKUP(H31,'Настройки'!$F$18:$G$24,2,FALSE),1)</f>
      </c>
      <c r="J31" s="74"/>
      <c r="K31" s="74"/>
      <c r="L31" s="74"/>
      <c r="M31" s="74"/>
      <c r="N31" s="74"/>
      <c r="O31" s="74"/>
      <c r="P31" s="74"/>
      <c r="Q31" s="74"/>
      <c r="R31" s="62">
        <f>'Настройки'!$B$10</f>
      </c>
      <c r="S31" s="62">
        <f>'Настройки'!$B$11</f>
      </c>
      <c r="T31" s="62">
        <f>'Настройки'!$B$9</f>
      </c>
      <c r="U31" s="76">
        <f>IFERROR(SUM(J31:Q31)*(1+R31)*(1+S31),0)</f>
      </c>
      <c r="V31" s="76">
        <f>IFERROR(U31*(1+T31),0)</f>
      </c>
      <c r="W31" s="76">
        <f>IFERROR(V31*F31*I31,0)</f>
      </c>
      <c r="X31" s="74"/>
      <c r="Y31" s="76">
        <f>IFERROR(X31*F31*I31,0)</f>
      </c>
      <c r="Z31" s="76">
        <f>IFERROR(X31-V31,"")</f>
      </c>
      <c r="AA31" s="70" t="str">
        <f>IFERROR(X31/V31-1,"")</f>
      </c>
      <c r="AB31" s="88">
        <f>MAX(0,Y31-W31)</f>
      </c>
      <c r="AC31" s="102">
        <f>IF(AB31&gt;='Настройки'!$B$21,"高",IF(AB31&gt;='Настройки'!$B$22,"中","低"))</f>
      </c>
      <c r="AD31" s="82" t="s">
        <v>0</v>
      </c>
      <c r="AE31" s="82"/>
      <c r="AF31" s="60"/>
      <c r="AG31" s="60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82" t="s">
        <v>0</v>
      </c>
      <c r="B32" s="60"/>
      <c r="C32" s="82"/>
      <c r="D32" s="82"/>
      <c r="E32" s="82"/>
      <c r="F32" s="80"/>
      <c r="G32" s="60"/>
      <c r="H32" s="82" t="s">
        <v>0</v>
      </c>
      <c r="I32" s="84">
        <f>IFERROR(VLOOKUP(H32,'Настройки'!$F$18:$G$24,2,FALSE),1)</f>
      </c>
      <c r="J32" s="74"/>
      <c r="K32" s="74"/>
      <c r="L32" s="74"/>
      <c r="M32" s="74"/>
      <c r="N32" s="74"/>
      <c r="O32" s="74"/>
      <c r="P32" s="74"/>
      <c r="Q32" s="74"/>
      <c r="R32" s="62">
        <f>'Настройки'!$B$10</f>
      </c>
      <c r="S32" s="62">
        <f>'Настройки'!$B$11</f>
      </c>
      <c r="T32" s="62">
        <f>'Настройки'!$B$9</f>
      </c>
      <c r="U32" s="76">
        <f>IFERROR(SUM(J32:Q32)*(1+R32)*(1+S32),0)</f>
      </c>
      <c r="V32" s="76">
        <f>IFERROR(U32*(1+T32),0)</f>
      </c>
      <c r="W32" s="76">
        <f>IFERROR(V32*F32*I32,0)</f>
      </c>
      <c r="X32" s="74"/>
      <c r="Y32" s="76">
        <f>IFERROR(X32*F32*I32,0)</f>
      </c>
      <c r="Z32" s="76">
        <f>IFERROR(X32-V32,"")</f>
      </c>
      <c r="AA32" s="70" t="str">
        <f>IFERROR(X32/V32-1,"")</f>
      </c>
      <c r="AB32" s="88">
        <f>MAX(0,Y32-W32)</f>
      </c>
      <c r="AC32" s="102">
        <f>IF(AB32&gt;='Настройки'!$B$21,"高",IF(AB32&gt;='Настройки'!$B$22,"中","低"))</f>
      </c>
      <c r="AD32" s="82" t="s">
        <v>0</v>
      </c>
      <c r="AE32" s="82"/>
      <c r="AF32" s="60"/>
      <c r="AG32" s="60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82" t="s">
        <v>0</v>
      </c>
      <c r="B33" s="60"/>
      <c r="C33" s="82"/>
      <c r="D33" s="82"/>
      <c r="E33" s="82"/>
      <c r="F33" s="80"/>
      <c r="G33" s="60"/>
      <c r="H33" s="82" t="s">
        <v>0</v>
      </c>
      <c r="I33" s="84">
        <f>IFERROR(VLOOKUP(H33,'Настройки'!$F$18:$G$24,2,FALSE),1)</f>
      </c>
      <c r="J33" s="74"/>
      <c r="K33" s="74"/>
      <c r="L33" s="74"/>
      <c r="M33" s="74"/>
      <c r="N33" s="74"/>
      <c r="O33" s="74"/>
      <c r="P33" s="74"/>
      <c r="Q33" s="74"/>
      <c r="R33" s="62">
        <f>'Настройки'!$B$10</f>
      </c>
      <c r="S33" s="62">
        <f>'Настройки'!$B$11</f>
      </c>
      <c r="T33" s="62">
        <f>'Настройки'!$B$9</f>
      </c>
      <c r="U33" s="76">
        <f>IFERROR(SUM(J33:Q33)*(1+R33)*(1+S33),0)</f>
      </c>
      <c r="V33" s="76">
        <f>IFERROR(U33*(1+T33),0)</f>
      </c>
      <c r="W33" s="76">
        <f>IFERROR(V33*F33*I33,0)</f>
      </c>
      <c r="X33" s="74"/>
      <c r="Y33" s="76">
        <f>IFERROR(X33*F33*I33,0)</f>
      </c>
      <c r="Z33" s="76">
        <f>IFERROR(X33-V33,"")</f>
      </c>
      <c r="AA33" s="70" t="str">
        <f>IFERROR(X33/V33-1,"")</f>
      </c>
      <c r="AB33" s="88">
        <f>MAX(0,Y33-W33)</f>
      </c>
      <c r="AC33" s="102">
        <f>IF(AB33&gt;='Настройки'!$B$21,"高",IF(AB33&gt;='Настройки'!$B$22,"中","低"))</f>
      </c>
      <c r="AD33" s="82" t="s">
        <v>0</v>
      </c>
      <c r="AE33" s="82"/>
      <c r="AF33" s="60"/>
      <c r="AG33" s="60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82" t="s">
        <v>0</v>
      </c>
      <c r="B34" s="60"/>
      <c r="C34" s="82"/>
      <c r="D34" s="82"/>
      <c r="E34" s="82"/>
      <c r="F34" s="80"/>
      <c r="G34" s="60"/>
      <c r="H34" s="82" t="s">
        <v>0</v>
      </c>
      <c r="I34" s="84">
        <f>IFERROR(VLOOKUP(H34,'Настройки'!$F$18:$G$24,2,FALSE),1)</f>
      </c>
      <c r="J34" s="74"/>
      <c r="K34" s="74"/>
      <c r="L34" s="74"/>
      <c r="M34" s="74"/>
      <c r="N34" s="74"/>
      <c r="O34" s="74"/>
      <c r="P34" s="74"/>
      <c r="Q34" s="74"/>
      <c r="R34" s="62">
        <f>'Настройки'!$B$10</f>
      </c>
      <c r="S34" s="62">
        <f>'Настройки'!$B$11</f>
      </c>
      <c r="T34" s="62">
        <f>'Настройки'!$B$9</f>
      </c>
      <c r="U34" s="76">
        <f>IFERROR(SUM(J34:Q34)*(1+R34)*(1+S34),0)</f>
      </c>
      <c r="V34" s="76">
        <f>IFERROR(U34*(1+T34),0)</f>
      </c>
      <c r="W34" s="76">
        <f>IFERROR(V34*F34*I34,0)</f>
      </c>
      <c r="X34" s="74"/>
      <c r="Y34" s="76">
        <f>IFERROR(X34*F34*I34,0)</f>
      </c>
      <c r="Z34" s="76">
        <f>IFERROR(X34-V34,"")</f>
      </c>
      <c r="AA34" s="70" t="str">
        <f>IFERROR(X34/V34-1,"")</f>
      </c>
      <c r="AB34" s="88">
        <f>MAX(0,Y34-W34)</f>
      </c>
      <c r="AC34" s="102">
        <f>IF(AB34&gt;='Настройки'!$B$21,"高",IF(AB34&gt;='Настройки'!$B$22,"中","低"))</f>
      </c>
      <c r="AD34" s="82" t="s">
        <v>0</v>
      </c>
      <c r="AE34" s="82"/>
      <c r="AF34" s="60"/>
      <c r="AG34" s="60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82" t="s">
        <v>0</v>
      </c>
      <c r="B35" s="60"/>
      <c r="C35" s="82"/>
      <c r="D35" s="82"/>
      <c r="E35" s="82"/>
      <c r="F35" s="80"/>
      <c r="G35" s="60"/>
      <c r="H35" s="82" t="s">
        <v>0</v>
      </c>
      <c r="I35" s="84">
        <f>IFERROR(VLOOKUP(H35,'Настройки'!$F$18:$G$24,2,FALSE),1)</f>
      </c>
      <c r="J35" s="74"/>
      <c r="K35" s="74"/>
      <c r="L35" s="74"/>
      <c r="M35" s="74"/>
      <c r="N35" s="74"/>
      <c r="O35" s="74"/>
      <c r="P35" s="74"/>
      <c r="Q35" s="74"/>
      <c r="R35" s="62">
        <f>'Настройки'!$B$10</f>
      </c>
      <c r="S35" s="62">
        <f>'Настройки'!$B$11</f>
      </c>
      <c r="T35" s="62">
        <f>'Настройки'!$B$9</f>
      </c>
      <c r="U35" s="76">
        <f>IFERROR(SUM(J35:Q35)*(1+R35)*(1+S35),0)</f>
      </c>
      <c r="V35" s="76">
        <f>IFERROR(U35*(1+T35),0)</f>
      </c>
      <c r="W35" s="76">
        <f>IFERROR(V35*F35*I35,0)</f>
      </c>
      <c r="X35" s="74"/>
      <c r="Y35" s="76">
        <f>IFERROR(X35*F35*I35,0)</f>
      </c>
      <c r="Z35" s="76">
        <f>IFERROR(X35-V35,"")</f>
      </c>
      <c r="AA35" s="70" t="str">
        <f>IFERROR(X35/V35-1,"")</f>
      </c>
      <c r="AB35" s="88">
        <f>MAX(0,Y35-W35)</f>
      </c>
      <c r="AC35" s="102">
        <f>IF(AB35&gt;='Настройки'!$B$21,"高",IF(AB35&gt;='Настройки'!$B$22,"中","低"))</f>
      </c>
      <c r="AD35" s="82" t="s">
        <v>0</v>
      </c>
      <c r="AE35" s="82"/>
      <c r="AF35" s="60"/>
      <c r="AG35" s="60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82" t="s">
        <v>0</v>
      </c>
      <c r="B36" s="60"/>
      <c r="C36" s="82"/>
      <c r="D36" s="82"/>
      <c r="E36" s="82"/>
      <c r="F36" s="80"/>
      <c r="G36" s="60"/>
      <c r="H36" s="82" t="s">
        <v>0</v>
      </c>
      <c r="I36" s="84">
        <f>IFERROR(VLOOKUP(H36,'Настройки'!$F$18:$G$24,2,FALSE),1)</f>
      </c>
      <c r="J36" s="74"/>
      <c r="K36" s="74"/>
      <c r="L36" s="74"/>
      <c r="M36" s="74"/>
      <c r="N36" s="74"/>
      <c r="O36" s="74"/>
      <c r="P36" s="74"/>
      <c r="Q36" s="74"/>
      <c r="R36" s="62">
        <f>'Настройки'!$B$10</f>
      </c>
      <c r="S36" s="62">
        <f>'Настройки'!$B$11</f>
      </c>
      <c r="T36" s="62">
        <f>'Настройки'!$B$9</f>
      </c>
      <c r="U36" s="76">
        <f>IFERROR(SUM(J36:Q36)*(1+R36)*(1+S36),0)</f>
      </c>
      <c r="V36" s="76">
        <f>IFERROR(U36*(1+T36),0)</f>
      </c>
      <c r="W36" s="76">
        <f>IFERROR(V36*F36*I36,0)</f>
      </c>
      <c r="X36" s="74"/>
      <c r="Y36" s="76">
        <f>IFERROR(X36*F36*I36,0)</f>
      </c>
      <c r="Z36" s="76">
        <f>IFERROR(X36-V36,"")</f>
      </c>
      <c r="AA36" s="70" t="str">
        <f>IFERROR(X36/V36-1,"")</f>
      </c>
      <c r="AB36" s="88">
        <f>MAX(0,Y36-W36)</f>
      </c>
      <c r="AC36" s="102">
        <f>IF(AB36&gt;='Настройки'!$B$21,"高",IF(AB36&gt;='Настройки'!$B$22,"中","低"))</f>
      </c>
      <c r="AD36" s="82" t="s">
        <v>0</v>
      </c>
      <c r="AE36" s="82"/>
      <c r="AF36" s="60"/>
      <c r="AG36" s="60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82" t="s">
        <v>0</v>
      </c>
      <c r="B37" s="60"/>
      <c r="C37" s="82"/>
      <c r="D37" s="82"/>
      <c r="E37" s="82"/>
      <c r="F37" s="80"/>
      <c r="G37" s="60"/>
      <c r="H37" s="82" t="s">
        <v>0</v>
      </c>
      <c r="I37" s="84">
        <f>IFERROR(VLOOKUP(H37,'Настройки'!$F$18:$G$24,2,FALSE),1)</f>
      </c>
      <c r="J37" s="74"/>
      <c r="K37" s="74"/>
      <c r="L37" s="74"/>
      <c r="M37" s="74"/>
      <c r="N37" s="74"/>
      <c r="O37" s="74"/>
      <c r="P37" s="74"/>
      <c r="Q37" s="74"/>
      <c r="R37" s="62">
        <f>'Настройки'!$B$10</f>
      </c>
      <c r="S37" s="62">
        <f>'Настройки'!$B$11</f>
      </c>
      <c r="T37" s="62">
        <f>'Настройки'!$B$9</f>
      </c>
      <c r="U37" s="76">
        <f>IFERROR(SUM(J37:Q37)*(1+R37)*(1+S37),0)</f>
      </c>
      <c r="V37" s="76">
        <f>IFERROR(U37*(1+T37),0)</f>
      </c>
      <c r="W37" s="76">
        <f>IFERROR(V37*F37*I37,0)</f>
      </c>
      <c r="X37" s="74"/>
      <c r="Y37" s="76">
        <f>IFERROR(X37*F37*I37,0)</f>
      </c>
      <c r="Z37" s="76">
        <f>IFERROR(X37-V37,"")</f>
      </c>
      <c r="AA37" s="70" t="str">
        <f>IFERROR(X37/V37-1,"")</f>
      </c>
      <c r="AB37" s="88">
        <f>MAX(0,Y37-W37)</f>
      </c>
      <c r="AC37" s="102">
        <f>IF(AB37&gt;='Настройки'!$B$21,"高",IF(AB37&gt;='Настройки'!$B$22,"中","低"))</f>
      </c>
      <c r="AD37" s="82" t="s">
        <v>0</v>
      </c>
      <c r="AE37" s="82"/>
      <c r="AF37" s="60"/>
      <c r="AG37" s="60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82" t="s">
        <v>0</v>
      </c>
      <c r="B38" s="60"/>
      <c r="C38" s="82"/>
      <c r="D38" s="82"/>
      <c r="E38" s="82"/>
      <c r="F38" s="80"/>
      <c r="G38" s="60"/>
      <c r="H38" s="82" t="s">
        <v>0</v>
      </c>
      <c r="I38" s="84">
        <f>IFERROR(VLOOKUP(H38,'Настройки'!$F$18:$G$24,2,FALSE),1)</f>
      </c>
      <c r="J38" s="74"/>
      <c r="K38" s="74"/>
      <c r="L38" s="74"/>
      <c r="M38" s="74"/>
      <c r="N38" s="74"/>
      <c r="O38" s="74"/>
      <c r="P38" s="74"/>
      <c r="Q38" s="74"/>
      <c r="R38" s="62">
        <f>'Настройки'!$B$10</f>
      </c>
      <c r="S38" s="62">
        <f>'Настройки'!$B$11</f>
      </c>
      <c r="T38" s="62">
        <f>'Настройки'!$B$9</f>
      </c>
      <c r="U38" s="76">
        <f>IFERROR(SUM(J38:Q38)*(1+R38)*(1+S38),0)</f>
      </c>
      <c r="V38" s="76">
        <f>IFERROR(U38*(1+T38),0)</f>
      </c>
      <c r="W38" s="76">
        <f>IFERROR(V38*F38*I38,0)</f>
      </c>
      <c r="X38" s="74"/>
      <c r="Y38" s="76">
        <f>IFERROR(X38*F38*I38,0)</f>
      </c>
      <c r="Z38" s="76">
        <f>IFERROR(X38-V38,"")</f>
      </c>
      <c r="AA38" s="70" t="str">
        <f>IFERROR(X38/V38-1,"")</f>
      </c>
      <c r="AB38" s="88">
        <f>MAX(0,Y38-W38)</f>
      </c>
      <c r="AC38" s="102">
        <f>IF(AB38&gt;='Настройки'!$B$21,"高",IF(AB38&gt;='Настройки'!$B$22,"中","低"))</f>
      </c>
      <c r="AD38" s="82" t="s">
        <v>0</v>
      </c>
      <c r="AE38" s="82"/>
      <c r="AF38" s="60"/>
      <c r="AG38" s="60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82" t="s">
        <v>0</v>
      </c>
      <c r="B39" s="60"/>
      <c r="C39" s="82"/>
      <c r="D39" s="82"/>
      <c r="E39" s="82"/>
      <c r="F39" s="80"/>
      <c r="G39" s="60"/>
      <c r="H39" s="82" t="s">
        <v>0</v>
      </c>
      <c r="I39" s="84">
        <f>IFERROR(VLOOKUP(H39,'Настройки'!$F$18:$G$24,2,FALSE),1)</f>
      </c>
      <c r="J39" s="74"/>
      <c r="K39" s="74"/>
      <c r="L39" s="74"/>
      <c r="M39" s="74"/>
      <c r="N39" s="74"/>
      <c r="O39" s="74"/>
      <c r="P39" s="74"/>
      <c r="Q39" s="74"/>
      <c r="R39" s="62">
        <f>'Настройки'!$B$10</f>
      </c>
      <c r="S39" s="62">
        <f>'Настройки'!$B$11</f>
      </c>
      <c r="T39" s="62">
        <f>'Настройки'!$B$9</f>
      </c>
      <c r="U39" s="76">
        <f>IFERROR(SUM(J39:Q39)*(1+R39)*(1+S39),0)</f>
      </c>
      <c r="V39" s="76">
        <f>IFERROR(U39*(1+T39),0)</f>
      </c>
      <c r="W39" s="76">
        <f>IFERROR(V39*F39*I39,0)</f>
      </c>
      <c r="X39" s="74"/>
      <c r="Y39" s="76">
        <f>IFERROR(X39*F39*I39,0)</f>
      </c>
      <c r="Z39" s="76">
        <f>IFERROR(X39-V39,"")</f>
      </c>
      <c r="AA39" s="70" t="str">
        <f>IFERROR(X39/V39-1,"")</f>
      </c>
      <c r="AB39" s="88">
        <f>MAX(0,Y39-W39)</f>
      </c>
      <c r="AC39" s="102">
        <f>IF(AB39&gt;='Настройки'!$B$21,"高",IF(AB39&gt;='Настройки'!$B$22,"中","低"))</f>
      </c>
      <c r="AD39" s="82" t="s">
        <v>0</v>
      </c>
      <c r="AE39" s="82"/>
      <c r="AF39" s="60"/>
      <c r="AG39" s="60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82" t="s">
        <v>0</v>
      </c>
      <c r="B40" s="60"/>
      <c r="C40" s="82"/>
      <c r="D40" s="82"/>
      <c r="E40" s="82"/>
      <c r="F40" s="80"/>
      <c r="G40" s="60"/>
      <c r="H40" s="82" t="s">
        <v>0</v>
      </c>
      <c r="I40" s="84">
        <f>IFERROR(VLOOKUP(H40,'Настройки'!$F$18:$G$24,2,FALSE),1)</f>
      </c>
      <c r="J40" s="74"/>
      <c r="K40" s="74"/>
      <c r="L40" s="74"/>
      <c r="M40" s="74"/>
      <c r="N40" s="74"/>
      <c r="O40" s="74"/>
      <c r="P40" s="74"/>
      <c r="Q40" s="74"/>
      <c r="R40" s="62">
        <f>'Настройки'!$B$10</f>
      </c>
      <c r="S40" s="62">
        <f>'Настройки'!$B$11</f>
      </c>
      <c r="T40" s="62">
        <f>'Настройки'!$B$9</f>
      </c>
      <c r="U40" s="76">
        <f>IFERROR(SUM(J40:Q40)*(1+R40)*(1+S40),0)</f>
      </c>
      <c r="V40" s="76">
        <f>IFERROR(U40*(1+T40),0)</f>
      </c>
      <c r="W40" s="76">
        <f>IFERROR(V40*F40*I40,0)</f>
      </c>
      <c r="X40" s="74"/>
      <c r="Y40" s="76">
        <f>IFERROR(X40*F40*I40,0)</f>
      </c>
      <c r="Z40" s="76">
        <f>IFERROR(X40-V40,"")</f>
      </c>
      <c r="AA40" s="70" t="str">
        <f>IFERROR(X40/V40-1,"")</f>
      </c>
      <c r="AB40" s="88">
        <f>MAX(0,Y40-W40)</f>
      </c>
      <c r="AC40" s="102">
        <f>IF(AB40&gt;='Настройки'!$B$21,"高",IF(AB40&gt;='Настройки'!$B$22,"中","低"))</f>
      </c>
      <c r="AD40" s="82" t="s">
        <v>0</v>
      </c>
      <c r="AE40" s="82"/>
      <c r="AF40" s="60"/>
      <c r="AG40" s="60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>
      <c r="A41" s="82" t="s">
        <v>0</v>
      </c>
      <c r="B41" s="60"/>
      <c r="C41" s="82"/>
      <c r="D41" s="82"/>
      <c r="E41" s="82"/>
      <c r="F41" s="80"/>
      <c r="G41" s="60"/>
      <c r="H41" s="82" t="s">
        <v>0</v>
      </c>
      <c r="I41" s="84">
        <f>IFERROR(VLOOKUP(H41,'Настройки'!$F$18:$G$24,2,FALSE),1)</f>
      </c>
      <c r="J41" s="74"/>
      <c r="K41" s="74"/>
      <c r="L41" s="74"/>
      <c r="M41" s="74"/>
      <c r="N41" s="74"/>
      <c r="O41" s="74"/>
      <c r="P41" s="74"/>
      <c r="Q41" s="74"/>
      <c r="R41" s="62">
        <f>'Настройки'!$B$10</f>
      </c>
      <c r="S41" s="62">
        <f>'Настройки'!$B$11</f>
      </c>
      <c r="T41" s="62">
        <f>'Настройки'!$B$9</f>
      </c>
      <c r="U41" s="76">
        <f>IFERROR(SUM(J41:Q41)*(1+R41)*(1+S41),0)</f>
      </c>
      <c r="V41" s="76">
        <f>IFERROR(U41*(1+T41),0)</f>
      </c>
      <c r="W41" s="76">
        <f>IFERROR(V41*F41*I41,0)</f>
      </c>
      <c r="X41" s="74"/>
      <c r="Y41" s="76">
        <f>IFERROR(X41*F41*I41,0)</f>
      </c>
      <c r="Z41" s="76">
        <f>IFERROR(X41-V41,"")</f>
      </c>
      <c r="AA41" s="70" t="str">
        <f>IFERROR(X41/V41-1,"")</f>
      </c>
      <c r="AB41" s="88">
        <f>MAX(0,Y41-W41)</f>
      </c>
      <c r="AC41" s="102">
        <f>IF(AB41&gt;='Настройки'!$B$21,"高",IF(AB41&gt;='Настройки'!$B$22,"中","低"))</f>
      </c>
      <c r="AD41" s="82" t="s">
        <v>0</v>
      </c>
      <c r="AE41" s="82"/>
      <c r="AF41" s="60"/>
      <c r="AG41" s="60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</row>
    <row r="42" ht="22" customHeight="true">
      <c r="A42" s="82" t="s">
        <v>0</v>
      </c>
      <c r="B42" s="60"/>
      <c r="C42" s="82"/>
      <c r="D42" s="82"/>
      <c r="E42" s="82"/>
      <c r="F42" s="80"/>
      <c r="G42" s="60"/>
      <c r="H42" s="82" t="s">
        <v>0</v>
      </c>
      <c r="I42" s="84">
        <f>IFERROR(VLOOKUP(H42,'Настройки'!$F$18:$G$24,2,FALSE),1)</f>
      </c>
      <c r="J42" s="74"/>
      <c r="K42" s="74"/>
      <c r="L42" s="74"/>
      <c r="M42" s="74"/>
      <c r="N42" s="74"/>
      <c r="O42" s="74"/>
      <c r="P42" s="74"/>
      <c r="Q42" s="74"/>
      <c r="R42" s="62">
        <f>'Настройки'!$B$10</f>
      </c>
      <c r="S42" s="62">
        <f>'Настройки'!$B$11</f>
      </c>
      <c r="T42" s="62">
        <f>'Настройки'!$B$9</f>
      </c>
      <c r="U42" s="76">
        <f>IFERROR(SUM(J42:Q42)*(1+R42)*(1+S42),0)</f>
      </c>
      <c r="V42" s="76">
        <f>IFERROR(U42*(1+T42),0)</f>
      </c>
      <c r="W42" s="76">
        <f>IFERROR(V42*F42*I42,0)</f>
      </c>
      <c r="X42" s="74"/>
      <c r="Y42" s="76">
        <f>IFERROR(X42*F42*I42,0)</f>
      </c>
      <c r="Z42" s="76">
        <f>IFERROR(X42-V42,"")</f>
      </c>
      <c r="AA42" s="70" t="str">
        <f>IFERROR(X42/V42-1,"")</f>
      </c>
      <c r="AB42" s="88">
        <f>MAX(0,Y42-W42)</f>
      </c>
      <c r="AC42" s="102">
        <f>IF(AB42&gt;='Настройки'!$B$21,"高",IF(AB42&gt;='Настройки'!$B$22,"中","低"))</f>
      </c>
      <c r="AD42" s="82" t="s">
        <v>0</v>
      </c>
      <c r="AE42" s="82"/>
      <c r="AF42" s="60"/>
      <c r="AG42" s="60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</row>
    <row r="43" ht="22" customHeight="true">
      <c r="A43" s="82" t="s">
        <v>0</v>
      </c>
      <c r="B43" s="60"/>
      <c r="C43" s="82"/>
      <c r="D43" s="82"/>
      <c r="E43" s="82"/>
      <c r="F43" s="80"/>
      <c r="G43" s="60"/>
      <c r="H43" s="82" t="s">
        <v>0</v>
      </c>
      <c r="I43" s="84">
        <f>IFERROR(VLOOKUP(H43,'Настройки'!$F$18:$G$24,2,FALSE),1)</f>
      </c>
      <c r="J43" s="74"/>
      <c r="K43" s="74"/>
      <c r="L43" s="74"/>
      <c r="M43" s="74"/>
      <c r="N43" s="74"/>
      <c r="O43" s="74"/>
      <c r="P43" s="74"/>
      <c r="Q43" s="74"/>
      <c r="R43" s="62">
        <f>'Настройки'!$B$10</f>
      </c>
      <c r="S43" s="62">
        <f>'Настройки'!$B$11</f>
      </c>
      <c r="T43" s="62">
        <f>'Настройки'!$B$9</f>
      </c>
      <c r="U43" s="76">
        <f>IFERROR(SUM(J43:Q43)*(1+R43)*(1+S43),0)</f>
      </c>
      <c r="V43" s="76">
        <f>IFERROR(U43*(1+T43),0)</f>
      </c>
      <c r="W43" s="76">
        <f>IFERROR(V43*F43*I43,0)</f>
      </c>
      <c r="X43" s="74"/>
      <c r="Y43" s="76">
        <f>IFERROR(X43*F43*I43,0)</f>
      </c>
      <c r="Z43" s="76">
        <f>IFERROR(X43-V43,"")</f>
      </c>
      <c r="AA43" s="70" t="str">
        <f>IFERROR(X43/V43-1,"")</f>
      </c>
      <c r="AB43" s="88">
        <f>MAX(0,Y43-W43)</f>
      </c>
      <c r="AC43" s="102">
        <f>IF(AB43&gt;='Настройки'!$B$21,"高",IF(AB43&gt;='Настройки'!$B$22,"中","低"))</f>
      </c>
      <c r="AD43" s="82" t="s">
        <v>0</v>
      </c>
      <c r="AE43" s="82"/>
      <c r="AF43" s="60"/>
      <c r="AG43" s="60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</row>
    <row r="44" ht="22" customHeight="true">
      <c r="A44" s="82" t="s">
        <v>0</v>
      </c>
      <c r="B44" s="60"/>
      <c r="C44" s="82"/>
      <c r="D44" s="82"/>
      <c r="E44" s="82"/>
      <c r="F44" s="80"/>
      <c r="G44" s="60"/>
      <c r="H44" s="82" t="s">
        <v>0</v>
      </c>
      <c r="I44" s="84">
        <f>IFERROR(VLOOKUP(H44,'Настройки'!$F$18:$G$24,2,FALSE),1)</f>
      </c>
      <c r="J44" s="74"/>
      <c r="K44" s="74"/>
      <c r="L44" s="74"/>
      <c r="M44" s="74"/>
      <c r="N44" s="74"/>
      <c r="O44" s="74"/>
      <c r="P44" s="74"/>
      <c r="Q44" s="74"/>
      <c r="R44" s="62">
        <f>'Настройки'!$B$10</f>
      </c>
      <c r="S44" s="62">
        <f>'Настройки'!$B$11</f>
      </c>
      <c r="T44" s="62">
        <f>'Настройки'!$B$9</f>
      </c>
      <c r="U44" s="76">
        <f>IFERROR(SUM(J44:Q44)*(1+R44)*(1+S44),0)</f>
      </c>
      <c r="V44" s="76">
        <f>IFERROR(U44*(1+T44),0)</f>
      </c>
      <c r="W44" s="76">
        <f>IFERROR(V44*F44*I44,0)</f>
      </c>
      <c r="X44" s="74"/>
      <c r="Y44" s="76">
        <f>IFERROR(X44*F44*I44,0)</f>
      </c>
      <c r="Z44" s="76">
        <f>IFERROR(X44-V44,"")</f>
      </c>
      <c r="AA44" s="70" t="str">
        <f>IFERROR(X44/V44-1,"")</f>
      </c>
      <c r="AB44" s="88">
        <f>MAX(0,Y44-W44)</f>
      </c>
      <c r="AC44" s="102">
        <f>IF(AB44&gt;='Настройки'!$B$21,"高",IF(AB44&gt;='Настройки'!$B$22,"中","低"))</f>
      </c>
      <c r="AD44" s="82" t="s">
        <v>0</v>
      </c>
      <c r="AE44" s="82"/>
      <c r="AF44" s="60"/>
      <c r="AG44" s="60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</row>
    <row r="45" ht="22" customHeight="true">
      <c r="A45" s="82" t="s">
        <v>0</v>
      </c>
      <c r="B45" s="60"/>
      <c r="C45" s="82"/>
      <c r="D45" s="82"/>
      <c r="E45" s="82"/>
      <c r="F45" s="80"/>
      <c r="G45" s="60"/>
      <c r="H45" s="82" t="s">
        <v>0</v>
      </c>
      <c r="I45" s="84">
        <f>IFERROR(VLOOKUP(H45,'Настройки'!$F$18:$G$24,2,FALSE),1)</f>
      </c>
      <c r="J45" s="74"/>
      <c r="K45" s="74"/>
      <c r="L45" s="74"/>
      <c r="M45" s="74"/>
      <c r="N45" s="74"/>
      <c r="O45" s="74"/>
      <c r="P45" s="74"/>
      <c r="Q45" s="74"/>
      <c r="R45" s="62">
        <f>'Настройки'!$B$10</f>
      </c>
      <c r="S45" s="62">
        <f>'Настройки'!$B$11</f>
      </c>
      <c r="T45" s="62">
        <f>'Настройки'!$B$9</f>
      </c>
      <c r="U45" s="76">
        <f>IFERROR(SUM(J45:Q45)*(1+R45)*(1+S45),0)</f>
      </c>
      <c r="V45" s="76">
        <f>IFERROR(U45*(1+T45),0)</f>
      </c>
      <c r="W45" s="76">
        <f>IFERROR(V45*F45*I45,0)</f>
      </c>
      <c r="X45" s="74"/>
      <c r="Y45" s="76">
        <f>IFERROR(X45*F45*I45,0)</f>
      </c>
      <c r="Z45" s="76">
        <f>IFERROR(X45-V45,"")</f>
      </c>
      <c r="AA45" s="70" t="str">
        <f>IFERROR(X45/V45-1,"")</f>
      </c>
      <c r="AB45" s="88">
        <f>MAX(0,Y45-W45)</f>
      </c>
      <c r="AC45" s="102">
        <f>IF(AB45&gt;='Настройки'!$B$21,"高",IF(AB45&gt;='Настройки'!$B$22,"中","低"))</f>
      </c>
      <c r="AD45" s="82" t="s">
        <v>0</v>
      </c>
      <c r="AE45" s="82"/>
      <c r="AF45" s="60"/>
      <c r="AG45" s="60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</row>
    <row r="46" ht="22" customHeight="true">
      <c r="A46" s="82" t="s">
        <v>0</v>
      </c>
      <c r="B46" s="60"/>
      <c r="C46" s="82"/>
      <c r="D46" s="82"/>
      <c r="E46" s="82"/>
      <c r="F46" s="80"/>
      <c r="G46" s="60"/>
      <c r="H46" s="82" t="s">
        <v>0</v>
      </c>
      <c r="I46" s="84">
        <f>IFERROR(VLOOKUP(H46,'Настройки'!$F$18:$G$24,2,FALSE),1)</f>
      </c>
      <c r="J46" s="74"/>
      <c r="K46" s="74"/>
      <c r="L46" s="74"/>
      <c r="M46" s="74"/>
      <c r="N46" s="74"/>
      <c r="O46" s="74"/>
      <c r="P46" s="74"/>
      <c r="Q46" s="74"/>
      <c r="R46" s="62">
        <f>'Настройки'!$B$10</f>
      </c>
      <c r="S46" s="62">
        <f>'Настройки'!$B$11</f>
      </c>
      <c r="T46" s="62">
        <f>'Настройки'!$B$9</f>
      </c>
      <c r="U46" s="76">
        <f>IFERROR(SUM(J46:Q46)*(1+R46)*(1+S46),0)</f>
      </c>
      <c r="V46" s="76">
        <f>IFERROR(U46*(1+T46),0)</f>
      </c>
      <c r="W46" s="76">
        <f>IFERROR(V46*F46*I46,0)</f>
      </c>
      <c r="X46" s="74"/>
      <c r="Y46" s="76">
        <f>IFERROR(X46*F46*I46,0)</f>
      </c>
      <c r="Z46" s="76">
        <f>IFERROR(X46-V46,"")</f>
      </c>
      <c r="AA46" s="70" t="str">
        <f>IFERROR(X46/V46-1,"")</f>
      </c>
      <c r="AB46" s="88">
        <f>MAX(0,Y46-W46)</f>
      </c>
      <c r="AC46" s="102">
        <f>IF(AB46&gt;='Настройки'!$B$21,"高",IF(AB46&gt;='Настройки'!$B$22,"中","低"))</f>
      </c>
      <c r="AD46" s="82" t="s">
        <v>0</v>
      </c>
      <c r="AE46" s="82"/>
      <c r="AF46" s="60"/>
      <c r="AG46" s="60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</row>
    <row r="47" ht="22" customHeight="true">
      <c r="A47" s="82" t="s">
        <v>0</v>
      </c>
      <c r="B47" s="60"/>
      <c r="C47" s="82"/>
      <c r="D47" s="82"/>
      <c r="E47" s="82"/>
      <c r="F47" s="80"/>
      <c r="G47" s="60"/>
      <c r="H47" s="82" t="s">
        <v>0</v>
      </c>
      <c r="I47" s="84">
        <f>IFERROR(VLOOKUP(H47,'Настройки'!$F$18:$G$24,2,FALSE),1)</f>
      </c>
      <c r="J47" s="74"/>
      <c r="K47" s="74"/>
      <c r="L47" s="74"/>
      <c r="M47" s="74"/>
      <c r="N47" s="74"/>
      <c r="O47" s="74"/>
      <c r="P47" s="74"/>
      <c r="Q47" s="74"/>
      <c r="R47" s="62">
        <f>'Настройки'!$B$10</f>
      </c>
      <c r="S47" s="62">
        <f>'Настройки'!$B$11</f>
      </c>
      <c r="T47" s="62">
        <f>'Настройки'!$B$9</f>
      </c>
      <c r="U47" s="76">
        <f>IFERROR(SUM(J47:Q47)*(1+R47)*(1+S47),0)</f>
      </c>
      <c r="V47" s="76">
        <f>IFERROR(U47*(1+T47),0)</f>
      </c>
      <c r="W47" s="76">
        <f>IFERROR(V47*F47*I47,0)</f>
      </c>
      <c r="X47" s="74"/>
      <c r="Y47" s="76">
        <f>IFERROR(X47*F47*I47,0)</f>
      </c>
      <c r="Z47" s="76">
        <f>IFERROR(X47-V47,"")</f>
      </c>
      <c r="AA47" s="70" t="str">
        <f>IFERROR(X47/V47-1,"")</f>
      </c>
      <c r="AB47" s="88">
        <f>MAX(0,Y47-W47)</f>
      </c>
      <c r="AC47" s="102">
        <f>IF(AB47&gt;='Настройки'!$B$21,"高",IF(AB47&gt;='Настройки'!$B$22,"中","低"))</f>
      </c>
      <c r="AD47" s="82" t="s">
        <v>0</v>
      </c>
      <c r="AE47" s="82"/>
      <c r="AF47" s="60"/>
      <c r="AG47" s="60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</row>
    <row r="48" ht="22" customHeight="true">
      <c r="A48" s="82" t="s">
        <v>0</v>
      </c>
      <c r="B48" s="60"/>
      <c r="C48" s="82"/>
      <c r="D48" s="82"/>
      <c r="E48" s="82"/>
      <c r="F48" s="80"/>
      <c r="G48" s="60"/>
      <c r="H48" s="82" t="s">
        <v>0</v>
      </c>
      <c r="I48" s="84">
        <f>IFERROR(VLOOKUP(H48,'Настройки'!$F$18:$G$24,2,FALSE),1)</f>
      </c>
      <c r="J48" s="74"/>
      <c r="K48" s="74"/>
      <c r="L48" s="74"/>
      <c r="M48" s="74"/>
      <c r="N48" s="74"/>
      <c r="O48" s="74"/>
      <c r="P48" s="74"/>
      <c r="Q48" s="74"/>
      <c r="R48" s="62">
        <f>'Настройки'!$B$10</f>
      </c>
      <c r="S48" s="62">
        <f>'Настройки'!$B$11</f>
      </c>
      <c r="T48" s="62">
        <f>'Настройки'!$B$9</f>
      </c>
      <c r="U48" s="76">
        <f>IFERROR(SUM(J48:Q48)*(1+R48)*(1+S48),0)</f>
      </c>
      <c r="V48" s="76">
        <f>IFERROR(U48*(1+T48),0)</f>
      </c>
      <c r="W48" s="76">
        <f>IFERROR(V48*F48*I48,0)</f>
      </c>
      <c r="X48" s="74"/>
      <c r="Y48" s="76">
        <f>IFERROR(X48*F48*I48,0)</f>
      </c>
      <c r="Z48" s="76">
        <f>IFERROR(X48-V48,"")</f>
      </c>
      <c r="AA48" s="70" t="str">
        <f>IFERROR(X48/V48-1,"")</f>
      </c>
      <c r="AB48" s="88">
        <f>MAX(0,Y48-W48)</f>
      </c>
      <c r="AC48" s="102">
        <f>IF(AB48&gt;='Настройки'!$B$21,"高",IF(AB48&gt;='Настройки'!$B$22,"中","低"))</f>
      </c>
      <c r="AD48" s="82" t="s">
        <v>0</v>
      </c>
      <c r="AE48" s="82"/>
      <c r="AF48" s="60"/>
      <c r="AG48" s="60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</row>
    <row r="49" ht="22" customHeight="true">
      <c r="A49" s="82" t="s">
        <v>0</v>
      </c>
      <c r="B49" s="60"/>
      <c r="C49" s="82"/>
      <c r="D49" s="82"/>
      <c r="E49" s="82"/>
      <c r="F49" s="80"/>
      <c r="G49" s="60"/>
      <c r="H49" s="82" t="s">
        <v>0</v>
      </c>
      <c r="I49" s="84">
        <f>IFERROR(VLOOKUP(H49,'Настройки'!$F$18:$G$24,2,FALSE),1)</f>
      </c>
      <c r="J49" s="74"/>
      <c r="K49" s="74"/>
      <c r="L49" s="74"/>
      <c r="M49" s="74"/>
      <c r="N49" s="74"/>
      <c r="O49" s="74"/>
      <c r="P49" s="74"/>
      <c r="Q49" s="74"/>
      <c r="R49" s="62">
        <f>'Настройки'!$B$10</f>
      </c>
      <c r="S49" s="62">
        <f>'Настройки'!$B$11</f>
      </c>
      <c r="T49" s="62">
        <f>'Настройки'!$B$9</f>
      </c>
      <c r="U49" s="76">
        <f>IFERROR(SUM(J49:Q49)*(1+R49)*(1+S49),0)</f>
      </c>
      <c r="V49" s="76">
        <f>IFERROR(U49*(1+T49),0)</f>
      </c>
      <c r="W49" s="76">
        <f>IFERROR(V49*F49*I49,0)</f>
      </c>
      <c r="X49" s="74"/>
      <c r="Y49" s="76">
        <f>IFERROR(X49*F49*I49,0)</f>
      </c>
      <c r="Z49" s="76">
        <f>IFERROR(X49-V49,"")</f>
      </c>
      <c r="AA49" s="70" t="str">
        <f>IFERROR(X49/V49-1,"")</f>
      </c>
      <c r="AB49" s="88">
        <f>MAX(0,Y49-W49)</f>
      </c>
      <c r="AC49" s="102">
        <f>IF(AB49&gt;='Настройки'!$B$21,"高",IF(AB49&gt;='Настройки'!$B$22,"中","低"))</f>
      </c>
      <c r="AD49" s="82" t="s">
        <v>0</v>
      </c>
      <c r="AE49" s="82"/>
      <c r="AF49" s="60"/>
      <c r="AG49" s="60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</row>
    <row r="50" ht="22" customHeight="true">
      <c r="A50" s="82" t="s">
        <v>0</v>
      </c>
      <c r="B50" s="60"/>
      <c r="C50" s="82"/>
      <c r="D50" s="82"/>
      <c r="E50" s="82"/>
      <c r="F50" s="80"/>
      <c r="G50" s="60"/>
      <c r="H50" s="82" t="s">
        <v>0</v>
      </c>
      <c r="I50" s="84">
        <f>IFERROR(VLOOKUP(H50,'Настройки'!$F$18:$G$24,2,FALSE),1)</f>
      </c>
      <c r="J50" s="74"/>
      <c r="K50" s="74"/>
      <c r="L50" s="74"/>
      <c r="M50" s="74"/>
      <c r="N50" s="74"/>
      <c r="O50" s="74"/>
      <c r="P50" s="74"/>
      <c r="Q50" s="74"/>
      <c r="R50" s="62">
        <f>'Настройки'!$B$10</f>
      </c>
      <c r="S50" s="62">
        <f>'Настройки'!$B$11</f>
      </c>
      <c r="T50" s="62">
        <f>'Настройки'!$B$9</f>
      </c>
      <c r="U50" s="76">
        <f>IFERROR(SUM(J50:Q50)*(1+R50)*(1+S50),0)</f>
      </c>
      <c r="V50" s="76">
        <f>IFERROR(U50*(1+T50),0)</f>
      </c>
      <c r="W50" s="76">
        <f>IFERROR(V50*F50*I50,0)</f>
      </c>
      <c r="X50" s="74"/>
      <c r="Y50" s="76">
        <f>IFERROR(X50*F50*I50,0)</f>
      </c>
      <c r="Z50" s="76">
        <f>IFERROR(X50-V50,"")</f>
      </c>
      <c r="AA50" s="70" t="str">
        <f>IFERROR(X50/V50-1,"")</f>
      </c>
      <c r="AB50" s="88">
        <f>MAX(0,Y50-W50)</f>
      </c>
      <c r="AC50" s="102">
        <f>IF(AB50&gt;='Настройки'!$B$21,"高",IF(AB50&gt;='Настройки'!$B$22,"中","低"))</f>
      </c>
      <c r="AD50" s="82" t="s">
        <v>0</v>
      </c>
      <c r="AE50" s="82"/>
      <c r="AF50" s="60"/>
      <c r="AG50" s="60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</row>
    <row r="51" ht="22" customHeight="true">
      <c r="A51" s="82" t="s">
        <v>0</v>
      </c>
      <c r="B51" s="60"/>
      <c r="C51" s="82"/>
      <c r="D51" s="82"/>
      <c r="E51" s="82"/>
      <c r="F51" s="80"/>
      <c r="G51" s="60"/>
      <c r="H51" s="82" t="s">
        <v>0</v>
      </c>
      <c r="I51" s="84">
        <f>IFERROR(VLOOKUP(H51,'Настройки'!$F$18:$G$24,2,FALSE),1)</f>
      </c>
      <c r="J51" s="74"/>
      <c r="K51" s="74"/>
      <c r="L51" s="74"/>
      <c r="M51" s="74"/>
      <c r="N51" s="74"/>
      <c r="O51" s="74"/>
      <c r="P51" s="74"/>
      <c r="Q51" s="74"/>
      <c r="R51" s="62">
        <f>'Настройки'!$B$10</f>
      </c>
      <c r="S51" s="62">
        <f>'Настройки'!$B$11</f>
      </c>
      <c r="T51" s="62">
        <f>'Настройки'!$B$9</f>
      </c>
      <c r="U51" s="76">
        <f>IFERROR(SUM(J51:Q51)*(1+R51)*(1+S51),0)</f>
      </c>
      <c r="V51" s="76">
        <f>IFERROR(U51*(1+T51),0)</f>
      </c>
      <c r="W51" s="76">
        <f>IFERROR(V51*F51*I51,0)</f>
      </c>
      <c r="X51" s="74"/>
      <c r="Y51" s="76">
        <f>IFERROR(X51*F51*I51,0)</f>
      </c>
      <c r="Z51" s="76">
        <f>IFERROR(X51-V51,"")</f>
      </c>
      <c r="AA51" s="70" t="str">
        <f>IFERROR(X51/V51-1,"")</f>
      </c>
      <c r="AB51" s="88">
        <f>MAX(0,Y51-W51)</f>
      </c>
      <c r="AC51" s="102">
        <f>IF(AB51&gt;='Настройки'!$B$21,"高",IF(AB51&gt;='Настройки'!$B$22,"中","低"))</f>
      </c>
      <c r="AD51" s="82" t="s">
        <v>0</v>
      </c>
      <c r="AE51" s="82"/>
      <c r="AF51" s="60"/>
      <c r="AG51" s="60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</row>
    <row r="52" ht="22" customHeight="true">
      <c r="A52" s="82" t="s">
        <v>0</v>
      </c>
      <c r="B52" s="60"/>
      <c r="C52" s="82"/>
      <c r="D52" s="82"/>
      <c r="E52" s="82"/>
      <c r="F52" s="80"/>
      <c r="G52" s="60"/>
      <c r="H52" s="82" t="s">
        <v>0</v>
      </c>
      <c r="I52" s="84">
        <f>IFERROR(VLOOKUP(H52,'Настройки'!$F$18:$G$24,2,FALSE),1)</f>
      </c>
      <c r="J52" s="74"/>
      <c r="K52" s="74"/>
      <c r="L52" s="74"/>
      <c r="M52" s="74"/>
      <c r="N52" s="74"/>
      <c r="O52" s="74"/>
      <c r="P52" s="74"/>
      <c r="Q52" s="74"/>
      <c r="R52" s="62">
        <f>'Настройки'!$B$10</f>
      </c>
      <c r="S52" s="62">
        <f>'Настройки'!$B$11</f>
      </c>
      <c r="T52" s="62">
        <f>'Настройки'!$B$9</f>
      </c>
      <c r="U52" s="76">
        <f>IFERROR(SUM(J52:Q52)*(1+R52)*(1+S52),0)</f>
      </c>
      <c r="V52" s="76">
        <f>IFERROR(U52*(1+T52),0)</f>
      </c>
      <c r="W52" s="76">
        <f>IFERROR(V52*F52*I52,0)</f>
      </c>
      <c r="X52" s="74"/>
      <c r="Y52" s="76">
        <f>IFERROR(X52*F52*I52,0)</f>
      </c>
      <c r="Z52" s="76">
        <f>IFERROR(X52-V52,"")</f>
      </c>
      <c r="AA52" s="70" t="str">
        <f>IFERROR(X52/V52-1,"")</f>
      </c>
      <c r="AB52" s="88">
        <f>MAX(0,Y52-W52)</f>
      </c>
      <c r="AC52" s="102">
        <f>IF(AB52&gt;='Настройки'!$B$21,"高",IF(AB52&gt;='Настройки'!$B$22,"中","低"))</f>
      </c>
      <c r="AD52" s="82" t="s">
        <v>0</v>
      </c>
      <c r="AE52" s="82"/>
      <c r="AF52" s="60"/>
      <c r="AG52" s="60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</row>
    <row r="53" ht="22" customHeight="true">
      <c r="A53" s="82" t="s">
        <v>0</v>
      </c>
      <c r="B53" s="60"/>
      <c r="C53" s="82"/>
      <c r="D53" s="82"/>
      <c r="E53" s="82"/>
      <c r="F53" s="80"/>
      <c r="G53" s="60"/>
      <c r="H53" s="82" t="s">
        <v>0</v>
      </c>
      <c r="I53" s="84">
        <f>IFERROR(VLOOKUP(H53,'Настройки'!$F$18:$G$24,2,FALSE),1)</f>
      </c>
      <c r="J53" s="74"/>
      <c r="K53" s="74"/>
      <c r="L53" s="74"/>
      <c r="M53" s="74"/>
      <c r="N53" s="74"/>
      <c r="O53" s="74"/>
      <c r="P53" s="74"/>
      <c r="Q53" s="74"/>
      <c r="R53" s="62">
        <f>'Настройки'!$B$10</f>
      </c>
      <c r="S53" s="62">
        <f>'Настройки'!$B$11</f>
      </c>
      <c r="T53" s="62">
        <f>'Настройки'!$B$9</f>
      </c>
      <c r="U53" s="76">
        <f>IFERROR(SUM(J53:Q53)*(1+R53)*(1+S53),0)</f>
      </c>
      <c r="V53" s="76">
        <f>IFERROR(U53*(1+T53),0)</f>
      </c>
      <c r="W53" s="76">
        <f>IFERROR(V53*F53*I53,0)</f>
      </c>
      <c r="X53" s="74"/>
      <c r="Y53" s="76">
        <f>IFERROR(X53*F53*I53,0)</f>
      </c>
      <c r="Z53" s="76">
        <f>IFERROR(X53-V53,"")</f>
      </c>
      <c r="AA53" s="70" t="str">
        <f>IFERROR(X53/V53-1,"")</f>
      </c>
      <c r="AB53" s="88">
        <f>MAX(0,Y53-W53)</f>
      </c>
      <c r="AC53" s="102">
        <f>IF(AB53&gt;='Настройки'!$B$21,"高",IF(AB53&gt;='Настройки'!$B$22,"中","低"))</f>
      </c>
      <c r="AD53" s="82" t="s">
        <v>0</v>
      </c>
      <c r="AE53" s="82"/>
      <c r="AF53" s="60"/>
      <c r="AG53" s="60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</row>
    <row r="54" ht="22" customHeight="true">
      <c r="A54" s="82" t="s">
        <v>0</v>
      </c>
      <c r="B54" s="60"/>
      <c r="C54" s="82"/>
      <c r="D54" s="82"/>
      <c r="E54" s="82"/>
      <c r="F54" s="80"/>
      <c r="G54" s="60"/>
      <c r="H54" s="82" t="s">
        <v>0</v>
      </c>
      <c r="I54" s="84">
        <f>IFERROR(VLOOKUP(H54,'Настройки'!$F$18:$G$24,2,FALSE),1)</f>
      </c>
      <c r="J54" s="74"/>
      <c r="K54" s="74"/>
      <c r="L54" s="74"/>
      <c r="M54" s="74"/>
      <c r="N54" s="74"/>
      <c r="O54" s="74"/>
      <c r="P54" s="74"/>
      <c r="Q54" s="74"/>
      <c r="R54" s="62">
        <f>'Настройки'!$B$10</f>
      </c>
      <c r="S54" s="62">
        <f>'Настройки'!$B$11</f>
      </c>
      <c r="T54" s="62">
        <f>'Настройки'!$B$9</f>
      </c>
      <c r="U54" s="76">
        <f>IFERROR(SUM(J54:Q54)*(1+R54)*(1+S54),0)</f>
      </c>
      <c r="V54" s="76">
        <f>IFERROR(U54*(1+T54),0)</f>
      </c>
      <c r="W54" s="76">
        <f>IFERROR(V54*F54*I54,0)</f>
      </c>
      <c r="X54" s="74"/>
      <c r="Y54" s="76">
        <f>IFERROR(X54*F54*I54,0)</f>
      </c>
      <c r="Z54" s="76">
        <f>IFERROR(X54-V54,"")</f>
      </c>
      <c r="AA54" s="70" t="str">
        <f>IFERROR(X54/V54-1,"")</f>
      </c>
      <c r="AB54" s="88">
        <f>MAX(0,Y54-W54)</f>
      </c>
      <c r="AC54" s="102">
        <f>IF(AB54&gt;='Настройки'!$B$21,"高",IF(AB54&gt;='Настройки'!$B$22,"中","低"))</f>
      </c>
      <c r="AD54" s="82" t="s">
        <v>0</v>
      </c>
      <c r="AE54" s="82"/>
      <c r="AF54" s="60"/>
      <c r="AG54" s="60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</row>
    <row r="55" ht="22" customHeight="true">
      <c r="A55" s="82" t="s">
        <v>0</v>
      </c>
      <c r="B55" s="60"/>
      <c r="C55" s="82"/>
      <c r="D55" s="82"/>
      <c r="E55" s="82"/>
      <c r="F55" s="80"/>
      <c r="G55" s="60"/>
      <c r="H55" s="82" t="s">
        <v>0</v>
      </c>
      <c r="I55" s="84">
        <f>IFERROR(VLOOKUP(H55,'Настройки'!$F$18:$G$24,2,FALSE),1)</f>
      </c>
      <c r="J55" s="74"/>
      <c r="K55" s="74"/>
      <c r="L55" s="74"/>
      <c r="M55" s="74"/>
      <c r="N55" s="74"/>
      <c r="O55" s="74"/>
      <c r="P55" s="74"/>
      <c r="Q55" s="74"/>
      <c r="R55" s="62">
        <f>'Настройки'!$B$10</f>
      </c>
      <c r="S55" s="62">
        <f>'Настройки'!$B$11</f>
      </c>
      <c r="T55" s="62">
        <f>'Настройки'!$B$9</f>
      </c>
      <c r="U55" s="76">
        <f>IFERROR(SUM(J55:Q55)*(1+R55)*(1+S55),0)</f>
      </c>
      <c r="V55" s="76">
        <f>IFERROR(U55*(1+T55),0)</f>
      </c>
      <c r="W55" s="76">
        <f>IFERROR(V55*F55*I55,0)</f>
      </c>
      <c r="X55" s="74"/>
      <c r="Y55" s="76">
        <f>IFERROR(X55*F55*I55,0)</f>
      </c>
      <c r="Z55" s="76">
        <f>IFERROR(X55-V55,"")</f>
      </c>
      <c r="AA55" s="70" t="str">
        <f>IFERROR(X55/V55-1,"")</f>
      </c>
      <c r="AB55" s="88">
        <f>MAX(0,Y55-W55)</f>
      </c>
      <c r="AC55" s="102">
        <f>IF(AB55&gt;='Настройки'!$B$21,"高",IF(AB55&gt;='Настройки'!$B$22,"中","低"))</f>
      </c>
      <c r="AD55" s="82" t="s">
        <v>0</v>
      </c>
      <c r="AE55" s="82"/>
      <c r="AF55" s="60"/>
      <c r="AG55" s="60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</row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AG1"/>
    <mergeCell ref="A2:AG2"/>
  </mergeCells>
  <conditionalFormatting sqref="AB6:AB55">
    <cfRule type="cellIs" dxfId="0" priority="1" operator="greaterThanOrEqual">
      <formula>0.15</formula>
    </cfRule>
    <cfRule type="dataBar" priority="5">
      <dataBar>
        <cfvo type="min"/>
        <cfvo type="max"/>
        <color rgb="FFA02B93"/>
      </dataBar>
      <extLst>
        <x:ext xmlns:x14="http://schemas.microsoft.com/office/spreadsheetml/2009/9/main" uri="{B025F937-C7B1-47D3-B67F-A62EFF666E3E}">
          <x14:id>{5CC0F654-75D7-0290-7BB4-01D51EB5351A}</x14:id>
        </x:ext>
      </extLst>
    </cfRule>
  </conditionalFormatting>
  <conditionalFormatting sqref="AC6:AC55">
    <cfRule type="dataBar" priority="2">
      <dataBar>
        <cfvo type="min"/>
        <cfvo type="max"/>
        <color rgb="FFA02B93"/>
      </dataBar>
      <extLst>
        <x:ext xmlns:x14="http://schemas.microsoft.com/office/spreadsheetml/2009/9/main" uri="{B025F937-C7B1-47D3-B67F-A62EFF666E3E}">
          <x14:id>{DA2A9E1F-84F5-C21E-DAAD-B0068BD76577}</x14:id>
        </x:ext>
      </extLst>
    </cfRule>
    <cfRule type="containsText" dxfId="5" priority="6" operator="containsText" text="高">
      <formula>NOT(ISERROR(SEARCH("高",AC6)))</formula>
    </cfRule>
  </conditionalFormatting>
  <conditionalFormatting sqref="AD6:AD55">
    <cfRule type="containsText" dxfId="1" priority="3" operator="containsText" text="高">
      <formula>NOT(ISERROR(SEARCH("高",AD6)))</formula>
    </cfRule>
  </conditionalFormatting>
  <conditionalFormatting sqref="AA6:AA55">
    <cfRule type="cellIs" dxfId="4" priority="4" operator="greaterThanOrEqual">
      <formula>0.15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6">
    <dataValidation allowBlank="true" sqref="C6:C55" type="list">
      <formula1>"Суровина,零部件/BOM,成品/外协,サービス外包,物流运输,設備/CAPEX,软件/云サービス,MRO/间接采购,工程案件,其他"</formula1>
    </dataValidation>
    <dataValidation allowBlank="true" sqref="D6:D55" type="list">
      <formula1>"新品寻源,年度降本,供应商调价,合同续签,进口采购,紧急采购,alternative material评估,Make-or-Buy,Условия на плащане优化,其他"</formula1>
    </dataValidation>
    <dataValidation allowBlank="true" sqref="E6:E55" type="list">
      <formula1>"RFQ,竞价,框架合同,单一来源,战略采购,案件采购,现货采购,其他"</formula1>
    </dataValidation>
    <dataValidation allowBlank="true" sqref="H6:H55" type="list">
      <formula1>"CNY,USD,EUR,GBP,JPY,HKD,SGD"</formula1>
    </dataValidation>
    <dataValidation allowBlank="true" sqref="AD6:AD55" type="list">
      <formula1>"High,Medium,Low"</formula1>
    </dataValidation>
    <dataValidation allowBlank="true" sqref="AE6:AE55" type="list">
      <formula1>"草稿,待供应商确认,待审批,谈判中,已锁价,Архивирано,Изчаква плащане,逾期待处理,计划中,Платено"</formula1>
    </dataValidation>
  </dataValidations>
  <pageMargins left="0.7" right="0.7" top="0.75" bottom="0.75" header="0.3" footer="0.3"/>
  <tableParts count="1">
    <tablePart r:id="R5b53338e59b7471d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5" id="{5CC0F654-75D7-0290-7BB4-01D51EB5351A}">
            <x14:dataBar gradient="1">
              <x14:cfvo type="min"/>
              <x14:cfvo type="max"/>
              <x14:fillColor rgb="FFA02B93"/>
            </x14:dataBar>
          </x14:cfRule>
          <xm:sqref>AB6:AB55</xm:sqref>
        </x14:conditionalFormatting>
        <x14:conditionalFormatting>
          <x14:cfRule type="dataBar" priority="2" id="{DA2A9E1F-84F5-C21E-DAAD-B0068BD76577}">
            <x14:dataBar gradient="1">
              <x14:cfvo type="min"/>
              <x14:cfvo type="max"/>
              <x14:fillColor rgb="FFA02B93"/>
            </x14:dataBar>
          </x14:cfRule>
          <xm:sqref>AC6:AC55</xm:sqref>
        </x14:conditionalFormatting>
      </x14:conditionalFormattings>
    </x:ext>
  </extLst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0"/>
    <col customWidth="true" max="2" min="2" width="22"/>
    <col customWidth="true" max="3" min="3" width="14"/>
    <col customWidth="true" max="4" min="4" width="13"/>
    <col customWidth="true" max="5" min="5" width="8"/>
    <col customWidth="true" max="6" min="6" width="14"/>
    <col customWidth="true" max="7" min="7" width="8"/>
    <col customWidth="true" max="9" min="8" width="10"/>
    <col customWidth="true" max="10" min="10" width="16"/>
    <col customWidth="true" max="11" min="11" width="13"/>
    <col customWidth="true" max="12" min="12" width="18"/>
    <col customWidth="true" max="13" min="13" width="14"/>
    <col customWidth="true" max="14" min="14" width="26"/>
    <col customWidth="true" max="15" min="15" width="24"/>
  </cols>
  <sheetData>
    <row r="1" ht="34" customHeight="true">
      <c r="A1" s="10" t="s">
        <v>0</v>
      </c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原価ID</t>
        </is>
      </c>
      <c r="B5" s="40" t="inlineStr">
        <is>
          <t>材料または部品</t>
        </is>
      </c>
      <c r="C5" s="40" t="inlineStr">
        <is>
          <t>分類</t>
        </is>
      </c>
      <c r="D5" s="40" t="inlineStr">
        <is>
          <t>製品単位あたり使用量</t>
        </is>
      </c>
      <c r="E5" s="40" t="inlineStr">
        <is>
          <t>単位</t>
        </is>
      </c>
      <c r="F5" s="40" t="inlineStr">
        <is>
          <t>市場または契約単価</t>
        </is>
      </c>
      <c r="G5" s="40" t="inlineStr">
        <is>
          <t>通貨</t>
        </is>
      </c>
      <c r="H5" s="40" t="inlineStr">
        <is>
          <t>人民元換算レート</t>
        </is>
      </c>
      <c r="I5" s="40" t="inlineStr">
        <is>
          <t>ロス率</t>
        </is>
      </c>
      <c r="J5" s="40" t="inlineStr">
        <is>
          <t>単位税抜材料費</t>
        </is>
      </c>
      <c r="K5" s="40" t="inlineStr">
        <is>
          <t>年間需要量</t>
        </is>
      </c>
      <c r="L5" s="40" t="inlineStr">
        <is>
          <t>年間材料費 CNY</t>
        </is>
      </c>
      <c r="M5" s="40" t="inlineStr">
        <is>
          <t>価格ベンチマーク</t>
        </is>
      </c>
      <c r="N5" s="40" t="inlineStr">
        <is>
          <t>代替材料と削減機会</t>
        </is>
      </c>
      <c r="O5" s="40" t="inlineStr">
        <is>
          <t>出所とメモ</t>
        </is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60" t="n">
        <v>0.42</v>
      </c>
      <c r="E6" s="60" t="s">
        <v>0</v>
      </c>
      <c r="F6" s="74" t="n">
        <v>48</v>
      </c>
      <c r="G6" s="60" t="s">
        <v>0</v>
      </c>
      <c r="H6" s="72">
        <f>IFERROR(VLOOKUP(G6,'Настройки'!$F$18:$G$24,2,FALSE),1)</f>
      </c>
      <c r="I6" s="62" t="s">
        <v>0</v>
      </c>
      <c r="J6" s="76">
        <f>IFERROR(D6*F6*(1+I6),0)</f>
      </c>
      <c r="K6" s="76">
        <f>IFERROR(VLOOKUP(A6,'Подробна разбивка на разходите'!$A$6:$F$55,6,FALSE),0)</f>
      </c>
      <c r="L6" s="76">
        <f>IFERROR(J6*K6*H6,0)</f>
      </c>
      <c r="M6" s="60" t="s">
        <v>0</v>
      </c>
      <c r="N6" s="60" t="s">
        <v>0</v>
      </c>
      <c r="O6" s="60" t="s">
        <v>0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60" t="n">
        <v>1</v>
      </c>
      <c r="E7" s="60" t="s">
        <v>0</v>
      </c>
      <c r="F7" s="74" t="n">
        <v>1.8</v>
      </c>
      <c r="G7" s="60" t="s">
        <v>0</v>
      </c>
      <c r="H7" s="72">
        <f>IFERROR(VLOOKUP(G7,'Настройки'!$F$18:$G$24,2,FALSE),1)</f>
      </c>
      <c r="I7" s="62" t="s">
        <v>0</v>
      </c>
      <c r="J7" s="76">
        <f>IFERROR(D7*F7*(1+I7),0)</f>
      </c>
      <c r="K7" s="76">
        <f>IFERROR(VLOOKUP(A7,'Подробна разбивка на разходите'!$A$6:$F$55,6,FALSE),0)</f>
      </c>
      <c r="L7" s="76">
        <f>IFERROR(J7*K7*H7,0)</f>
      </c>
      <c r="M7" s="60" t="s">
        <v>0</v>
      </c>
      <c r="N7" s="60" t="s">
        <v>0</v>
      </c>
      <c r="O7" s="60" t="s">
        <v>0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60" t="n">
        <v>0.31</v>
      </c>
      <c r="E8" s="60" t="s">
        <v>0</v>
      </c>
      <c r="F8" s="74" t="n">
        <v>6.8</v>
      </c>
      <c r="G8" s="60" t="s">
        <v>0</v>
      </c>
      <c r="H8" s="72">
        <f>IFERROR(VLOOKUP(G8,'Настройки'!$F$18:$G$24,2,FALSE),1)</f>
      </c>
      <c r="I8" s="62" t="s">
        <v>0</v>
      </c>
      <c r="J8" s="76">
        <f>IFERROR(D8*F8*(1+I8),0)</f>
      </c>
      <c r="K8" s="76">
        <f>IFERROR(VLOOKUP(A8,'Подробна разбивка на разходите'!$A$6:$F$55,6,FALSE),0)</f>
      </c>
      <c r="L8" s="76">
        <f>IFERROR(J8*K8*H8,0)</f>
      </c>
      <c r="M8" s="60" t="s">
        <v>0</v>
      </c>
      <c r="N8" s="60" t="s">
        <v>0</v>
      </c>
      <c r="O8" s="60" t="s">
        <v>0</v>
      </c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60" t="n">
        <v>1</v>
      </c>
      <c r="E9" s="60" t="s">
        <v>0</v>
      </c>
      <c r="F9" s="74" t="n">
        <v>18</v>
      </c>
      <c r="G9" s="60" t="s">
        <v>0</v>
      </c>
      <c r="H9" s="72">
        <f>IFERROR(VLOOKUP(G9,'Настройки'!$F$18:$G$24,2,FALSE),1)</f>
      </c>
      <c r="I9" s="62" t="s">
        <v>0</v>
      </c>
      <c r="J9" s="76">
        <f>IFERROR(D9*F9*(1+I9),0)</f>
      </c>
      <c r="K9" s="76">
        <f>IFERROR(VLOOKUP(A9,'Подробна разбивка на разходите'!$A$6:$F$55,6,FALSE),0)</f>
      </c>
      <c r="L9" s="76">
        <f>IFERROR(J9*K9*H9,0)</f>
      </c>
      <c r="M9" s="60" t="s">
        <v>0</v>
      </c>
      <c r="N9" s="60" t="s">
        <v>0</v>
      </c>
      <c r="O9" s="60" t="s">
        <v>0</v>
      </c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 t="s">
        <v>0</v>
      </c>
      <c r="B10" s="60" t="s">
        <v>0</v>
      </c>
      <c r="C10" s="60" t="s">
        <v>0</v>
      </c>
      <c r="D10" s="60" t="n">
        <v>1</v>
      </c>
      <c r="E10" s="60" t="s">
        <v>0</v>
      </c>
      <c r="F10" s="74" t="n">
        <v>22</v>
      </c>
      <c r="G10" s="60" t="s">
        <v>0</v>
      </c>
      <c r="H10" s="72">
        <f>IFERROR(VLOOKUP(G10,'Настройки'!$F$18:$G$24,2,FALSE),1)</f>
      </c>
      <c r="I10" s="62" t="s">
        <v>0</v>
      </c>
      <c r="J10" s="76">
        <f>IFERROR(D10*F10*(1+I10),0)</f>
      </c>
      <c r="K10" s="76">
        <f>IFERROR(VLOOKUP(A10,'Подробна разбивка на разходите'!$A$6:$F$55,6,FALSE),0)</f>
      </c>
      <c r="L10" s="76">
        <f>IFERROR(J10*K10*H10,0)</f>
      </c>
      <c r="M10" s="60" t="s">
        <v>0</v>
      </c>
      <c r="N10" s="60" t="s">
        <v>0</v>
      </c>
      <c r="O10" s="60" t="s">
        <v>0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 t="s">
        <v>0</v>
      </c>
      <c r="B11" s="60" t="s">
        <v>0</v>
      </c>
      <c r="C11" s="60" t="s">
        <v>0</v>
      </c>
      <c r="D11" s="60" t="n">
        <v>1</v>
      </c>
      <c r="E11" s="60" t="s">
        <v>0</v>
      </c>
      <c r="F11" s="74" t="n">
        <v>8.2</v>
      </c>
      <c r="G11" s="60" t="s">
        <v>0</v>
      </c>
      <c r="H11" s="72">
        <f>IFERROR(VLOOKUP(G11,'Настройки'!$F$18:$G$24,2,FALSE),1)</f>
      </c>
      <c r="I11" s="62" t="s">
        <v>0</v>
      </c>
      <c r="J11" s="76">
        <f>IFERROR(D11*F11*(1+I11),0)</f>
      </c>
      <c r="K11" s="76">
        <f>IFERROR(VLOOKUP(A11,'Подробна разбивка на разходите'!$A$6:$F$55,6,FALSE),0)</f>
      </c>
      <c r="L11" s="76">
        <f>IFERROR(J11*K11*H11,0)</f>
      </c>
      <c r="M11" s="60" t="s">
        <v>0</v>
      </c>
      <c r="N11" s="60" t="s">
        <v>0</v>
      </c>
      <c r="O11" s="60" t="s">
        <v>0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/>
      <c r="B12" s="60"/>
      <c r="C12" s="60"/>
      <c r="D12" s="60"/>
      <c r="E12" s="60"/>
      <c r="F12" s="74"/>
      <c r="G12" s="60" t="s">
        <v>0</v>
      </c>
      <c r="H12" s="72">
        <f>IFERROR(VLOOKUP(G12,'Настройки'!$F$18:$G$24,2,FALSE),1)</f>
      </c>
      <c r="I12" s="62" t="s">
        <v>0</v>
      </c>
      <c r="J12" s="76">
        <f>IFERROR(D12*F12*(1+I12),0)</f>
      </c>
      <c r="K12" s="76">
        <f>IFERROR(VLOOKUP(A12,'Подробна разбивка на разходите'!$A$6:$F$55,6,FALSE),0)</f>
      </c>
      <c r="L12" s="76">
        <f>IFERROR(J12*K12*H12,0)</f>
      </c>
      <c r="M12" s="60"/>
      <c r="N12" s="60"/>
      <c r="O12" s="60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/>
      <c r="B13" s="60"/>
      <c r="C13" s="60"/>
      <c r="D13" s="60"/>
      <c r="E13" s="60"/>
      <c r="F13" s="74"/>
      <c r="G13" s="60" t="s">
        <v>0</v>
      </c>
      <c r="H13" s="72">
        <f>IFERROR(VLOOKUP(G13,'Настройки'!$F$18:$G$24,2,FALSE),1)</f>
      </c>
      <c r="I13" s="62" t="s">
        <v>0</v>
      </c>
      <c r="J13" s="76">
        <f>IFERROR(D13*F13*(1+I13),0)</f>
      </c>
      <c r="K13" s="76">
        <f>IFERROR(VLOOKUP(A13,'Подробна разбивка на разходите'!$A$6:$F$55,6,FALSE),0)</f>
      </c>
      <c r="L13" s="76">
        <f>IFERROR(J13*K13*H13,0)</f>
      </c>
      <c r="M13" s="60"/>
      <c r="N13" s="60"/>
      <c r="O13" s="60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/>
      <c r="B14" s="60"/>
      <c r="C14" s="60"/>
      <c r="D14" s="60"/>
      <c r="E14" s="60"/>
      <c r="F14" s="74"/>
      <c r="G14" s="60" t="s">
        <v>0</v>
      </c>
      <c r="H14" s="72">
        <f>IFERROR(VLOOKUP(G14,'Настройки'!$F$18:$G$24,2,FALSE),1)</f>
      </c>
      <c r="I14" s="62" t="s">
        <v>0</v>
      </c>
      <c r="J14" s="76">
        <f>IFERROR(D14*F14*(1+I14),0)</f>
      </c>
      <c r="K14" s="76">
        <f>IFERROR(VLOOKUP(A14,'Подробна разбивка на разходите'!$A$6:$F$55,6,FALSE),0)</f>
      </c>
      <c r="L14" s="76">
        <f>IFERROR(J14*K14*H14,0)</f>
      </c>
      <c r="M14" s="60"/>
      <c r="N14" s="60"/>
      <c r="O14" s="60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/>
      <c r="B15" s="60"/>
      <c r="C15" s="60"/>
      <c r="D15" s="60"/>
      <c r="E15" s="60"/>
      <c r="F15" s="74"/>
      <c r="G15" s="60" t="s">
        <v>0</v>
      </c>
      <c r="H15" s="72">
        <f>IFERROR(VLOOKUP(G15,'Настройки'!$F$18:$G$24,2,FALSE),1)</f>
      </c>
      <c r="I15" s="62" t="s">
        <v>0</v>
      </c>
      <c r="J15" s="76">
        <f>IFERROR(D15*F15*(1+I15),0)</f>
      </c>
      <c r="K15" s="76">
        <f>IFERROR(VLOOKUP(A15,'Подробна разбивка на разходите'!$A$6:$F$55,6,FALSE),0)</f>
      </c>
      <c r="L15" s="76">
        <f>IFERROR(J15*K15*H15,0)</f>
      </c>
      <c r="M15" s="60"/>
      <c r="N15" s="60"/>
      <c r="O15" s="60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/>
      <c r="B16" s="60"/>
      <c r="C16" s="60"/>
      <c r="D16" s="60"/>
      <c r="E16" s="60"/>
      <c r="F16" s="74"/>
      <c r="G16" s="60" t="s">
        <v>0</v>
      </c>
      <c r="H16" s="72">
        <f>IFERROR(VLOOKUP(G16,'Настройки'!$F$18:$G$24,2,FALSE),1)</f>
      </c>
      <c r="I16" s="62" t="s">
        <v>0</v>
      </c>
      <c r="J16" s="76">
        <f>IFERROR(D16*F16*(1+I16),0)</f>
      </c>
      <c r="K16" s="76">
        <f>IFERROR(VLOOKUP(A16,'Подробна разбивка на разходите'!$A$6:$F$55,6,FALSE),0)</f>
      </c>
      <c r="L16" s="76">
        <f>IFERROR(J16*K16*H16,0)</f>
      </c>
      <c r="M16" s="60"/>
      <c r="N16" s="60"/>
      <c r="O16" s="60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/>
      <c r="B17" s="60"/>
      <c r="C17" s="60"/>
      <c r="D17" s="60"/>
      <c r="E17" s="60"/>
      <c r="F17" s="74"/>
      <c r="G17" s="60" t="s">
        <v>0</v>
      </c>
      <c r="H17" s="72">
        <f>IFERROR(VLOOKUP(G17,'Настройки'!$F$18:$G$24,2,FALSE),1)</f>
      </c>
      <c r="I17" s="62" t="s">
        <v>0</v>
      </c>
      <c r="J17" s="76">
        <f>IFERROR(D17*F17*(1+I17),0)</f>
      </c>
      <c r="K17" s="76">
        <f>IFERROR(VLOOKUP(A17,'Подробна разбивка на разходите'!$A$6:$F$55,6,FALSE),0)</f>
      </c>
      <c r="L17" s="76">
        <f>IFERROR(J17*K17*H17,0)</f>
      </c>
      <c r="M17" s="60"/>
      <c r="N17" s="60"/>
      <c r="O17" s="60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/>
      <c r="B18" s="60"/>
      <c r="C18" s="60"/>
      <c r="D18" s="60"/>
      <c r="E18" s="60"/>
      <c r="F18" s="74"/>
      <c r="G18" s="60" t="s">
        <v>0</v>
      </c>
      <c r="H18" s="72">
        <f>IFERROR(VLOOKUP(G18,'Настройки'!$F$18:$G$24,2,FALSE),1)</f>
      </c>
      <c r="I18" s="62" t="s">
        <v>0</v>
      </c>
      <c r="J18" s="76">
        <f>IFERROR(D18*F18*(1+I18),0)</f>
      </c>
      <c r="K18" s="76">
        <f>IFERROR(VLOOKUP(A18,'Подробна разбивка на разходите'!$A$6:$F$55,6,FALSE),0)</f>
      </c>
      <c r="L18" s="76">
        <f>IFERROR(J18*K18*H18,0)</f>
      </c>
      <c r="M18" s="60"/>
      <c r="N18" s="60"/>
      <c r="O18" s="60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/>
      <c r="B19" s="60"/>
      <c r="C19" s="60"/>
      <c r="D19" s="60"/>
      <c r="E19" s="60"/>
      <c r="F19" s="74"/>
      <c r="G19" s="60" t="s">
        <v>0</v>
      </c>
      <c r="H19" s="72">
        <f>IFERROR(VLOOKUP(G19,'Настройки'!$F$18:$G$24,2,FALSE),1)</f>
      </c>
      <c r="I19" s="62" t="s">
        <v>0</v>
      </c>
      <c r="J19" s="76">
        <f>IFERROR(D19*F19*(1+I19),0)</f>
      </c>
      <c r="K19" s="76">
        <f>IFERROR(VLOOKUP(A19,'Подробна разбивка на разходите'!$A$6:$F$55,6,FALSE),0)</f>
      </c>
      <c r="L19" s="76">
        <f>IFERROR(J19*K19*H19,0)</f>
      </c>
      <c r="M19" s="60"/>
      <c r="N19" s="60"/>
      <c r="O19" s="60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/>
      <c r="B20" s="60"/>
      <c r="C20" s="60"/>
      <c r="D20" s="60"/>
      <c r="E20" s="60"/>
      <c r="F20" s="74"/>
      <c r="G20" s="60" t="s">
        <v>0</v>
      </c>
      <c r="H20" s="72">
        <f>IFERROR(VLOOKUP(G20,'Настройки'!$F$18:$G$24,2,FALSE),1)</f>
      </c>
      <c r="I20" s="62" t="s">
        <v>0</v>
      </c>
      <c r="J20" s="76">
        <f>IFERROR(D20*F20*(1+I20),0)</f>
      </c>
      <c r="K20" s="76">
        <f>IFERROR(VLOOKUP(A20,'Подробна разбивка на разходите'!$A$6:$F$55,6,FALSE),0)</f>
      </c>
      <c r="L20" s="76">
        <f>IFERROR(J20*K20*H20,0)</f>
      </c>
      <c r="M20" s="60"/>
      <c r="N20" s="60"/>
      <c r="O20" s="60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/>
      <c r="B21" s="60"/>
      <c r="C21" s="60"/>
      <c r="D21" s="60"/>
      <c r="E21" s="60"/>
      <c r="F21" s="74"/>
      <c r="G21" s="60" t="s">
        <v>0</v>
      </c>
      <c r="H21" s="72">
        <f>IFERROR(VLOOKUP(G21,'Настройки'!$F$18:$G$24,2,FALSE),1)</f>
      </c>
      <c r="I21" s="62" t="s">
        <v>0</v>
      </c>
      <c r="J21" s="76">
        <f>IFERROR(D21*F21*(1+I21),0)</f>
      </c>
      <c r="K21" s="76">
        <f>IFERROR(VLOOKUP(A21,'Подробна разбивка на разходите'!$A$6:$F$55,6,FALSE),0)</f>
      </c>
      <c r="L21" s="76">
        <f>IFERROR(J21*K21*H21,0)</f>
      </c>
      <c r="M21" s="60"/>
      <c r="N21" s="60"/>
      <c r="O21" s="60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/>
      <c r="B22" s="60"/>
      <c r="C22" s="60"/>
      <c r="D22" s="60"/>
      <c r="E22" s="60"/>
      <c r="F22" s="74"/>
      <c r="G22" s="60" t="s">
        <v>0</v>
      </c>
      <c r="H22" s="72">
        <f>IFERROR(VLOOKUP(G22,'Настройки'!$F$18:$G$24,2,FALSE),1)</f>
      </c>
      <c r="I22" s="62" t="s">
        <v>0</v>
      </c>
      <c r="J22" s="76">
        <f>IFERROR(D22*F22*(1+I22),0)</f>
      </c>
      <c r="K22" s="76">
        <f>IFERROR(VLOOKUP(A22,'Подробна разбивка на разходите'!$A$6:$F$55,6,FALSE),0)</f>
      </c>
      <c r="L22" s="76">
        <f>IFERROR(J22*K22*H22,0)</f>
      </c>
      <c r="M22" s="60"/>
      <c r="N22" s="60"/>
      <c r="O22" s="60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/>
      <c r="B23" s="60"/>
      <c r="C23" s="60"/>
      <c r="D23" s="60"/>
      <c r="E23" s="60"/>
      <c r="F23" s="74"/>
      <c r="G23" s="60" t="s">
        <v>0</v>
      </c>
      <c r="H23" s="72">
        <f>IFERROR(VLOOKUP(G23,'Настройки'!$F$18:$G$24,2,FALSE),1)</f>
      </c>
      <c r="I23" s="62" t="s">
        <v>0</v>
      </c>
      <c r="J23" s="76">
        <f>IFERROR(D23*F23*(1+I23),0)</f>
      </c>
      <c r="K23" s="76">
        <f>IFERROR(VLOOKUP(A23,'Подробна разбивка на разходите'!$A$6:$F$55,6,FALSE),0)</f>
      </c>
      <c r="L23" s="76">
        <f>IFERROR(J23*K23*H23,0)</f>
      </c>
      <c r="M23" s="60"/>
      <c r="N23" s="60"/>
      <c r="O23" s="60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/>
      <c r="B24" s="60"/>
      <c r="C24" s="60"/>
      <c r="D24" s="60"/>
      <c r="E24" s="60"/>
      <c r="F24" s="74"/>
      <c r="G24" s="60" t="s">
        <v>0</v>
      </c>
      <c r="H24" s="72">
        <f>IFERROR(VLOOKUP(G24,'Настройки'!$F$18:$G$24,2,FALSE),1)</f>
      </c>
      <c r="I24" s="62" t="s">
        <v>0</v>
      </c>
      <c r="J24" s="76">
        <f>IFERROR(D24*F24*(1+I24),0)</f>
      </c>
      <c r="K24" s="76">
        <f>IFERROR(VLOOKUP(A24,'Подробна разбивка на разходите'!$A$6:$F$55,6,FALSE),0)</f>
      </c>
      <c r="L24" s="76">
        <f>IFERROR(J24*K24*H24,0)</f>
      </c>
      <c r="M24" s="60"/>
      <c r="N24" s="60"/>
      <c r="O24" s="60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/>
      <c r="B25" s="60"/>
      <c r="C25" s="60"/>
      <c r="D25" s="60"/>
      <c r="E25" s="60"/>
      <c r="F25" s="74"/>
      <c r="G25" s="60" t="s">
        <v>0</v>
      </c>
      <c r="H25" s="72">
        <f>IFERROR(VLOOKUP(G25,'Настройки'!$F$18:$G$24,2,FALSE),1)</f>
      </c>
      <c r="I25" s="62" t="s">
        <v>0</v>
      </c>
      <c r="J25" s="76">
        <f>IFERROR(D25*F25*(1+I25),0)</f>
      </c>
      <c r="K25" s="76">
        <f>IFERROR(VLOOKUP(A25,'Подробна разбивка на разходите'!$A$6:$F$55,6,FALSE),0)</f>
      </c>
      <c r="L25" s="76">
        <f>IFERROR(J25*K25*H25,0)</f>
      </c>
      <c r="M25" s="60"/>
      <c r="N25" s="60"/>
      <c r="O25" s="60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/>
      <c r="B26" s="60"/>
      <c r="C26" s="60"/>
      <c r="D26" s="60"/>
      <c r="E26" s="60"/>
      <c r="F26" s="74"/>
      <c r="G26" s="60" t="s">
        <v>0</v>
      </c>
      <c r="H26" s="72">
        <f>IFERROR(VLOOKUP(G26,'Настройки'!$F$18:$G$24,2,FALSE),1)</f>
      </c>
      <c r="I26" s="62" t="s">
        <v>0</v>
      </c>
      <c r="J26" s="76">
        <f>IFERROR(D26*F26*(1+I26),0)</f>
      </c>
      <c r="K26" s="76">
        <f>IFERROR(VLOOKUP(A26,'Подробна разбивка на разходите'!$A$6:$F$55,6,FALSE),0)</f>
      </c>
      <c r="L26" s="76">
        <f>IFERROR(J26*K26*H26,0)</f>
      </c>
      <c r="M26" s="60"/>
      <c r="N26" s="60"/>
      <c r="O26" s="60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/>
      <c r="B27" s="60"/>
      <c r="C27" s="60"/>
      <c r="D27" s="60"/>
      <c r="E27" s="60"/>
      <c r="F27" s="74"/>
      <c r="G27" s="60" t="s">
        <v>0</v>
      </c>
      <c r="H27" s="72">
        <f>IFERROR(VLOOKUP(G27,'Настройки'!$F$18:$G$24,2,FALSE),1)</f>
      </c>
      <c r="I27" s="62" t="s">
        <v>0</v>
      </c>
      <c r="J27" s="76">
        <f>IFERROR(D27*F27*(1+I27),0)</f>
      </c>
      <c r="K27" s="76">
        <f>IFERROR(VLOOKUP(A27,'Подробна разбивка на разходите'!$A$6:$F$55,6,FALSE),0)</f>
      </c>
      <c r="L27" s="76">
        <f>IFERROR(J27*K27*H27,0)</f>
      </c>
      <c r="M27" s="60"/>
      <c r="N27" s="60"/>
      <c r="O27" s="60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/>
      <c r="B28" s="60"/>
      <c r="C28" s="60"/>
      <c r="D28" s="60"/>
      <c r="E28" s="60"/>
      <c r="F28" s="74"/>
      <c r="G28" s="60" t="s">
        <v>0</v>
      </c>
      <c r="H28" s="72">
        <f>IFERROR(VLOOKUP(G28,'Настройки'!$F$18:$G$24,2,FALSE),1)</f>
      </c>
      <c r="I28" s="62" t="s">
        <v>0</v>
      </c>
      <c r="J28" s="76">
        <f>IFERROR(D28*F28*(1+I28),0)</f>
      </c>
      <c r="K28" s="76">
        <f>IFERROR(VLOOKUP(A28,'Подробна разбивка на разходите'!$A$6:$F$55,6,FALSE),0)</f>
      </c>
      <c r="L28" s="76">
        <f>IFERROR(J28*K28*H28,0)</f>
      </c>
      <c r="M28" s="60"/>
      <c r="N28" s="60"/>
      <c r="O28" s="60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/>
      <c r="B29" s="60"/>
      <c r="C29" s="60"/>
      <c r="D29" s="60"/>
      <c r="E29" s="60"/>
      <c r="F29" s="74"/>
      <c r="G29" s="60" t="s">
        <v>0</v>
      </c>
      <c r="H29" s="72">
        <f>IFERROR(VLOOKUP(G29,'Настройки'!$F$18:$G$24,2,FALSE),1)</f>
      </c>
      <c r="I29" s="62" t="s">
        <v>0</v>
      </c>
      <c r="J29" s="76">
        <f>IFERROR(D29*F29*(1+I29),0)</f>
      </c>
      <c r="K29" s="76">
        <f>IFERROR(VLOOKUP(A29,'Подробна разбивка на разходите'!$A$6:$F$55,6,FALSE),0)</f>
      </c>
      <c r="L29" s="76">
        <f>IFERROR(J29*K29*H29,0)</f>
      </c>
      <c r="M29" s="60"/>
      <c r="N29" s="60"/>
      <c r="O29" s="60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/>
      <c r="B30" s="60"/>
      <c r="C30" s="60"/>
      <c r="D30" s="60"/>
      <c r="E30" s="60"/>
      <c r="F30" s="74"/>
      <c r="G30" s="60" t="s">
        <v>0</v>
      </c>
      <c r="H30" s="72">
        <f>IFERROR(VLOOKUP(G30,'Настройки'!$F$18:$G$24,2,FALSE),1)</f>
      </c>
      <c r="I30" s="62" t="s">
        <v>0</v>
      </c>
      <c r="J30" s="76">
        <f>IFERROR(D30*F30*(1+I30),0)</f>
      </c>
      <c r="K30" s="76">
        <f>IFERROR(VLOOKUP(A30,'Подробна разбивка на разходите'!$A$6:$F$55,6,FALSE),0)</f>
      </c>
      <c r="L30" s="76">
        <f>IFERROR(J30*K30*H30,0)</f>
      </c>
      <c r="M30" s="60"/>
      <c r="N30" s="60"/>
      <c r="O30" s="60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/>
      <c r="B31" s="60"/>
      <c r="C31" s="60"/>
      <c r="D31" s="60"/>
      <c r="E31" s="60"/>
      <c r="F31" s="74"/>
      <c r="G31" s="60" t="s">
        <v>0</v>
      </c>
      <c r="H31" s="72">
        <f>IFERROR(VLOOKUP(G31,'Настройки'!$F$18:$G$24,2,FALSE),1)</f>
      </c>
      <c r="I31" s="62" t="s">
        <v>0</v>
      </c>
      <c r="J31" s="76">
        <f>IFERROR(D31*F31*(1+I31),0)</f>
      </c>
      <c r="K31" s="76">
        <f>IFERROR(VLOOKUP(A31,'Подробна разбивка на разходите'!$A$6:$F$55,6,FALSE),0)</f>
      </c>
      <c r="L31" s="76">
        <f>IFERROR(J31*K31*H31,0)</f>
      </c>
      <c r="M31" s="60"/>
      <c r="N31" s="60"/>
      <c r="O31" s="60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/>
      <c r="B32" s="60"/>
      <c r="C32" s="60"/>
      <c r="D32" s="60"/>
      <c r="E32" s="60"/>
      <c r="F32" s="74"/>
      <c r="G32" s="60" t="s">
        <v>0</v>
      </c>
      <c r="H32" s="72">
        <f>IFERROR(VLOOKUP(G32,'Настройки'!$F$18:$G$24,2,FALSE),1)</f>
      </c>
      <c r="I32" s="62" t="s">
        <v>0</v>
      </c>
      <c r="J32" s="76">
        <f>IFERROR(D32*F32*(1+I32),0)</f>
      </c>
      <c r="K32" s="76">
        <f>IFERROR(VLOOKUP(A32,'Подробна разбивка на разходите'!$A$6:$F$55,6,FALSE),0)</f>
      </c>
      <c r="L32" s="76">
        <f>IFERROR(J32*K32*H32,0)</f>
      </c>
      <c r="M32" s="60"/>
      <c r="N32" s="60"/>
      <c r="O32" s="60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/>
      <c r="B33" s="60"/>
      <c r="C33" s="60"/>
      <c r="D33" s="60"/>
      <c r="E33" s="60"/>
      <c r="F33" s="74"/>
      <c r="G33" s="60" t="s">
        <v>0</v>
      </c>
      <c r="H33" s="72">
        <f>IFERROR(VLOOKUP(G33,'Настройки'!$F$18:$G$24,2,FALSE),1)</f>
      </c>
      <c r="I33" s="62" t="s">
        <v>0</v>
      </c>
      <c r="J33" s="76">
        <f>IFERROR(D33*F33*(1+I33),0)</f>
      </c>
      <c r="K33" s="76">
        <f>IFERROR(VLOOKUP(A33,'Подробна разбивка на разходите'!$A$6:$F$55,6,FALSE),0)</f>
      </c>
      <c r="L33" s="76">
        <f>IFERROR(J33*K33*H33,0)</f>
      </c>
      <c r="M33" s="60"/>
      <c r="N33" s="60"/>
      <c r="O33" s="60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/>
      <c r="B34" s="60"/>
      <c r="C34" s="60"/>
      <c r="D34" s="60"/>
      <c r="E34" s="60"/>
      <c r="F34" s="74"/>
      <c r="G34" s="60" t="s">
        <v>0</v>
      </c>
      <c r="H34" s="72">
        <f>IFERROR(VLOOKUP(G34,'Настройки'!$F$18:$G$24,2,FALSE),1)</f>
      </c>
      <c r="I34" s="62" t="s">
        <v>0</v>
      </c>
      <c r="J34" s="76">
        <f>IFERROR(D34*F34*(1+I34),0)</f>
      </c>
      <c r="K34" s="76">
        <f>IFERROR(VLOOKUP(A34,'Подробна разбивка на разходите'!$A$6:$F$55,6,FALSE),0)</f>
      </c>
      <c r="L34" s="76">
        <f>IFERROR(J34*K34*H34,0)</f>
      </c>
      <c r="M34" s="60"/>
      <c r="N34" s="60"/>
      <c r="O34" s="60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/>
      <c r="B35" s="60"/>
      <c r="C35" s="60"/>
      <c r="D35" s="60"/>
      <c r="E35" s="60"/>
      <c r="F35" s="74"/>
      <c r="G35" s="60" t="s">
        <v>0</v>
      </c>
      <c r="H35" s="72">
        <f>IFERROR(VLOOKUP(G35,'Настройки'!$F$18:$G$24,2,FALSE),1)</f>
      </c>
      <c r="I35" s="62" t="s">
        <v>0</v>
      </c>
      <c r="J35" s="76">
        <f>IFERROR(D35*F35*(1+I35),0)</f>
      </c>
      <c r="K35" s="76">
        <f>IFERROR(VLOOKUP(A35,'Подробна разбивка на разходите'!$A$6:$F$55,6,FALSE),0)</f>
      </c>
      <c r="L35" s="76">
        <f>IFERROR(J35*K35*H35,0)</f>
      </c>
      <c r="M35" s="60"/>
      <c r="N35" s="60"/>
      <c r="O35" s="60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/>
      <c r="B36" s="60"/>
      <c r="C36" s="60"/>
      <c r="D36" s="60"/>
      <c r="E36" s="60"/>
      <c r="F36" s="74"/>
      <c r="G36" s="60" t="s">
        <v>0</v>
      </c>
      <c r="H36" s="72">
        <f>IFERROR(VLOOKUP(G36,'Настройки'!$F$18:$G$24,2,FALSE),1)</f>
      </c>
      <c r="I36" s="62" t="s">
        <v>0</v>
      </c>
      <c r="J36" s="76">
        <f>IFERROR(D36*F36*(1+I36),0)</f>
      </c>
      <c r="K36" s="76">
        <f>IFERROR(VLOOKUP(A36,'Подробна разбивка на разходите'!$A$6:$F$55,6,FALSE),0)</f>
      </c>
      <c r="L36" s="76">
        <f>IFERROR(J36*K36*H36,0)</f>
      </c>
      <c r="M36" s="60"/>
      <c r="N36" s="60"/>
      <c r="O36" s="60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/>
      <c r="B37" s="60"/>
      <c r="C37" s="60"/>
      <c r="D37" s="60"/>
      <c r="E37" s="60"/>
      <c r="F37" s="74"/>
      <c r="G37" s="60" t="s">
        <v>0</v>
      </c>
      <c r="H37" s="72">
        <f>IFERROR(VLOOKUP(G37,'Настройки'!$F$18:$G$24,2,FALSE),1)</f>
      </c>
      <c r="I37" s="62" t="s">
        <v>0</v>
      </c>
      <c r="J37" s="76">
        <f>IFERROR(D37*F37*(1+I37),0)</f>
      </c>
      <c r="K37" s="76">
        <f>IFERROR(VLOOKUP(A37,'Подробна разбивка на разходите'!$A$6:$F$55,6,FALSE),0)</f>
      </c>
      <c r="L37" s="76">
        <f>IFERROR(J37*K37*H37,0)</f>
      </c>
      <c r="M37" s="60"/>
      <c r="N37" s="60"/>
      <c r="O37" s="60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/>
      <c r="B38" s="60"/>
      <c r="C38" s="60"/>
      <c r="D38" s="60"/>
      <c r="E38" s="60"/>
      <c r="F38" s="74"/>
      <c r="G38" s="60" t="s">
        <v>0</v>
      </c>
      <c r="H38" s="72">
        <f>IFERROR(VLOOKUP(G38,'Настройки'!$F$18:$G$24,2,FALSE),1)</f>
      </c>
      <c r="I38" s="62" t="s">
        <v>0</v>
      </c>
      <c r="J38" s="76">
        <f>IFERROR(D38*F38*(1+I38),0)</f>
      </c>
      <c r="K38" s="76">
        <f>IFERROR(VLOOKUP(A38,'Подробна разбивка на разходите'!$A$6:$F$55,6,FALSE),0)</f>
      </c>
      <c r="L38" s="76">
        <f>IFERROR(J38*K38*H38,0)</f>
      </c>
      <c r="M38" s="60"/>
      <c r="N38" s="60"/>
      <c r="O38" s="60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/>
      <c r="B39" s="60"/>
      <c r="C39" s="60"/>
      <c r="D39" s="60"/>
      <c r="E39" s="60"/>
      <c r="F39" s="74"/>
      <c r="G39" s="60" t="s">
        <v>0</v>
      </c>
      <c r="H39" s="72">
        <f>IFERROR(VLOOKUP(G39,'Настройки'!$F$18:$G$24,2,FALSE),1)</f>
      </c>
      <c r="I39" s="62" t="s">
        <v>0</v>
      </c>
      <c r="J39" s="76">
        <f>IFERROR(D39*F39*(1+I39),0)</f>
      </c>
      <c r="K39" s="76">
        <f>IFERROR(VLOOKUP(A39,'Подробна разбивка на разходите'!$A$6:$F$55,6,FALSE),0)</f>
      </c>
      <c r="L39" s="76">
        <f>IFERROR(J39*K39*H39,0)</f>
      </c>
      <c r="M39" s="60"/>
      <c r="N39" s="60"/>
      <c r="O39" s="60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/>
      <c r="B40" s="60"/>
      <c r="C40" s="60"/>
      <c r="D40" s="60"/>
      <c r="E40" s="60"/>
      <c r="F40" s="74"/>
      <c r="G40" s="60" t="s">
        <v>0</v>
      </c>
      <c r="H40" s="72">
        <f>IFERROR(VLOOKUP(G40,'Настройки'!$F$18:$G$24,2,FALSE),1)</f>
      </c>
      <c r="I40" s="62" t="s">
        <v>0</v>
      </c>
      <c r="J40" s="76">
        <f>IFERROR(D40*F40*(1+I40),0)</f>
      </c>
      <c r="K40" s="76">
        <f>IFERROR(VLOOKUP(A40,'Подробна разбивка на разходите'!$A$6:$F$55,6,FALSE),0)</f>
      </c>
      <c r="L40" s="76">
        <f>IFERROR(J40*K40*H40,0)</f>
      </c>
      <c r="M40" s="60"/>
      <c r="N40" s="60"/>
      <c r="O40" s="60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>
      <c r="A41" s="60"/>
      <c r="B41" s="60"/>
      <c r="C41" s="60"/>
      <c r="D41" s="60"/>
      <c r="E41" s="60"/>
      <c r="F41" s="74"/>
      <c r="G41" s="60" t="s">
        <v>0</v>
      </c>
      <c r="H41" s="72">
        <f>IFERROR(VLOOKUP(G41,'Настройки'!$F$18:$G$24,2,FALSE),1)</f>
      </c>
      <c r="I41" s="62" t="s">
        <v>0</v>
      </c>
      <c r="J41" s="76">
        <f>IFERROR(D41*F41*(1+I41),0)</f>
      </c>
      <c r="K41" s="76">
        <f>IFERROR(VLOOKUP(A41,'Подробна разбивка на разходите'!$A$6:$F$55,6,FALSE),0)</f>
      </c>
      <c r="L41" s="76">
        <f>IFERROR(J41*K41*H41,0)</f>
      </c>
      <c r="M41" s="60"/>
      <c r="N41" s="60"/>
      <c r="O41" s="60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</row>
    <row r="42" ht="22" customHeight="true">
      <c r="A42" s="60"/>
      <c r="B42" s="60"/>
      <c r="C42" s="60"/>
      <c r="D42" s="60"/>
      <c r="E42" s="60"/>
      <c r="F42" s="74"/>
      <c r="G42" s="60" t="s">
        <v>0</v>
      </c>
      <c r="H42" s="72">
        <f>IFERROR(VLOOKUP(G42,'Настройки'!$F$18:$G$24,2,FALSE),1)</f>
      </c>
      <c r="I42" s="62" t="s">
        <v>0</v>
      </c>
      <c r="J42" s="76">
        <f>IFERROR(D42*F42*(1+I42),0)</f>
      </c>
      <c r="K42" s="76">
        <f>IFERROR(VLOOKUP(A42,'Подробна разбивка на разходите'!$A$6:$F$55,6,FALSE),0)</f>
      </c>
      <c r="L42" s="76">
        <f>IFERROR(J42*K42*H42,0)</f>
      </c>
      <c r="M42" s="60"/>
      <c r="N42" s="60"/>
      <c r="O42" s="60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</row>
    <row r="43" ht="22" customHeight="true">
      <c r="A43" s="60"/>
      <c r="B43" s="60"/>
      <c r="C43" s="60"/>
      <c r="D43" s="60"/>
      <c r="E43" s="60"/>
      <c r="F43" s="74"/>
      <c r="G43" s="60" t="s">
        <v>0</v>
      </c>
      <c r="H43" s="72">
        <f>IFERROR(VLOOKUP(G43,'Настройки'!$F$18:$G$24,2,FALSE),1)</f>
      </c>
      <c r="I43" s="62" t="s">
        <v>0</v>
      </c>
      <c r="J43" s="76">
        <f>IFERROR(D43*F43*(1+I43),0)</f>
      </c>
      <c r="K43" s="76">
        <f>IFERROR(VLOOKUP(A43,'Подробна разбивка на разходите'!$A$6:$F$55,6,FALSE),0)</f>
      </c>
      <c r="L43" s="76">
        <f>IFERROR(J43*K43*H43,0)</f>
      </c>
      <c r="M43" s="60"/>
      <c r="N43" s="60"/>
      <c r="O43" s="60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</row>
    <row r="44" ht="22" customHeight="true">
      <c r="A44" s="60"/>
      <c r="B44" s="60"/>
      <c r="C44" s="60"/>
      <c r="D44" s="60"/>
      <c r="E44" s="60"/>
      <c r="F44" s="74"/>
      <c r="G44" s="60" t="s">
        <v>0</v>
      </c>
      <c r="H44" s="72">
        <f>IFERROR(VLOOKUP(G44,'Настройки'!$F$18:$G$24,2,FALSE),1)</f>
      </c>
      <c r="I44" s="62" t="s">
        <v>0</v>
      </c>
      <c r="J44" s="76">
        <f>IFERROR(D44*F44*(1+I44),0)</f>
      </c>
      <c r="K44" s="76">
        <f>IFERROR(VLOOKUP(A44,'Подробна разбивка на разходите'!$A$6:$F$55,6,FALSE),0)</f>
      </c>
      <c r="L44" s="76">
        <f>IFERROR(J44*K44*H44,0)</f>
      </c>
      <c r="M44" s="60"/>
      <c r="N44" s="60"/>
      <c r="O44" s="60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</row>
    <row r="45" ht="22" customHeight="true">
      <c r="A45" s="60"/>
      <c r="B45" s="60"/>
      <c r="C45" s="60"/>
      <c r="D45" s="60"/>
      <c r="E45" s="60"/>
      <c r="F45" s="74"/>
      <c r="G45" s="60" t="s">
        <v>0</v>
      </c>
      <c r="H45" s="72">
        <f>IFERROR(VLOOKUP(G45,'Настройки'!$F$18:$G$24,2,FALSE),1)</f>
      </c>
      <c r="I45" s="62" t="s">
        <v>0</v>
      </c>
      <c r="J45" s="76">
        <f>IFERROR(D45*F45*(1+I45),0)</f>
      </c>
      <c r="K45" s="76">
        <f>IFERROR(VLOOKUP(A45,'Подробна разбивка на разходите'!$A$6:$F$55,6,FALSE),0)</f>
      </c>
      <c r="L45" s="76">
        <f>IFERROR(J45*K45*H45,0)</f>
      </c>
      <c r="M45" s="60"/>
      <c r="N45" s="60"/>
      <c r="O45" s="60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</row>
    <row r="46" ht="22" customHeight="true"/>
    <row r="47" ht="22" customHeight="true"/>
    <row r="48" ht="22" customHeight="true"/>
    <row r="49" ht="22" customHeight="true"/>
    <row r="50" ht="22" customHeight="true"/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O1"/>
    <mergeCell ref="A2:O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sqref="G6:G45" type="list">
      <formula1>"CNY,USD,EUR,GBP,JPY,HKD,SGD"</formula1>
    </dataValidation>
    <dataValidation allowBlank="true" sqref="M6:M45" type="list">
      <formula1>"市场指数,供应商报价,历史Покупна цена,成本模型,标杆价,合同价"</formula1>
    </dataValidation>
  </dataValidations>
  <pageMargins left="0.7" right="0.7" top="0.75" bottom="0.75" header="0.3" footer="0.3"/>
  <tableParts count="1">
    <tablePart r:id="R113c2ca0625546db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0"/>
    <col customWidth="true" max="2" min="2" width="22"/>
    <col customWidth="true" max="7" min="3" width="14"/>
    <col customWidth="true" max="8" min="8" width="15"/>
    <col customWidth="true" max="9" min="9" width="14"/>
    <col customWidth="true" max="11" min="10" width="16"/>
    <col customWidth="true" max="12" min="12" width="12"/>
    <col customWidth="true" max="13" min="13" width="18"/>
    <col customWidth="true" max="14" min="14" width="24"/>
  </cols>
  <sheetData>
    <row r="1" ht="34" customHeight="true">
      <c r="A1" s="10" t="s">
        <v>0</v>
      </c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原価ID</t>
        </is>
      </c>
      <c r="B5" s="40" t="inlineStr">
        <is>
          <t>工程またはサービス作業</t>
        </is>
      </c>
      <c r="C5" s="40" t="inlineStr">
        <is>
          <t>シナリオ</t>
        </is>
      </c>
      <c r="D5" s="40" t="inlineStr">
        <is>
          <t>単位標準工数</t>
        </is>
      </c>
      <c r="E5" s="40" t="inlineStr">
        <is>
          <t>時間あたり労務単価</t>
        </is>
      </c>
      <c r="F5" s="40" t="inlineStr">
        <is>
          <t>単位機械時間</t>
        </is>
      </c>
      <c r="G5" s="40" t="inlineStr">
        <is>
          <t>時間あたり設備単価</t>
        </is>
      </c>
      <c r="H5" s="40" t="inlineStr">
        <is>
          <t>単位エネルギー・Consumables費</t>
        </is>
      </c>
      <c r="I5" s="40" t="inlineStr">
        <is>
          <t>ロットと償却基準</t>
        </is>
      </c>
      <c r="J5" s="40" t="inlineStr">
        <is>
          <t>ロットあたり段取り費</t>
        </is>
      </c>
      <c r="K5" s="40" t="inlineStr">
        <is>
          <t>単位工程費</t>
        </is>
      </c>
      <c r="L5" s="40" t="inlineStr">
        <is>
          <t>品質手直し率</t>
        </is>
      </c>
      <c r="M5" s="40" t="inlineStr">
        <is>
          <t>調整後単位工程費</t>
        </is>
      </c>
      <c r="N5" s="40" t="inlineStr">
        <is>
          <t>出所とメモ</t>
        </is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74" t="n">
        <v>0.08</v>
      </c>
      <c r="E6" s="74" t="n">
        <v>100</v>
      </c>
      <c r="F6" s="74" t="n">
        <v>0.12</v>
      </c>
      <c r="G6" s="74" t="n">
        <v>280</v>
      </c>
      <c r="H6" s="74" t="n">
        <v>0.3</v>
      </c>
      <c r="I6" s="74" t="n">
        <v>500</v>
      </c>
      <c r="J6" s="74" t="n">
        <v>220</v>
      </c>
      <c r="K6" s="76">
        <f>IFERROR(D6*E6+F6*G6+H6+J6/I6,0)</f>
      </c>
      <c r="L6" s="62" t="s">
        <v>0</v>
      </c>
      <c r="M6" s="76">
        <f>IFERROR(K6*(1+L6),0)</f>
      </c>
      <c r="N6" s="60" t="s">
        <v>0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74" t="n">
        <v>0.06</v>
      </c>
      <c r="E7" s="74" t="n">
        <v>100</v>
      </c>
      <c r="F7" s="74" t="n">
        <v>0.06</v>
      </c>
      <c r="G7" s="74" t="n">
        <v>180</v>
      </c>
      <c r="H7" s="74" t="n">
        <v>0.2</v>
      </c>
      <c r="I7" s="74" t="n">
        <v>500</v>
      </c>
      <c r="J7" s="74" t="n">
        <v>80</v>
      </c>
      <c r="K7" s="76">
        <f>IFERROR(D7*E7+F7*G7+H7+J7/I7,0)</f>
      </c>
      <c r="L7" s="62" t="s">
        <v>0</v>
      </c>
      <c r="M7" s="76">
        <f>IFERROR(K7*(1+L7),0)</f>
      </c>
      <c r="N7" s="60" t="s">
        <v>0</v>
      </c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74" t="n">
        <v>0.02</v>
      </c>
      <c r="E8" s="74" t="n">
        <v>60</v>
      </c>
      <c r="F8" s="74" t="n">
        <v>0</v>
      </c>
      <c r="G8" s="74" t="n">
        <v>0</v>
      </c>
      <c r="H8" s="74" t="n">
        <v>0.15</v>
      </c>
      <c r="I8" s="74" t="n">
        <v>1</v>
      </c>
      <c r="J8" s="74" t="n">
        <v>0</v>
      </c>
      <c r="K8" s="76">
        <f>IFERROR(D8*E8+F8*G8+H8+J8/I8,0)</f>
      </c>
      <c r="L8" s="62" t="s">
        <v>0</v>
      </c>
      <c r="M8" s="76">
        <f>IFERROR(K8*(1+L8),0)</f>
      </c>
      <c r="N8" s="60" t="s">
        <v>0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74" t="n">
        <v>0.1</v>
      </c>
      <c r="E9" s="74" t="n">
        <v>180</v>
      </c>
      <c r="F9" s="74" t="n">
        <v>0</v>
      </c>
      <c r="G9" s="74" t="n">
        <v>0</v>
      </c>
      <c r="H9" s="74" t="n">
        <v>0</v>
      </c>
      <c r="I9" s="74" t="n">
        <v>450</v>
      </c>
      <c r="J9" s="74" t="n">
        <v>800</v>
      </c>
      <c r="K9" s="76">
        <f>IFERROR(D9*E9+F9*G9+H9+J9/I9,0)</f>
      </c>
      <c r="L9" s="62" t="s">
        <v>0</v>
      </c>
      <c r="M9" s="76">
        <f>IFERROR(K9*(1+L9),0)</f>
      </c>
      <c r="N9" s="60" t="s">
        <v>0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 t="s">
        <v>0</v>
      </c>
      <c r="B10" s="60" t="s">
        <v>0</v>
      </c>
      <c r="C10" s="60" t="s">
        <v>0</v>
      </c>
      <c r="D10" s="74" t="n">
        <v>3</v>
      </c>
      <c r="E10" s="74" t="n">
        <v>180</v>
      </c>
      <c r="F10" s="74" t="n">
        <v>0</v>
      </c>
      <c r="G10" s="74" t="n">
        <v>0</v>
      </c>
      <c r="H10" s="74" t="n">
        <v>80</v>
      </c>
      <c r="I10" s="74" t="n">
        <v>1</v>
      </c>
      <c r="J10" s="74" t="n">
        <v>0</v>
      </c>
      <c r="K10" s="76">
        <f>IFERROR(D10*E10+F10*G10+H10+J10/I10,0)</f>
      </c>
      <c r="L10" s="62" t="s">
        <v>0</v>
      </c>
      <c r="M10" s="76">
        <f>IFERROR(K10*(1+L10),0)</f>
      </c>
      <c r="N10" s="60" t="s">
        <v>0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 t="s">
        <v>0</v>
      </c>
      <c r="B11" s="60" t="s">
        <v>0</v>
      </c>
      <c r="C11" s="60" t="s">
        <v>0</v>
      </c>
      <c r="D11" s="74" t="n">
        <v>0.04</v>
      </c>
      <c r="E11" s="74" t="n">
        <v>100</v>
      </c>
      <c r="F11" s="74" t="n">
        <v>0.08</v>
      </c>
      <c r="G11" s="74" t="n">
        <v>250</v>
      </c>
      <c r="H11" s="74" t="n">
        <v>0.6</v>
      </c>
      <c r="I11" s="74" t="s">
        <v>0</v>
      </c>
      <c r="J11" s="74" t="n">
        <v>600</v>
      </c>
      <c r="K11" s="76">
        <f>IFERROR(D11*E11+F11*G11+H11+J11/I11,0)</f>
      </c>
      <c r="L11" s="62" t="s">
        <v>0</v>
      </c>
      <c r="M11" s="76">
        <f>IFERROR(K11*(1+L11),0)</f>
      </c>
      <c r="N11" s="60" t="s">
        <v>0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/>
      <c r="B12" s="60"/>
      <c r="C12" s="60"/>
      <c r="D12" s="74"/>
      <c r="E12" s="74"/>
      <c r="F12" s="74"/>
      <c r="G12" s="74"/>
      <c r="H12" s="74"/>
      <c r="I12" s="74"/>
      <c r="J12" s="74"/>
      <c r="K12" s="76">
        <f>IFERROR(D12*E12+F12*G12+H12+J12/I12,0)</f>
      </c>
      <c r="L12" s="62" t="s">
        <v>0</v>
      </c>
      <c r="M12" s="76">
        <f>IFERROR(K12*(1+L12),0)</f>
      </c>
      <c r="N12" s="60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/>
      <c r="B13" s="60"/>
      <c r="C13" s="60"/>
      <c r="D13" s="74"/>
      <c r="E13" s="74"/>
      <c r="F13" s="74"/>
      <c r="G13" s="74"/>
      <c r="H13" s="74"/>
      <c r="I13" s="74"/>
      <c r="J13" s="74"/>
      <c r="K13" s="76">
        <f>IFERROR(D13*E13+F13*G13+H13+J13/I13,0)</f>
      </c>
      <c r="L13" s="62" t="s">
        <v>0</v>
      </c>
      <c r="M13" s="76">
        <f>IFERROR(K13*(1+L13),0)</f>
      </c>
      <c r="N13" s="60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/>
      <c r="B14" s="60"/>
      <c r="C14" s="60"/>
      <c r="D14" s="74"/>
      <c r="E14" s="74"/>
      <c r="F14" s="74"/>
      <c r="G14" s="74"/>
      <c r="H14" s="74"/>
      <c r="I14" s="74"/>
      <c r="J14" s="74"/>
      <c r="K14" s="76">
        <f>IFERROR(D14*E14+F14*G14+H14+J14/I14,0)</f>
      </c>
      <c r="L14" s="62" t="s">
        <v>0</v>
      </c>
      <c r="M14" s="76">
        <f>IFERROR(K14*(1+L14),0)</f>
      </c>
      <c r="N14" s="60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/>
      <c r="B15" s="60"/>
      <c r="C15" s="60"/>
      <c r="D15" s="74"/>
      <c r="E15" s="74"/>
      <c r="F15" s="74"/>
      <c r="G15" s="74"/>
      <c r="H15" s="74"/>
      <c r="I15" s="74"/>
      <c r="J15" s="74"/>
      <c r="K15" s="76">
        <f>IFERROR(D15*E15+F15*G15+H15+J15/I15,0)</f>
      </c>
      <c r="L15" s="62" t="s">
        <v>0</v>
      </c>
      <c r="M15" s="76">
        <f>IFERROR(K15*(1+L15),0)</f>
      </c>
      <c r="N15" s="60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/>
      <c r="B16" s="60"/>
      <c r="C16" s="60"/>
      <c r="D16" s="74"/>
      <c r="E16" s="74"/>
      <c r="F16" s="74"/>
      <c r="G16" s="74"/>
      <c r="H16" s="74"/>
      <c r="I16" s="74"/>
      <c r="J16" s="74"/>
      <c r="K16" s="76">
        <f>IFERROR(D16*E16+F16*G16+H16+J16/I16,0)</f>
      </c>
      <c r="L16" s="62" t="s">
        <v>0</v>
      </c>
      <c r="M16" s="76">
        <f>IFERROR(K16*(1+L16),0)</f>
      </c>
      <c r="N16" s="60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/>
      <c r="B17" s="60"/>
      <c r="C17" s="60"/>
      <c r="D17" s="74"/>
      <c r="E17" s="74"/>
      <c r="F17" s="74"/>
      <c r="G17" s="74"/>
      <c r="H17" s="74"/>
      <c r="I17" s="74"/>
      <c r="J17" s="74"/>
      <c r="K17" s="76">
        <f>IFERROR(D17*E17+F17*G17+H17+J17/I17,0)</f>
      </c>
      <c r="L17" s="62" t="s">
        <v>0</v>
      </c>
      <c r="M17" s="76">
        <f>IFERROR(K17*(1+L17),0)</f>
      </c>
      <c r="N17" s="60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/>
      <c r="B18" s="60"/>
      <c r="C18" s="60"/>
      <c r="D18" s="74"/>
      <c r="E18" s="74"/>
      <c r="F18" s="74"/>
      <c r="G18" s="74"/>
      <c r="H18" s="74"/>
      <c r="I18" s="74"/>
      <c r="J18" s="74"/>
      <c r="K18" s="76">
        <f>IFERROR(D18*E18+F18*G18+H18+J18/I18,0)</f>
      </c>
      <c r="L18" s="62" t="s">
        <v>0</v>
      </c>
      <c r="M18" s="76">
        <f>IFERROR(K18*(1+L18),0)</f>
      </c>
      <c r="N18" s="60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/>
      <c r="B19" s="60"/>
      <c r="C19" s="60"/>
      <c r="D19" s="74"/>
      <c r="E19" s="74"/>
      <c r="F19" s="74"/>
      <c r="G19" s="74"/>
      <c r="H19" s="74"/>
      <c r="I19" s="74"/>
      <c r="J19" s="74"/>
      <c r="K19" s="76">
        <f>IFERROR(D19*E19+F19*G19+H19+J19/I19,0)</f>
      </c>
      <c r="L19" s="62" t="s">
        <v>0</v>
      </c>
      <c r="M19" s="76">
        <f>IFERROR(K19*(1+L19),0)</f>
      </c>
      <c r="N19" s="60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/>
      <c r="B20" s="60"/>
      <c r="C20" s="60"/>
      <c r="D20" s="74"/>
      <c r="E20" s="74"/>
      <c r="F20" s="74"/>
      <c r="G20" s="74"/>
      <c r="H20" s="74"/>
      <c r="I20" s="74"/>
      <c r="J20" s="74"/>
      <c r="K20" s="76">
        <f>IFERROR(D20*E20+F20*G20+H20+J20/I20,0)</f>
      </c>
      <c r="L20" s="62" t="s">
        <v>0</v>
      </c>
      <c r="M20" s="76">
        <f>IFERROR(K20*(1+L20),0)</f>
      </c>
      <c r="N20" s="60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/>
      <c r="B21" s="60"/>
      <c r="C21" s="60"/>
      <c r="D21" s="74"/>
      <c r="E21" s="74"/>
      <c r="F21" s="74"/>
      <c r="G21" s="74"/>
      <c r="H21" s="74"/>
      <c r="I21" s="74"/>
      <c r="J21" s="74"/>
      <c r="K21" s="76">
        <f>IFERROR(D21*E21+F21*G21+H21+J21/I21,0)</f>
      </c>
      <c r="L21" s="62" t="s">
        <v>0</v>
      </c>
      <c r="M21" s="76">
        <f>IFERROR(K21*(1+L21),0)</f>
      </c>
      <c r="N21" s="60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/>
      <c r="B22" s="60"/>
      <c r="C22" s="60"/>
      <c r="D22" s="74"/>
      <c r="E22" s="74"/>
      <c r="F22" s="74"/>
      <c r="G22" s="74"/>
      <c r="H22" s="74"/>
      <c r="I22" s="74"/>
      <c r="J22" s="74"/>
      <c r="K22" s="76">
        <f>IFERROR(D22*E22+F22*G22+H22+J22/I22,0)</f>
      </c>
      <c r="L22" s="62" t="s">
        <v>0</v>
      </c>
      <c r="M22" s="76">
        <f>IFERROR(K22*(1+L22),0)</f>
      </c>
      <c r="N22" s="60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/>
      <c r="B23" s="60"/>
      <c r="C23" s="60"/>
      <c r="D23" s="74"/>
      <c r="E23" s="74"/>
      <c r="F23" s="74"/>
      <c r="G23" s="74"/>
      <c r="H23" s="74"/>
      <c r="I23" s="74"/>
      <c r="J23" s="74"/>
      <c r="K23" s="76">
        <f>IFERROR(D23*E23+F23*G23+H23+J23/I23,0)</f>
      </c>
      <c r="L23" s="62" t="s">
        <v>0</v>
      </c>
      <c r="M23" s="76">
        <f>IFERROR(K23*(1+L23),0)</f>
      </c>
      <c r="N23" s="60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/>
      <c r="B24" s="60"/>
      <c r="C24" s="60"/>
      <c r="D24" s="74"/>
      <c r="E24" s="74"/>
      <c r="F24" s="74"/>
      <c r="G24" s="74"/>
      <c r="H24" s="74"/>
      <c r="I24" s="74"/>
      <c r="J24" s="74"/>
      <c r="K24" s="76">
        <f>IFERROR(D24*E24+F24*G24+H24+J24/I24,0)</f>
      </c>
      <c r="L24" s="62" t="s">
        <v>0</v>
      </c>
      <c r="M24" s="76">
        <f>IFERROR(K24*(1+L24),0)</f>
      </c>
      <c r="N24" s="60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/>
      <c r="B25" s="60"/>
      <c r="C25" s="60"/>
      <c r="D25" s="74"/>
      <c r="E25" s="74"/>
      <c r="F25" s="74"/>
      <c r="G25" s="74"/>
      <c r="H25" s="74"/>
      <c r="I25" s="74"/>
      <c r="J25" s="74"/>
      <c r="K25" s="76">
        <f>IFERROR(D25*E25+F25*G25+H25+J25/I25,0)</f>
      </c>
      <c r="L25" s="62" t="s">
        <v>0</v>
      </c>
      <c r="M25" s="76">
        <f>IFERROR(K25*(1+L25),0)</f>
      </c>
      <c r="N25" s="60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/>
      <c r="B26" s="60"/>
      <c r="C26" s="60"/>
      <c r="D26" s="74"/>
      <c r="E26" s="74"/>
      <c r="F26" s="74"/>
      <c r="G26" s="74"/>
      <c r="H26" s="74"/>
      <c r="I26" s="74"/>
      <c r="J26" s="74"/>
      <c r="K26" s="76">
        <f>IFERROR(D26*E26+F26*G26+H26+J26/I26,0)</f>
      </c>
      <c r="L26" s="62" t="s">
        <v>0</v>
      </c>
      <c r="M26" s="76">
        <f>IFERROR(K26*(1+L26),0)</f>
      </c>
      <c r="N26" s="60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/>
      <c r="B27" s="60"/>
      <c r="C27" s="60"/>
      <c r="D27" s="74"/>
      <c r="E27" s="74"/>
      <c r="F27" s="74"/>
      <c r="G27" s="74"/>
      <c r="H27" s="74"/>
      <c r="I27" s="74"/>
      <c r="J27" s="74"/>
      <c r="K27" s="76">
        <f>IFERROR(D27*E27+F27*G27+H27+J27/I27,0)</f>
      </c>
      <c r="L27" s="62" t="s">
        <v>0</v>
      </c>
      <c r="M27" s="76">
        <f>IFERROR(K27*(1+L27),0)</f>
      </c>
      <c r="N27" s="60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/>
      <c r="B28" s="60"/>
      <c r="C28" s="60"/>
      <c r="D28" s="74"/>
      <c r="E28" s="74"/>
      <c r="F28" s="74"/>
      <c r="G28" s="74"/>
      <c r="H28" s="74"/>
      <c r="I28" s="74"/>
      <c r="J28" s="74"/>
      <c r="K28" s="76">
        <f>IFERROR(D28*E28+F28*G28+H28+J28/I28,0)</f>
      </c>
      <c r="L28" s="62" t="s">
        <v>0</v>
      </c>
      <c r="M28" s="76">
        <f>IFERROR(K28*(1+L28),0)</f>
      </c>
      <c r="N28" s="60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/>
      <c r="B29" s="60"/>
      <c r="C29" s="60"/>
      <c r="D29" s="74"/>
      <c r="E29" s="74"/>
      <c r="F29" s="74"/>
      <c r="G29" s="74"/>
      <c r="H29" s="74"/>
      <c r="I29" s="74"/>
      <c r="J29" s="74"/>
      <c r="K29" s="76">
        <f>IFERROR(D29*E29+F29*G29+H29+J29/I29,0)</f>
      </c>
      <c r="L29" s="62" t="s">
        <v>0</v>
      </c>
      <c r="M29" s="76">
        <f>IFERROR(K29*(1+L29),0)</f>
      </c>
      <c r="N29" s="60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/>
      <c r="B30" s="60"/>
      <c r="C30" s="60"/>
      <c r="D30" s="74"/>
      <c r="E30" s="74"/>
      <c r="F30" s="74"/>
      <c r="G30" s="74"/>
      <c r="H30" s="74"/>
      <c r="I30" s="74"/>
      <c r="J30" s="74"/>
      <c r="K30" s="76">
        <f>IFERROR(D30*E30+F30*G30+H30+J30/I30,0)</f>
      </c>
      <c r="L30" s="62" t="s">
        <v>0</v>
      </c>
      <c r="M30" s="76">
        <f>IFERROR(K30*(1+L30),0)</f>
      </c>
      <c r="N30" s="60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/>
      <c r="B31" s="60"/>
      <c r="C31" s="60"/>
      <c r="D31" s="74"/>
      <c r="E31" s="74"/>
      <c r="F31" s="74"/>
      <c r="G31" s="74"/>
      <c r="H31" s="74"/>
      <c r="I31" s="74"/>
      <c r="J31" s="74"/>
      <c r="K31" s="76">
        <f>IFERROR(D31*E31+F31*G31+H31+J31/I31,0)</f>
      </c>
      <c r="L31" s="62" t="s">
        <v>0</v>
      </c>
      <c r="M31" s="76">
        <f>IFERROR(K31*(1+L31),0)</f>
      </c>
      <c r="N31" s="60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/>
      <c r="B32" s="60"/>
      <c r="C32" s="60"/>
      <c r="D32" s="74"/>
      <c r="E32" s="74"/>
      <c r="F32" s="74"/>
      <c r="G32" s="74"/>
      <c r="H32" s="74"/>
      <c r="I32" s="74"/>
      <c r="J32" s="74"/>
      <c r="K32" s="76">
        <f>IFERROR(D32*E32+F32*G32+H32+J32/I32,0)</f>
      </c>
      <c r="L32" s="62" t="s">
        <v>0</v>
      </c>
      <c r="M32" s="76">
        <f>IFERROR(K32*(1+L32),0)</f>
      </c>
      <c r="N32" s="60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/>
      <c r="B33" s="60"/>
      <c r="C33" s="60"/>
      <c r="D33" s="74"/>
      <c r="E33" s="74"/>
      <c r="F33" s="74"/>
      <c r="G33" s="74"/>
      <c r="H33" s="74"/>
      <c r="I33" s="74"/>
      <c r="J33" s="74"/>
      <c r="K33" s="76">
        <f>IFERROR(D33*E33+F33*G33+H33+J33/I33,0)</f>
      </c>
      <c r="L33" s="62" t="s">
        <v>0</v>
      </c>
      <c r="M33" s="76">
        <f>IFERROR(K33*(1+L33),0)</f>
      </c>
      <c r="N33" s="60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/>
      <c r="B34" s="60"/>
      <c r="C34" s="60"/>
      <c r="D34" s="74"/>
      <c r="E34" s="74"/>
      <c r="F34" s="74"/>
      <c r="G34" s="74"/>
      <c r="H34" s="74"/>
      <c r="I34" s="74"/>
      <c r="J34" s="74"/>
      <c r="K34" s="76">
        <f>IFERROR(D34*E34+F34*G34+H34+J34/I34,0)</f>
      </c>
      <c r="L34" s="62" t="s">
        <v>0</v>
      </c>
      <c r="M34" s="76">
        <f>IFERROR(K34*(1+L34),0)</f>
      </c>
      <c r="N34" s="60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/>
      <c r="B35" s="60"/>
      <c r="C35" s="60"/>
      <c r="D35" s="74"/>
      <c r="E35" s="74"/>
      <c r="F35" s="74"/>
      <c r="G35" s="74"/>
      <c r="H35" s="74"/>
      <c r="I35" s="74"/>
      <c r="J35" s="74"/>
      <c r="K35" s="76">
        <f>IFERROR(D35*E35+F35*G35+H35+J35/I35,0)</f>
      </c>
      <c r="L35" s="62" t="s">
        <v>0</v>
      </c>
      <c r="M35" s="76">
        <f>IFERROR(K35*(1+L35),0)</f>
      </c>
      <c r="N35" s="60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/>
      <c r="B36" s="60"/>
      <c r="C36" s="60"/>
      <c r="D36" s="74"/>
      <c r="E36" s="74"/>
      <c r="F36" s="74"/>
      <c r="G36" s="74"/>
      <c r="H36" s="74"/>
      <c r="I36" s="74"/>
      <c r="J36" s="74"/>
      <c r="K36" s="76">
        <f>IFERROR(D36*E36+F36*G36+H36+J36/I36,0)</f>
      </c>
      <c r="L36" s="62" t="s">
        <v>0</v>
      </c>
      <c r="M36" s="76">
        <f>IFERROR(K36*(1+L36),0)</f>
      </c>
      <c r="N36" s="60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/>
      <c r="B37" s="60"/>
      <c r="C37" s="60"/>
      <c r="D37" s="74"/>
      <c r="E37" s="74"/>
      <c r="F37" s="74"/>
      <c r="G37" s="74"/>
      <c r="H37" s="74"/>
      <c r="I37" s="74"/>
      <c r="J37" s="74"/>
      <c r="K37" s="76">
        <f>IFERROR(D37*E37+F37*G37+H37+J37/I37,0)</f>
      </c>
      <c r="L37" s="62" t="s">
        <v>0</v>
      </c>
      <c r="M37" s="76">
        <f>IFERROR(K37*(1+L37),0)</f>
      </c>
      <c r="N37" s="60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/>
      <c r="B38" s="60"/>
      <c r="C38" s="60"/>
      <c r="D38" s="74"/>
      <c r="E38" s="74"/>
      <c r="F38" s="74"/>
      <c r="G38" s="74"/>
      <c r="H38" s="74"/>
      <c r="I38" s="74"/>
      <c r="J38" s="74"/>
      <c r="K38" s="76">
        <f>IFERROR(D38*E38+F38*G38+H38+J38/I38,0)</f>
      </c>
      <c r="L38" s="62" t="s">
        <v>0</v>
      </c>
      <c r="M38" s="76">
        <f>IFERROR(K38*(1+L38),0)</f>
      </c>
      <c r="N38" s="60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/>
      <c r="B39" s="60"/>
      <c r="C39" s="60"/>
      <c r="D39" s="74"/>
      <c r="E39" s="74"/>
      <c r="F39" s="74"/>
      <c r="G39" s="74"/>
      <c r="H39" s="74"/>
      <c r="I39" s="74"/>
      <c r="J39" s="74"/>
      <c r="K39" s="76">
        <f>IFERROR(D39*E39+F39*G39+H39+J39/I39,0)</f>
      </c>
      <c r="L39" s="62" t="s">
        <v>0</v>
      </c>
      <c r="M39" s="76">
        <f>IFERROR(K39*(1+L39),0)</f>
      </c>
      <c r="N39" s="60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/>
      <c r="B40" s="60"/>
      <c r="C40" s="60"/>
      <c r="D40" s="74"/>
      <c r="E40" s="74"/>
      <c r="F40" s="74"/>
      <c r="G40" s="74"/>
      <c r="H40" s="74"/>
      <c r="I40" s="74"/>
      <c r="J40" s="74"/>
      <c r="K40" s="76">
        <f>IFERROR(D40*E40+F40*G40+H40+J40/I40,0)</f>
      </c>
      <c r="L40" s="62" t="s">
        <v>0</v>
      </c>
      <c r="M40" s="76">
        <f>IFERROR(K40*(1+L40),0)</f>
      </c>
      <c r="N40" s="60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>
      <c r="A41" s="60"/>
      <c r="B41" s="60"/>
      <c r="C41" s="60"/>
      <c r="D41" s="74"/>
      <c r="E41" s="74"/>
      <c r="F41" s="74"/>
      <c r="G41" s="74"/>
      <c r="H41" s="74"/>
      <c r="I41" s="74"/>
      <c r="J41" s="74"/>
      <c r="K41" s="76">
        <f>IFERROR(D41*E41+F41*G41+H41+J41/I41,0)</f>
      </c>
      <c r="L41" s="62" t="s">
        <v>0</v>
      </c>
      <c r="M41" s="76">
        <f>IFERROR(K41*(1+L41),0)</f>
      </c>
      <c r="N41" s="60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</row>
    <row r="42" ht="22" customHeight="true">
      <c r="A42" s="60"/>
      <c r="B42" s="60"/>
      <c r="C42" s="60"/>
      <c r="D42" s="74"/>
      <c r="E42" s="74"/>
      <c r="F42" s="74"/>
      <c r="G42" s="74"/>
      <c r="H42" s="74"/>
      <c r="I42" s="74"/>
      <c r="J42" s="74"/>
      <c r="K42" s="76">
        <f>IFERROR(D42*E42+F42*G42+H42+J42/I42,0)</f>
      </c>
      <c r="L42" s="62" t="s">
        <v>0</v>
      </c>
      <c r="M42" s="76">
        <f>IFERROR(K42*(1+L42),0)</f>
      </c>
      <c r="N42" s="60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</row>
    <row r="43" ht="22" customHeight="true">
      <c r="A43" s="60"/>
      <c r="B43" s="60"/>
      <c r="C43" s="60"/>
      <c r="D43" s="74"/>
      <c r="E43" s="74"/>
      <c r="F43" s="74"/>
      <c r="G43" s="74"/>
      <c r="H43" s="74"/>
      <c r="I43" s="74"/>
      <c r="J43" s="74"/>
      <c r="K43" s="76">
        <f>IFERROR(D43*E43+F43*G43+H43+J43/I43,0)</f>
      </c>
      <c r="L43" s="62" t="s">
        <v>0</v>
      </c>
      <c r="M43" s="76">
        <f>IFERROR(K43*(1+L43),0)</f>
      </c>
      <c r="N43" s="60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</row>
    <row r="44" ht="22" customHeight="true">
      <c r="A44" s="60"/>
      <c r="B44" s="60"/>
      <c r="C44" s="60"/>
      <c r="D44" s="74"/>
      <c r="E44" s="74"/>
      <c r="F44" s="74"/>
      <c r="G44" s="74"/>
      <c r="H44" s="74"/>
      <c r="I44" s="74"/>
      <c r="J44" s="74"/>
      <c r="K44" s="76">
        <f>IFERROR(D44*E44+F44*G44+H44+J44/I44,0)</f>
      </c>
      <c r="L44" s="62" t="s">
        <v>0</v>
      </c>
      <c r="M44" s="76">
        <f>IFERROR(K44*(1+L44),0)</f>
      </c>
      <c r="N44" s="60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</row>
    <row r="45" ht="22" customHeight="true">
      <c r="A45" s="60"/>
      <c r="B45" s="60"/>
      <c r="C45" s="60"/>
      <c r="D45" s="74"/>
      <c r="E45" s="74"/>
      <c r="F45" s="74"/>
      <c r="G45" s="74"/>
      <c r="H45" s="74"/>
      <c r="I45" s="74"/>
      <c r="J45" s="74"/>
      <c r="K45" s="76">
        <f>IFERROR(D45*E45+F45*G45+H45+J45/I45,0)</f>
      </c>
      <c r="L45" s="62" t="s">
        <v>0</v>
      </c>
      <c r="M45" s="76">
        <f>IFERROR(K45*(1+L45),0)</f>
      </c>
      <c r="N45" s="60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</row>
    <row r="46" ht="22" customHeight="true"/>
    <row r="47" ht="22" customHeight="true"/>
    <row r="48" ht="22" customHeight="true"/>
    <row r="49" ht="22" customHeight="true"/>
    <row r="50" ht="22" customHeight="true"/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N1"/>
    <mergeCell ref="A2:N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e7f8e149b1124373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0"/>
    <col customWidth="true" max="2" min="2" width="22"/>
    <col customWidth="true" max="3" min="3" width="12"/>
    <col customWidth="true" max="4" min="4" width="14"/>
    <col customWidth="true" max="5" min="5" width="12"/>
    <col customWidth="true" max="7" min="6" width="10"/>
    <col customWidth="true" max="8" min="8" width="15"/>
    <col customWidth="true" max="9" min="9" width="8"/>
    <col customWidth="true" max="10" min="10" width="10"/>
    <col customWidth="true" max="11" min="11" width="16"/>
    <col customWidth="true" max="12" min="12" width="14"/>
    <col customWidth="true" max="13" min="13" width="10"/>
    <col customWidth="true" max="14" min="14" width="12"/>
    <col customWidth="true" max="15" min="15" width="14"/>
    <col customWidth="true" max="16" min="16" width="24"/>
  </cols>
  <sheetData>
    <row r="1" ht="34" customHeight="true">
      <c r="A1" s="10" t="s">
        <v>0</v>
      </c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原価ID</t>
        </is>
      </c>
      <c r="B5" s="40" t="inlineStr">
        <is>
          <t>出荷地と納入先</t>
        </is>
      </c>
      <c r="C5" s="40" t="inlineStr">
        <is>
          <t>Incoterms</t>
        </is>
      </c>
      <c r="D5" s="40" t="inlineStr">
        <is>
          <t>重量と容積</t>
        </is>
      </c>
      <c r="E5" s="40" t="inlineStr">
        <is>
          <t>単位運賃</t>
        </is>
      </c>
      <c r="F5" s="40" t="inlineStr">
        <is>
          <t>保険料率</t>
        </is>
      </c>
      <c r="G5" s="40" t="inlineStr">
        <is>
          <t>関税率</t>
        </is>
      </c>
      <c r="H5" s="40" t="inlineStr">
        <is>
          <t>単位通関・倉庫費</t>
        </is>
      </c>
      <c r="I5" s="40" t="inlineStr">
        <is>
          <t>通貨</t>
        </is>
      </c>
      <c r="J5" s="40" t="inlineStr">
        <is>
          <t>人民元換算レート</t>
        </is>
      </c>
      <c r="K5" s="40" t="inlineStr">
        <is>
          <t>単位税抜物流費</t>
        </is>
      </c>
      <c r="L5" s="40" t="inlineStr">
        <is>
          <t>支払条件</t>
        </is>
      </c>
      <c r="M5" s="40" t="inlineStr">
        <is>
          <t>支払サイト日数</t>
        </is>
      </c>
      <c r="N5" s="40" t="inlineStr">
        <is>
          <t>年間金融利率</t>
        </is>
      </c>
      <c r="O5" s="40" t="inlineStr">
        <is>
          <t>単位金融費</t>
        </is>
      </c>
      <c r="P5" s="40" t="inlineStr">
        <is>
          <t>メモ</t>
        </is>
      </c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60" t="s">
        <v>0</v>
      </c>
      <c r="E6" s="74" t="n">
        <v>1.6</v>
      </c>
      <c r="F6" s="62" t="s">
        <v>0</v>
      </c>
      <c r="G6" s="62" t="s">
        <v>0</v>
      </c>
      <c r="H6" s="74" t="n">
        <v>0.5</v>
      </c>
      <c r="I6" s="60" t="s">
        <v>0</v>
      </c>
      <c r="J6" s="72">
        <f>IFERROR(VLOOKUP(I6,'Настройки'!$F$18:$G$24,2,FALSE),1)</f>
      </c>
      <c r="K6" s="76">
        <f>IFERROR(E6*(1+F6+G6)+H6,0)</f>
      </c>
      <c r="L6" s="60" t="s">
        <v>0</v>
      </c>
      <c r="M6" s="86" t="n">
        <v>60</v>
      </c>
      <c r="N6" s="62" t="s">
        <v>0</v>
      </c>
      <c r="O6" s="76">
        <f>IFERROR(K6*N6*M6/365,0)</f>
      </c>
      <c r="P6" s="60" t="s">
        <v>0</v>
      </c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60" t="s">
        <v>0</v>
      </c>
      <c r="E7" s="74" t="n">
        <v>950</v>
      </c>
      <c r="F7" s="62" t="s">
        <v>0</v>
      </c>
      <c r="G7" s="62" t="s">
        <v>0</v>
      </c>
      <c r="H7" s="74" t="n">
        <v>450</v>
      </c>
      <c r="I7" s="60" t="s">
        <v>0</v>
      </c>
      <c r="J7" s="72">
        <f>IFERROR(VLOOKUP(I7,'Настройки'!$F$18:$G$24,2,FALSE),1)</f>
      </c>
      <c r="K7" s="76">
        <f>IFERROR(E7*(1+F7+G7)+H7,0)</f>
      </c>
      <c r="L7" s="60" t="s">
        <v>0</v>
      </c>
      <c r="M7" s="86" t="n">
        <v>30</v>
      </c>
      <c r="N7" s="62" t="s">
        <v>0</v>
      </c>
      <c r="O7" s="76">
        <f>IFERROR(K7*N7*M7/365,0)</f>
      </c>
      <c r="P7" s="60" t="s">
        <v>0</v>
      </c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60" t="s">
        <v>0</v>
      </c>
      <c r="E8" s="74" t="n">
        <v>2.3</v>
      </c>
      <c r="F8" s="62" t="s">
        <v>0</v>
      </c>
      <c r="G8" s="62" t="s">
        <v>0</v>
      </c>
      <c r="H8" s="74" t="n">
        <v>0.2</v>
      </c>
      <c r="I8" s="60" t="s">
        <v>0</v>
      </c>
      <c r="J8" s="72">
        <f>IFERROR(VLOOKUP(I8,'Настройки'!$F$18:$G$24,2,FALSE),1)</f>
      </c>
      <c r="K8" s="76">
        <f>IFERROR(E8*(1+F8+G8)+H8,0)</f>
      </c>
      <c r="L8" s="60" t="s">
        <v>0</v>
      </c>
      <c r="M8" s="86" t="n">
        <v>45</v>
      </c>
      <c r="N8" s="62" t="s">
        <v>0</v>
      </c>
      <c r="O8" s="76">
        <f>IFERROR(K8*N8*M8/365,0)</f>
      </c>
      <c r="P8" s="60" t="s">
        <v>0</v>
      </c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60" t="s">
        <v>0</v>
      </c>
      <c r="E9" s="74" t="n">
        <v>0.25</v>
      </c>
      <c r="F9" s="62" t="s">
        <v>0</v>
      </c>
      <c r="G9" s="62" t="s">
        <v>0</v>
      </c>
      <c r="H9" s="74" t="n">
        <v>0.1</v>
      </c>
      <c r="I9" s="60" t="s">
        <v>0</v>
      </c>
      <c r="J9" s="72">
        <f>IFERROR(VLOOKUP(I9,'Настройки'!$F$18:$G$24,2,FALSE),1)</f>
      </c>
      <c r="K9" s="76">
        <f>IFERROR(E9*(1+F9+G9)+H9,0)</f>
      </c>
      <c r="L9" s="60" t="s">
        <v>0</v>
      </c>
      <c r="M9" s="86" t="n">
        <v>0</v>
      </c>
      <c r="N9" s="62" t="s">
        <v>0</v>
      </c>
      <c r="O9" s="76">
        <f>IFERROR(K9*N9*M9/365,0)</f>
      </c>
      <c r="P9" s="60" t="s">
        <v>0</v>
      </c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/>
      <c r="B10" s="60"/>
      <c r="C10" s="60"/>
      <c r="D10" s="60"/>
      <c r="E10" s="74"/>
      <c r="F10" s="62" t="s">
        <v>0</v>
      </c>
      <c r="G10" s="62" t="s">
        <v>0</v>
      </c>
      <c r="H10" s="74"/>
      <c r="I10" s="60" t="s">
        <v>0</v>
      </c>
      <c r="J10" s="72">
        <f>IFERROR(VLOOKUP(I10,'Настройки'!$F$18:$G$24,2,FALSE),1)</f>
      </c>
      <c r="K10" s="76">
        <f>IFERROR(E10*(1+F10+G10)+H10,0)</f>
      </c>
      <c r="L10" s="60"/>
      <c r="M10" s="86"/>
      <c r="N10" s="62">
        <f>'Настройки'!$B$13</f>
      </c>
      <c r="O10" s="76">
        <f>IFERROR(K10*N10*M10/365,0)</f>
      </c>
      <c r="P10" s="60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/>
      <c r="B11" s="60"/>
      <c r="C11" s="60"/>
      <c r="D11" s="60"/>
      <c r="E11" s="74"/>
      <c r="F11" s="62" t="s">
        <v>0</v>
      </c>
      <c r="G11" s="62" t="s">
        <v>0</v>
      </c>
      <c r="H11" s="74"/>
      <c r="I11" s="60" t="s">
        <v>0</v>
      </c>
      <c r="J11" s="72">
        <f>IFERROR(VLOOKUP(I11,'Настройки'!$F$18:$G$24,2,FALSE),1)</f>
      </c>
      <c r="K11" s="76">
        <f>IFERROR(E11*(1+F11+G11)+H11,0)</f>
      </c>
      <c r="L11" s="60"/>
      <c r="M11" s="86"/>
      <c r="N11" s="62">
        <f>'Настройки'!$B$13</f>
      </c>
      <c r="O11" s="76">
        <f>IFERROR(K11*N11*M11/365,0)</f>
      </c>
      <c r="P11" s="60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/>
      <c r="B12" s="60"/>
      <c r="C12" s="60"/>
      <c r="D12" s="60"/>
      <c r="E12" s="74"/>
      <c r="F12" s="62" t="s">
        <v>0</v>
      </c>
      <c r="G12" s="62" t="s">
        <v>0</v>
      </c>
      <c r="H12" s="74"/>
      <c r="I12" s="60" t="s">
        <v>0</v>
      </c>
      <c r="J12" s="72">
        <f>IFERROR(VLOOKUP(I12,'Настройки'!$F$18:$G$24,2,FALSE),1)</f>
      </c>
      <c r="K12" s="76">
        <f>IFERROR(E12*(1+F12+G12)+H12,0)</f>
      </c>
      <c r="L12" s="60"/>
      <c r="M12" s="86"/>
      <c r="N12" s="62">
        <f>'Настройки'!$B$13</f>
      </c>
      <c r="O12" s="76">
        <f>IFERROR(K12*N12*M12/365,0)</f>
      </c>
      <c r="P12" s="60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/>
      <c r="B13" s="60"/>
      <c r="C13" s="60"/>
      <c r="D13" s="60"/>
      <c r="E13" s="74"/>
      <c r="F13" s="62" t="s">
        <v>0</v>
      </c>
      <c r="G13" s="62" t="s">
        <v>0</v>
      </c>
      <c r="H13" s="74"/>
      <c r="I13" s="60" t="s">
        <v>0</v>
      </c>
      <c r="J13" s="72">
        <f>IFERROR(VLOOKUP(I13,'Настройки'!$F$18:$G$24,2,FALSE),1)</f>
      </c>
      <c r="K13" s="76">
        <f>IFERROR(E13*(1+F13+G13)+H13,0)</f>
      </c>
      <c r="L13" s="60"/>
      <c r="M13" s="86"/>
      <c r="N13" s="62">
        <f>'Настройки'!$B$13</f>
      </c>
      <c r="O13" s="76">
        <f>IFERROR(K13*N13*M13/365,0)</f>
      </c>
      <c r="P13" s="60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/>
      <c r="B14" s="60"/>
      <c r="C14" s="60"/>
      <c r="D14" s="60"/>
      <c r="E14" s="74"/>
      <c r="F14" s="62" t="s">
        <v>0</v>
      </c>
      <c r="G14" s="62" t="s">
        <v>0</v>
      </c>
      <c r="H14" s="74"/>
      <c r="I14" s="60" t="s">
        <v>0</v>
      </c>
      <c r="J14" s="72">
        <f>IFERROR(VLOOKUP(I14,'Настройки'!$F$18:$G$24,2,FALSE),1)</f>
      </c>
      <c r="K14" s="76">
        <f>IFERROR(E14*(1+F14+G14)+H14,0)</f>
      </c>
      <c r="L14" s="60"/>
      <c r="M14" s="86"/>
      <c r="N14" s="62">
        <f>'Настройки'!$B$13</f>
      </c>
      <c r="O14" s="76">
        <f>IFERROR(K14*N14*M14/365,0)</f>
      </c>
      <c r="P14" s="60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/>
      <c r="B15" s="60"/>
      <c r="C15" s="60"/>
      <c r="D15" s="60"/>
      <c r="E15" s="74"/>
      <c r="F15" s="62" t="s">
        <v>0</v>
      </c>
      <c r="G15" s="62" t="s">
        <v>0</v>
      </c>
      <c r="H15" s="74"/>
      <c r="I15" s="60" t="s">
        <v>0</v>
      </c>
      <c r="J15" s="72">
        <f>IFERROR(VLOOKUP(I15,'Настройки'!$F$18:$G$24,2,FALSE),1)</f>
      </c>
      <c r="K15" s="76">
        <f>IFERROR(E15*(1+F15+G15)+H15,0)</f>
      </c>
      <c r="L15" s="60"/>
      <c r="M15" s="86"/>
      <c r="N15" s="62">
        <f>'Настройки'!$B$13</f>
      </c>
      <c r="O15" s="76">
        <f>IFERROR(K15*N15*M15/365,0)</f>
      </c>
      <c r="P15" s="60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/>
      <c r="B16" s="60"/>
      <c r="C16" s="60"/>
      <c r="D16" s="60"/>
      <c r="E16" s="74"/>
      <c r="F16" s="62" t="s">
        <v>0</v>
      </c>
      <c r="G16" s="62" t="s">
        <v>0</v>
      </c>
      <c r="H16" s="74"/>
      <c r="I16" s="60" t="s">
        <v>0</v>
      </c>
      <c r="J16" s="72">
        <f>IFERROR(VLOOKUP(I16,'Настройки'!$F$18:$G$24,2,FALSE),1)</f>
      </c>
      <c r="K16" s="76">
        <f>IFERROR(E16*(1+F16+G16)+H16,0)</f>
      </c>
      <c r="L16" s="60"/>
      <c r="M16" s="86"/>
      <c r="N16" s="62">
        <f>'Настройки'!$B$13</f>
      </c>
      <c r="O16" s="76">
        <f>IFERROR(K16*N16*M16/365,0)</f>
      </c>
      <c r="P16" s="60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/>
      <c r="B17" s="60"/>
      <c r="C17" s="60"/>
      <c r="D17" s="60"/>
      <c r="E17" s="74"/>
      <c r="F17" s="62" t="s">
        <v>0</v>
      </c>
      <c r="G17" s="62" t="s">
        <v>0</v>
      </c>
      <c r="H17" s="74"/>
      <c r="I17" s="60" t="s">
        <v>0</v>
      </c>
      <c r="J17" s="72">
        <f>IFERROR(VLOOKUP(I17,'Настройки'!$F$18:$G$24,2,FALSE),1)</f>
      </c>
      <c r="K17" s="76">
        <f>IFERROR(E17*(1+F17+G17)+H17,0)</f>
      </c>
      <c r="L17" s="60"/>
      <c r="M17" s="86"/>
      <c r="N17" s="62">
        <f>'Настройки'!$B$13</f>
      </c>
      <c r="O17" s="76">
        <f>IFERROR(K17*N17*M17/365,0)</f>
      </c>
      <c r="P17" s="60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/>
      <c r="B18" s="60"/>
      <c r="C18" s="60"/>
      <c r="D18" s="60"/>
      <c r="E18" s="74"/>
      <c r="F18" s="62" t="s">
        <v>0</v>
      </c>
      <c r="G18" s="62" t="s">
        <v>0</v>
      </c>
      <c r="H18" s="74"/>
      <c r="I18" s="60" t="s">
        <v>0</v>
      </c>
      <c r="J18" s="72">
        <f>IFERROR(VLOOKUP(I18,'Настройки'!$F$18:$G$24,2,FALSE),1)</f>
      </c>
      <c r="K18" s="76">
        <f>IFERROR(E18*(1+F18+G18)+H18,0)</f>
      </c>
      <c r="L18" s="60"/>
      <c r="M18" s="86"/>
      <c r="N18" s="62">
        <f>'Настройки'!$B$13</f>
      </c>
      <c r="O18" s="76">
        <f>IFERROR(K18*N18*M18/365,0)</f>
      </c>
      <c r="P18" s="60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/>
      <c r="B19" s="60"/>
      <c r="C19" s="60"/>
      <c r="D19" s="60"/>
      <c r="E19" s="74"/>
      <c r="F19" s="62" t="s">
        <v>0</v>
      </c>
      <c r="G19" s="62" t="s">
        <v>0</v>
      </c>
      <c r="H19" s="74"/>
      <c r="I19" s="60" t="s">
        <v>0</v>
      </c>
      <c r="J19" s="72">
        <f>IFERROR(VLOOKUP(I19,'Настройки'!$F$18:$G$24,2,FALSE),1)</f>
      </c>
      <c r="K19" s="76">
        <f>IFERROR(E19*(1+F19+G19)+H19,0)</f>
      </c>
      <c r="L19" s="60"/>
      <c r="M19" s="86"/>
      <c r="N19" s="62">
        <f>'Настройки'!$B$13</f>
      </c>
      <c r="O19" s="76">
        <f>IFERROR(K19*N19*M19/365,0)</f>
      </c>
      <c r="P19" s="60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/>
      <c r="B20" s="60"/>
      <c r="C20" s="60"/>
      <c r="D20" s="60"/>
      <c r="E20" s="74"/>
      <c r="F20" s="62" t="s">
        <v>0</v>
      </c>
      <c r="G20" s="62" t="s">
        <v>0</v>
      </c>
      <c r="H20" s="74"/>
      <c r="I20" s="60" t="s">
        <v>0</v>
      </c>
      <c r="J20" s="72">
        <f>IFERROR(VLOOKUP(I20,'Настройки'!$F$18:$G$24,2,FALSE),1)</f>
      </c>
      <c r="K20" s="76">
        <f>IFERROR(E20*(1+F20+G20)+H20,0)</f>
      </c>
      <c r="L20" s="60"/>
      <c r="M20" s="86"/>
      <c r="N20" s="62">
        <f>'Настройки'!$B$13</f>
      </c>
      <c r="O20" s="76">
        <f>IFERROR(K20*N20*M20/365,0)</f>
      </c>
      <c r="P20" s="60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/>
      <c r="B21" s="60"/>
      <c r="C21" s="60"/>
      <c r="D21" s="60"/>
      <c r="E21" s="74"/>
      <c r="F21" s="62" t="s">
        <v>0</v>
      </c>
      <c r="G21" s="62" t="s">
        <v>0</v>
      </c>
      <c r="H21" s="74"/>
      <c r="I21" s="60" t="s">
        <v>0</v>
      </c>
      <c r="J21" s="72">
        <f>IFERROR(VLOOKUP(I21,'Настройки'!$F$18:$G$24,2,FALSE),1)</f>
      </c>
      <c r="K21" s="76">
        <f>IFERROR(E21*(1+F21+G21)+H21,0)</f>
      </c>
      <c r="L21" s="60"/>
      <c r="M21" s="86"/>
      <c r="N21" s="62">
        <f>'Настройки'!$B$13</f>
      </c>
      <c r="O21" s="76">
        <f>IFERROR(K21*N21*M21/365,0)</f>
      </c>
      <c r="P21" s="60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/>
      <c r="B22" s="60"/>
      <c r="C22" s="60"/>
      <c r="D22" s="60"/>
      <c r="E22" s="74"/>
      <c r="F22" s="62" t="s">
        <v>0</v>
      </c>
      <c r="G22" s="62" t="s">
        <v>0</v>
      </c>
      <c r="H22" s="74"/>
      <c r="I22" s="60" t="s">
        <v>0</v>
      </c>
      <c r="J22" s="72">
        <f>IFERROR(VLOOKUP(I22,'Настройки'!$F$18:$G$24,2,FALSE),1)</f>
      </c>
      <c r="K22" s="76">
        <f>IFERROR(E22*(1+F22+G22)+H22,0)</f>
      </c>
      <c r="L22" s="60"/>
      <c r="M22" s="86"/>
      <c r="N22" s="62">
        <f>'Настройки'!$B$13</f>
      </c>
      <c r="O22" s="76">
        <f>IFERROR(K22*N22*M22/365,0)</f>
      </c>
      <c r="P22" s="60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/>
      <c r="B23" s="60"/>
      <c r="C23" s="60"/>
      <c r="D23" s="60"/>
      <c r="E23" s="74"/>
      <c r="F23" s="62" t="s">
        <v>0</v>
      </c>
      <c r="G23" s="62" t="s">
        <v>0</v>
      </c>
      <c r="H23" s="74"/>
      <c r="I23" s="60" t="s">
        <v>0</v>
      </c>
      <c r="J23" s="72">
        <f>IFERROR(VLOOKUP(I23,'Настройки'!$F$18:$G$24,2,FALSE),1)</f>
      </c>
      <c r="K23" s="76">
        <f>IFERROR(E23*(1+F23+G23)+H23,0)</f>
      </c>
      <c r="L23" s="60"/>
      <c r="M23" s="86"/>
      <c r="N23" s="62">
        <f>'Настройки'!$B$13</f>
      </c>
      <c r="O23" s="76">
        <f>IFERROR(K23*N23*M23/365,0)</f>
      </c>
      <c r="P23" s="60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/>
      <c r="B24" s="60"/>
      <c r="C24" s="60"/>
      <c r="D24" s="60"/>
      <c r="E24" s="74"/>
      <c r="F24" s="62" t="s">
        <v>0</v>
      </c>
      <c r="G24" s="62" t="s">
        <v>0</v>
      </c>
      <c r="H24" s="74"/>
      <c r="I24" s="60" t="s">
        <v>0</v>
      </c>
      <c r="J24" s="72">
        <f>IFERROR(VLOOKUP(I24,'Настройки'!$F$18:$G$24,2,FALSE),1)</f>
      </c>
      <c r="K24" s="76">
        <f>IFERROR(E24*(1+F24+G24)+H24,0)</f>
      </c>
      <c r="L24" s="60"/>
      <c r="M24" s="86"/>
      <c r="N24" s="62">
        <f>'Настройки'!$B$13</f>
      </c>
      <c r="O24" s="76">
        <f>IFERROR(K24*N24*M24/365,0)</f>
      </c>
      <c r="P24" s="60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/>
      <c r="B25" s="60"/>
      <c r="C25" s="60"/>
      <c r="D25" s="60"/>
      <c r="E25" s="74"/>
      <c r="F25" s="62" t="s">
        <v>0</v>
      </c>
      <c r="G25" s="62" t="s">
        <v>0</v>
      </c>
      <c r="H25" s="74"/>
      <c r="I25" s="60" t="s">
        <v>0</v>
      </c>
      <c r="J25" s="72">
        <f>IFERROR(VLOOKUP(I25,'Настройки'!$F$18:$G$24,2,FALSE),1)</f>
      </c>
      <c r="K25" s="76">
        <f>IFERROR(E25*(1+F25+G25)+H25,0)</f>
      </c>
      <c r="L25" s="60"/>
      <c r="M25" s="86"/>
      <c r="N25" s="62">
        <f>'Настройки'!$B$13</f>
      </c>
      <c r="O25" s="76">
        <f>IFERROR(K25*N25*M25/365,0)</f>
      </c>
      <c r="P25" s="60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/>
      <c r="B26" s="60"/>
      <c r="C26" s="60"/>
      <c r="D26" s="60"/>
      <c r="E26" s="74"/>
      <c r="F26" s="62" t="s">
        <v>0</v>
      </c>
      <c r="G26" s="62" t="s">
        <v>0</v>
      </c>
      <c r="H26" s="74"/>
      <c r="I26" s="60" t="s">
        <v>0</v>
      </c>
      <c r="J26" s="72">
        <f>IFERROR(VLOOKUP(I26,'Настройки'!$F$18:$G$24,2,FALSE),1)</f>
      </c>
      <c r="K26" s="76">
        <f>IFERROR(E26*(1+F26+G26)+H26,0)</f>
      </c>
      <c r="L26" s="60"/>
      <c r="M26" s="86"/>
      <c r="N26" s="62">
        <f>'Настройки'!$B$13</f>
      </c>
      <c r="O26" s="76">
        <f>IFERROR(K26*N26*M26/365,0)</f>
      </c>
      <c r="P26" s="60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/>
      <c r="B27" s="60"/>
      <c r="C27" s="60"/>
      <c r="D27" s="60"/>
      <c r="E27" s="74"/>
      <c r="F27" s="62" t="s">
        <v>0</v>
      </c>
      <c r="G27" s="62" t="s">
        <v>0</v>
      </c>
      <c r="H27" s="74"/>
      <c r="I27" s="60" t="s">
        <v>0</v>
      </c>
      <c r="J27" s="72">
        <f>IFERROR(VLOOKUP(I27,'Настройки'!$F$18:$G$24,2,FALSE),1)</f>
      </c>
      <c r="K27" s="76">
        <f>IFERROR(E27*(1+F27+G27)+H27,0)</f>
      </c>
      <c r="L27" s="60"/>
      <c r="M27" s="86"/>
      <c r="N27" s="62">
        <f>'Настройки'!$B$13</f>
      </c>
      <c r="O27" s="76">
        <f>IFERROR(K27*N27*M27/365,0)</f>
      </c>
      <c r="P27" s="60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/>
      <c r="B28" s="60"/>
      <c r="C28" s="60"/>
      <c r="D28" s="60"/>
      <c r="E28" s="74"/>
      <c r="F28" s="62" t="s">
        <v>0</v>
      </c>
      <c r="G28" s="62" t="s">
        <v>0</v>
      </c>
      <c r="H28" s="74"/>
      <c r="I28" s="60" t="s">
        <v>0</v>
      </c>
      <c r="J28" s="72">
        <f>IFERROR(VLOOKUP(I28,'Настройки'!$F$18:$G$24,2,FALSE),1)</f>
      </c>
      <c r="K28" s="76">
        <f>IFERROR(E28*(1+F28+G28)+H28,0)</f>
      </c>
      <c r="L28" s="60"/>
      <c r="M28" s="86"/>
      <c r="N28" s="62">
        <f>'Настройки'!$B$13</f>
      </c>
      <c r="O28" s="76">
        <f>IFERROR(K28*N28*M28/365,0)</f>
      </c>
      <c r="P28" s="60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/>
      <c r="B29" s="60"/>
      <c r="C29" s="60"/>
      <c r="D29" s="60"/>
      <c r="E29" s="74"/>
      <c r="F29" s="62" t="s">
        <v>0</v>
      </c>
      <c r="G29" s="62" t="s">
        <v>0</v>
      </c>
      <c r="H29" s="74"/>
      <c r="I29" s="60" t="s">
        <v>0</v>
      </c>
      <c r="J29" s="72">
        <f>IFERROR(VLOOKUP(I29,'Настройки'!$F$18:$G$24,2,FALSE),1)</f>
      </c>
      <c r="K29" s="76">
        <f>IFERROR(E29*(1+F29+G29)+H29,0)</f>
      </c>
      <c r="L29" s="60"/>
      <c r="M29" s="86"/>
      <c r="N29" s="62">
        <f>'Настройки'!$B$13</f>
      </c>
      <c r="O29" s="76">
        <f>IFERROR(K29*N29*M29/365,0)</f>
      </c>
      <c r="P29" s="60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/>
      <c r="B30" s="60"/>
      <c r="C30" s="60"/>
      <c r="D30" s="60"/>
      <c r="E30" s="74"/>
      <c r="F30" s="62" t="s">
        <v>0</v>
      </c>
      <c r="G30" s="62" t="s">
        <v>0</v>
      </c>
      <c r="H30" s="74"/>
      <c r="I30" s="60" t="s">
        <v>0</v>
      </c>
      <c r="J30" s="72">
        <f>IFERROR(VLOOKUP(I30,'Настройки'!$F$18:$G$24,2,FALSE),1)</f>
      </c>
      <c r="K30" s="76">
        <f>IFERROR(E30*(1+F30+G30)+H30,0)</f>
      </c>
      <c r="L30" s="60"/>
      <c r="M30" s="86"/>
      <c r="N30" s="62">
        <f>'Настройки'!$B$13</f>
      </c>
      <c r="O30" s="76">
        <f>IFERROR(K30*N30*M30/365,0)</f>
      </c>
      <c r="P30" s="60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/>
      <c r="B31" s="60"/>
      <c r="C31" s="60"/>
      <c r="D31" s="60"/>
      <c r="E31" s="74"/>
      <c r="F31" s="62" t="s">
        <v>0</v>
      </c>
      <c r="G31" s="62" t="s">
        <v>0</v>
      </c>
      <c r="H31" s="74"/>
      <c r="I31" s="60" t="s">
        <v>0</v>
      </c>
      <c r="J31" s="72">
        <f>IFERROR(VLOOKUP(I31,'Настройки'!$F$18:$G$24,2,FALSE),1)</f>
      </c>
      <c r="K31" s="76">
        <f>IFERROR(E31*(1+F31+G31)+H31,0)</f>
      </c>
      <c r="L31" s="60"/>
      <c r="M31" s="86"/>
      <c r="N31" s="62">
        <f>'Настройки'!$B$13</f>
      </c>
      <c r="O31" s="76">
        <f>IFERROR(K31*N31*M31/365,0)</f>
      </c>
      <c r="P31" s="60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/>
      <c r="B32" s="60"/>
      <c r="C32" s="60"/>
      <c r="D32" s="60"/>
      <c r="E32" s="74"/>
      <c r="F32" s="62" t="s">
        <v>0</v>
      </c>
      <c r="G32" s="62" t="s">
        <v>0</v>
      </c>
      <c r="H32" s="74"/>
      <c r="I32" s="60" t="s">
        <v>0</v>
      </c>
      <c r="J32" s="72">
        <f>IFERROR(VLOOKUP(I32,'Настройки'!$F$18:$G$24,2,FALSE),1)</f>
      </c>
      <c r="K32" s="76">
        <f>IFERROR(E32*(1+F32+G32)+H32,0)</f>
      </c>
      <c r="L32" s="60"/>
      <c r="M32" s="86"/>
      <c r="N32" s="62">
        <f>'Настройки'!$B$13</f>
      </c>
      <c r="O32" s="76">
        <f>IFERROR(K32*N32*M32/365,0)</f>
      </c>
      <c r="P32" s="60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/>
      <c r="B33" s="60"/>
      <c r="C33" s="60"/>
      <c r="D33" s="60"/>
      <c r="E33" s="74"/>
      <c r="F33" s="62" t="s">
        <v>0</v>
      </c>
      <c r="G33" s="62" t="s">
        <v>0</v>
      </c>
      <c r="H33" s="74"/>
      <c r="I33" s="60" t="s">
        <v>0</v>
      </c>
      <c r="J33" s="72">
        <f>IFERROR(VLOOKUP(I33,'Настройки'!$F$18:$G$24,2,FALSE),1)</f>
      </c>
      <c r="K33" s="76">
        <f>IFERROR(E33*(1+F33+G33)+H33,0)</f>
      </c>
      <c r="L33" s="60"/>
      <c r="M33" s="86"/>
      <c r="N33" s="62">
        <f>'Настройки'!$B$13</f>
      </c>
      <c r="O33" s="76">
        <f>IFERROR(K33*N33*M33/365,0)</f>
      </c>
      <c r="P33" s="60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/>
      <c r="B34" s="60"/>
      <c r="C34" s="60"/>
      <c r="D34" s="60"/>
      <c r="E34" s="74"/>
      <c r="F34" s="62" t="s">
        <v>0</v>
      </c>
      <c r="G34" s="62" t="s">
        <v>0</v>
      </c>
      <c r="H34" s="74"/>
      <c r="I34" s="60" t="s">
        <v>0</v>
      </c>
      <c r="J34" s="72">
        <f>IFERROR(VLOOKUP(I34,'Настройки'!$F$18:$G$24,2,FALSE),1)</f>
      </c>
      <c r="K34" s="76">
        <f>IFERROR(E34*(1+F34+G34)+H34,0)</f>
      </c>
      <c r="L34" s="60"/>
      <c r="M34" s="86"/>
      <c r="N34" s="62">
        <f>'Настройки'!$B$13</f>
      </c>
      <c r="O34" s="76">
        <f>IFERROR(K34*N34*M34/365,0)</f>
      </c>
      <c r="P34" s="60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/>
      <c r="B35" s="60"/>
      <c r="C35" s="60"/>
      <c r="D35" s="60"/>
      <c r="E35" s="74"/>
      <c r="F35" s="62" t="s">
        <v>0</v>
      </c>
      <c r="G35" s="62" t="s">
        <v>0</v>
      </c>
      <c r="H35" s="74"/>
      <c r="I35" s="60" t="s">
        <v>0</v>
      </c>
      <c r="J35" s="72">
        <f>IFERROR(VLOOKUP(I35,'Настройки'!$F$18:$G$24,2,FALSE),1)</f>
      </c>
      <c r="K35" s="76">
        <f>IFERROR(E35*(1+F35+G35)+H35,0)</f>
      </c>
      <c r="L35" s="60"/>
      <c r="M35" s="86"/>
      <c r="N35" s="62">
        <f>'Настройки'!$B$13</f>
      </c>
      <c r="O35" s="76">
        <f>IFERROR(K35*N35*M35/365,0)</f>
      </c>
      <c r="P35" s="60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/>
      <c r="B36" s="60"/>
      <c r="C36" s="60"/>
      <c r="D36" s="60"/>
      <c r="E36" s="74"/>
      <c r="F36" s="62" t="s">
        <v>0</v>
      </c>
      <c r="G36" s="62" t="s">
        <v>0</v>
      </c>
      <c r="H36" s="74"/>
      <c r="I36" s="60" t="s">
        <v>0</v>
      </c>
      <c r="J36" s="72">
        <f>IFERROR(VLOOKUP(I36,'Настройки'!$F$18:$G$24,2,FALSE),1)</f>
      </c>
      <c r="K36" s="76">
        <f>IFERROR(E36*(1+F36+G36)+H36,0)</f>
      </c>
      <c r="L36" s="60"/>
      <c r="M36" s="86"/>
      <c r="N36" s="62">
        <f>'Настройки'!$B$13</f>
      </c>
      <c r="O36" s="76">
        <f>IFERROR(K36*N36*M36/365,0)</f>
      </c>
      <c r="P36" s="60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/>
      <c r="B37" s="60"/>
      <c r="C37" s="60"/>
      <c r="D37" s="60"/>
      <c r="E37" s="74"/>
      <c r="F37" s="62" t="s">
        <v>0</v>
      </c>
      <c r="G37" s="62" t="s">
        <v>0</v>
      </c>
      <c r="H37" s="74"/>
      <c r="I37" s="60" t="s">
        <v>0</v>
      </c>
      <c r="J37" s="72">
        <f>IFERROR(VLOOKUP(I37,'Настройки'!$F$18:$G$24,2,FALSE),1)</f>
      </c>
      <c r="K37" s="76">
        <f>IFERROR(E37*(1+F37+G37)+H37,0)</f>
      </c>
      <c r="L37" s="60"/>
      <c r="M37" s="86"/>
      <c r="N37" s="62">
        <f>'Настройки'!$B$13</f>
      </c>
      <c r="O37" s="76">
        <f>IFERROR(K37*N37*M37/365,0)</f>
      </c>
      <c r="P37" s="60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/>
      <c r="B38" s="60"/>
      <c r="C38" s="60"/>
      <c r="D38" s="60"/>
      <c r="E38" s="74"/>
      <c r="F38" s="62" t="s">
        <v>0</v>
      </c>
      <c r="G38" s="62" t="s">
        <v>0</v>
      </c>
      <c r="H38" s="74"/>
      <c r="I38" s="60" t="s">
        <v>0</v>
      </c>
      <c r="J38" s="72">
        <f>IFERROR(VLOOKUP(I38,'Настройки'!$F$18:$G$24,2,FALSE),1)</f>
      </c>
      <c r="K38" s="76">
        <f>IFERROR(E38*(1+F38+G38)+H38,0)</f>
      </c>
      <c r="L38" s="60"/>
      <c r="M38" s="86"/>
      <c r="N38" s="62">
        <f>'Настройки'!$B$13</f>
      </c>
      <c r="O38" s="76">
        <f>IFERROR(K38*N38*M38/365,0)</f>
      </c>
      <c r="P38" s="60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/>
      <c r="B39" s="60"/>
      <c r="C39" s="60"/>
      <c r="D39" s="60"/>
      <c r="E39" s="74"/>
      <c r="F39" s="62" t="s">
        <v>0</v>
      </c>
      <c r="G39" s="62" t="s">
        <v>0</v>
      </c>
      <c r="H39" s="74"/>
      <c r="I39" s="60" t="s">
        <v>0</v>
      </c>
      <c r="J39" s="72">
        <f>IFERROR(VLOOKUP(I39,'Настройки'!$F$18:$G$24,2,FALSE),1)</f>
      </c>
      <c r="K39" s="76">
        <f>IFERROR(E39*(1+F39+G39)+H39,0)</f>
      </c>
      <c r="L39" s="60"/>
      <c r="M39" s="86"/>
      <c r="N39" s="62">
        <f>'Настройки'!$B$13</f>
      </c>
      <c r="O39" s="76">
        <f>IFERROR(K39*N39*M39/365,0)</f>
      </c>
      <c r="P39" s="60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/>
      <c r="B40" s="60"/>
      <c r="C40" s="60"/>
      <c r="D40" s="60"/>
      <c r="E40" s="74"/>
      <c r="F40" s="62" t="s">
        <v>0</v>
      </c>
      <c r="G40" s="62" t="s">
        <v>0</v>
      </c>
      <c r="H40" s="74"/>
      <c r="I40" s="60" t="s">
        <v>0</v>
      </c>
      <c r="J40" s="72">
        <f>IFERROR(VLOOKUP(I40,'Настройки'!$F$18:$G$24,2,FALSE),1)</f>
      </c>
      <c r="K40" s="76">
        <f>IFERROR(E40*(1+F40+G40)+H40,0)</f>
      </c>
      <c r="L40" s="60"/>
      <c r="M40" s="86"/>
      <c r="N40" s="62">
        <f>'Настройки'!$B$13</f>
      </c>
      <c r="O40" s="76">
        <f>IFERROR(K40*N40*M40/365,0)</f>
      </c>
      <c r="P40" s="60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/>
    <row r="42" ht="22" customHeight="true"/>
    <row r="43" ht="22" customHeight="true"/>
    <row r="44" ht="22" customHeight="true"/>
    <row r="45" ht="22" customHeight="true"/>
    <row r="46" ht="22" customHeight="true"/>
    <row r="47" ht="22" customHeight="true"/>
    <row r="48" ht="22" customHeight="true"/>
    <row r="49" ht="22" customHeight="true"/>
    <row r="50" ht="22" customHeight="true"/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P1"/>
    <mergeCell ref="A2:P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sqref="C6:C40" type="list">
      <formula1>"EXW,FOB,CIF,DAP,DDP"</formula1>
    </dataValidation>
    <dataValidation allowBlank="true" sqref="I6:I40" type="list">
      <formula1>"CNY,USD,EUR,GBP,JPY,HKD,SGD"</formula1>
    </dataValidation>
    <dataValidation allowBlank="true" sqref="L6:L40" type="list">
      <formula1>"Prepayment,Плащане при доставка,Net 30,Net 45,Net 60,Net 90,Разсрочено плащане,里程碑付款"</formula1>
    </dataValidation>
  </dataValidations>
  <pageMargins left="0.7" right="0.7" top="0.75" bottom="0.75" header="0.3" footer="0.3"/>
  <tableParts count="1">
    <tablePart r:id="R49e3726a0b644923"/>
  </tablePart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0"/>
    <col customWidth="true" max="2" min="2" width="18"/>
    <col customWidth="true" max="4" min="3" width="12"/>
    <col customWidth="true" max="6" min="5" width="10"/>
    <col customWidth="true" max="7" min="7" width="12"/>
    <col customWidth="true" max="8" min="8" width="14"/>
    <col customWidth="true" max="9" min="9" width="10"/>
    <col customWidth="true" max="11" min="10" width="18"/>
    <col customWidth="true" max="13" min="12" width="12"/>
    <col customWidth="true" max="14" min="14" width="13"/>
    <col customWidth="true" max="15" min="15" width="16"/>
    <col customWidth="true" max="16" min="16" width="18"/>
    <col customWidth="true" max="17" min="17" width="16"/>
    <col customWidth="true" max="18" min="18" width="10"/>
    <col customWidth="true" max="19" min="19" width="16"/>
    <col customWidth="true" max="20" min="20" width="24"/>
  </cols>
  <sheetData>
    <row r="1" ht="34" customHeight="true">
      <c r="A1" s="10" t="s">
        <v>0</v>
      </c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原価ID</t>
        </is>
      </c>
      <c r="B5" s="40" t="inlineStr">
        <is>
          <t>仕入先</t>
        </is>
      </c>
      <c r="C5" s="40" t="inlineStr">
        <is>
          <t>国と地域</t>
        </is>
      </c>
      <c r="D5" s="40" t="inlineStr">
        <is>
          <t>仕入先評価</t>
        </is>
      </c>
      <c r="E5" s="40" t="inlineStr">
        <is>
          <t>見積通貨</t>
        </is>
      </c>
      <c r="F5" s="40" t="inlineStr">
        <is>
          <t>人民元換算レート</t>
        </is>
      </c>
      <c r="G5" s="40" t="inlineStr">
        <is>
          <t>見積単価</t>
        </is>
      </c>
      <c r="H5" s="40" t="inlineStr">
        <is>
          <t>支払条件</t>
        </is>
      </c>
      <c r="I5" s="40" t="inlineStr">
        <is>
          <t>支払サイト日数</t>
        </is>
      </c>
      <c r="J5" s="40" t="inlineStr">
        <is>
          <t>税金と運賃の注記</t>
        </is>
      </c>
      <c r="K5" s="40" t="inlineStr">
        <is>
          <t>モデル単位税込買掛原価</t>
        </is>
      </c>
      <c r="L5" s="40" t="inlineStr">
        <is>
          <t>単位差異</t>
        </is>
      </c>
      <c r="M5" s="40" t="inlineStr">
        <is>
          <t>差異率</t>
        </is>
      </c>
      <c r="N5" s="40" t="inlineStr">
        <is>
          <t>年間需要量</t>
        </is>
      </c>
      <c r="O5" s="40" t="inlineStr">
        <is>
          <t>年間見積額 CNY</t>
        </is>
      </c>
      <c r="P5" s="40" t="inlineStr">
        <is>
          <t>年間あるべき原価 CNY</t>
        </is>
      </c>
      <c r="Q5" s="40" t="inlineStr">
        <is>
          <t>削減余地 CNY</t>
        </is>
      </c>
      <c r="R5" s="40" t="inlineStr">
        <is>
          <t>価格順位</t>
        </is>
      </c>
      <c r="S5" s="40" t="inlineStr">
        <is>
          <t>推奨対応</t>
        </is>
      </c>
      <c r="T5" s="40" t="inlineStr">
        <is>
          <t>リスクとメモ</t>
        </is>
      </c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86" t="n">
        <v>86</v>
      </c>
      <c r="E6" s="60" t="s">
        <v>0</v>
      </c>
      <c r="F6" s="72">
        <f>IFERROR(VLOOKUP(E6,'Настройки'!$F$18:$G$24,2,FALSE),1)</f>
      </c>
      <c r="G6" s="74" t="n">
        <v>55</v>
      </c>
      <c r="H6" s="74" t="s">
        <v>0</v>
      </c>
      <c r="I6" s="74" t="n">
        <v>60</v>
      </c>
      <c r="J6" s="74" t="s">
        <v>0</v>
      </c>
      <c r="K6" s="76">
        <f>IFERROR(VLOOKUP(A6,'Подробна разбивка на разходите'!$A$6:$V$55,22,FALSE),0)</f>
      </c>
      <c r="L6" s="76">
        <f>IFERROR(G6-K6,"")</f>
      </c>
      <c r="M6" s="70">
        <f>IFERROR(G6/K6-1,"")</f>
      </c>
      <c r="N6" s="88">
        <f>IFERROR(VLOOKUP(A6,'Подробна разбивка на разходите'!$A$6:$F$55,6,FALSE),0)</f>
      </c>
      <c r="O6" s="78">
        <f>IFERROR(G6*N6*F6,0)</f>
      </c>
      <c r="P6" s="78">
        <f>IFERROR(K6*N6*F6,0)</f>
      </c>
      <c r="Q6" s="78">
        <f>MAX(0,O6-P6)</f>
      </c>
      <c r="R6" s="90">
        <f>IF(A6="","",1+COUNTIFS($A$6:$A$50,A6,$G$6:$G$50,"&lt;"&amp;G6))</f>
      </c>
      <c r="S6" s="68">
        <f>IF(M6&gt;='Настройки'!$B$19,"重点的に分解して交渉",IF(M6&gt;='Настройки'!$B$20,"確認して交渉","許容または価格確定"))</f>
      </c>
      <c r="T6" s="60" t="s">
        <v>0</v>
      </c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86" t="n">
        <v>78</v>
      </c>
      <c r="E7" s="60" t="s">
        <v>0</v>
      </c>
      <c r="F7" s="72">
        <f>IFERROR(VLOOKUP(E7,'Настройки'!$F$18:$G$24,2,FALSE),1)</f>
      </c>
      <c r="G7" s="74" t="n">
        <v>51.5</v>
      </c>
      <c r="H7" s="74" t="s">
        <v>0</v>
      </c>
      <c r="I7" s="74" t="n">
        <v>45</v>
      </c>
      <c r="J7" s="74" t="s">
        <v>0</v>
      </c>
      <c r="K7" s="76">
        <f>IFERROR(VLOOKUP(A7,'Подробна разбивка на разходите'!$A$6:$V$55,22,FALSE),0)</f>
      </c>
      <c r="L7" s="76">
        <f>IFERROR(G7-K7,"")</f>
      </c>
      <c r="M7" s="70">
        <f>IFERROR(G7/K7-1,"")</f>
      </c>
      <c r="N7" s="88">
        <f>IFERROR(VLOOKUP(A7,'Подробна разбивка на разходите'!$A$6:$F$55,6,FALSE),0)</f>
      </c>
      <c r="O7" s="78">
        <f>IFERROR(G7*N7*F7,0)</f>
      </c>
      <c r="P7" s="78">
        <f>IFERROR(K7*N7*F7,0)</f>
      </c>
      <c r="Q7" s="78">
        <f>MAX(0,O7-P7)</f>
      </c>
      <c r="R7" s="90">
        <f>IF(A7="","",1+COUNTIFS($A$6:$A$50,A7,$G$6:$G$50,"&lt;"&amp;G7))</f>
      </c>
      <c r="S7" s="68">
        <f>IF(M7&gt;='Настройки'!$B$19,"重点的に分解して交渉",IF(M7&gt;='Настройки'!$B$20,"確認して交渉","許容または価格確定"))</f>
      </c>
      <c r="T7" s="60" t="s">
        <v>0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86" t="n">
        <v>82</v>
      </c>
      <c r="E8" s="60" t="s">
        <v>0</v>
      </c>
      <c r="F8" s="72">
        <f>IFERROR(VLOOKUP(E8,'Настройки'!$F$18:$G$24,2,FALSE),1)</f>
      </c>
      <c r="G8" s="74" t="n">
        <v>3.45</v>
      </c>
      <c r="H8" s="74" t="s">
        <v>0</v>
      </c>
      <c r="I8" s="74" t="n">
        <v>60</v>
      </c>
      <c r="J8" s="74" t="s">
        <v>0</v>
      </c>
      <c r="K8" s="76">
        <f>IFERROR(VLOOKUP(A8,'Подробна разбивка на разходите'!$A$6:$V$55,22,FALSE),0)</f>
      </c>
      <c r="L8" s="76">
        <f>IFERROR(G8-K8,"")</f>
      </c>
      <c r="M8" s="70">
        <f>IFERROR(G8/K8-1,"")</f>
      </c>
      <c r="N8" s="88">
        <f>IFERROR(VLOOKUP(A8,'Подробна разбивка на разходите'!$A$6:$F$55,6,FALSE),0)</f>
      </c>
      <c r="O8" s="78">
        <f>IFERROR(G8*N8*F8,0)</f>
      </c>
      <c r="P8" s="78">
        <f>IFERROR(K8*N8*F8,0)</f>
      </c>
      <c r="Q8" s="78">
        <f>MAX(0,O8-P8)</f>
      </c>
      <c r="R8" s="90">
        <f>IF(A8="","",1+COUNTIFS($A$6:$A$50,A8,$G$6:$G$50,"&lt;"&amp;G8))</f>
      </c>
      <c r="S8" s="68">
        <f>IF(M8&gt;='Настройки'!$B$19,"重点的に分解して交渉",IF(M8&gt;='Настройки'!$B$20,"確認して交渉","許容または価格確定"))</f>
      </c>
      <c r="T8" s="60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86" t="n">
        <v>73</v>
      </c>
      <c r="E9" s="60" t="s">
        <v>0</v>
      </c>
      <c r="F9" s="72">
        <f>IFERROR(VLOOKUP(E9,'Настройки'!$F$18:$G$24,2,FALSE),1)</f>
      </c>
      <c r="G9" s="74" t="n">
        <v>3.25</v>
      </c>
      <c r="H9" s="74" t="s">
        <v>0</v>
      </c>
      <c r="I9" s="74" t="n">
        <v>30</v>
      </c>
      <c r="J9" s="74" t="s">
        <v>0</v>
      </c>
      <c r="K9" s="76">
        <f>IFERROR(VLOOKUP(A9,'Подробна разбивка на разходите'!$A$6:$V$55,22,FALSE),0)</f>
      </c>
      <c r="L9" s="76">
        <f>IFERROR(G9-K9,"")</f>
      </c>
      <c r="M9" s="70">
        <f>IFERROR(G9/K9-1,"")</f>
      </c>
      <c r="N9" s="88">
        <f>IFERROR(VLOOKUP(A9,'Подробна разбивка на разходите'!$A$6:$F$55,6,FALSE),0)</f>
      </c>
      <c r="O9" s="78">
        <f>IFERROR(G9*N9*F9,0)</f>
      </c>
      <c r="P9" s="78">
        <f>IFERROR(K9*N9*F9,0)</f>
      </c>
      <c r="Q9" s="78">
        <f>MAX(0,O9-P9)</f>
      </c>
      <c r="R9" s="90">
        <f>IF(A9="","",1+COUNTIFS($A$6:$A$50,A9,$G$6:$G$50,"&lt;"&amp;G9))</f>
      </c>
      <c r="S9" s="68">
        <f>IF(M9&gt;='Настройки'!$B$19,"重点的に分解して交渉",IF(M9&gt;='Настройки'!$B$20,"確認して交渉","許容または価格確定"))</f>
      </c>
      <c r="T9" s="60" t="s">
        <v>0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 t="s">
        <v>0</v>
      </c>
      <c r="B10" s="60" t="s">
        <v>0</v>
      </c>
      <c r="C10" s="60" t="s">
        <v>0</v>
      </c>
      <c r="D10" s="86" t="n">
        <v>88</v>
      </c>
      <c r="E10" s="60" t="s">
        <v>0</v>
      </c>
      <c r="F10" s="72">
        <f>IFERROR(VLOOKUP(E10,'Настройки'!$F$18:$G$24,2,FALSE),1)</f>
      </c>
      <c r="G10" s="74" t="n">
        <v>92</v>
      </c>
      <c r="H10" s="74" t="s">
        <v>0</v>
      </c>
      <c r="I10" s="74" t="n">
        <v>30</v>
      </c>
      <c r="J10" s="74" t="s">
        <v>0</v>
      </c>
      <c r="K10" s="76">
        <f>IFERROR(VLOOKUP(A10,'Подробна разбивка на разходите'!$A$6:$V$55,22,FALSE),0)</f>
      </c>
      <c r="L10" s="76">
        <f>IFERROR(G10-K10,"")</f>
      </c>
      <c r="M10" s="70">
        <f>IFERROR(G10/K10-1,"")</f>
      </c>
      <c r="N10" s="88">
        <f>IFERROR(VLOOKUP(A10,'Подробна разбивка на разходите'!$A$6:$F$55,6,FALSE),0)</f>
      </c>
      <c r="O10" s="78">
        <f>IFERROR(G10*N10*F10,0)</f>
      </c>
      <c r="P10" s="78">
        <f>IFERROR(K10*N10*F10,0)</f>
      </c>
      <c r="Q10" s="78">
        <f>MAX(0,O10-P10)</f>
      </c>
      <c r="R10" s="90">
        <f>IF(A10="","",1+COUNTIFS($A$6:$A$50,A10,$G$6:$G$50,"&lt;"&amp;G10))</f>
      </c>
      <c r="S10" s="68">
        <f>IF(M10&gt;='Настройки'!$B$19,"重点的に分解して交渉",IF(M10&gt;='Настройки'!$B$20,"確認して交渉","許容または価格確定"))</f>
      </c>
      <c r="T10" s="60" t="s">
        <v>0</v>
      </c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 t="s">
        <v>0</v>
      </c>
      <c r="B11" s="60" t="s">
        <v>0</v>
      </c>
      <c r="C11" s="60" t="s">
        <v>0</v>
      </c>
      <c r="D11" s="86" t="n">
        <v>91</v>
      </c>
      <c r="E11" s="60" t="s">
        <v>0</v>
      </c>
      <c r="F11" s="72">
        <f>IFERROR(VLOOKUP(E11,'Настройки'!$F$18:$G$24,2,FALSE),1)</f>
      </c>
      <c r="G11" s="74" t="s">
        <v>0</v>
      </c>
      <c r="H11" s="74" t="s">
        <v>0</v>
      </c>
      <c r="I11" s="74" t="n">
        <v>30</v>
      </c>
      <c r="J11" s="74" t="s">
        <v>0</v>
      </c>
      <c r="K11" s="76">
        <f>IFERROR(VLOOKUP(A11,'Подробна разбивка на разходите'!$A$6:$V$55,22,FALSE),0)</f>
      </c>
      <c r="L11" s="76">
        <f>IFERROR(G11-K11,"")</f>
      </c>
      <c r="M11" s="70">
        <f>IFERROR(G11/K11-1,"")</f>
      </c>
      <c r="N11" s="88">
        <f>IFERROR(VLOOKUP(A11,'Подробна разбивка на разходите'!$A$6:$F$55,6,FALSE),0)</f>
      </c>
      <c r="O11" s="78">
        <f>IFERROR(G11*N11*F11,0)</f>
      </c>
      <c r="P11" s="78">
        <f>IFERROR(K11*N11*F11,0)</f>
      </c>
      <c r="Q11" s="78">
        <f>MAX(0,O11-P11)</f>
      </c>
      <c r="R11" s="90">
        <f>IF(A11="","",1+COUNTIFS($A$6:$A$50,A11,$G$6:$G$50,"&lt;"&amp;G11))</f>
      </c>
      <c r="S11" s="68">
        <f>IF(M11&gt;='Настройки'!$B$19,"重点的に分解して交渉",IF(M11&gt;='Настройки'!$B$20,"確認して交渉","許容または価格確定"))</f>
      </c>
      <c r="T11" s="60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 t="s">
        <v>0</v>
      </c>
      <c r="B12" s="60" t="s">
        <v>0</v>
      </c>
      <c r="C12" s="60" t="s">
        <v>0</v>
      </c>
      <c r="D12" s="86" t="n">
        <v>84</v>
      </c>
      <c r="E12" s="60" t="s">
        <v>0</v>
      </c>
      <c r="F12" s="72">
        <f>IFERROR(VLOOKUP(E12,'Настройки'!$F$18:$G$24,2,FALSE),1)</f>
      </c>
      <c r="G12" s="74" t="n">
        <v>135</v>
      </c>
      <c r="H12" s="74" t="s">
        <v>0</v>
      </c>
      <c r="I12" s="74" t="n">
        <v>60</v>
      </c>
      <c r="J12" s="74" t="s">
        <v>0</v>
      </c>
      <c r="K12" s="76">
        <f>IFERROR(VLOOKUP(A12,'Подробна разбивка на разходите'!$A$6:$V$55,22,FALSE),0)</f>
      </c>
      <c r="L12" s="76">
        <f>IFERROR(G12-K12,"")</f>
      </c>
      <c r="M12" s="70">
        <f>IFERROR(G12/K12-1,"")</f>
      </c>
      <c r="N12" s="88">
        <f>IFERROR(VLOOKUP(A12,'Подробна разбивка на разходите'!$A$6:$F$55,6,FALSE),0)</f>
      </c>
      <c r="O12" s="78">
        <f>IFERROR(G12*N12*F12,0)</f>
      </c>
      <c r="P12" s="78">
        <f>IFERROR(K12*N12*F12,0)</f>
      </c>
      <c r="Q12" s="78">
        <f>MAX(0,O12-P12)</f>
      </c>
      <c r="R12" s="90">
        <f>IF(A12="","",1+COUNTIFS($A$6:$A$50,A12,$G$6:$G$50,"&lt;"&amp;G12))</f>
      </c>
      <c r="S12" s="68">
        <f>IF(M12&gt;='Настройки'!$B$19,"重点的に分解して交渉",IF(M12&gt;='Настройки'!$B$20,"確認して交渉","許容または価格確定"))</f>
      </c>
      <c r="T12" s="60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 t="s">
        <v>0</v>
      </c>
      <c r="B13" s="60" t="s">
        <v>0</v>
      </c>
      <c r="C13" s="60" t="s">
        <v>0</v>
      </c>
      <c r="D13" s="86" t="n">
        <v>76</v>
      </c>
      <c r="E13" s="60" t="s">
        <v>0</v>
      </c>
      <c r="F13" s="72">
        <f>IFERROR(VLOOKUP(E13,'Настройки'!$F$18:$G$24,2,FALSE),1)</f>
      </c>
      <c r="G13" s="74" t="n">
        <v>128</v>
      </c>
      <c r="H13" s="74" t="s">
        <v>0</v>
      </c>
      <c r="I13" s="74" t="n">
        <v>90</v>
      </c>
      <c r="J13" s="74" t="s">
        <v>0</v>
      </c>
      <c r="K13" s="76">
        <f>IFERROR(VLOOKUP(A13,'Подробна разбивка на разходите'!$A$6:$V$55,22,FALSE),0)</f>
      </c>
      <c r="L13" s="76">
        <f>IFERROR(G13-K13,"")</f>
      </c>
      <c r="M13" s="70">
        <f>IFERROR(G13/K13-1,"")</f>
      </c>
      <c r="N13" s="88">
        <f>IFERROR(VLOOKUP(A13,'Подробна разбивка на разходите'!$A$6:$F$55,6,FALSE),0)</f>
      </c>
      <c r="O13" s="78">
        <f>IFERROR(G13*N13*F13,0)</f>
      </c>
      <c r="P13" s="78">
        <f>IFERROR(K13*N13*F13,0)</f>
      </c>
      <c r="Q13" s="78">
        <f>MAX(0,O13-P13)</f>
      </c>
      <c r="R13" s="90">
        <f>IF(A13="","",1+COUNTIFS($A$6:$A$50,A13,$G$6:$G$50,"&lt;"&amp;G13))</f>
      </c>
      <c r="S13" s="68">
        <f>IF(M13&gt;='Настройки'!$B$19,"重点的に分解して交渉",IF(M13&gt;='Настройки'!$B$20,"確認して交渉","許容または価格確定"))</f>
      </c>
      <c r="T13" s="60" t="s">
        <v>0</v>
      </c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/>
      <c r="B14" s="60"/>
      <c r="C14" s="60"/>
      <c r="D14" s="86"/>
      <c r="E14" s="60" t="s">
        <v>0</v>
      </c>
      <c r="F14" s="72">
        <f>IFERROR(VLOOKUP(E14,'Настройки'!$F$18:$G$24,2,FALSE),1)</f>
      </c>
      <c r="G14" s="74"/>
      <c r="H14" s="74"/>
      <c r="I14" s="74"/>
      <c r="J14" s="74"/>
      <c r="K14" s="76">
        <f>IFERROR(VLOOKUP(A14,'Подробна разбивка на разходите'!$A$6:$V$55,22,FALSE),0)</f>
      </c>
      <c r="L14" s="76">
        <f>IFERROR(G14-K14,"")</f>
      </c>
      <c r="M14" s="70" t="str">
        <f>IFERROR(G14/K14-1,"")</f>
      </c>
      <c r="N14" s="88">
        <f>IFERROR(VLOOKUP(A14,'Подробна разбивка на разходите'!$A$6:$F$55,6,FALSE),0)</f>
      </c>
      <c r="O14" s="78">
        <f>IFERROR(G14*N14*F14,0)</f>
      </c>
      <c r="P14" s="78">
        <f>IFERROR(K14*N14*F14,0)</f>
      </c>
      <c r="Q14" s="78">
        <f>MAX(0,O14-P14)</f>
      </c>
      <c r="R14" s="90" t="str">
        <f>IF(A14="","",1+COUNTIFS($A$6:$A$50,A14,$G$6:$G$50,"&lt;"&amp;G14))</f>
      </c>
      <c r="S14" s="68">
        <f>IF(M14&gt;='Настройки'!$B$19,"重点的に分解して交渉",IF(M14&gt;='Настройки'!$B$20,"確認して交渉","許容または価格確定"))</f>
      </c>
      <c r="T14" s="60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/>
      <c r="B15" s="60"/>
      <c r="C15" s="60"/>
      <c r="D15" s="86"/>
      <c r="E15" s="60" t="s">
        <v>0</v>
      </c>
      <c r="F15" s="72">
        <f>IFERROR(VLOOKUP(E15,'Настройки'!$F$18:$G$24,2,FALSE),1)</f>
      </c>
      <c r="G15" s="74"/>
      <c r="H15" s="74"/>
      <c r="I15" s="74"/>
      <c r="J15" s="74"/>
      <c r="K15" s="76">
        <f>IFERROR(VLOOKUP(A15,'Подробна разбивка на разходите'!$A$6:$V$55,22,FALSE),0)</f>
      </c>
      <c r="L15" s="76">
        <f>IFERROR(G15-K15,"")</f>
      </c>
      <c r="M15" s="70" t="str">
        <f>IFERROR(G15/K15-1,"")</f>
      </c>
      <c r="N15" s="88">
        <f>IFERROR(VLOOKUP(A15,'Подробна разбивка на разходите'!$A$6:$F$55,6,FALSE),0)</f>
      </c>
      <c r="O15" s="78">
        <f>IFERROR(G15*N15*F15,0)</f>
      </c>
      <c r="P15" s="78">
        <f>IFERROR(K15*N15*F15,0)</f>
      </c>
      <c r="Q15" s="78">
        <f>MAX(0,O15-P15)</f>
      </c>
      <c r="R15" s="90" t="str">
        <f>IF(A15="","",1+COUNTIFS($A$6:$A$50,A15,$G$6:$G$50,"&lt;"&amp;G15))</f>
      </c>
      <c r="S15" s="68">
        <f>IF(M15&gt;='Настройки'!$B$19,"重点的に分解して交渉",IF(M15&gt;='Настройки'!$B$20,"確認して交渉","許容または価格確定"))</f>
      </c>
      <c r="T15" s="60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/>
      <c r="B16" s="60"/>
      <c r="C16" s="60"/>
      <c r="D16" s="86"/>
      <c r="E16" s="60" t="s">
        <v>0</v>
      </c>
      <c r="F16" s="72">
        <f>IFERROR(VLOOKUP(E16,'Настройки'!$F$18:$G$24,2,FALSE),1)</f>
      </c>
      <c r="G16" s="74"/>
      <c r="H16" s="74"/>
      <c r="I16" s="74"/>
      <c r="J16" s="74"/>
      <c r="K16" s="76">
        <f>IFERROR(VLOOKUP(A16,'Подробна разбивка на разходите'!$A$6:$V$55,22,FALSE),0)</f>
      </c>
      <c r="L16" s="76">
        <f>IFERROR(G16-K16,"")</f>
      </c>
      <c r="M16" s="70" t="str">
        <f>IFERROR(G16/K16-1,"")</f>
      </c>
      <c r="N16" s="88">
        <f>IFERROR(VLOOKUP(A16,'Подробна разбивка на разходите'!$A$6:$F$55,6,FALSE),0)</f>
      </c>
      <c r="O16" s="78">
        <f>IFERROR(G16*N16*F16,0)</f>
      </c>
      <c r="P16" s="78">
        <f>IFERROR(K16*N16*F16,0)</f>
      </c>
      <c r="Q16" s="78">
        <f>MAX(0,O16-P16)</f>
      </c>
      <c r="R16" s="90" t="str">
        <f>IF(A16="","",1+COUNTIFS($A$6:$A$50,A16,$G$6:$G$50,"&lt;"&amp;G16))</f>
      </c>
      <c r="S16" s="68">
        <f>IF(M16&gt;='Настройки'!$B$19,"重点的に分解して交渉",IF(M16&gt;='Настройки'!$B$20,"確認して交渉","許容または価格確定"))</f>
      </c>
      <c r="T16" s="60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/>
      <c r="B17" s="60"/>
      <c r="C17" s="60"/>
      <c r="D17" s="86"/>
      <c r="E17" s="60" t="s">
        <v>0</v>
      </c>
      <c r="F17" s="72">
        <f>IFERROR(VLOOKUP(E17,'Настройки'!$F$18:$G$24,2,FALSE),1)</f>
      </c>
      <c r="G17" s="74"/>
      <c r="H17" s="74"/>
      <c r="I17" s="74"/>
      <c r="J17" s="74"/>
      <c r="K17" s="76">
        <f>IFERROR(VLOOKUP(A17,'Подробна разбивка на разходите'!$A$6:$V$55,22,FALSE),0)</f>
      </c>
      <c r="L17" s="76">
        <f>IFERROR(G17-K17,"")</f>
      </c>
      <c r="M17" s="70" t="str">
        <f>IFERROR(G17/K17-1,"")</f>
      </c>
      <c r="N17" s="88">
        <f>IFERROR(VLOOKUP(A17,'Подробна разбивка на разходите'!$A$6:$F$55,6,FALSE),0)</f>
      </c>
      <c r="O17" s="78">
        <f>IFERROR(G17*N17*F17,0)</f>
      </c>
      <c r="P17" s="78">
        <f>IFERROR(K17*N17*F17,0)</f>
      </c>
      <c r="Q17" s="78">
        <f>MAX(0,O17-P17)</f>
      </c>
      <c r="R17" s="90" t="str">
        <f>IF(A17="","",1+COUNTIFS($A$6:$A$50,A17,$G$6:$G$50,"&lt;"&amp;G17))</f>
      </c>
      <c r="S17" s="68">
        <f>IF(M17&gt;='Настройки'!$B$19,"重点的に分解して交渉",IF(M17&gt;='Настройки'!$B$20,"確認して交渉","許容または価格確定"))</f>
      </c>
      <c r="T17" s="60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/>
      <c r="B18" s="60"/>
      <c r="C18" s="60"/>
      <c r="D18" s="86"/>
      <c r="E18" s="60" t="s">
        <v>0</v>
      </c>
      <c r="F18" s="72">
        <f>IFERROR(VLOOKUP(E18,'Настройки'!$F$18:$G$24,2,FALSE),1)</f>
      </c>
      <c r="G18" s="74"/>
      <c r="H18" s="74"/>
      <c r="I18" s="74"/>
      <c r="J18" s="74"/>
      <c r="K18" s="76">
        <f>IFERROR(VLOOKUP(A18,'Подробна разбивка на разходите'!$A$6:$V$55,22,FALSE),0)</f>
      </c>
      <c r="L18" s="76">
        <f>IFERROR(G18-K18,"")</f>
      </c>
      <c r="M18" s="70" t="str">
        <f>IFERROR(G18/K18-1,"")</f>
      </c>
      <c r="N18" s="88">
        <f>IFERROR(VLOOKUP(A18,'Подробна разбивка на разходите'!$A$6:$F$55,6,FALSE),0)</f>
      </c>
      <c r="O18" s="78">
        <f>IFERROR(G18*N18*F18,0)</f>
      </c>
      <c r="P18" s="78">
        <f>IFERROR(K18*N18*F18,0)</f>
      </c>
      <c r="Q18" s="78">
        <f>MAX(0,O18-P18)</f>
      </c>
      <c r="R18" s="90" t="str">
        <f>IF(A18="","",1+COUNTIFS($A$6:$A$50,A18,$G$6:$G$50,"&lt;"&amp;G18))</f>
      </c>
      <c r="S18" s="68">
        <f>IF(M18&gt;='Настройки'!$B$19,"重点的に分解して交渉",IF(M18&gt;='Настройки'!$B$20,"確認して交渉","許容または価格確定"))</f>
      </c>
      <c r="T18" s="60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/>
      <c r="B19" s="60"/>
      <c r="C19" s="60"/>
      <c r="D19" s="86"/>
      <c r="E19" s="60" t="s">
        <v>0</v>
      </c>
      <c r="F19" s="72">
        <f>IFERROR(VLOOKUP(E19,'Настройки'!$F$18:$G$24,2,FALSE),1)</f>
      </c>
      <c r="G19" s="74"/>
      <c r="H19" s="74"/>
      <c r="I19" s="74"/>
      <c r="J19" s="74"/>
      <c r="K19" s="76">
        <f>IFERROR(VLOOKUP(A19,'Подробна разбивка на разходите'!$A$6:$V$55,22,FALSE),0)</f>
      </c>
      <c r="L19" s="76">
        <f>IFERROR(G19-K19,"")</f>
      </c>
      <c r="M19" s="70" t="str">
        <f>IFERROR(G19/K19-1,"")</f>
      </c>
      <c r="N19" s="88">
        <f>IFERROR(VLOOKUP(A19,'Подробна разбивка на разходите'!$A$6:$F$55,6,FALSE),0)</f>
      </c>
      <c r="O19" s="78">
        <f>IFERROR(G19*N19*F19,0)</f>
      </c>
      <c r="P19" s="78">
        <f>IFERROR(K19*N19*F19,0)</f>
      </c>
      <c r="Q19" s="78">
        <f>MAX(0,O19-P19)</f>
      </c>
      <c r="R19" s="90" t="str">
        <f>IF(A19="","",1+COUNTIFS($A$6:$A$50,A19,$G$6:$G$50,"&lt;"&amp;G19))</f>
      </c>
      <c r="S19" s="68">
        <f>IF(M19&gt;='Настройки'!$B$19,"重点的に分解して交渉",IF(M19&gt;='Настройки'!$B$20,"確認して交渉","許容または価格確定"))</f>
      </c>
      <c r="T19" s="60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/>
      <c r="B20" s="60"/>
      <c r="C20" s="60"/>
      <c r="D20" s="86"/>
      <c r="E20" s="60" t="s">
        <v>0</v>
      </c>
      <c r="F20" s="72">
        <f>IFERROR(VLOOKUP(E20,'Настройки'!$F$18:$G$24,2,FALSE),1)</f>
      </c>
      <c r="G20" s="74"/>
      <c r="H20" s="74"/>
      <c r="I20" s="74"/>
      <c r="J20" s="74"/>
      <c r="K20" s="76">
        <f>IFERROR(VLOOKUP(A20,'Подробна разбивка на разходите'!$A$6:$V$55,22,FALSE),0)</f>
      </c>
      <c r="L20" s="76">
        <f>IFERROR(G20-K20,"")</f>
      </c>
      <c r="M20" s="70" t="str">
        <f>IFERROR(G20/K20-1,"")</f>
      </c>
      <c r="N20" s="88">
        <f>IFERROR(VLOOKUP(A20,'Подробна разбивка на разходите'!$A$6:$F$55,6,FALSE),0)</f>
      </c>
      <c r="O20" s="78">
        <f>IFERROR(G20*N20*F20,0)</f>
      </c>
      <c r="P20" s="78">
        <f>IFERROR(K20*N20*F20,0)</f>
      </c>
      <c r="Q20" s="78">
        <f>MAX(0,O20-P20)</f>
      </c>
      <c r="R20" s="90" t="str">
        <f>IF(A20="","",1+COUNTIFS($A$6:$A$50,A20,$G$6:$G$50,"&lt;"&amp;G20))</f>
      </c>
      <c r="S20" s="68">
        <f>IF(M20&gt;='Настройки'!$B$19,"重点的に分解して交渉",IF(M20&gt;='Настройки'!$B$20,"確認して交渉","許容または価格確定"))</f>
      </c>
      <c r="T20" s="60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/>
      <c r="B21" s="60"/>
      <c r="C21" s="60"/>
      <c r="D21" s="86"/>
      <c r="E21" s="60" t="s">
        <v>0</v>
      </c>
      <c r="F21" s="72">
        <f>IFERROR(VLOOKUP(E21,'Настройки'!$F$18:$G$24,2,FALSE),1)</f>
      </c>
      <c r="G21" s="74"/>
      <c r="H21" s="74"/>
      <c r="I21" s="74"/>
      <c r="J21" s="74"/>
      <c r="K21" s="76">
        <f>IFERROR(VLOOKUP(A21,'Подробна разбивка на разходите'!$A$6:$V$55,22,FALSE),0)</f>
      </c>
      <c r="L21" s="76">
        <f>IFERROR(G21-K21,"")</f>
      </c>
      <c r="M21" s="70" t="str">
        <f>IFERROR(G21/K21-1,"")</f>
      </c>
      <c r="N21" s="88">
        <f>IFERROR(VLOOKUP(A21,'Подробна разбивка на разходите'!$A$6:$F$55,6,FALSE),0)</f>
      </c>
      <c r="O21" s="78">
        <f>IFERROR(G21*N21*F21,0)</f>
      </c>
      <c r="P21" s="78">
        <f>IFERROR(K21*N21*F21,0)</f>
      </c>
      <c r="Q21" s="78">
        <f>MAX(0,O21-P21)</f>
      </c>
      <c r="R21" s="90" t="str">
        <f>IF(A21="","",1+COUNTIFS($A$6:$A$50,A21,$G$6:$G$50,"&lt;"&amp;G21))</f>
      </c>
      <c r="S21" s="68">
        <f>IF(M21&gt;='Настройки'!$B$19,"重点的に分解して交渉",IF(M21&gt;='Настройки'!$B$20,"確認して交渉","許容または価格確定"))</f>
      </c>
      <c r="T21" s="60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/>
      <c r="B22" s="60"/>
      <c r="C22" s="60"/>
      <c r="D22" s="86"/>
      <c r="E22" s="60" t="s">
        <v>0</v>
      </c>
      <c r="F22" s="72">
        <f>IFERROR(VLOOKUP(E22,'Настройки'!$F$18:$G$24,2,FALSE),1)</f>
      </c>
      <c r="G22" s="74"/>
      <c r="H22" s="74"/>
      <c r="I22" s="74"/>
      <c r="J22" s="74"/>
      <c r="K22" s="76">
        <f>IFERROR(VLOOKUP(A22,'Подробна разбивка на разходите'!$A$6:$V$55,22,FALSE),0)</f>
      </c>
      <c r="L22" s="76">
        <f>IFERROR(G22-K22,"")</f>
      </c>
      <c r="M22" s="70" t="str">
        <f>IFERROR(G22/K22-1,"")</f>
      </c>
      <c r="N22" s="88">
        <f>IFERROR(VLOOKUP(A22,'Подробна разбивка на разходите'!$A$6:$F$55,6,FALSE),0)</f>
      </c>
      <c r="O22" s="78">
        <f>IFERROR(G22*N22*F22,0)</f>
      </c>
      <c r="P22" s="78">
        <f>IFERROR(K22*N22*F22,0)</f>
      </c>
      <c r="Q22" s="78">
        <f>MAX(0,O22-P22)</f>
      </c>
      <c r="R22" s="90" t="str">
        <f>IF(A22="","",1+COUNTIFS($A$6:$A$50,A22,$G$6:$G$50,"&lt;"&amp;G22))</f>
      </c>
      <c r="S22" s="68">
        <f>IF(M22&gt;='Настройки'!$B$19,"重点的に分解して交渉",IF(M22&gt;='Настройки'!$B$20,"確認して交渉","許容または価格確定"))</f>
      </c>
      <c r="T22" s="60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/>
      <c r="B23" s="60"/>
      <c r="C23" s="60"/>
      <c r="D23" s="86"/>
      <c r="E23" s="60" t="s">
        <v>0</v>
      </c>
      <c r="F23" s="72">
        <f>IFERROR(VLOOKUP(E23,'Настройки'!$F$18:$G$24,2,FALSE),1)</f>
      </c>
      <c r="G23" s="74"/>
      <c r="H23" s="74"/>
      <c r="I23" s="74"/>
      <c r="J23" s="74"/>
      <c r="K23" s="76">
        <f>IFERROR(VLOOKUP(A23,'Подробна разбивка на разходите'!$A$6:$V$55,22,FALSE),0)</f>
      </c>
      <c r="L23" s="76">
        <f>IFERROR(G23-K23,"")</f>
      </c>
      <c r="M23" s="70" t="str">
        <f>IFERROR(G23/K23-1,"")</f>
      </c>
      <c r="N23" s="88">
        <f>IFERROR(VLOOKUP(A23,'Подробна разбивка на разходите'!$A$6:$F$55,6,FALSE),0)</f>
      </c>
      <c r="O23" s="78">
        <f>IFERROR(G23*N23*F23,0)</f>
      </c>
      <c r="P23" s="78">
        <f>IFERROR(K23*N23*F23,0)</f>
      </c>
      <c r="Q23" s="78">
        <f>MAX(0,O23-P23)</f>
      </c>
      <c r="R23" s="90" t="str">
        <f>IF(A23="","",1+COUNTIFS($A$6:$A$50,A23,$G$6:$G$50,"&lt;"&amp;G23))</f>
      </c>
      <c r="S23" s="68">
        <f>IF(M23&gt;='Настройки'!$B$19,"重点的に分解して交渉",IF(M23&gt;='Настройки'!$B$20,"確認して交渉","許容または価格確定"))</f>
      </c>
      <c r="T23" s="60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/>
      <c r="B24" s="60"/>
      <c r="C24" s="60"/>
      <c r="D24" s="86"/>
      <c r="E24" s="60" t="s">
        <v>0</v>
      </c>
      <c r="F24" s="72">
        <f>IFERROR(VLOOKUP(E24,'Настройки'!$F$18:$G$24,2,FALSE),1)</f>
      </c>
      <c r="G24" s="74"/>
      <c r="H24" s="74"/>
      <c r="I24" s="74"/>
      <c r="J24" s="74"/>
      <c r="K24" s="76">
        <f>IFERROR(VLOOKUP(A24,'Подробна разбивка на разходите'!$A$6:$V$55,22,FALSE),0)</f>
      </c>
      <c r="L24" s="76">
        <f>IFERROR(G24-K24,"")</f>
      </c>
      <c r="M24" s="70" t="str">
        <f>IFERROR(G24/K24-1,"")</f>
      </c>
      <c r="N24" s="88">
        <f>IFERROR(VLOOKUP(A24,'Подробна разбивка на разходите'!$A$6:$F$55,6,FALSE),0)</f>
      </c>
      <c r="O24" s="78">
        <f>IFERROR(G24*N24*F24,0)</f>
      </c>
      <c r="P24" s="78">
        <f>IFERROR(K24*N24*F24,0)</f>
      </c>
      <c r="Q24" s="78">
        <f>MAX(0,O24-P24)</f>
      </c>
      <c r="R24" s="90" t="str">
        <f>IF(A24="","",1+COUNTIFS($A$6:$A$50,A24,$G$6:$G$50,"&lt;"&amp;G24))</f>
      </c>
      <c r="S24" s="68">
        <f>IF(M24&gt;='Настройки'!$B$19,"重点的に分解して交渉",IF(M24&gt;='Настройки'!$B$20,"確認して交渉","許容または価格確定"))</f>
      </c>
      <c r="T24" s="60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/>
      <c r="B25" s="60"/>
      <c r="C25" s="60"/>
      <c r="D25" s="86"/>
      <c r="E25" s="60" t="s">
        <v>0</v>
      </c>
      <c r="F25" s="72">
        <f>IFERROR(VLOOKUP(E25,'Настройки'!$F$18:$G$24,2,FALSE),1)</f>
      </c>
      <c r="G25" s="74"/>
      <c r="H25" s="74"/>
      <c r="I25" s="74"/>
      <c r="J25" s="74"/>
      <c r="K25" s="76">
        <f>IFERROR(VLOOKUP(A25,'Подробна разбивка на разходите'!$A$6:$V$55,22,FALSE),0)</f>
      </c>
      <c r="L25" s="76">
        <f>IFERROR(G25-K25,"")</f>
      </c>
      <c r="M25" s="70" t="str">
        <f>IFERROR(G25/K25-1,"")</f>
      </c>
      <c r="N25" s="88">
        <f>IFERROR(VLOOKUP(A25,'Подробна разбивка на разходите'!$A$6:$F$55,6,FALSE),0)</f>
      </c>
      <c r="O25" s="78">
        <f>IFERROR(G25*N25*F25,0)</f>
      </c>
      <c r="P25" s="78">
        <f>IFERROR(K25*N25*F25,0)</f>
      </c>
      <c r="Q25" s="78">
        <f>MAX(0,O25-P25)</f>
      </c>
      <c r="R25" s="90" t="str">
        <f>IF(A25="","",1+COUNTIFS($A$6:$A$50,A25,$G$6:$G$50,"&lt;"&amp;G25))</f>
      </c>
      <c r="S25" s="68">
        <f>IF(M25&gt;='Настройки'!$B$19,"重点的に分解して交渉",IF(M25&gt;='Настройки'!$B$20,"確認して交渉","許容または価格確定"))</f>
      </c>
      <c r="T25" s="60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/>
      <c r="B26" s="60"/>
      <c r="C26" s="60"/>
      <c r="D26" s="86"/>
      <c r="E26" s="60" t="s">
        <v>0</v>
      </c>
      <c r="F26" s="72">
        <f>IFERROR(VLOOKUP(E26,'Настройки'!$F$18:$G$24,2,FALSE),1)</f>
      </c>
      <c r="G26" s="74"/>
      <c r="H26" s="74"/>
      <c r="I26" s="74"/>
      <c r="J26" s="74"/>
      <c r="K26" s="76">
        <f>IFERROR(VLOOKUP(A26,'Подробна разбивка на разходите'!$A$6:$V$55,22,FALSE),0)</f>
      </c>
      <c r="L26" s="76">
        <f>IFERROR(G26-K26,"")</f>
      </c>
      <c r="M26" s="70" t="str">
        <f>IFERROR(G26/K26-1,"")</f>
      </c>
      <c r="N26" s="88">
        <f>IFERROR(VLOOKUP(A26,'Подробна разбивка на разходите'!$A$6:$F$55,6,FALSE),0)</f>
      </c>
      <c r="O26" s="78">
        <f>IFERROR(G26*N26*F26,0)</f>
      </c>
      <c r="P26" s="78">
        <f>IFERROR(K26*N26*F26,0)</f>
      </c>
      <c r="Q26" s="78">
        <f>MAX(0,O26-P26)</f>
      </c>
      <c r="R26" s="90" t="str">
        <f>IF(A26="","",1+COUNTIFS($A$6:$A$50,A26,$G$6:$G$50,"&lt;"&amp;G26))</f>
      </c>
      <c r="S26" s="68">
        <f>IF(M26&gt;='Настройки'!$B$19,"重点的に分解して交渉",IF(M26&gt;='Настройки'!$B$20,"確認して交渉","許容または価格確定"))</f>
      </c>
      <c r="T26" s="60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/>
      <c r="B27" s="60"/>
      <c r="C27" s="60"/>
      <c r="D27" s="86"/>
      <c r="E27" s="60" t="s">
        <v>0</v>
      </c>
      <c r="F27" s="72">
        <f>IFERROR(VLOOKUP(E27,'Настройки'!$F$18:$G$24,2,FALSE),1)</f>
      </c>
      <c r="G27" s="74"/>
      <c r="H27" s="74"/>
      <c r="I27" s="74"/>
      <c r="J27" s="74"/>
      <c r="K27" s="76">
        <f>IFERROR(VLOOKUP(A27,'Подробна разбивка на разходите'!$A$6:$V$55,22,FALSE),0)</f>
      </c>
      <c r="L27" s="76">
        <f>IFERROR(G27-K27,"")</f>
      </c>
      <c r="M27" s="70" t="str">
        <f>IFERROR(G27/K27-1,"")</f>
      </c>
      <c r="N27" s="88">
        <f>IFERROR(VLOOKUP(A27,'Подробна разбивка на разходите'!$A$6:$F$55,6,FALSE),0)</f>
      </c>
      <c r="O27" s="78">
        <f>IFERROR(G27*N27*F27,0)</f>
      </c>
      <c r="P27" s="78">
        <f>IFERROR(K27*N27*F27,0)</f>
      </c>
      <c r="Q27" s="78">
        <f>MAX(0,O27-P27)</f>
      </c>
      <c r="R27" s="90" t="str">
        <f>IF(A27="","",1+COUNTIFS($A$6:$A$50,A27,$G$6:$G$50,"&lt;"&amp;G27))</f>
      </c>
      <c r="S27" s="68">
        <f>IF(M27&gt;='Настройки'!$B$19,"重点的に分解して交渉",IF(M27&gt;='Настройки'!$B$20,"確認して交渉","許容または価格確定"))</f>
      </c>
      <c r="T27" s="60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/>
      <c r="B28" s="60"/>
      <c r="C28" s="60"/>
      <c r="D28" s="86"/>
      <c r="E28" s="60" t="s">
        <v>0</v>
      </c>
      <c r="F28" s="72">
        <f>IFERROR(VLOOKUP(E28,'Настройки'!$F$18:$G$24,2,FALSE),1)</f>
      </c>
      <c r="G28" s="74"/>
      <c r="H28" s="74"/>
      <c r="I28" s="74"/>
      <c r="J28" s="74"/>
      <c r="K28" s="76">
        <f>IFERROR(VLOOKUP(A28,'Подробна разбивка на разходите'!$A$6:$V$55,22,FALSE),0)</f>
      </c>
      <c r="L28" s="76">
        <f>IFERROR(G28-K28,"")</f>
      </c>
      <c r="M28" s="70" t="str">
        <f>IFERROR(G28/K28-1,"")</f>
      </c>
      <c r="N28" s="88">
        <f>IFERROR(VLOOKUP(A28,'Подробна разбивка на разходите'!$A$6:$F$55,6,FALSE),0)</f>
      </c>
      <c r="O28" s="78">
        <f>IFERROR(G28*N28*F28,0)</f>
      </c>
      <c r="P28" s="78">
        <f>IFERROR(K28*N28*F28,0)</f>
      </c>
      <c r="Q28" s="78">
        <f>MAX(0,O28-P28)</f>
      </c>
      <c r="R28" s="90" t="str">
        <f>IF(A28="","",1+COUNTIFS($A$6:$A$50,A28,$G$6:$G$50,"&lt;"&amp;G28))</f>
      </c>
      <c r="S28" s="68">
        <f>IF(M28&gt;='Настройки'!$B$19,"重点的に分解して交渉",IF(M28&gt;='Настройки'!$B$20,"確認して交渉","許容または価格確定"))</f>
      </c>
      <c r="T28" s="60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/>
      <c r="B29" s="60"/>
      <c r="C29" s="60"/>
      <c r="D29" s="86"/>
      <c r="E29" s="60" t="s">
        <v>0</v>
      </c>
      <c r="F29" s="72">
        <f>IFERROR(VLOOKUP(E29,'Настройки'!$F$18:$G$24,2,FALSE),1)</f>
      </c>
      <c r="G29" s="74"/>
      <c r="H29" s="74"/>
      <c r="I29" s="74"/>
      <c r="J29" s="74"/>
      <c r="K29" s="76">
        <f>IFERROR(VLOOKUP(A29,'Подробна разбивка на разходите'!$A$6:$V$55,22,FALSE),0)</f>
      </c>
      <c r="L29" s="76">
        <f>IFERROR(G29-K29,"")</f>
      </c>
      <c r="M29" s="70" t="str">
        <f>IFERROR(G29/K29-1,"")</f>
      </c>
      <c r="N29" s="88">
        <f>IFERROR(VLOOKUP(A29,'Подробна разбивка на разходите'!$A$6:$F$55,6,FALSE),0)</f>
      </c>
      <c r="O29" s="78">
        <f>IFERROR(G29*N29*F29,0)</f>
      </c>
      <c r="P29" s="78">
        <f>IFERROR(K29*N29*F29,0)</f>
      </c>
      <c r="Q29" s="78">
        <f>MAX(0,O29-P29)</f>
      </c>
      <c r="R29" s="90" t="str">
        <f>IF(A29="","",1+COUNTIFS($A$6:$A$50,A29,$G$6:$G$50,"&lt;"&amp;G29))</f>
      </c>
      <c r="S29" s="68">
        <f>IF(M29&gt;='Настройки'!$B$19,"重点的に分解して交渉",IF(M29&gt;='Настройки'!$B$20,"確認して交渉","許容または価格確定"))</f>
      </c>
      <c r="T29" s="60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/>
      <c r="B30" s="60"/>
      <c r="C30" s="60"/>
      <c r="D30" s="86"/>
      <c r="E30" s="60" t="s">
        <v>0</v>
      </c>
      <c r="F30" s="72">
        <f>IFERROR(VLOOKUP(E30,'Настройки'!$F$18:$G$24,2,FALSE),1)</f>
      </c>
      <c r="G30" s="74"/>
      <c r="H30" s="74"/>
      <c r="I30" s="74"/>
      <c r="J30" s="74"/>
      <c r="K30" s="76">
        <f>IFERROR(VLOOKUP(A30,'Подробна разбивка на разходите'!$A$6:$V$55,22,FALSE),0)</f>
      </c>
      <c r="L30" s="76">
        <f>IFERROR(G30-K30,"")</f>
      </c>
      <c r="M30" s="70" t="str">
        <f>IFERROR(G30/K30-1,"")</f>
      </c>
      <c r="N30" s="88">
        <f>IFERROR(VLOOKUP(A30,'Подробна разбивка на разходите'!$A$6:$F$55,6,FALSE),0)</f>
      </c>
      <c r="O30" s="78">
        <f>IFERROR(G30*N30*F30,0)</f>
      </c>
      <c r="P30" s="78">
        <f>IFERROR(K30*N30*F30,0)</f>
      </c>
      <c r="Q30" s="78">
        <f>MAX(0,O30-P30)</f>
      </c>
      <c r="R30" s="90" t="str">
        <f>IF(A30="","",1+COUNTIFS($A$6:$A$50,A30,$G$6:$G$50,"&lt;"&amp;G30))</f>
      </c>
      <c r="S30" s="68">
        <f>IF(M30&gt;='Настройки'!$B$19,"重点的に分解して交渉",IF(M30&gt;='Настройки'!$B$20,"確認して交渉","許容または価格確定"))</f>
      </c>
      <c r="T30" s="60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/>
      <c r="B31" s="60"/>
      <c r="C31" s="60"/>
      <c r="D31" s="86"/>
      <c r="E31" s="60" t="s">
        <v>0</v>
      </c>
      <c r="F31" s="72">
        <f>IFERROR(VLOOKUP(E31,'Настройки'!$F$18:$G$24,2,FALSE),1)</f>
      </c>
      <c r="G31" s="74"/>
      <c r="H31" s="74"/>
      <c r="I31" s="74"/>
      <c r="J31" s="74"/>
      <c r="K31" s="76">
        <f>IFERROR(VLOOKUP(A31,'Подробна разбивка на разходите'!$A$6:$V$55,22,FALSE),0)</f>
      </c>
      <c r="L31" s="76">
        <f>IFERROR(G31-K31,"")</f>
      </c>
      <c r="M31" s="70" t="str">
        <f>IFERROR(G31/K31-1,"")</f>
      </c>
      <c r="N31" s="88">
        <f>IFERROR(VLOOKUP(A31,'Подробна разбивка на разходите'!$A$6:$F$55,6,FALSE),0)</f>
      </c>
      <c r="O31" s="78">
        <f>IFERROR(G31*N31*F31,0)</f>
      </c>
      <c r="P31" s="78">
        <f>IFERROR(K31*N31*F31,0)</f>
      </c>
      <c r="Q31" s="78">
        <f>MAX(0,O31-P31)</f>
      </c>
      <c r="R31" s="90" t="str">
        <f>IF(A31="","",1+COUNTIFS($A$6:$A$50,A31,$G$6:$G$50,"&lt;"&amp;G31))</f>
      </c>
      <c r="S31" s="68">
        <f>IF(M31&gt;='Настройки'!$B$19,"重点的に分解して交渉",IF(M31&gt;='Настройки'!$B$20,"確認して交渉","許容または価格確定"))</f>
      </c>
      <c r="T31" s="60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/>
      <c r="B32" s="60"/>
      <c r="C32" s="60"/>
      <c r="D32" s="86"/>
      <c r="E32" s="60" t="s">
        <v>0</v>
      </c>
      <c r="F32" s="72">
        <f>IFERROR(VLOOKUP(E32,'Настройки'!$F$18:$G$24,2,FALSE),1)</f>
      </c>
      <c r="G32" s="74"/>
      <c r="H32" s="74"/>
      <c r="I32" s="74"/>
      <c r="J32" s="74"/>
      <c r="K32" s="76">
        <f>IFERROR(VLOOKUP(A32,'Подробна разбивка на разходите'!$A$6:$V$55,22,FALSE),0)</f>
      </c>
      <c r="L32" s="76">
        <f>IFERROR(G32-K32,"")</f>
      </c>
      <c r="M32" s="70" t="str">
        <f>IFERROR(G32/K32-1,"")</f>
      </c>
      <c r="N32" s="88">
        <f>IFERROR(VLOOKUP(A32,'Подробна разбивка на разходите'!$A$6:$F$55,6,FALSE),0)</f>
      </c>
      <c r="O32" s="78">
        <f>IFERROR(G32*N32*F32,0)</f>
      </c>
      <c r="P32" s="78">
        <f>IFERROR(K32*N32*F32,0)</f>
      </c>
      <c r="Q32" s="78">
        <f>MAX(0,O32-P32)</f>
      </c>
      <c r="R32" s="90" t="str">
        <f>IF(A32="","",1+COUNTIFS($A$6:$A$50,A32,$G$6:$G$50,"&lt;"&amp;G32))</f>
      </c>
      <c r="S32" s="68">
        <f>IF(M32&gt;='Настройки'!$B$19,"重点的に分解して交渉",IF(M32&gt;='Настройки'!$B$20,"確認して交渉","許容または価格確定"))</f>
      </c>
      <c r="T32" s="60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/>
      <c r="B33" s="60"/>
      <c r="C33" s="60"/>
      <c r="D33" s="86"/>
      <c r="E33" s="60" t="s">
        <v>0</v>
      </c>
      <c r="F33" s="72">
        <f>IFERROR(VLOOKUP(E33,'Настройки'!$F$18:$G$24,2,FALSE),1)</f>
      </c>
      <c r="G33" s="74"/>
      <c r="H33" s="74"/>
      <c r="I33" s="74"/>
      <c r="J33" s="74"/>
      <c r="K33" s="76">
        <f>IFERROR(VLOOKUP(A33,'Подробна разбивка на разходите'!$A$6:$V$55,22,FALSE),0)</f>
      </c>
      <c r="L33" s="76">
        <f>IFERROR(G33-K33,"")</f>
      </c>
      <c r="M33" s="70" t="str">
        <f>IFERROR(G33/K33-1,"")</f>
      </c>
      <c r="N33" s="88">
        <f>IFERROR(VLOOKUP(A33,'Подробна разбивка на разходите'!$A$6:$F$55,6,FALSE),0)</f>
      </c>
      <c r="O33" s="78">
        <f>IFERROR(G33*N33*F33,0)</f>
      </c>
      <c r="P33" s="78">
        <f>IFERROR(K33*N33*F33,0)</f>
      </c>
      <c r="Q33" s="78">
        <f>MAX(0,O33-P33)</f>
      </c>
      <c r="R33" s="90" t="str">
        <f>IF(A33="","",1+COUNTIFS($A$6:$A$50,A33,$G$6:$G$50,"&lt;"&amp;G33))</f>
      </c>
      <c r="S33" s="68">
        <f>IF(M33&gt;='Настройки'!$B$19,"重点的に分解して交渉",IF(M33&gt;='Настройки'!$B$20,"確認して交渉","許容または価格確定"))</f>
      </c>
      <c r="T33" s="60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/>
      <c r="B34" s="60"/>
      <c r="C34" s="60"/>
      <c r="D34" s="86"/>
      <c r="E34" s="60" t="s">
        <v>0</v>
      </c>
      <c r="F34" s="72">
        <f>IFERROR(VLOOKUP(E34,'Настройки'!$F$18:$G$24,2,FALSE),1)</f>
      </c>
      <c r="G34" s="74"/>
      <c r="H34" s="74"/>
      <c r="I34" s="74"/>
      <c r="J34" s="74"/>
      <c r="K34" s="76">
        <f>IFERROR(VLOOKUP(A34,'Подробна разбивка на разходите'!$A$6:$V$55,22,FALSE),0)</f>
      </c>
      <c r="L34" s="76">
        <f>IFERROR(G34-K34,"")</f>
      </c>
      <c r="M34" s="70" t="str">
        <f>IFERROR(G34/K34-1,"")</f>
      </c>
      <c r="N34" s="88">
        <f>IFERROR(VLOOKUP(A34,'Подробна разбивка на разходите'!$A$6:$F$55,6,FALSE),0)</f>
      </c>
      <c r="O34" s="78">
        <f>IFERROR(G34*N34*F34,0)</f>
      </c>
      <c r="P34" s="78">
        <f>IFERROR(K34*N34*F34,0)</f>
      </c>
      <c r="Q34" s="78">
        <f>MAX(0,O34-P34)</f>
      </c>
      <c r="R34" s="90" t="str">
        <f>IF(A34="","",1+COUNTIFS($A$6:$A$50,A34,$G$6:$G$50,"&lt;"&amp;G34))</f>
      </c>
      <c r="S34" s="68">
        <f>IF(M34&gt;='Настройки'!$B$19,"重点的に分解して交渉",IF(M34&gt;='Настройки'!$B$20,"確認して交渉","許容または価格確定"))</f>
      </c>
      <c r="T34" s="60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/>
      <c r="B35" s="60"/>
      <c r="C35" s="60"/>
      <c r="D35" s="86"/>
      <c r="E35" s="60" t="s">
        <v>0</v>
      </c>
      <c r="F35" s="72">
        <f>IFERROR(VLOOKUP(E35,'Настройки'!$F$18:$G$24,2,FALSE),1)</f>
      </c>
      <c r="G35" s="74"/>
      <c r="H35" s="74"/>
      <c r="I35" s="74"/>
      <c r="J35" s="74"/>
      <c r="K35" s="76">
        <f>IFERROR(VLOOKUP(A35,'Подробна разбивка на разходите'!$A$6:$V$55,22,FALSE),0)</f>
      </c>
      <c r="L35" s="76">
        <f>IFERROR(G35-K35,"")</f>
      </c>
      <c r="M35" s="70" t="str">
        <f>IFERROR(G35/K35-1,"")</f>
      </c>
      <c r="N35" s="88">
        <f>IFERROR(VLOOKUP(A35,'Подробна разбивка на разходите'!$A$6:$F$55,6,FALSE),0)</f>
      </c>
      <c r="O35" s="78">
        <f>IFERROR(G35*N35*F35,0)</f>
      </c>
      <c r="P35" s="78">
        <f>IFERROR(K35*N35*F35,0)</f>
      </c>
      <c r="Q35" s="78">
        <f>MAX(0,O35-P35)</f>
      </c>
      <c r="R35" s="90" t="str">
        <f>IF(A35="","",1+COUNTIFS($A$6:$A$50,A35,$G$6:$G$50,"&lt;"&amp;G35))</f>
      </c>
      <c r="S35" s="68">
        <f>IF(M35&gt;='Настройки'!$B$19,"重点的に分解して交渉",IF(M35&gt;='Настройки'!$B$20,"確認して交渉","許容または価格確定"))</f>
      </c>
      <c r="T35" s="60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/>
      <c r="B36" s="60"/>
      <c r="C36" s="60"/>
      <c r="D36" s="86"/>
      <c r="E36" s="60" t="s">
        <v>0</v>
      </c>
      <c r="F36" s="72">
        <f>IFERROR(VLOOKUP(E36,'Настройки'!$F$18:$G$24,2,FALSE),1)</f>
      </c>
      <c r="G36" s="74"/>
      <c r="H36" s="74"/>
      <c r="I36" s="74"/>
      <c r="J36" s="74"/>
      <c r="K36" s="76">
        <f>IFERROR(VLOOKUP(A36,'Подробна разбивка на разходите'!$A$6:$V$55,22,FALSE),0)</f>
      </c>
      <c r="L36" s="76">
        <f>IFERROR(G36-K36,"")</f>
      </c>
      <c r="M36" s="70" t="str">
        <f>IFERROR(G36/K36-1,"")</f>
      </c>
      <c r="N36" s="88">
        <f>IFERROR(VLOOKUP(A36,'Подробна разбивка на разходите'!$A$6:$F$55,6,FALSE),0)</f>
      </c>
      <c r="O36" s="78">
        <f>IFERROR(G36*N36*F36,0)</f>
      </c>
      <c r="P36" s="78">
        <f>IFERROR(K36*N36*F36,0)</f>
      </c>
      <c r="Q36" s="78">
        <f>MAX(0,O36-P36)</f>
      </c>
      <c r="R36" s="90" t="str">
        <f>IF(A36="","",1+COUNTIFS($A$6:$A$50,A36,$G$6:$G$50,"&lt;"&amp;G36))</f>
      </c>
      <c r="S36" s="68">
        <f>IF(M36&gt;='Настройки'!$B$19,"重点的に分解して交渉",IF(M36&gt;='Настройки'!$B$20,"確認して交渉","許容または価格確定"))</f>
      </c>
      <c r="T36" s="60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/>
      <c r="B37" s="60"/>
      <c r="C37" s="60"/>
      <c r="D37" s="86"/>
      <c r="E37" s="60" t="s">
        <v>0</v>
      </c>
      <c r="F37" s="72">
        <f>IFERROR(VLOOKUP(E37,'Настройки'!$F$18:$G$24,2,FALSE),1)</f>
      </c>
      <c r="G37" s="74"/>
      <c r="H37" s="74"/>
      <c r="I37" s="74"/>
      <c r="J37" s="74"/>
      <c r="K37" s="76">
        <f>IFERROR(VLOOKUP(A37,'Подробна разбивка на разходите'!$A$6:$V$55,22,FALSE),0)</f>
      </c>
      <c r="L37" s="76">
        <f>IFERROR(G37-K37,"")</f>
      </c>
      <c r="M37" s="70" t="str">
        <f>IFERROR(G37/K37-1,"")</f>
      </c>
      <c r="N37" s="88">
        <f>IFERROR(VLOOKUP(A37,'Подробна разбивка на разходите'!$A$6:$F$55,6,FALSE),0)</f>
      </c>
      <c r="O37" s="78">
        <f>IFERROR(G37*N37*F37,0)</f>
      </c>
      <c r="P37" s="78">
        <f>IFERROR(K37*N37*F37,0)</f>
      </c>
      <c r="Q37" s="78">
        <f>MAX(0,O37-P37)</f>
      </c>
      <c r="R37" s="90" t="str">
        <f>IF(A37="","",1+COUNTIFS($A$6:$A$50,A37,$G$6:$G$50,"&lt;"&amp;G37))</f>
      </c>
      <c r="S37" s="68">
        <f>IF(M37&gt;='Настройки'!$B$19,"重点的に分解して交渉",IF(M37&gt;='Настройки'!$B$20,"確認して交渉","許容または価格確定"))</f>
      </c>
      <c r="T37" s="60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/>
      <c r="B38" s="60"/>
      <c r="C38" s="60"/>
      <c r="D38" s="86"/>
      <c r="E38" s="60" t="s">
        <v>0</v>
      </c>
      <c r="F38" s="72">
        <f>IFERROR(VLOOKUP(E38,'Настройки'!$F$18:$G$24,2,FALSE),1)</f>
      </c>
      <c r="G38" s="74"/>
      <c r="H38" s="74"/>
      <c r="I38" s="74"/>
      <c r="J38" s="74"/>
      <c r="K38" s="76">
        <f>IFERROR(VLOOKUP(A38,'Подробна разбивка на разходите'!$A$6:$V$55,22,FALSE),0)</f>
      </c>
      <c r="L38" s="76">
        <f>IFERROR(G38-K38,"")</f>
      </c>
      <c r="M38" s="70" t="str">
        <f>IFERROR(G38/K38-1,"")</f>
      </c>
      <c r="N38" s="88">
        <f>IFERROR(VLOOKUP(A38,'Подробна разбивка на разходите'!$A$6:$F$55,6,FALSE),0)</f>
      </c>
      <c r="O38" s="78">
        <f>IFERROR(G38*N38*F38,0)</f>
      </c>
      <c r="P38" s="78">
        <f>IFERROR(K38*N38*F38,0)</f>
      </c>
      <c r="Q38" s="78">
        <f>MAX(0,O38-P38)</f>
      </c>
      <c r="R38" s="90" t="str">
        <f>IF(A38="","",1+COUNTIFS($A$6:$A$50,A38,$G$6:$G$50,"&lt;"&amp;G38))</f>
      </c>
      <c r="S38" s="68">
        <f>IF(M38&gt;='Настройки'!$B$19,"重点的に分解して交渉",IF(M38&gt;='Настройки'!$B$20,"確認して交渉","許容または価格確定"))</f>
      </c>
      <c r="T38" s="60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/>
      <c r="B39" s="60"/>
      <c r="C39" s="60"/>
      <c r="D39" s="86"/>
      <c r="E39" s="60" t="s">
        <v>0</v>
      </c>
      <c r="F39" s="72">
        <f>IFERROR(VLOOKUP(E39,'Настройки'!$F$18:$G$24,2,FALSE),1)</f>
      </c>
      <c r="G39" s="74"/>
      <c r="H39" s="74"/>
      <c r="I39" s="74"/>
      <c r="J39" s="74"/>
      <c r="K39" s="76">
        <f>IFERROR(VLOOKUP(A39,'Подробна разбивка на разходите'!$A$6:$V$55,22,FALSE),0)</f>
      </c>
      <c r="L39" s="76">
        <f>IFERROR(G39-K39,"")</f>
      </c>
      <c r="M39" s="70" t="str">
        <f>IFERROR(G39/K39-1,"")</f>
      </c>
      <c r="N39" s="88">
        <f>IFERROR(VLOOKUP(A39,'Подробна разбивка на разходите'!$A$6:$F$55,6,FALSE),0)</f>
      </c>
      <c r="O39" s="78">
        <f>IFERROR(G39*N39*F39,0)</f>
      </c>
      <c r="P39" s="78">
        <f>IFERROR(K39*N39*F39,0)</f>
      </c>
      <c r="Q39" s="78">
        <f>MAX(0,O39-P39)</f>
      </c>
      <c r="R39" s="90" t="str">
        <f>IF(A39="","",1+COUNTIFS($A$6:$A$50,A39,$G$6:$G$50,"&lt;"&amp;G39))</f>
      </c>
      <c r="S39" s="68">
        <f>IF(M39&gt;='Настройки'!$B$19,"重点的に分解して交渉",IF(M39&gt;='Настройки'!$B$20,"確認して交渉","許容または価格確定"))</f>
      </c>
      <c r="T39" s="60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/>
      <c r="B40" s="60"/>
      <c r="C40" s="60"/>
      <c r="D40" s="86"/>
      <c r="E40" s="60" t="s">
        <v>0</v>
      </c>
      <c r="F40" s="72">
        <f>IFERROR(VLOOKUP(E40,'Настройки'!$F$18:$G$24,2,FALSE),1)</f>
      </c>
      <c r="G40" s="74"/>
      <c r="H40" s="74"/>
      <c r="I40" s="74"/>
      <c r="J40" s="74"/>
      <c r="K40" s="76">
        <f>IFERROR(VLOOKUP(A40,'Подробна разбивка на разходите'!$A$6:$V$55,22,FALSE),0)</f>
      </c>
      <c r="L40" s="76">
        <f>IFERROR(G40-K40,"")</f>
      </c>
      <c r="M40" s="70" t="str">
        <f>IFERROR(G40/K40-1,"")</f>
      </c>
      <c r="N40" s="88">
        <f>IFERROR(VLOOKUP(A40,'Подробна разбивка на разходите'!$A$6:$F$55,6,FALSE),0)</f>
      </c>
      <c r="O40" s="78">
        <f>IFERROR(G40*N40*F40,0)</f>
      </c>
      <c r="P40" s="78">
        <f>IFERROR(K40*N40*F40,0)</f>
      </c>
      <c r="Q40" s="78">
        <f>MAX(0,O40-P40)</f>
      </c>
      <c r="R40" s="90" t="str">
        <f>IF(A40="","",1+COUNTIFS($A$6:$A$50,A40,$G$6:$G$50,"&lt;"&amp;G40))</f>
      </c>
      <c r="S40" s="68">
        <f>IF(M40&gt;='Настройки'!$B$19,"重点的に分解して交渉",IF(M40&gt;='Настройки'!$B$20,"確認して交渉","許容または価格確定"))</f>
      </c>
      <c r="T40" s="60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>
      <c r="A41" s="60"/>
      <c r="B41" s="60"/>
      <c r="C41" s="60"/>
      <c r="D41" s="86"/>
      <c r="E41" s="60" t="s">
        <v>0</v>
      </c>
      <c r="F41" s="72">
        <f>IFERROR(VLOOKUP(E41,'Настройки'!$F$18:$G$24,2,FALSE),1)</f>
      </c>
      <c r="G41" s="74"/>
      <c r="H41" s="74"/>
      <c r="I41" s="74"/>
      <c r="J41" s="74"/>
      <c r="K41" s="76">
        <f>IFERROR(VLOOKUP(A41,'Подробна разбивка на разходите'!$A$6:$V$55,22,FALSE),0)</f>
      </c>
      <c r="L41" s="76">
        <f>IFERROR(G41-K41,"")</f>
      </c>
      <c r="M41" s="70" t="str">
        <f>IFERROR(G41/K41-1,"")</f>
      </c>
      <c r="N41" s="88">
        <f>IFERROR(VLOOKUP(A41,'Подробна разбивка на разходите'!$A$6:$F$55,6,FALSE),0)</f>
      </c>
      <c r="O41" s="78">
        <f>IFERROR(G41*N41*F41,0)</f>
      </c>
      <c r="P41" s="78">
        <f>IFERROR(K41*N41*F41,0)</f>
      </c>
      <c r="Q41" s="78">
        <f>MAX(0,O41-P41)</f>
      </c>
      <c r="R41" s="90" t="str">
        <f>IF(A41="","",1+COUNTIFS($A$6:$A$50,A41,$G$6:$G$50,"&lt;"&amp;G41))</f>
      </c>
      <c r="S41" s="68">
        <f>IF(M41&gt;='Настройки'!$B$19,"重点的に分解して交渉",IF(M41&gt;='Настройки'!$B$20,"確認して交渉","許容または価格確定"))</f>
      </c>
      <c r="T41" s="60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</row>
    <row r="42" ht="22" customHeight="true">
      <c r="A42" s="60"/>
      <c r="B42" s="60"/>
      <c r="C42" s="60"/>
      <c r="D42" s="86"/>
      <c r="E42" s="60" t="s">
        <v>0</v>
      </c>
      <c r="F42" s="72">
        <f>IFERROR(VLOOKUP(E42,'Настройки'!$F$18:$G$24,2,FALSE),1)</f>
      </c>
      <c r="G42" s="74"/>
      <c r="H42" s="74"/>
      <c r="I42" s="74"/>
      <c r="J42" s="74"/>
      <c r="K42" s="76">
        <f>IFERROR(VLOOKUP(A42,'Подробна разбивка на разходите'!$A$6:$V$55,22,FALSE),0)</f>
      </c>
      <c r="L42" s="76">
        <f>IFERROR(G42-K42,"")</f>
      </c>
      <c r="M42" s="70" t="str">
        <f>IFERROR(G42/K42-1,"")</f>
      </c>
      <c r="N42" s="88">
        <f>IFERROR(VLOOKUP(A42,'Подробна разбивка на разходите'!$A$6:$F$55,6,FALSE),0)</f>
      </c>
      <c r="O42" s="78">
        <f>IFERROR(G42*N42*F42,0)</f>
      </c>
      <c r="P42" s="78">
        <f>IFERROR(K42*N42*F42,0)</f>
      </c>
      <c r="Q42" s="78">
        <f>MAX(0,O42-P42)</f>
      </c>
      <c r="R42" s="90" t="str">
        <f>IF(A42="","",1+COUNTIFS($A$6:$A$50,A42,$G$6:$G$50,"&lt;"&amp;G42))</f>
      </c>
      <c r="S42" s="68">
        <f>IF(M42&gt;='Настройки'!$B$19,"重点的に分解して交渉",IF(M42&gt;='Настройки'!$B$20,"確認して交渉","許容または価格確定"))</f>
      </c>
      <c r="T42" s="60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</row>
    <row r="43" ht="22" customHeight="true">
      <c r="A43" s="60"/>
      <c r="B43" s="60"/>
      <c r="C43" s="60"/>
      <c r="D43" s="86"/>
      <c r="E43" s="60" t="s">
        <v>0</v>
      </c>
      <c r="F43" s="72">
        <f>IFERROR(VLOOKUP(E43,'Настройки'!$F$18:$G$24,2,FALSE),1)</f>
      </c>
      <c r="G43" s="74"/>
      <c r="H43" s="74"/>
      <c r="I43" s="74"/>
      <c r="J43" s="74"/>
      <c r="K43" s="76">
        <f>IFERROR(VLOOKUP(A43,'Подробна разбивка на разходите'!$A$6:$V$55,22,FALSE),0)</f>
      </c>
      <c r="L43" s="76">
        <f>IFERROR(G43-K43,"")</f>
      </c>
      <c r="M43" s="70" t="str">
        <f>IFERROR(G43/K43-1,"")</f>
      </c>
      <c r="N43" s="88">
        <f>IFERROR(VLOOKUP(A43,'Подробна разбивка на разходите'!$A$6:$F$55,6,FALSE),0)</f>
      </c>
      <c r="O43" s="78">
        <f>IFERROR(G43*N43*F43,0)</f>
      </c>
      <c r="P43" s="78">
        <f>IFERROR(K43*N43*F43,0)</f>
      </c>
      <c r="Q43" s="78">
        <f>MAX(0,O43-P43)</f>
      </c>
      <c r="R43" s="90" t="str">
        <f>IF(A43="","",1+COUNTIFS($A$6:$A$50,A43,$G$6:$G$50,"&lt;"&amp;G43))</f>
      </c>
      <c r="S43" s="68">
        <f>IF(M43&gt;='Настройки'!$B$19,"重点的に分解して交渉",IF(M43&gt;='Настройки'!$B$20,"確認して交渉","許容または価格確定"))</f>
      </c>
      <c r="T43" s="60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</row>
    <row r="44" ht="22" customHeight="true">
      <c r="A44" s="60"/>
      <c r="B44" s="60"/>
      <c r="C44" s="60"/>
      <c r="D44" s="86"/>
      <c r="E44" s="60" t="s">
        <v>0</v>
      </c>
      <c r="F44" s="72">
        <f>IFERROR(VLOOKUP(E44,'Настройки'!$F$18:$G$24,2,FALSE),1)</f>
      </c>
      <c r="G44" s="74"/>
      <c r="H44" s="74"/>
      <c r="I44" s="74"/>
      <c r="J44" s="74"/>
      <c r="K44" s="76">
        <f>IFERROR(VLOOKUP(A44,'Подробна разбивка на разходите'!$A$6:$V$55,22,FALSE),0)</f>
      </c>
      <c r="L44" s="76">
        <f>IFERROR(G44-K44,"")</f>
      </c>
      <c r="M44" s="70" t="str">
        <f>IFERROR(G44/K44-1,"")</f>
      </c>
      <c r="N44" s="88">
        <f>IFERROR(VLOOKUP(A44,'Подробна разбивка на разходите'!$A$6:$F$55,6,FALSE),0)</f>
      </c>
      <c r="O44" s="78">
        <f>IFERROR(G44*N44*F44,0)</f>
      </c>
      <c r="P44" s="78">
        <f>IFERROR(K44*N44*F44,0)</f>
      </c>
      <c r="Q44" s="78">
        <f>MAX(0,O44-P44)</f>
      </c>
      <c r="R44" s="90" t="str">
        <f>IF(A44="","",1+COUNTIFS($A$6:$A$50,A44,$G$6:$G$50,"&lt;"&amp;G44))</f>
      </c>
      <c r="S44" s="68">
        <f>IF(M44&gt;='Настройки'!$B$19,"重点的に分解して交渉",IF(M44&gt;='Настройки'!$B$20,"確認して交渉","許容または価格確定"))</f>
      </c>
      <c r="T44" s="60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</row>
    <row r="45" ht="22" customHeight="true">
      <c r="A45" s="60"/>
      <c r="B45" s="60"/>
      <c r="C45" s="60"/>
      <c r="D45" s="86"/>
      <c r="E45" s="60" t="s">
        <v>0</v>
      </c>
      <c r="F45" s="72">
        <f>IFERROR(VLOOKUP(E45,'Настройки'!$F$18:$G$24,2,FALSE),1)</f>
      </c>
      <c r="G45" s="74"/>
      <c r="H45" s="74"/>
      <c r="I45" s="74"/>
      <c r="J45" s="74"/>
      <c r="K45" s="76">
        <f>IFERROR(VLOOKUP(A45,'Подробна разбивка на разходите'!$A$6:$V$55,22,FALSE),0)</f>
      </c>
      <c r="L45" s="76">
        <f>IFERROR(G45-K45,"")</f>
      </c>
      <c r="M45" s="70" t="str">
        <f>IFERROR(G45/K45-1,"")</f>
      </c>
      <c r="N45" s="88">
        <f>IFERROR(VLOOKUP(A45,'Подробна разбивка на разходите'!$A$6:$F$55,6,FALSE),0)</f>
      </c>
      <c r="O45" s="78">
        <f>IFERROR(G45*N45*F45,0)</f>
      </c>
      <c r="P45" s="78">
        <f>IFERROR(K45*N45*F45,0)</f>
      </c>
      <c r="Q45" s="78">
        <f>MAX(0,O45-P45)</f>
      </c>
      <c r="R45" s="90" t="str">
        <f>IF(A45="","",1+COUNTIFS($A$6:$A$50,A45,$G$6:$G$50,"&lt;"&amp;G45))</f>
      </c>
      <c r="S45" s="68">
        <f>IF(M45&gt;='Настройки'!$B$19,"重点的に分解して交渉",IF(M45&gt;='Настройки'!$B$20,"確認して交渉","許容または価格確定"))</f>
      </c>
      <c r="T45" s="60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</row>
    <row r="46" ht="22" customHeight="true">
      <c r="A46" s="60"/>
      <c r="B46" s="60"/>
      <c r="C46" s="60"/>
      <c r="D46" s="86"/>
      <c r="E46" s="60" t="s">
        <v>0</v>
      </c>
      <c r="F46" s="72">
        <f>IFERROR(VLOOKUP(E46,'Настройки'!$F$18:$G$24,2,FALSE),1)</f>
      </c>
      <c r="G46" s="74"/>
      <c r="H46" s="74"/>
      <c r="I46" s="74"/>
      <c r="J46" s="74"/>
      <c r="K46" s="76">
        <f>IFERROR(VLOOKUP(A46,'Подробна разбивка на разходите'!$A$6:$V$55,22,FALSE),0)</f>
      </c>
      <c r="L46" s="76">
        <f>IFERROR(G46-K46,"")</f>
      </c>
      <c r="M46" s="70" t="str">
        <f>IFERROR(G46/K46-1,"")</f>
      </c>
      <c r="N46" s="88">
        <f>IFERROR(VLOOKUP(A46,'Подробна разбивка на разходите'!$A$6:$F$55,6,FALSE),0)</f>
      </c>
      <c r="O46" s="78">
        <f>IFERROR(G46*N46*F46,0)</f>
      </c>
      <c r="P46" s="78">
        <f>IFERROR(K46*N46*F46,0)</f>
      </c>
      <c r="Q46" s="78">
        <f>MAX(0,O46-P46)</f>
      </c>
      <c r="R46" s="90" t="str">
        <f>IF(A46="","",1+COUNTIFS($A$6:$A$50,A46,$G$6:$G$50,"&lt;"&amp;G46))</f>
      </c>
      <c r="S46" s="68">
        <f>IF(M46&gt;='Настройки'!$B$19,"重点的に分解して交渉",IF(M46&gt;='Настройки'!$B$20,"確認して交渉","許容または価格確定"))</f>
      </c>
      <c r="T46" s="60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</row>
    <row r="47" ht="22" customHeight="true">
      <c r="A47" s="60"/>
      <c r="B47" s="60"/>
      <c r="C47" s="60"/>
      <c r="D47" s="86"/>
      <c r="E47" s="60" t="s">
        <v>0</v>
      </c>
      <c r="F47" s="72">
        <f>IFERROR(VLOOKUP(E47,'Настройки'!$F$18:$G$24,2,FALSE),1)</f>
      </c>
      <c r="G47" s="74"/>
      <c r="H47" s="74"/>
      <c r="I47" s="74"/>
      <c r="J47" s="74"/>
      <c r="K47" s="76">
        <f>IFERROR(VLOOKUP(A47,'Подробна разбивка на разходите'!$A$6:$V$55,22,FALSE),0)</f>
      </c>
      <c r="L47" s="76">
        <f>IFERROR(G47-K47,"")</f>
      </c>
      <c r="M47" s="70" t="str">
        <f>IFERROR(G47/K47-1,"")</f>
      </c>
      <c r="N47" s="88">
        <f>IFERROR(VLOOKUP(A47,'Подробна разбивка на разходите'!$A$6:$F$55,6,FALSE),0)</f>
      </c>
      <c r="O47" s="78">
        <f>IFERROR(G47*N47*F47,0)</f>
      </c>
      <c r="P47" s="78">
        <f>IFERROR(K47*N47*F47,0)</f>
      </c>
      <c r="Q47" s="78">
        <f>MAX(0,O47-P47)</f>
      </c>
      <c r="R47" s="90" t="str">
        <f>IF(A47="","",1+COUNTIFS($A$6:$A$50,A47,$G$6:$G$50,"&lt;"&amp;G47))</f>
      </c>
      <c r="S47" s="68">
        <f>IF(M47&gt;='Настройки'!$B$19,"重点的に分解して交渉",IF(M47&gt;='Настройки'!$B$20,"確認して交渉","許容または価格確定"))</f>
      </c>
      <c r="T47" s="60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</row>
    <row r="48" ht="22" customHeight="true">
      <c r="A48" s="60"/>
      <c r="B48" s="60"/>
      <c r="C48" s="60"/>
      <c r="D48" s="86"/>
      <c r="E48" s="60" t="s">
        <v>0</v>
      </c>
      <c r="F48" s="72">
        <f>IFERROR(VLOOKUP(E48,'Настройки'!$F$18:$G$24,2,FALSE),1)</f>
      </c>
      <c r="G48" s="74"/>
      <c r="H48" s="74"/>
      <c r="I48" s="74"/>
      <c r="J48" s="74"/>
      <c r="K48" s="76">
        <f>IFERROR(VLOOKUP(A48,'Подробна разбивка на разходите'!$A$6:$V$55,22,FALSE),0)</f>
      </c>
      <c r="L48" s="76">
        <f>IFERROR(G48-K48,"")</f>
      </c>
      <c r="M48" s="70" t="str">
        <f>IFERROR(G48/K48-1,"")</f>
      </c>
      <c r="N48" s="88">
        <f>IFERROR(VLOOKUP(A48,'Подробна разбивка на разходите'!$A$6:$F$55,6,FALSE),0)</f>
      </c>
      <c r="O48" s="78">
        <f>IFERROR(G48*N48*F48,0)</f>
      </c>
      <c r="P48" s="78">
        <f>IFERROR(K48*N48*F48,0)</f>
      </c>
      <c r="Q48" s="78">
        <f>MAX(0,O48-P48)</f>
      </c>
      <c r="R48" s="90" t="str">
        <f>IF(A48="","",1+COUNTIFS($A$6:$A$50,A48,$G$6:$G$50,"&lt;"&amp;G48))</f>
      </c>
      <c r="S48" s="68">
        <f>IF(M48&gt;='Настройки'!$B$19,"重点的に分解して交渉",IF(M48&gt;='Настройки'!$B$20,"確認して交渉","許容または価格確定"))</f>
      </c>
      <c r="T48" s="60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</row>
    <row r="49" ht="22" customHeight="true">
      <c r="A49" s="60"/>
      <c r="B49" s="60"/>
      <c r="C49" s="60"/>
      <c r="D49" s="86"/>
      <c r="E49" s="60" t="s">
        <v>0</v>
      </c>
      <c r="F49" s="72">
        <f>IFERROR(VLOOKUP(E49,'Настройки'!$F$18:$G$24,2,FALSE),1)</f>
      </c>
      <c r="G49" s="74"/>
      <c r="H49" s="74"/>
      <c r="I49" s="74"/>
      <c r="J49" s="74"/>
      <c r="K49" s="76">
        <f>IFERROR(VLOOKUP(A49,'Подробна разбивка на разходите'!$A$6:$V$55,22,FALSE),0)</f>
      </c>
      <c r="L49" s="76">
        <f>IFERROR(G49-K49,"")</f>
      </c>
      <c r="M49" s="70" t="str">
        <f>IFERROR(G49/K49-1,"")</f>
      </c>
      <c r="N49" s="88">
        <f>IFERROR(VLOOKUP(A49,'Подробна разбивка на разходите'!$A$6:$F$55,6,FALSE),0)</f>
      </c>
      <c r="O49" s="78">
        <f>IFERROR(G49*N49*F49,0)</f>
      </c>
      <c r="P49" s="78">
        <f>IFERROR(K49*N49*F49,0)</f>
      </c>
      <c r="Q49" s="78">
        <f>MAX(0,O49-P49)</f>
      </c>
      <c r="R49" s="90" t="str">
        <f>IF(A49="","",1+COUNTIFS($A$6:$A$50,A49,$G$6:$G$50,"&lt;"&amp;G49))</f>
      </c>
      <c r="S49" s="68">
        <f>IF(M49&gt;='Настройки'!$B$19,"重点的に分解して交渉",IF(M49&gt;='Настройки'!$B$20,"確認して交渉","許容または価格確定"))</f>
      </c>
      <c r="T49" s="60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</row>
    <row r="50" ht="22" customHeight="true">
      <c r="A50" s="60"/>
      <c r="B50" s="60"/>
      <c r="C50" s="60"/>
      <c r="D50" s="86"/>
      <c r="E50" s="60" t="s">
        <v>0</v>
      </c>
      <c r="F50" s="72">
        <f>IFERROR(VLOOKUP(E50,'Настройки'!$F$18:$G$24,2,FALSE),1)</f>
      </c>
      <c r="G50" s="74"/>
      <c r="H50" s="74"/>
      <c r="I50" s="74"/>
      <c r="J50" s="74"/>
      <c r="K50" s="76">
        <f>IFERROR(VLOOKUP(A50,'Подробна разбивка на разходите'!$A$6:$V$55,22,FALSE),0)</f>
      </c>
      <c r="L50" s="76">
        <f>IFERROR(G50-K50,"")</f>
      </c>
      <c r="M50" s="70" t="str">
        <f>IFERROR(G50/K50-1,"")</f>
      </c>
      <c r="N50" s="88">
        <f>IFERROR(VLOOKUP(A50,'Подробна разбивка на разходите'!$A$6:$F$55,6,FALSE),0)</f>
      </c>
      <c r="O50" s="78">
        <f>IFERROR(G50*N50*F50,0)</f>
      </c>
      <c r="P50" s="78">
        <f>IFERROR(K50*N50*F50,0)</f>
      </c>
      <c r="Q50" s="78">
        <f>MAX(0,O50-P50)</f>
      </c>
      <c r="R50" s="90" t="str">
        <f>IF(A50="","",1+COUNTIFS($A$6:$A$50,A50,$G$6:$G$50,"&lt;"&amp;G50))</f>
      </c>
      <c r="S50" s="68">
        <f>IF(M50&gt;='Настройки'!$B$19,"重点的に分解して交渉",IF(M50&gt;='Настройки'!$B$20,"確認して交渉","許容または価格確定"))</f>
      </c>
      <c r="T50" s="60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</row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T1"/>
    <mergeCell ref="A2:T2"/>
  </mergeCells>
  <conditionalFormatting sqref="M6:M50">
    <cfRule type="colorScale" priority="1">
      <colorScale>
        <cfvo type="min"/>
        <cfvo type="percentile" val="50"/>
        <cfvo type="max"/>
        <color rgb="E2F0D9"/>
        <color rgb="FFF2CC"/>
        <color rgb="F8CBAD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sqref="E6:E50" type="list">
      <formula1>"CNY,USD,EUR,GBP,JPY,HKD,SGD"</formula1>
    </dataValidation>
    <dataValidation allowBlank="true" sqref="H6:H50" type="list">
      <formula1>"Prepayment,Плащане при доставка,Net 30,Net 45,Net 60,Net 90,Разсрочено плащане,里程碑付款"</formula1>
    </dataValidation>
  </dataValidations>
  <pageMargins left="0.7" right="0.7" top="0.75" bottom="0.75" header="0.3" footer="0.3"/>
  <tableParts count="1">
    <tablePart r:id="R1a1c2e1c1fc64de2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4"/>
    <col customWidth="true" max="2" min="2" width="10"/>
    <col customWidth="true" max="3" min="3" width="18"/>
    <col customWidth="true" max="4" min="4" width="14"/>
    <col customWidth="true" max="6" min="5" width="12"/>
    <col customWidth="true" max="10" min="7" width="14"/>
    <col customWidth="true" max="11" min="11" width="12"/>
    <col customWidth="true" max="12" min="12" width="14"/>
    <col customWidth="true" max="15" min="13" width="12"/>
    <col customWidth="true" max="16" min="16" width="14"/>
    <col customWidth="true" max="17" min="17" width="24"/>
  </cols>
  <sheetData>
    <row r="1" ht="34" customHeight="true">
      <c r="A1" s="10" t="s">
        <v>0</v>
      </c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発注書と契約番号</t>
        </is>
      </c>
      <c r="B5" s="40" t="inlineStr">
        <is>
          <t>原価ID</t>
        </is>
      </c>
      <c r="C5" s="40" t="inlineStr">
        <is>
          <t>仕入先</t>
        </is>
      </c>
      <c r="D5" s="40" t="inlineStr">
        <is>
          <t>請求書番号</t>
        </is>
      </c>
      <c r="E5" s="40" t="inlineStr">
        <is>
          <t>請求日</t>
        </is>
      </c>
      <c r="F5" s="40" t="inlineStr">
        <is>
          <t>支払期日</t>
        </is>
      </c>
      <c r="G5" s="40" t="inlineStr">
        <is>
          <t>支払条件</t>
        </is>
      </c>
      <c r="H5" s="40" t="inlineStr">
        <is>
          <t>買掛金額 CNY</t>
        </is>
      </c>
      <c r="I5" s="40" t="inlineStr">
        <is>
          <t>支払予定日</t>
        </is>
      </c>
      <c r="J5" s="40" t="inlineStr">
        <is>
          <t>期日前または遅延日数</t>
        </is>
      </c>
      <c r="K5" s="40" t="inlineStr">
        <is>
          <t>滞留区分</t>
        </is>
      </c>
      <c r="L5" s="40" t="inlineStr">
        <is>
          <t>利用可能な早期支払割引率</t>
        </is>
      </c>
      <c r="M5" s="40" t="inlineStr">
        <is>
          <t>割引額</t>
        </is>
      </c>
      <c r="N5" s="40" t="inlineStr">
        <is>
          <t>実支払額</t>
        </is>
      </c>
      <c r="O5" s="40" t="inlineStr">
        <is>
          <t>キャッシュフロー月</t>
        </is>
      </c>
      <c r="P5" s="40" t="inlineStr">
        <is>
          <t>状態</t>
        </is>
      </c>
      <c r="Q5" s="40" t="inlineStr">
        <is>
          <t>メモ</t>
        </is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60" t="s">
        <v>0</v>
      </c>
      <c r="E6" s="92" t="n">
        <v>46118</v>
      </c>
      <c r="F6" s="92" t="n">
        <v>46178</v>
      </c>
      <c r="G6" s="60" t="s">
        <v>0</v>
      </c>
      <c r="H6" s="64" t="s">
        <v>0</v>
      </c>
      <c r="I6" s="92" t="n">
        <v>46178</v>
      </c>
      <c r="J6" s="90">
        <f>IF(F6="","",IF(I6="",TODAY()-F6,I6-F6))</f>
      </c>
      <c r="K6" s="68">
        <f>IF(F6="","",IF(F6&gt;=TODAY(),"期日前",IF(TODAY()-F6&lt;=30,"30日以内",IF(TODAY()-F6&lt;=60,"31日から60日",IF(TODAY()-F6&lt;=90,"61日から90日","90日超")))))</f>
      </c>
      <c r="L6" s="62" t="s">
        <v>0</v>
      </c>
      <c r="M6" s="78">
        <f>IFERROR(H6*L6,0)</f>
      </c>
      <c r="N6" s="78">
        <f>IFERROR(H6-M6,0)</f>
      </c>
      <c r="O6" s="68">
        <f>IF(I6="","",TEXT(I6,"yyyy-mm"))</f>
      </c>
      <c r="P6" s="60" t="s">
        <v>0</v>
      </c>
      <c r="Q6" s="60" t="s">
        <v>0</v>
      </c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60" t="s">
        <v>0</v>
      </c>
      <c r="E7" s="92" t="n">
        <v>46088</v>
      </c>
      <c r="F7" s="92" t="n">
        <v>46148</v>
      </c>
      <c r="G7" s="60" t="s">
        <v>0</v>
      </c>
      <c r="H7" s="64" t="s">
        <v>0</v>
      </c>
      <c r="I7" s="92" t="n">
        <v>46146</v>
      </c>
      <c r="J7" s="90">
        <f>IF(F7="","",IF(I7="",TODAY()-F7,I7-F7))</f>
      </c>
      <c r="K7" s="68">
        <f>IF(F7="","",IF(F7&gt;=TODAY(),"期日前",IF(TODAY()-F7&lt;=30,"30日以内",IF(TODAY()-F7&lt;=60,"31日から60日",IF(TODAY()-F7&lt;=90,"61日から90日","90日超")))))</f>
      </c>
      <c r="L7" s="62" t="s">
        <v>0</v>
      </c>
      <c r="M7" s="78">
        <f>IFERROR(H7*L7,0)</f>
      </c>
      <c r="N7" s="78">
        <f>IFERROR(H7-M7,0)</f>
      </c>
      <c r="O7" s="68">
        <f>IF(I7="","",TEXT(I7,"yyyy-mm"))</f>
      </c>
      <c r="P7" s="60" t="s">
        <v>0</v>
      </c>
      <c r="Q7" s="60" t="s">
        <v>0</v>
      </c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60" t="s">
        <v>0</v>
      </c>
      <c r="E8" s="92" t="n">
        <v>46073</v>
      </c>
      <c r="F8" s="92" t="n">
        <v>46118</v>
      </c>
      <c r="G8" s="60" t="s">
        <v>0</v>
      </c>
      <c r="H8" s="64" t="s">
        <v>0</v>
      </c>
      <c r="I8" s="92" t="n">
        <v>46153</v>
      </c>
      <c r="J8" s="90">
        <f>IF(F8="","",IF(I8="",TODAY()-F8,I8-F8))</f>
      </c>
      <c r="K8" s="68">
        <f>IF(F8="","",IF(F8&gt;=TODAY(),"期日前",IF(TODAY()-F8&lt;=30,"30日以内",IF(TODAY()-F8&lt;=60,"31日から60日",IF(TODAY()-F8&lt;=90,"61日から90日","90日超")))))</f>
      </c>
      <c r="L8" s="62" t="s">
        <v>0</v>
      </c>
      <c r="M8" s="78">
        <f>IFERROR(H8*L8,0)</f>
      </c>
      <c r="N8" s="78">
        <f>IFERROR(H8-M8,0)</f>
      </c>
      <c r="O8" s="68">
        <f>IF(I8="","",TEXT(I8,"yyyy-mm"))</f>
      </c>
      <c r="P8" s="60" t="s">
        <v>0</v>
      </c>
      <c r="Q8" s="60" t="s">
        <v>0</v>
      </c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60" t="s">
        <v>0</v>
      </c>
      <c r="E9" s="92" t="n">
        <v>46133</v>
      </c>
      <c r="F9" s="92" t="n">
        <v>46163</v>
      </c>
      <c r="G9" s="60" t="s">
        <v>0</v>
      </c>
      <c r="H9" s="64" t="s">
        <v>0</v>
      </c>
      <c r="I9" s="92" t="n">
        <v>46163</v>
      </c>
      <c r="J9" s="90">
        <f>IF(F9="","",IF(I9="",TODAY()-F9,I9-F9))</f>
      </c>
      <c r="K9" s="68">
        <f>IF(F9="","",IF(F9&gt;=TODAY(),"期日前",IF(TODAY()-F9&lt;=30,"30日以内",IF(TODAY()-F9&lt;=60,"31日から60日",IF(TODAY()-F9&lt;=90,"61日から90日","90日超")))))</f>
      </c>
      <c r="L9" s="62" t="s">
        <v>0</v>
      </c>
      <c r="M9" s="78">
        <f>IFERROR(H9*L9,0)</f>
      </c>
      <c r="N9" s="78">
        <f>IFERROR(H9-M9,0)</f>
      </c>
      <c r="O9" s="68">
        <f>IF(I9="","",TEXT(I9,"yyyy-mm"))</f>
      </c>
      <c r="P9" s="60" t="s">
        <v>0</v>
      </c>
      <c r="Q9" s="60" t="s">
        <v>0</v>
      </c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 t="s">
        <v>0</v>
      </c>
      <c r="B10" s="60" t="s">
        <v>0</v>
      </c>
      <c r="C10" s="60" t="s">
        <v>0</v>
      </c>
      <c r="D10" s="60" t="s">
        <v>0</v>
      </c>
      <c r="E10" s="92" t="n">
        <v>46158</v>
      </c>
      <c r="F10" s="92" t="n">
        <v>46188</v>
      </c>
      <c r="G10" s="60" t="s">
        <v>0</v>
      </c>
      <c r="H10" s="64" t="s">
        <v>0</v>
      </c>
      <c r="I10" s="92" t="n">
        <v>46188</v>
      </c>
      <c r="J10" s="90">
        <f>IF(F10="","",IF(I10="",TODAY()-F10,I10-F10))</f>
      </c>
      <c r="K10" s="68">
        <f>IF(F10="","",IF(F10&gt;=TODAY(),"期日前",IF(TODAY()-F10&lt;=30,"30日以内",IF(TODAY()-F10&lt;=60,"31日から60日",IF(TODAY()-F10&lt;=90,"61日から90日","90日超")))))</f>
      </c>
      <c r="L10" s="62" t="s">
        <v>0</v>
      </c>
      <c r="M10" s="78">
        <f>IFERROR(H10*L10,0)</f>
      </c>
      <c r="N10" s="78">
        <f>IFERROR(H10-M10,0)</f>
      </c>
      <c r="O10" s="68">
        <f>IF(I10="","",TEXT(I10,"yyyy-mm"))</f>
      </c>
      <c r="P10" s="60" t="s">
        <v>0</v>
      </c>
      <c r="Q10" s="60" t="s">
        <v>0</v>
      </c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/>
      <c r="B11" s="60"/>
      <c r="C11" s="60"/>
      <c r="D11" s="60"/>
      <c r="E11" s="92"/>
      <c r="F11" s="92"/>
      <c r="G11" s="60"/>
      <c r="H11" s="64"/>
      <c r="I11" s="92"/>
      <c r="J11" s="90" t="str">
        <f>IF(F11="","",IF(I11="",TODAY()-F11,I11-F11))</f>
      </c>
      <c r="K11" s="68" t="str">
        <f>IF(F11="","",IF(F11&gt;=TODAY(),"期日前",IF(TODAY()-F11&lt;=30,"30日以内",IF(TODAY()-F11&lt;=60,"31日から60日",IF(TODAY()-F11&lt;=90,"61日から90日","90日超")))))</f>
      </c>
      <c r="L11" s="62" t="s">
        <v>0</v>
      </c>
      <c r="M11" s="78">
        <f>IFERROR(H11*L11,0)</f>
      </c>
      <c r="N11" s="78">
        <f>IFERROR(H11-M11,0)</f>
      </c>
      <c r="O11" s="68" t="str">
        <f>IF(I11="","",TEXT(I11,"yyyy-mm"))</f>
      </c>
      <c r="P11" s="60"/>
      <c r="Q11" s="60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/>
      <c r="B12" s="60"/>
      <c r="C12" s="60"/>
      <c r="D12" s="60"/>
      <c r="E12" s="92"/>
      <c r="F12" s="92"/>
      <c r="G12" s="60"/>
      <c r="H12" s="64"/>
      <c r="I12" s="92"/>
      <c r="J12" s="90" t="str">
        <f>IF(F12="","",IF(I12="",TODAY()-F12,I12-F12))</f>
      </c>
      <c r="K12" s="68" t="str">
        <f>IF(F12="","",IF(F12&gt;=TODAY(),"期日前",IF(TODAY()-F12&lt;=30,"30日以内",IF(TODAY()-F12&lt;=60,"31日から60日",IF(TODAY()-F12&lt;=90,"61日から90日","90日超")))))</f>
      </c>
      <c r="L12" s="62" t="s">
        <v>0</v>
      </c>
      <c r="M12" s="78">
        <f>IFERROR(H12*L12,0)</f>
      </c>
      <c r="N12" s="78">
        <f>IFERROR(H12-M12,0)</f>
      </c>
      <c r="O12" s="68" t="str">
        <f>IF(I12="","",TEXT(I12,"yyyy-mm"))</f>
      </c>
      <c r="P12" s="60"/>
      <c r="Q12" s="60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/>
      <c r="B13" s="60"/>
      <c r="C13" s="60"/>
      <c r="D13" s="60"/>
      <c r="E13" s="92"/>
      <c r="F13" s="92"/>
      <c r="G13" s="60"/>
      <c r="H13" s="64"/>
      <c r="I13" s="92"/>
      <c r="J13" s="90" t="str">
        <f>IF(F13="","",IF(I13="",TODAY()-F13,I13-F13))</f>
      </c>
      <c r="K13" s="68" t="str">
        <f>IF(F13="","",IF(F13&gt;=TODAY(),"期日前",IF(TODAY()-F13&lt;=30,"30日以内",IF(TODAY()-F13&lt;=60,"31日から60日",IF(TODAY()-F13&lt;=90,"61日から90日","90日超")))))</f>
      </c>
      <c r="L13" s="62" t="s">
        <v>0</v>
      </c>
      <c r="M13" s="78">
        <f>IFERROR(H13*L13,0)</f>
      </c>
      <c r="N13" s="78">
        <f>IFERROR(H13-M13,0)</f>
      </c>
      <c r="O13" s="68" t="str">
        <f>IF(I13="","",TEXT(I13,"yyyy-mm"))</f>
      </c>
      <c r="P13" s="60"/>
      <c r="Q13" s="60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/>
      <c r="B14" s="60"/>
      <c r="C14" s="60"/>
      <c r="D14" s="60"/>
      <c r="E14" s="92"/>
      <c r="F14" s="92"/>
      <c r="G14" s="60"/>
      <c r="H14" s="64"/>
      <c r="I14" s="92"/>
      <c r="J14" s="90" t="str">
        <f>IF(F14="","",IF(I14="",TODAY()-F14,I14-F14))</f>
      </c>
      <c r="K14" s="68" t="str">
        <f>IF(F14="","",IF(F14&gt;=TODAY(),"期日前",IF(TODAY()-F14&lt;=30,"30日以内",IF(TODAY()-F14&lt;=60,"31日から60日",IF(TODAY()-F14&lt;=90,"61日から90日","90日超")))))</f>
      </c>
      <c r="L14" s="62" t="s">
        <v>0</v>
      </c>
      <c r="M14" s="78">
        <f>IFERROR(H14*L14,0)</f>
      </c>
      <c r="N14" s="78">
        <f>IFERROR(H14-M14,0)</f>
      </c>
      <c r="O14" s="68" t="str">
        <f>IF(I14="","",TEXT(I14,"yyyy-mm"))</f>
      </c>
      <c r="P14" s="60"/>
      <c r="Q14" s="60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/>
      <c r="B15" s="60"/>
      <c r="C15" s="60"/>
      <c r="D15" s="60"/>
      <c r="E15" s="92"/>
      <c r="F15" s="92"/>
      <c r="G15" s="60"/>
      <c r="H15" s="64"/>
      <c r="I15" s="92"/>
      <c r="J15" s="90" t="str">
        <f>IF(F15="","",IF(I15="",TODAY()-F15,I15-F15))</f>
      </c>
      <c r="K15" s="68" t="str">
        <f>IF(F15="","",IF(F15&gt;=TODAY(),"期日前",IF(TODAY()-F15&lt;=30,"30日以内",IF(TODAY()-F15&lt;=60,"31日から60日",IF(TODAY()-F15&lt;=90,"61日から90日","90日超")))))</f>
      </c>
      <c r="L15" s="62" t="s">
        <v>0</v>
      </c>
      <c r="M15" s="78">
        <f>IFERROR(H15*L15,0)</f>
      </c>
      <c r="N15" s="78">
        <f>IFERROR(H15-M15,0)</f>
      </c>
      <c r="O15" s="68" t="str">
        <f>IF(I15="","",TEXT(I15,"yyyy-mm"))</f>
      </c>
      <c r="P15" s="60"/>
      <c r="Q15" s="60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/>
      <c r="B16" s="60"/>
      <c r="C16" s="60"/>
      <c r="D16" s="60"/>
      <c r="E16" s="92"/>
      <c r="F16" s="92"/>
      <c r="G16" s="60"/>
      <c r="H16" s="64"/>
      <c r="I16" s="92"/>
      <c r="J16" s="90" t="str">
        <f>IF(F16="","",IF(I16="",TODAY()-F16,I16-F16))</f>
      </c>
      <c r="K16" s="68" t="str">
        <f>IF(F16="","",IF(F16&gt;=TODAY(),"期日前",IF(TODAY()-F16&lt;=30,"30日以内",IF(TODAY()-F16&lt;=60,"31日から60日",IF(TODAY()-F16&lt;=90,"61日から90日","90日超")))))</f>
      </c>
      <c r="L16" s="62" t="s">
        <v>0</v>
      </c>
      <c r="M16" s="78">
        <f>IFERROR(H16*L16,0)</f>
      </c>
      <c r="N16" s="78">
        <f>IFERROR(H16-M16,0)</f>
      </c>
      <c r="O16" s="68" t="str">
        <f>IF(I16="","",TEXT(I16,"yyyy-mm"))</f>
      </c>
      <c r="P16" s="60"/>
      <c r="Q16" s="60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/>
      <c r="B17" s="60"/>
      <c r="C17" s="60"/>
      <c r="D17" s="60"/>
      <c r="E17" s="92"/>
      <c r="F17" s="92"/>
      <c r="G17" s="60"/>
      <c r="H17" s="64"/>
      <c r="I17" s="92"/>
      <c r="J17" s="90" t="str">
        <f>IF(F17="","",IF(I17="",TODAY()-F17,I17-F17))</f>
      </c>
      <c r="K17" s="68" t="str">
        <f>IF(F17="","",IF(F17&gt;=TODAY(),"期日前",IF(TODAY()-F17&lt;=30,"30日以内",IF(TODAY()-F17&lt;=60,"31日から60日",IF(TODAY()-F17&lt;=90,"61日から90日","90日超")))))</f>
      </c>
      <c r="L17" s="62" t="s">
        <v>0</v>
      </c>
      <c r="M17" s="78">
        <f>IFERROR(H17*L17,0)</f>
      </c>
      <c r="N17" s="78">
        <f>IFERROR(H17-M17,0)</f>
      </c>
      <c r="O17" s="68" t="str">
        <f>IF(I17="","",TEXT(I17,"yyyy-mm"))</f>
      </c>
      <c r="P17" s="60"/>
      <c r="Q17" s="60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/>
      <c r="B18" s="60"/>
      <c r="C18" s="60"/>
      <c r="D18" s="60"/>
      <c r="E18" s="92"/>
      <c r="F18" s="92"/>
      <c r="G18" s="60"/>
      <c r="H18" s="64"/>
      <c r="I18" s="92"/>
      <c r="J18" s="90" t="str">
        <f>IF(F18="","",IF(I18="",TODAY()-F18,I18-F18))</f>
      </c>
      <c r="K18" s="68" t="str">
        <f>IF(F18="","",IF(F18&gt;=TODAY(),"期日前",IF(TODAY()-F18&lt;=30,"30日以内",IF(TODAY()-F18&lt;=60,"31日から60日",IF(TODAY()-F18&lt;=90,"61日から90日","90日超")))))</f>
      </c>
      <c r="L18" s="62" t="s">
        <v>0</v>
      </c>
      <c r="M18" s="78">
        <f>IFERROR(H18*L18,0)</f>
      </c>
      <c r="N18" s="78">
        <f>IFERROR(H18-M18,0)</f>
      </c>
      <c r="O18" s="68" t="str">
        <f>IF(I18="","",TEXT(I18,"yyyy-mm"))</f>
      </c>
      <c r="P18" s="60"/>
      <c r="Q18" s="60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/>
      <c r="B19" s="60"/>
      <c r="C19" s="60"/>
      <c r="D19" s="60"/>
      <c r="E19" s="92"/>
      <c r="F19" s="92"/>
      <c r="G19" s="60"/>
      <c r="H19" s="64"/>
      <c r="I19" s="92"/>
      <c r="J19" s="90" t="str">
        <f>IF(F19="","",IF(I19="",TODAY()-F19,I19-F19))</f>
      </c>
      <c r="K19" s="68" t="str">
        <f>IF(F19="","",IF(F19&gt;=TODAY(),"期日前",IF(TODAY()-F19&lt;=30,"30日以内",IF(TODAY()-F19&lt;=60,"31日から60日",IF(TODAY()-F19&lt;=90,"61日から90日","90日超")))))</f>
      </c>
      <c r="L19" s="62" t="s">
        <v>0</v>
      </c>
      <c r="M19" s="78">
        <f>IFERROR(H19*L19,0)</f>
      </c>
      <c r="N19" s="78">
        <f>IFERROR(H19-M19,0)</f>
      </c>
      <c r="O19" s="68" t="str">
        <f>IF(I19="","",TEXT(I19,"yyyy-mm"))</f>
      </c>
      <c r="P19" s="60"/>
      <c r="Q19" s="60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/>
      <c r="B20" s="60"/>
      <c r="C20" s="60"/>
      <c r="D20" s="60"/>
      <c r="E20" s="92"/>
      <c r="F20" s="92"/>
      <c r="G20" s="60"/>
      <c r="H20" s="64"/>
      <c r="I20" s="92"/>
      <c r="J20" s="90" t="str">
        <f>IF(F20="","",IF(I20="",TODAY()-F20,I20-F20))</f>
      </c>
      <c r="K20" s="68" t="str">
        <f>IF(F20="","",IF(F20&gt;=TODAY(),"期日前",IF(TODAY()-F20&lt;=30,"30日以内",IF(TODAY()-F20&lt;=60,"31日から60日",IF(TODAY()-F20&lt;=90,"61日から90日","90日超")))))</f>
      </c>
      <c r="L20" s="62" t="s">
        <v>0</v>
      </c>
      <c r="M20" s="78">
        <f>IFERROR(H20*L20,0)</f>
      </c>
      <c r="N20" s="78">
        <f>IFERROR(H20-M20,0)</f>
      </c>
      <c r="O20" s="68" t="str">
        <f>IF(I20="","",TEXT(I20,"yyyy-mm"))</f>
      </c>
      <c r="P20" s="60"/>
      <c r="Q20" s="60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/>
      <c r="B21" s="60"/>
      <c r="C21" s="60"/>
      <c r="D21" s="60"/>
      <c r="E21" s="92"/>
      <c r="F21" s="92"/>
      <c r="G21" s="60"/>
      <c r="H21" s="64"/>
      <c r="I21" s="92"/>
      <c r="J21" s="90" t="str">
        <f>IF(F21="","",IF(I21="",TODAY()-F21,I21-F21))</f>
      </c>
      <c r="K21" s="68" t="str">
        <f>IF(F21="","",IF(F21&gt;=TODAY(),"期日前",IF(TODAY()-F21&lt;=30,"30日以内",IF(TODAY()-F21&lt;=60,"31日から60日",IF(TODAY()-F21&lt;=90,"61日から90日","90日超")))))</f>
      </c>
      <c r="L21" s="62" t="s">
        <v>0</v>
      </c>
      <c r="M21" s="78">
        <f>IFERROR(H21*L21,0)</f>
      </c>
      <c r="N21" s="78">
        <f>IFERROR(H21-M21,0)</f>
      </c>
      <c r="O21" s="68" t="str">
        <f>IF(I21="","",TEXT(I21,"yyyy-mm"))</f>
      </c>
      <c r="P21" s="60"/>
      <c r="Q21" s="60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/>
      <c r="B22" s="60"/>
      <c r="C22" s="60"/>
      <c r="D22" s="60"/>
      <c r="E22" s="92"/>
      <c r="F22" s="92"/>
      <c r="G22" s="60"/>
      <c r="H22" s="64"/>
      <c r="I22" s="92"/>
      <c r="J22" s="90" t="str">
        <f>IF(F22="","",IF(I22="",TODAY()-F22,I22-F22))</f>
      </c>
      <c r="K22" s="68" t="str">
        <f>IF(F22="","",IF(F22&gt;=TODAY(),"期日前",IF(TODAY()-F22&lt;=30,"30日以内",IF(TODAY()-F22&lt;=60,"31日から60日",IF(TODAY()-F22&lt;=90,"61日から90日","90日超")))))</f>
      </c>
      <c r="L22" s="62" t="s">
        <v>0</v>
      </c>
      <c r="M22" s="78">
        <f>IFERROR(H22*L22,0)</f>
      </c>
      <c r="N22" s="78">
        <f>IFERROR(H22-M22,0)</f>
      </c>
      <c r="O22" s="68" t="str">
        <f>IF(I22="","",TEXT(I22,"yyyy-mm"))</f>
      </c>
      <c r="P22" s="60"/>
      <c r="Q22" s="60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/>
      <c r="B23" s="60"/>
      <c r="C23" s="60"/>
      <c r="D23" s="60"/>
      <c r="E23" s="92"/>
      <c r="F23" s="92"/>
      <c r="G23" s="60"/>
      <c r="H23" s="64"/>
      <c r="I23" s="92"/>
      <c r="J23" s="90" t="str">
        <f>IF(F23="","",IF(I23="",TODAY()-F23,I23-F23))</f>
      </c>
      <c r="K23" s="68" t="str">
        <f>IF(F23="","",IF(F23&gt;=TODAY(),"期日前",IF(TODAY()-F23&lt;=30,"30日以内",IF(TODAY()-F23&lt;=60,"31日から60日",IF(TODAY()-F23&lt;=90,"61日から90日","90日超")))))</f>
      </c>
      <c r="L23" s="62" t="s">
        <v>0</v>
      </c>
      <c r="M23" s="78">
        <f>IFERROR(H23*L23,0)</f>
      </c>
      <c r="N23" s="78">
        <f>IFERROR(H23-M23,0)</f>
      </c>
      <c r="O23" s="68" t="str">
        <f>IF(I23="","",TEXT(I23,"yyyy-mm"))</f>
      </c>
      <c r="P23" s="60"/>
      <c r="Q23" s="60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/>
      <c r="B24" s="60"/>
      <c r="C24" s="60"/>
      <c r="D24" s="60"/>
      <c r="E24" s="92"/>
      <c r="F24" s="92"/>
      <c r="G24" s="60"/>
      <c r="H24" s="64"/>
      <c r="I24" s="92"/>
      <c r="J24" s="90" t="str">
        <f>IF(F24="","",IF(I24="",TODAY()-F24,I24-F24))</f>
      </c>
      <c r="K24" s="68" t="str">
        <f>IF(F24="","",IF(F24&gt;=TODAY(),"期日前",IF(TODAY()-F24&lt;=30,"30日以内",IF(TODAY()-F24&lt;=60,"31日から60日",IF(TODAY()-F24&lt;=90,"61日から90日","90日超")))))</f>
      </c>
      <c r="L24" s="62" t="s">
        <v>0</v>
      </c>
      <c r="M24" s="78">
        <f>IFERROR(H24*L24,0)</f>
      </c>
      <c r="N24" s="78">
        <f>IFERROR(H24-M24,0)</f>
      </c>
      <c r="O24" s="68" t="str">
        <f>IF(I24="","",TEXT(I24,"yyyy-mm"))</f>
      </c>
      <c r="P24" s="60"/>
      <c r="Q24" s="60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/>
      <c r="B25" s="60"/>
      <c r="C25" s="60"/>
      <c r="D25" s="60"/>
      <c r="E25" s="92"/>
      <c r="F25" s="92"/>
      <c r="G25" s="60"/>
      <c r="H25" s="64"/>
      <c r="I25" s="92"/>
      <c r="J25" s="90" t="str">
        <f>IF(F25="","",IF(I25="",TODAY()-F25,I25-F25))</f>
      </c>
      <c r="K25" s="68" t="str">
        <f>IF(F25="","",IF(F25&gt;=TODAY(),"期日前",IF(TODAY()-F25&lt;=30,"30日以内",IF(TODAY()-F25&lt;=60,"31日から60日",IF(TODAY()-F25&lt;=90,"61日から90日","90日超")))))</f>
      </c>
      <c r="L25" s="62" t="s">
        <v>0</v>
      </c>
      <c r="M25" s="78">
        <f>IFERROR(H25*L25,0)</f>
      </c>
      <c r="N25" s="78">
        <f>IFERROR(H25-M25,0)</f>
      </c>
      <c r="O25" s="68" t="str">
        <f>IF(I25="","",TEXT(I25,"yyyy-mm"))</f>
      </c>
      <c r="P25" s="60"/>
      <c r="Q25" s="60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/>
      <c r="B26" s="60"/>
      <c r="C26" s="60"/>
      <c r="D26" s="60"/>
      <c r="E26" s="92"/>
      <c r="F26" s="92"/>
      <c r="G26" s="60"/>
      <c r="H26" s="64"/>
      <c r="I26" s="92"/>
      <c r="J26" s="90" t="str">
        <f>IF(F26="","",IF(I26="",TODAY()-F26,I26-F26))</f>
      </c>
      <c r="K26" s="68" t="str">
        <f>IF(F26="","",IF(F26&gt;=TODAY(),"期日前",IF(TODAY()-F26&lt;=30,"30日以内",IF(TODAY()-F26&lt;=60,"31日から60日",IF(TODAY()-F26&lt;=90,"61日から90日","90日超")))))</f>
      </c>
      <c r="L26" s="62" t="s">
        <v>0</v>
      </c>
      <c r="M26" s="78">
        <f>IFERROR(H26*L26,0)</f>
      </c>
      <c r="N26" s="78">
        <f>IFERROR(H26-M26,0)</f>
      </c>
      <c r="O26" s="68" t="str">
        <f>IF(I26="","",TEXT(I26,"yyyy-mm"))</f>
      </c>
      <c r="P26" s="60"/>
      <c r="Q26" s="60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/>
      <c r="B27" s="60"/>
      <c r="C27" s="60"/>
      <c r="D27" s="60"/>
      <c r="E27" s="92"/>
      <c r="F27" s="92"/>
      <c r="G27" s="60"/>
      <c r="H27" s="64"/>
      <c r="I27" s="92"/>
      <c r="J27" s="90" t="str">
        <f>IF(F27="","",IF(I27="",TODAY()-F27,I27-F27))</f>
      </c>
      <c r="K27" s="68" t="str">
        <f>IF(F27="","",IF(F27&gt;=TODAY(),"期日前",IF(TODAY()-F27&lt;=30,"30日以内",IF(TODAY()-F27&lt;=60,"31日から60日",IF(TODAY()-F27&lt;=90,"61日から90日","90日超")))))</f>
      </c>
      <c r="L27" s="62" t="s">
        <v>0</v>
      </c>
      <c r="M27" s="78">
        <f>IFERROR(H27*L27,0)</f>
      </c>
      <c r="N27" s="78">
        <f>IFERROR(H27-M27,0)</f>
      </c>
      <c r="O27" s="68" t="str">
        <f>IF(I27="","",TEXT(I27,"yyyy-mm"))</f>
      </c>
      <c r="P27" s="60"/>
      <c r="Q27" s="60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/>
      <c r="B28" s="60"/>
      <c r="C28" s="60"/>
      <c r="D28" s="60"/>
      <c r="E28" s="92"/>
      <c r="F28" s="92"/>
      <c r="G28" s="60"/>
      <c r="H28" s="64"/>
      <c r="I28" s="92"/>
      <c r="J28" s="90" t="str">
        <f>IF(F28="","",IF(I28="",TODAY()-F28,I28-F28))</f>
      </c>
      <c r="K28" s="68" t="str">
        <f>IF(F28="","",IF(F28&gt;=TODAY(),"期日前",IF(TODAY()-F28&lt;=30,"30日以内",IF(TODAY()-F28&lt;=60,"31日から60日",IF(TODAY()-F28&lt;=90,"61日から90日","90日超")))))</f>
      </c>
      <c r="L28" s="62" t="s">
        <v>0</v>
      </c>
      <c r="M28" s="78">
        <f>IFERROR(H28*L28,0)</f>
      </c>
      <c r="N28" s="78">
        <f>IFERROR(H28-M28,0)</f>
      </c>
      <c r="O28" s="68" t="str">
        <f>IF(I28="","",TEXT(I28,"yyyy-mm"))</f>
      </c>
      <c r="P28" s="60"/>
      <c r="Q28" s="60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/>
      <c r="B29" s="60"/>
      <c r="C29" s="60"/>
      <c r="D29" s="60"/>
      <c r="E29" s="92"/>
      <c r="F29" s="92"/>
      <c r="G29" s="60"/>
      <c r="H29" s="64"/>
      <c r="I29" s="92"/>
      <c r="J29" s="90" t="str">
        <f>IF(F29="","",IF(I29="",TODAY()-F29,I29-F29))</f>
      </c>
      <c r="K29" s="68" t="str">
        <f>IF(F29="","",IF(F29&gt;=TODAY(),"期日前",IF(TODAY()-F29&lt;=30,"30日以内",IF(TODAY()-F29&lt;=60,"31日から60日",IF(TODAY()-F29&lt;=90,"61日から90日","90日超")))))</f>
      </c>
      <c r="L29" s="62" t="s">
        <v>0</v>
      </c>
      <c r="M29" s="78">
        <f>IFERROR(H29*L29,0)</f>
      </c>
      <c r="N29" s="78">
        <f>IFERROR(H29-M29,0)</f>
      </c>
      <c r="O29" s="68" t="str">
        <f>IF(I29="","",TEXT(I29,"yyyy-mm"))</f>
      </c>
      <c r="P29" s="60"/>
      <c r="Q29" s="60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/>
      <c r="B30" s="60"/>
      <c r="C30" s="60"/>
      <c r="D30" s="60"/>
      <c r="E30" s="92"/>
      <c r="F30" s="92"/>
      <c r="G30" s="60"/>
      <c r="H30" s="64"/>
      <c r="I30" s="92"/>
      <c r="J30" s="90" t="str">
        <f>IF(F30="","",IF(I30="",TODAY()-F30,I30-F30))</f>
      </c>
      <c r="K30" s="68" t="str">
        <f>IF(F30="","",IF(F30&gt;=TODAY(),"期日前",IF(TODAY()-F30&lt;=30,"30日以内",IF(TODAY()-F30&lt;=60,"31日から60日",IF(TODAY()-F30&lt;=90,"61日から90日","90日超")))))</f>
      </c>
      <c r="L30" s="62" t="s">
        <v>0</v>
      </c>
      <c r="M30" s="78">
        <f>IFERROR(H30*L30,0)</f>
      </c>
      <c r="N30" s="78">
        <f>IFERROR(H30-M30,0)</f>
      </c>
      <c r="O30" s="68" t="str">
        <f>IF(I30="","",TEXT(I30,"yyyy-mm"))</f>
      </c>
      <c r="P30" s="60"/>
      <c r="Q30" s="60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/>
      <c r="B31" s="60"/>
      <c r="C31" s="60"/>
      <c r="D31" s="60"/>
      <c r="E31" s="92"/>
      <c r="F31" s="92"/>
      <c r="G31" s="60"/>
      <c r="H31" s="64"/>
      <c r="I31" s="92"/>
      <c r="J31" s="90" t="str">
        <f>IF(F31="","",IF(I31="",TODAY()-F31,I31-F31))</f>
      </c>
      <c r="K31" s="68" t="str">
        <f>IF(F31="","",IF(F31&gt;=TODAY(),"期日前",IF(TODAY()-F31&lt;=30,"30日以内",IF(TODAY()-F31&lt;=60,"31日から60日",IF(TODAY()-F31&lt;=90,"61日から90日","90日超")))))</f>
      </c>
      <c r="L31" s="62" t="s">
        <v>0</v>
      </c>
      <c r="M31" s="78">
        <f>IFERROR(H31*L31,0)</f>
      </c>
      <c r="N31" s="78">
        <f>IFERROR(H31-M31,0)</f>
      </c>
      <c r="O31" s="68" t="str">
        <f>IF(I31="","",TEXT(I31,"yyyy-mm"))</f>
      </c>
      <c r="P31" s="60"/>
      <c r="Q31" s="60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/>
      <c r="B32" s="60"/>
      <c r="C32" s="60"/>
      <c r="D32" s="60"/>
      <c r="E32" s="92"/>
      <c r="F32" s="92"/>
      <c r="G32" s="60"/>
      <c r="H32" s="64"/>
      <c r="I32" s="92"/>
      <c r="J32" s="90" t="str">
        <f>IF(F32="","",IF(I32="",TODAY()-F32,I32-F32))</f>
      </c>
      <c r="K32" s="68" t="str">
        <f>IF(F32="","",IF(F32&gt;=TODAY(),"期日前",IF(TODAY()-F32&lt;=30,"30日以内",IF(TODAY()-F32&lt;=60,"31日から60日",IF(TODAY()-F32&lt;=90,"61日から90日","90日超")))))</f>
      </c>
      <c r="L32" s="62" t="s">
        <v>0</v>
      </c>
      <c r="M32" s="78">
        <f>IFERROR(H32*L32,0)</f>
      </c>
      <c r="N32" s="78">
        <f>IFERROR(H32-M32,0)</f>
      </c>
      <c r="O32" s="68" t="str">
        <f>IF(I32="","",TEXT(I32,"yyyy-mm"))</f>
      </c>
      <c r="P32" s="60"/>
      <c r="Q32" s="60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/>
      <c r="B33" s="60"/>
      <c r="C33" s="60"/>
      <c r="D33" s="60"/>
      <c r="E33" s="92"/>
      <c r="F33" s="92"/>
      <c r="G33" s="60"/>
      <c r="H33" s="64"/>
      <c r="I33" s="92"/>
      <c r="J33" s="90" t="str">
        <f>IF(F33="","",IF(I33="",TODAY()-F33,I33-F33))</f>
      </c>
      <c r="K33" s="68" t="str">
        <f>IF(F33="","",IF(F33&gt;=TODAY(),"期日前",IF(TODAY()-F33&lt;=30,"30日以内",IF(TODAY()-F33&lt;=60,"31日から60日",IF(TODAY()-F33&lt;=90,"61日から90日","90日超")))))</f>
      </c>
      <c r="L33" s="62" t="s">
        <v>0</v>
      </c>
      <c r="M33" s="78">
        <f>IFERROR(H33*L33,0)</f>
      </c>
      <c r="N33" s="78">
        <f>IFERROR(H33-M33,0)</f>
      </c>
      <c r="O33" s="68" t="str">
        <f>IF(I33="","",TEXT(I33,"yyyy-mm"))</f>
      </c>
      <c r="P33" s="60"/>
      <c r="Q33" s="60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/>
      <c r="B34" s="60"/>
      <c r="C34" s="60"/>
      <c r="D34" s="60"/>
      <c r="E34" s="92"/>
      <c r="F34" s="92"/>
      <c r="G34" s="60"/>
      <c r="H34" s="64"/>
      <c r="I34" s="92"/>
      <c r="J34" s="90" t="str">
        <f>IF(F34="","",IF(I34="",TODAY()-F34,I34-F34))</f>
      </c>
      <c r="K34" s="68" t="str">
        <f>IF(F34="","",IF(F34&gt;=TODAY(),"期日前",IF(TODAY()-F34&lt;=30,"30日以内",IF(TODAY()-F34&lt;=60,"31日から60日",IF(TODAY()-F34&lt;=90,"61日から90日","90日超")))))</f>
      </c>
      <c r="L34" s="62" t="s">
        <v>0</v>
      </c>
      <c r="M34" s="78">
        <f>IFERROR(H34*L34,0)</f>
      </c>
      <c r="N34" s="78">
        <f>IFERROR(H34-M34,0)</f>
      </c>
      <c r="O34" s="68" t="str">
        <f>IF(I34="","",TEXT(I34,"yyyy-mm"))</f>
      </c>
      <c r="P34" s="60"/>
      <c r="Q34" s="60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/>
      <c r="B35" s="60"/>
      <c r="C35" s="60"/>
      <c r="D35" s="60"/>
      <c r="E35" s="92"/>
      <c r="F35" s="92"/>
      <c r="G35" s="60"/>
      <c r="H35" s="64"/>
      <c r="I35" s="92"/>
      <c r="J35" s="90" t="str">
        <f>IF(F35="","",IF(I35="",TODAY()-F35,I35-F35))</f>
      </c>
      <c r="K35" s="68" t="str">
        <f>IF(F35="","",IF(F35&gt;=TODAY(),"期日前",IF(TODAY()-F35&lt;=30,"30日以内",IF(TODAY()-F35&lt;=60,"31日から60日",IF(TODAY()-F35&lt;=90,"61日から90日","90日超")))))</f>
      </c>
      <c r="L35" s="62" t="s">
        <v>0</v>
      </c>
      <c r="M35" s="78">
        <f>IFERROR(H35*L35,0)</f>
      </c>
      <c r="N35" s="78">
        <f>IFERROR(H35-M35,0)</f>
      </c>
      <c r="O35" s="68" t="str">
        <f>IF(I35="","",TEXT(I35,"yyyy-mm"))</f>
      </c>
      <c r="P35" s="60"/>
      <c r="Q35" s="60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/>
      <c r="B36" s="60"/>
      <c r="C36" s="60"/>
      <c r="D36" s="60"/>
      <c r="E36" s="92"/>
      <c r="F36" s="92"/>
      <c r="G36" s="60"/>
      <c r="H36" s="64"/>
      <c r="I36" s="92"/>
      <c r="J36" s="90" t="str">
        <f>IF(F36="","",IF(I36="",TODAY()-F36,I36-F36))</f>
      </c>
      <c r="K36" s="68" t="str">
        <f>IF(F36="","",IF(F36&gt;=TODAY(),"期日前",IF(TODAY()-F36&lt;=30,"30日以内",IF(TODAY()-F36&lt;=60,"31日から60日",IF(TODAY()-F36&lt;=90,"61日から90日","90日超")))))</f>
      </c>
      <c r="L36" s="62" t="s">
        <v>0</v>
      </c>
      <c r="M36" s="78">
        <f>IFERROR(H36*L36,0)</f>
      </c>
      <c r="N36" s="78">
        <f>IFERROR(H36-M36,0)</f>
      </c>
      <c r="O36" s="68" t="str">
        <f>IF(I36="","",TEXT(I36,"yyyy-mm"))</f>
      </c>
      <c r="P36" s="60"/>
      <c r="Q36" s="60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/>
      <c r="B37" s="60"/>
      <c r="C37" s="60"/>
      <c r="D37" s="60"/>
      <c r="E37" s="92"/>
      <c r="F37" s="92"/>
      <c r="G37" s="60"/>
      <c r="H37" s="64"/>
      <c r="I37" s="92"/>
      <c r="J37" s="90" t="str">
        <f>IF(F37="","",IF(I37="",TODAY()-F37,I37-F37))</f>
      </c>
      <c r="K37" s="68" t="str">
        <f>IF(F37="","",IF(F37&gt;=TODAY(),"期日前",IF(TODAY()-F37&lt;=30,"30日以内",IF(TODAY()-F37&lt;=60,"31日から60日",IF(TODAY()-F37&lt;=90,"61日から90日","90日超")))))</f>
      </c>
      <c r="L37" s="62" t="s">
        <v>0</v>
      </c>
      <c r="M37" s="78">
        <f>IFERROR(H37*L37,0)</f>
      </c>
      <c r="N37" s="78">
        <f>IFERROR(H37-M37,0)</f>
      </c>
      <c r="O37" s="68" t="str">
        <f>IF(I37="","",TEXT(I37,"yyyy-mm"))</f>
      </c>
      <c r="P37" s="60"/>
      <c r="Q37" s="60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/>
      <c r="B38" s="60"/>
      <c r="C38" s="60"/>
      <c r="D38" s="60"/>
      <c r="E38" s="92"/>
      <c r="F38" s="92"/>
      <c r="G38" s="60"/>
      <c r="H38" s="64"/>
      <c r="I38" s="92"/>
      <c r="J38" s="90" t="str">
        <f>IF(F38="","",IF(I38="",TODAY()-F38,I38-F38))</f>
      </c>
      <c r="K38" s="68" t="str">
        <f>IF(F38="","",IF(F38&gt;=TODAY(),"期日前",IF(TODAY()-F38&lt;=30,"30日以内",IF(TODAY()-F38&lt;=60,"31日から60日",IF(TODAY()-F38&lt;=90,"61日から90日","90日超")))))</f>
      </c>
      <c r="L38" s="62" t="s">
        <v>0</v>
      </c>
      <c r="M38" s="78">
        <f>IFERROR(H38*L38,0)</f>
      </c>
      <c r="N38" s="78">
        <f>IFERROR(H38-M38,0)</f>
      </c>
      <c r="O38" s="68" t="str">
        <f>IF(I38="","",TEXT(I38,"yyyy-mm"))</f>
      </c>
      <c r="P38" s="60"/>
      <c r="Q38" s="60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/>
      <c r="B39" s="60"/>
      <c r="C39" s="60"/>
      <c r="D39" s="60"/>
      <c r="E39" s="92"/>
      <c r="F39" s="92"/>
      <c r="G39" s="60"/>
      <c r="H39" s="64"/>
      <c r="I39" s="92"/>
      <c r="J39" s="90" t="str">
        <f>IF(F39="","",IF(I39="",TODAY()-F39,I39-F39))</f>
      </c>
      <c r="K39" s="68" t="str">
        <f>IF(F39="","",IF(F39&gt;=TODAY(),"期日前",IF(TODAY()-F39&lt;=30,"30日以内",IF(TODAY()-F39&lt;=60,"31日から60日",IF(TODAY()-F39&lt;=90,"61日から90日","90日超")))))</f>
      </c>
      <c r="L39" s="62" t="s">
        <v>0</v>
      </c>
      <c r="M39" s="78">
        <f>IFERROR(H39*L39,0)</f>
      </c>
      <c r="N39" s="78">
        <f>IFERROR(H39-M39,0)</f>
      </c>
      <c r="O39" s="68" t="str">
        <f>IF(I39="","",TEXT(I39,"yyyy-mm"))</f>
      </c>
      <c r="P39" s="60"/>
      <c r="Q39" s="60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/>
      <c r="B40" s="60"/>
      <c r="C40" s="60"/>
      <c r="D40" s="60"/>
      <c r="E40" s="92"/>
      <c r="F40" s="92"/>
      <c r="G40" s="60"/>
      <c r="H40" s="64"/>
      <c r="I40" s="92"/>
      <c r="J40" s="90" t="str">
        <f>IF(F40="","",IF(I40="",TODAY()-F40,I40-F40))</f>
      </c>
      <c r="K40" s="68" t="str">
        <f>IF(F40="","",IF(F40&gt;=TODAY(),"期日前",IF(TODAY()-F40&lt;=30,"30日以内",IF(TODAY()-F40&lt;=60,"31日から60日",IF(TODAY()-F40&lt;=90,"61日から90日","90日超")))))</f>
      </c>
      <c r="L40" s="62" t="s">
        <v>0</v>
      </c>
      <c r="M40" s="78">
        <f>IFERROR(H40*L40,0)</f>
      </c>
      <c r="N40" s="78">
        <f>IFERROR(H40-M40,0)</f>
      </c>
      <c r="O40" s="68" t="str">
        <f>IF(I40="","",TEXT(I40,"yyyy-mm"))</f>
      </c>
      <c r="P40" s="60"/>
      <c r="Q40" s="60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>
      <c r="A41" s="60"/>
      <c r="B41" s="60"/>
      <c r="C41" s="60"/>
      <c r="D41" s="60"/>
      <c r="E41" s="92"/>
      <c r="F41" s="92"/>
      <c r="G41" s="60"/>
      <c r="H41" s="64"/>
      <c r="I41" s="92"/>
      <c r="J41" s="90" t="str">
        <f>IF(F41="","",IF(I41="",TODAY()-F41,I41-F41))</f>
      </c>
      <c r="K41" s="68" t="str">
        <f>IF(F41="","",IF(F41&gt;=TODAY(),"期日前",IF(TODAY()-F41&lt;=30,"30日以内",IF(TODAY()-F41&lt;=60,"31日から60日",IF(TODAY()-F41&lt;=90,"61日から90日","90日超")))))</f>
      </c>
      <c r="L41" s="62" t="s">
        <v>0</v>
      </c>
      <c r="M41" s="78">
        <f>IFERROR(H41*L41,0)</f>
      </c>
      <c r="N41" s="78">
        <f>IFERROR(H41-M41,0)</f>
      </c>
      <c r="O41" s="68" t="str">
        <f>IF(I41="","",TEXT(I41,"yyyy-mm"))</f>
      </c>
      <c r="P41" s="60"/>
      <c r="Q41" s="60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</row>
    <row r="42" ht="22" customHeight="true">
      <c r="A42" s="60"/>
      <c r="B42" s="60"/>
      <c r="C42" s="60"/>
      <c r="D42" s="60"/>
      <c r="E42" s="92"/>
      <c r="F42" s="92"/>
      <c r="G42" s="60"/>
      <c r="H42" s="64"/>
      <c r="I42" s="92"/>
      <c r="J42" s="90" t="str">
        <f>IF(F42="","",IF(I42="",TODAY()-F42,I42-F42))</f>
      </c>
      <c r="K42" s="68" t="str">
        <f>IF(F42="","",IF(F42&gt;=TODAY(),"期日前",IF(TODAY()-F42&lt;=30,"30日以内",IF(TODAY()-F42&lt;=60,"31日から60日",IF(TODAY()-F42&lt;=90,"61日から90日","90日超")))))</f>
      </c>
      <c r="L42" s="62" t="s">
        <v>0</v>
      </c>
      <c r="M42" s="78">
        <f>IFERROR(H42*L42,0)</f>
      </c>
      <c r="N42" s="78">
        <f>IFERROR(H42-M42,0)</f>
      </c>
      <c r="O42" s="68" t="str">
        <f>IF(I42="","",TEXT(I42,"yyyy-mm"))</f>
      </c>
      <c r="P42" s="60"/>
      <c r="Q42" s="60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</row>
    <row r="43" ht="22" customHeight="true">
      <c r="A43" s="60"/>
      <c r="B43" s="60"/>
      <c r="C43" s="60"/>
      <c r="D43" s="60"/>
      <c r="E43" s="92"/>
      <c r="F43" s="92"/>
      <c r="G43" s="60"/>
      <c r="H43" s="64"/>
      <c r="I43" s="92"/>
      <c r="J43" s="90" t="str">
        <f>IF(F43="","",IF(I43="",TODAY()-F43,I43-F43))</f>
      </c>
      <c r="K43" s="68" t="str">
        <f>IF(F43="","",IF(F43&gt;=TODAY(),"期日前",IF(TODAY()-F43&lt;=30,"30日以内",IF(TODAY()-F43&lt;=60,"31日から60日",IF(TODAY()-F43&lt;=90,"61日から90日","90日超")))))</f>
      </c>
      <c r="L43" s="62" t="s">
        <v>0</v>
      </c>
      <c r="M43" s="78">
        <f>IFERROR(H43*L43,0)</f>
      </c>
      <c r="N43" s="78">
        <f>IFERROR(H43-M43,0)</f>
      </c>
      <c r="O43" s="68" t="str">
        <f>IF(I43="","",TEXT(I43,"yyyy-mm"))</f>
      </c>
      <c r="P43" s="60"/>
      <c r="Q43" s="60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</row>
    <row r="44" ht="22" customHeight="true">
      <c r="A44" s="60"/>
      <c r="B44" s="60"/>
      <c r="C44" s="60"/>
      <c r="D44" s="60"/>
      <c r="E44" s="92"/>
      <c r="F44" s="92"/>
      <c r="G44" s="60"/>
      <c r="H44" s="64"/>
      <c r="I44" s="92"/>
      <c r="J44" s="90" t="str">
        <f>IF(F44="","",IF(I44="",TODAY()-F44,I44-F44))</f>
      </c>
      <c r="K44" s="68" t="str">
        <f>IF(F44="","",IF(F44&gt;=TODAY(),"期日前",IF(TODAY()-F44&lt;=30,"30日以内",IF(TODAY()-F44&lt;=60,"31日から60日",IF(TODAY()-F44&lt;=90,"61日から90日","90日超")))))</f>
      </c>
      <c r="L44" s="62" t="s">
        <v>0</v>
      </c>
      <c r="M44" s="78">
        <f>IFERROR(H44*L44,0)</f>
      </c>
      <c r="N44" s="78">
        <f>IFERROR(H44-M44,0)</f>
      </c>
      <c r="O44" s="68" t="str">
        <f>IF(I44="","",TEXT(I44,"yyyy-mm"))</f>
      </c>
      <c r="P44" s="60"/>
      <c r="Q44" s="60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</row>
    <row r="45" ht="22" customHeight="true">
      <c r="A45" s="60"/>
      <c r="B45" s="60"/>
      <c r="C45" s="60"/>
      <c r="D45" s="60"/>
      <c r="E45" s="92"/>
      <c r="F45" s="92"/>
      <c r="G45" s="60"/>
      <c r="H45" s="64"/>
      <c r="I45" s="92"/>
      <c r="J45" s="90" t="str">
        <f>IF(F45="","",IF(I45="",TODAY()-F45,I45-F45))</f>
      </c>
      <c r="K45" s="68" t="str">
        <f>IF(F45="","",IF(F45&gt;=TODAY(),"期日前",IF(TODAY()-F45&lt;=30,"30日以内",IF(TODAY()-F45&lt;=60,"31日から60日",IF(TODAY()-F45&lt;=90,"61日から90日","90日超")))))</f>
      </c>
      <c r="L45" s="62" t="s">
        <v>0</v>
      </c>
      <c r="M45" s="78">
        <f>IFERROR(H45*L45,0)</f>
      </c>
      <c r="N45" s="78">
        <f>IFERROR(H45-M45,0)</f>
      </c>
      <c r="O45" s="68" t="str">
        <f>IF(I45="","",TEXT(I45,"yyyy-mm"))</f>
      </c>
      <c r="P45" s="60"/>
      <c r="Q45" s="60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</row>
    <row r="46" ht="22" customHeight="true"/>
    <row r="47" ht="22" customHeight="true"/>
    <row r="48" ht="22" customHeight="true"/>
    <row r="49" ht="22" customHeight="true"/>
    <row r="50" ht="22" customHeight="true"/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Q1"/>
    <mergeCell ref="A2:Q2"/>
  </mergeCells>
  <conditionalFormatting sqref="K6:K45">
    <cfRule type="containsText" dxfId="2" priority="1" operator="containsText" text="&gt;90天">
      <formula>NOT(ISERROR(SEARCH("&gt;90天",K6)))</formula>
    </cfRule>
    <cfRule type="containsText" dxfId="3" priority="2" operator="containsText" text="未到期">
      <formula>NOT(ISERROR(SEARCH("未到期",K6)))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sqref="G6:G45" type="list">
      <formula1>"Prepayment,Плащане при доставка,Net 30,Net 45,Net 60,Net 90,Разсрочено плащане,里程碑付款"</formula1>
    </dataValidation>
    <dataValidation allowBlank="true" sqref="P6:P45" type="list">
      <formula1>"草稿,待供应商确认,待审批,谈判中,已锁价,Архивирано,Изчаква плащане,逾期待处理,计划中,Платено"</formula1>
    </dataValidation>
  </dataValidations>
  <pageMargins left="0.7" right="0.7" top="0.75" bottom="0.75" header="0.3" footer="0.3"/>
  <tableParts count="1">
    <tablePart r:id="R5491b50eb6744a4d"/>
  </tableParts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2" min="1" width="10"/>
    <col customWidth="true" max="3" min="3" width="20"/>
    <col customWidth="true" max="4" min="4" width="16"/>
    <col customWidth="true" max="5" min="5" width="28"/>
    <col customWidth="true" max="6" min="6" width="16"/>
    <col customWidth="true" max="7" min="7" width="12"/>
    <col customWidth="true" max="8" min="8" width="16"/>
    <col customWidth="true" max="12" min="9" width="12"/>
    <col customWidth="true" max="13" min="13" width="14"/>
    <col customWidth="true" max="14" min="14" width="30"/>
  </cols>
  <sheetData>
    <row r="1" ht="34" customHeight="true">
      <c r="A1" s="10" t="s">
        <v>0</v>
      </c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機会ID</t>
        </is>
      </c>
      <c r="B5" s="40" t="inlineStr">
        <is>
          <t>原価ID</t>
        </is>
      </c>
      <c r="C5" s="40" t="inlineStr">
        <is>
          <t>購買対象</t>
        </is>
      </c>
      <c r="D5" s="40" t="inlineStr">
        <is>
          <t>施策種別</t>
        </is>
      </c>
      <c r="E5" s="40" t="inlineStr">
        <is>
          <t>発見事項</t>
        </is>
      </c>
      <c r="F5" s="40" t="inlineStr">
        <is>
          <t>現在の原価基準 CNY</t>
        </is>
      </c>
      <c r="G5" s="40" t="inlineStr">
        <is>
          <t>目標削減率</t>
        </is>
      </c>
      <c r="H5" s="40" t="inlineStr">
        <is>
          <t>見込削減額 CNY</t>
        </is>
      </c>
      <c r="I5" s="40" t="inlineStr">
        <is>
          <t>実施難易度</t>
        </is>
      </c>
      <c r="J5" s="40" t="inlineStr">
        <is>
          <t>リスク水準</t>
        </is>
      </c>
      <c r="K5" s="40" t="inlineStr">
        <is>
          <t>担当者</t>
        </is>
      </c>
      <c r="L5" s="40" t="inlineStr">
        <is>
          <t>期限</t>
        </is>
      </c>
      <c r="M5" s="40" t="inlineStr">
        <is>
          <t>状態</t>
        </is>
      </c>
      <c r="N5" s="40" t="inlineStr">
        <is>
          <t>次の対応</t>
        </is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60" t="s">
        <v>0</v>
      </c>
      <c r="E6" s="60" t="s">
        <v>0</v>
      </c>
      <c r="F6" s="78">
        <f>IFERROR(VLOOKUP(B6,'Подробна разбивка на разходите'!$A$6:$W$55,23,FALSE),0)</f>
      </c>
      <c r="G6" s="62" t="s">
        <v>0</v>
      </c>
      <c r="H6" s="78">
        <f>IFERROR(F6*G6,0)</f>
      </c>
      <c r="I6" s="60" t="s">
        <v>0</v>
      </c>
      <c r="J6" s="60" t="s">
        <v>0</v>
      </c>
      <c r="K6" s="60" t="s">
        <v>0</v>
      </c>
      <c r="L6" s="92" t="n">
        <v>46163</v>
      </c>
      <c r="M6" s="60" t="s">
        <v>0</v>
      </c>
      <c r="N6" s="60" t="s">
        <v>0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60" t="s">
        <v>0</v>
      </c>
      <c r="E7" s="60" t="s">
        <v>0</v>
      </c>
      <c r="F7" s="78">
        <f>IFERROR(VLOOKUP(B7,'Подробна разбивка на разходите'!$A$6:$W$55,23,FALSE),0)</f>
      </c>
      <c r="G7" s="62" t="s">
        <v>0</v>
      </c>
      <c r="H7" s="78">
        <f>IFERROR(F7*G7,0)</f>
      </c>
      <c r="I7" s="60" t="s">
        <v>0</v>
      </c>
      <c r="J7" s="60" t="s">
        <v>0</v>
      </c>
      <c r="K7" s="60" t="s">
        <v>0</v>
      </c>
      <c r="L7" s="92" t="n">
        <v>46173</v>
      </c>
      <c r="M7" s="60" t="s">
        <v>0</v>
      </c>
      <c r="N7" s="60" t="s">
        <v>0</v>
      </c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60" t="s">
        <v>0</v>
      </c>
      <c r="E8" s="60" t="s">
        <v>0</v>
      </c>
      <c r="F8" s="78">
        <f>IFERROR(VLOOKUP(B8,'Подробна разбивка на разходите'!$A$6:$W$55,23,FALSE),0)</f>
      </c>
      <c r="G8" s="62" t="s">
        <v>0</v>
      </c>
      <c r="H8" s="78">
        <f>IFERROR(F8*G8,0)</f>
      </c>
      <c r="I8" s="60" t="s">
        <v>0</v>
      </c>
      <c r="J8" s="60" t="s">
        <v>0</v>
      </c>
      <c r="K8" s="60" t="s">
        <v>0</v>
      </c>
      <c r="L8" s="92" t="n">
        <v>46168</v>
      </c>
      <c r="M8" s="60" t="s">
        <v>0</v>
      </c>
      <c r="N8" s="60" t="s">
        <v>0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60" t="s">
        <v>0</v>
      </c>
      <c r="E9" s="60" t="s">
        <v>0</v>
      </c>
      <c r="F9" s="78">
        <f>IFERROR(VLOOKUP(B9,'Подробна разбивка на разходите'!$A$6:$W$55,23,FALSE),0)</f>
      </c>
      <c r="G9" s="62" t="s">
        <v>0</v>
      </c>
      <c r="H9" s="78">
        <f>IFERROR(F9*G9,0)</f>
      </c>
      <c r="I9" s="60" t="s">
        <v>0</v>
      </c>
      <c r="J9" s="60" t="s">
        <v>0</v>
      </c>
      <c r="K9" s="60" t="s">
        <v>0</v>
      </c>
      <c r="L9" s="92" t="n">
        <v>46158</v>
      </c>
      <c r="M9" s="60" t="s">
        <v>0</v>
      </c>
      <c r="N9" s="60" t="s">
        <v>0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 t="s">
        <v>0</v>
      </c>
      <c r="B10" s="60" t="s">
        <v>0</v>
      </c>
      <c r="C10" s="60" t="s">
        <v>0</v>
      </c>
      <c r="D10" s="60" t="s">
        <v>0</v>
      </c>
      <c r="E10" s="60" t="s">
        <v>0</v>
      </c>
      <c r="F10" s="78">
        <f>IFERROR(VLOOKUP(B10,'Подробна разбивка на разходите'!$A$6:$W$55,23,FALSE),0)</f>
      </c>
      <c r="G10" s="62" t="s">
        <v>0</v>
      </c>
      <c r="H10" s="78">
        <f>IFERROR(F10*G10,0)</f>
      </c>
      <c r="I10" s="60" t="s">
        <v>0</v>
      </c>
      <c r="J10" s="60" t="s">
        <v>0</v>
      </c>
      <c r="K10" s="60" t="s">
        <v>0</v>
      </c>
      <c r="L10" s="92" t="n">
        <v>46188</v>
      </c>
      <c r="M10" s="60" t="s">
        <v>0</v>
      </c>
      <c r="N10" s="60" t="s">
        <v>0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 t="s">
        <v>0</v>
      </c>
      <c r="B11" s="60"/>
      <c r="C11" s="60"/>
      <c r="D11" s="60"/>
      <c r="E11" s="60"/>
      <c r="F11" s="78">
        <f>IFERROR(VLOOKUP(B11,'Подробна разбивка на разходите'!$A$6:$W$55,23,FALSE),0)</f>
      </c>
      <c r="G11" s="62" t="s">
        <v>0</v>
      </c>
      <c r="H11" s="78">
        <f>IFERROR(F11*G11,0)</f>
      </c>
      <c r="I11" s="60"/>
      <c r="J11" s="60"/>
      <c r="K11" s="60"/>
      <c r="L11" s="92"/>
      <c r="M11" s="60" t="s">
        <v>0</v>
      </c>
      <c r="N11" s="60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 t="s">
        <v>0</v>
      </c>
      <c r="B12" s="60"/>
      <c r="C12" s="60"/>
      <c r="D12" s="60"/>
      <c r="E12" s="60"/>
      <c r="F12" s="78">
        <f>IFERROR(VLOOKUP(B12,'Подробна разбивка на разходите'!$A$6:$W$55,23,FALSE),0)</f>
      </c>
      <c r="G12" s="62" t="s">
        <v>0</v>
      </c>
      <c r="H12" s="78">
        <f>IFERROR(F12*G12,0)</f>
      </c>
      <c r="I12" s="60"/>
      <c r="J12" s="60"/>
      <c r="K12" s="60"/>
      <c r="L12" s="92"/>
      <c r="M12" s="60" t="s">
        <v>0</v>
      </c>
      <c r="N12" s="60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 t="s">
        <v>0</v>
      </c>
      <c r="B13" s="60"/>
      <c r="C13" s="60"/>
      <c r="D13" s="60"/>
      <c r="E13" s="60"/>
      <c r="F13" s="78">
        <f>IFERROR(VLOOKUP(B13,'Подробна разбивка на разходите'!$A$6:$W$55,23,FALSE),0)</f>
      </c>
      <c r="G13" s="62" t="s">
        <v>0</v>
      </c>
      <c r="H13" s="78">
        <f>IFERROR(F13*G13,0)</f>
      </c>
      <c r="I13" s="60"/>
      <c r="J13" s="60"/>
      <c r="K13" s="60"/>
      <c r="L13" s="92"/>
      <c r="M13" s="60" t="s">
        <v>0</v>
      </c>
      <c r="N13" s="60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 t="s">
        <v>0</v>
      </c>
      <c r="B14" s="60"/>
      <c r="C14" s="60"/>
      <c r="D14" s="60"/>
      <c r="E14" s="60"/>
      <c r="F14" s="78">
        <f>IFERROR(VLOOKUP(B14,'Подробна разбивка на разходите'!$A$6:$W$55,23,FALSE),0)</f>
      </c>
      <c r="G14" s="62" t="s">
        <v>0</v>
      </c>
      <c r="H14" s="78">
        <f>IFERROR(F14*G14,0)</f>
      </c>
      <c r="I14" s="60"/>
      <c r="J14" s="60"/>
      <c r="K14" s="60"/>
      <c r="L14" s="92"/>
      <c r="M14" s="60" t="s">
        <v>0</v>
      </c>
      <c r="N14" s="60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 t="s">
        <v>0</v>
      </c>
      <c r="B15" s="60"/>
      <c r="C15" s="60"/>
      <c r="D15" s="60"/>
      <c r="E15" s="60"/>
      <c r="F15" s="78">
        <f>IFERROR(VLOOKUP(B15,'Подробна разбивка на разходите'!$A$6:$W$55,23,FALSE),0)</f>
      </c>
      <c r="G15" s="62" t="s">
        <v>0</v>
      </c>
      <c r="H15" s="78">
        <f>IFERROR(F15*G15,0)</f>
      </c>
      <c r="I15" s="60"/>
      <c r="J15" s="60"/>
      <c r="K15" s="60"/>
      <c r="L15" s="92"/>
      <c r="M15" s="60" t="s">
        <v>0</v>
      </c>
      <c r="N15" s="60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 t="s">
        <v>0</v>
      </c>
      <c r="B16" s="60"/>
      <c r="C16" s="60"/>
      <c r="D16" s="60"/>
      <c r="E16" s="60"/>
      <c r="F16" s="78">
        <f>IFERROR(VLOOKUP(B16,'Подробна разбивка на разходите'!$A$6:$W$55,23,FALSE),0)</f>
      </c>
      <c r="G16" s="62" t="s">
        <v>0</v>
      </c>
      <c r="H16" s="78">
        <f>IFERROR(F16*G16,0)</f>
      </c>
      <c r="I16" s="60"/>
      <c r="J16" s="60"/>
      <c r="K16" s="60"/>
      <c r="L16" s="92"/>
      <c r="M16" s="60" t="s">
        <v>0</v>
      </c>
      <c r="N16" s="60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 t="s">
        <v>0</v>
      </c>
      <c r="B17" s="60"/>
      <c r="C17" s="60"/>
      <c r="D17" s="60"/>
      <c r="E17" s="60"/>
      <c r="F17" s="78">
        <f>IFERROR(VLOOKUP(B17,'Подробна разбивка на разходите'!$A$6:$W$55,23,FALSE),0)</f>
      </c>
      <c r="G17" s="62" t="s">
        <v>0</v>
      </c>
      <c r="H17" s="78">
        <f>IFERROR(F17*G17,0)</f>
      </c>
      <c r="I17" s="60"/>
      <c r="J17" s="60"/>
      <c r="K17" s="60"/>
      <c r="L17" s="92"/>
      <c r="M17" s="60" t="s">
        <v>0</v>
      </c>
      <c r="N17" s="60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 t="s">
        <v>0</v>
      </c>
      <c r="B18" s="60"/>
      <c r="C18" s="60"/>
      <c r="D18" s="60"/>
      <c r="E18" s="60"/>
      <c r="F18" s="78">
        <f>IFERROR(VLOOKUP(B18,'Подробна разбивка на разходите'!$A$6:$W$55,23,FALSE),0)</f>
      </c>
      <c r="G18" s="62" t="s">
        <v>0</v>
      </c>
      <c r="H18" s="78">
        <f>IFERROR(F18*G18,0)</f>
      </c>
      <c r="I18" s="60"/>
      <c r="J18" s="60"/>
      <c r="K18" s="60"/>
      <c r="L18" s="92"/>
      <c r="M18" s="60" t="s">
        <v>0</v>
      </c>
      <c r="N18" s="60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 t="s">
        <v>0</v>
      </c>
      <c r="B19" s="60"/>
      <c r="C19" s="60"/>
      <c r="D19" s="60"/>
      <c r="E19" s="60"/>
      <c r="F19" s="78">
        <f>IFERROR(VLOOKUP(B19,'Подробна разбивка на разходите'!$A$6:$W$55,23,FALSE),0)</f>
      </c>
      <c r="G19" s="62" t="s">
        <v>0</v>
      </c>
      <c r="H19" s="78">
        <f>IFERROR(F19*G19,0)</f>
      </c>
      <c r="I19" s="60"/>
      <c r="J19" s="60"/>
      <c r="K19" s="60"/>
      <c r="L19" s="92"/>
      <c r="M19" s="60" t="s">
        <v>0</v>
      </c>
      <c r="N19" s="60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 t="s">
        <v>0</v>
      </c>
      <c r="B20" s="60"/>
      <c r="C20" s="60"/>
      <c r="D20" s="60"/>
      <c r="E20" s="60"/>
      <c r="F20" s="78">
        <f>IFERROR(VLOOKUP(B20,'Подробна разбивка на разходите'!$A$6:$W$55,23,FALSE),0)</f>
      </c>
      <c r="G20" s="62" t="s">
        <v>0</v>
      </c>
      <c r="H20" s="78">
        <f>IFERROR(F20*G20,0)</f>
      </c>
      <c r="I20" s="60"/>
      <c r="J20" s="60"/>
      <c r="K20" s="60"/>
      <c r="L20" s="92"/>
      <c r="M20" s="60" t="s">
        <v>0</v>
      </c>
      <c r="N20" s="60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 t="s">
        <v>0</v>
      </c>
      <c r="B21" s="60"/>
      <c r="C21" s="60"/>
      <c r="D21" s="60"/>
      <c r="E21" s="60"/>
      <c r="F21" s="78">
        <f>IFERROR(VLOOKUP(B21,'Подробна разбивка на разходите'!$A$6:$W$55,23,FALSE),0)</f>
      </c>
      <c r="G21" s="62" t="s">
        <v>0</v>
      </c>
      <c r="H21" s="78">
        <f>IFERROR(F21*G21,0)</f>
      </c>
      <c r="I21" s="60"/>
      <c r="J21" s="60"/>
      <c r="K21" s="60"/>
      <c r="L21" s="92"/>
      <c r="M21" s="60" t="s">
        <v>0</v>
      </c>
      <c r="N21" s="60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 t="s">
        <v>0</v>
      </c>
      <c r="B22" s="60"/>
      <c r="C22" s="60"/>
      <c r="D22" s="60"/>
      <c r="E22" s="60"/>
      <c r="F22" s="78">
        <f>IFERROR(VLOOKUP(B22,'Подробна разбивка на разходите'!$A$6:$W$55,23,FALSE),0)</f>
      </c>
      <c r="G22" s="62" t="s">
        <v>0</v>
      </c>
      <c r="H22" s="78">
        <f>IFERROR(F22*G22,0)</f>
      </c>
      <c r="I22" s="60"/>
      <c r="J22" s="60"/>
      <c r="K22" s="60"/>
      <c r="L22" s="92"/>
      <c r="M22" s="60" t="s">
        <v>0</v>
      </c>
      <c r="N22" s="60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 t="s">
        <v>0</v>
      </c>
      <c r="B23" s="60"/>
      <c r="C23" s="60"/>
      <c r="D23" s="60"/>
      <c r="E23" s="60"/>
      <c r="F23" s="78">
        <f>IFERROR(VLOOKUP(B23,'Подробна разбивка на разходите'!$A$6:$W$55,23,FALSE),0)</f>
      </c>
      <c r="G23" s="62" t="s">
        <v>0</v>
      </c>
      <c r="H23" s="78">
        <f>IFERROR(F23*G23,0)</f>
      </c>
      <c r="I23" s="60"/>
      <c r="J23" s="60"/>
      <c r="K23" s="60"/>
      <c r="L23" s="92"/>
      <c r="M23" s="60" t="s">
        <v>0</v>
      </c>
      <c r="N23" s="60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 t="s">
        <v>0</v>
      </c>
      <c r="B24" s="60"/>
      <c r="C24" s="60"/>
      <c r="D24" s="60"/>
      <c r="E24" s="60"/>
      <c r="F24" s="78">
        <f>IFERROR(VLOOKUP(B24,'Подробна разбивка на разходите'!$A$6:$W$55,23,FALSE),0)</f>
      </c>
      <c r="G24" s="62" t="s">
        <v>0</v>
      </c>
      <c r="H24" s="78">
        <f>IFERROR(F24*G24,0)</f>
      </c>
      <c r="I24" s="60"/>
      <c r="J24" s="60"/>
      <c r="K24" s="60"/>
      <c r="L24" s="92"/>
      <c r="M24" s="60" t="s">
        <v>0</v>
      </c>
      <c r="N24" s="60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 t="s">
        <v>0</v>
      </c>
      <c r="B25" s="60"/>
      <c r="C25" s="60"/>
      <c r="D25" s="60"/>
      <c r="E25" s="60"/>
      <c r="F25" s="78">
        <f>IFERROR(VLOOKUP(B25,'Подробна разбивка на разходите'!$A$6:$W$55,23,FALSE),0)</f>
      </c>
      <c r="G25" s="62" t="s">
        <v>0</v>
      </c>
      <c r="H25" s="78">
        <f>IFERROR(F25*G25,0)</f>
      </c>
      <c r="I25" s="60"/>
      <c r="J25" s="60"/>
      <c r="K25" s="60"/>
      <c r="L25" s="92"/>
      <c r="M25" s="60" t="s">
        <v>0</v>
      </c>
      <c r="N25" s="60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 t="s">
        <v>0</v>
      </c>
      <c r="B26" s="60"/>
      <c r="C26" s="60"/>
      <c r="D26" s="60"/>
      <c r="E26" s="60"/>
      <c r="F26" s="78">
        <f>IFERROR(VLOOKUP(B26,'Подробна разбивка на разходите'!$A$6:$W$55,23,FALSE),0)</f>
      </c>
      <c r="G26" s="62" t="s">
        <v>0</v>
      </c>
      <c r="H26" s="78">
        <f>IFERROR(F26*G26,0)</f>
      </c>
      <c r="I26" s="60"/>
      <c r="J26" s="60"/>
      <c r="K26" s="60"/>
      <c r="L26" s="92"/>
      <c r="M26" s="60" t="s">
        <v>0</v>
      </c>
      <c r="N26" s="60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 t="s">
        <v>0</v>
      </c>
      <c r="B27" s="60"/>
      <c r="C27" s="60"/>
      <c r="D27" s="60"/>
      <c r="E27" s="60"/>
      <c r="F27" s="78">
        <f>IFERROR(VLOOKUP(B27,'Подробна разбивка на разходите'!$A$6:$W$55,23,FALSE),0)</f>
      </c>
      <c r="G27" s="62" t="s">
        <v>0</v>
      </c>
      <c r="H27" s="78">
        <f>IFERROR(F27*G27,0)</f>
      </c>
      <c r="I27" s="60"/>
      <c r="J27" s="60"/>
      <c r="K27" s="60"/>
      <c r="L27" s="92"/>
      <c r="M27" s="60" t="s">
        <v>0</v>
      </c>
      <c r="N27" s="60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 t="s">
        <v>0</v>
      </c>
      <c r="B28" s="60"/>
      <c r="C28" s="60"/>
      <c r="D28" s="60"/>
      <c r="E28" s="60"/>
      <c r="F28" s="78">
        <f>IFERROR(VLOOKUP(B28,'Подробна разбивка на разходите'!$A$6:$W$55,23,FALSE),0)</f>
      </c>
      <c r="G28" s="62" t="s">
        <v>0</v>
      </c>
      <c r="H28" s="78">
        <f>IFERROR(F28*G28,0)</f>
      </c>
      <c r="I28" s="60"/>
      <c r="J28" s="60"/>
      <c r="K28" s="60"/>
      <c r="L28" s="92"/>
      <c r="M28" s="60" t="s">
        <v>0</v>
      </c>
      <c r="N28" s="60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 t="s">
        <v>0</v>
      </c>
      <c r="B29" s="60"/>
      <c r="C29" s="60"/>
      <c r="D29" s="60"/>
      <c r="E29" s="60"/>
      <c r="F29" s="78">
        <f>IFERROR(VLOOKUP(B29,'Подробна разбивка на разходите'!$A$6:$W$55,23,FALSE),0)</f>
      </c>
      <c r="G29" s="62" t="s">
        <v>0</v>
      </c>
      <c r="H29" s="78">
        <f>IFERROR(F29*G29,0)</f>
      </c>
      <c r="I29" s="60"/>
      <c r="J29" s="60"/>
      <c r="K29" s="60"/>
      <c r="L29" s="92"/>
      <c r="M29" s="60" t="s">
        <v>0</v>
      </c>
      <c r="N29" s="60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 t="s">
        <v>0</v>
      </c>
      <c r="B30" s="60"/>
      <c r="C30" s="60"/>
      <c r="D30" s="60"/>
      <c r="E30" s="60"/>
      <c r="F30" s="78">
        <f>IFERROR(VLOOKUP(B30,'Подробна разбивка на разходите'!$A$6:$W$55,23,FALSE),0)</f>
      </c>
      <c r="G30" s="62" t="s">
        <v>0</v>
      </c>
      <c r="H30" s="78">
        <f>IFERROR(F30*G30,0)</f>
      </c>
      <c r="I30" s="60"/>
      <c r="J30" s="60"/>
      <c r="K30" s="60"/>
      <c r="L30" s="92"/>
      <c r="M30" s="60" t="s">
        <v>0</v>
      </c>
      <c r="N30" s="60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 t="s">
        <v>0</v>
      </c>
      <c r="B31" s="60"/>
      <c r="C31" s="60"/>
      <c r="D31" s="60"/>
      <c r="E31" s="60"/>
      <c r="F31" s="78">
        <f>IFERROR(VLOOKUP(B31,'Подробна разбивка на разходите'!$A$6:$W$55,23,FALSE),0)</f>
      </c>
      <c r="G31" s="62" t="s">
        <v>0</v>
      </c>
      <c r="H31" s="78">
        <f>IFERROR(F31*G31,0)</f>
      </c>
      <c r="I31" s="60"/>
      <c r="J31" s="60"/>
      <c r="K31" s="60"/>
      <c r="L31" s="92"/>
      <c r="M31" s="60" t="s">
        <v>0</v>
      </c>
      <c r="N31" s="60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 t="s">
        <v>0</v>
      </c>
      <c r="B32" s="60"/>
      <c r="C32" s="60"/>
      <c r="D32" s="60"/>
      <c r="E32" s="60"/>
      <c r="F32" s="78">
        <f>IFERROR(VLOOKUP(B32,'Подробна разбивка на разходите'!$A$6:$W$55,23,FALSE),0)</f>
      </c>
      <c r="G32" s="62" t="s">
        <v>0</v>
      </c>
      <c r="H32" s="78">
        <f>IFERROR(F32*G32,0)</f>
      </c>
      <c r="I32" s="60"/>
      <c r="J32" s="60"/>
      <c r="K32" s="60"/>
      <c r="L32" s="92"/>
      <c r="M32" s="60" t="s">
        <v>0</v>
      </c>
      <c r="N32" s="60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 t="s">
        <v>0</v>
      </c>
      <c r="B33" s="60"/>
      <c r="C33" s="60"/>
      <c r="D33" s="60"/>
      <c r="E33" s="60"/>
      <c r="F33" s="78">
        <f>IFERROR(VLOOKUP(B33,'Подробна разбивка на разходите'!$A$6:$W$55,23,FALSE),0)</f>
      </c>
      <c r="G33" s="62" t="s">
        <v>0</v>
      </c>
      <c r="H33" s="78">
        <f>IFERROR(F33*G33,0)</f>
      </c>
      <c r="I33" s="60"/>
      <c r="J33" s="60"/>
      <c r="K33" s="60"/>
      <c r="L33" s="92"/>
      <c r="M33" s="60" t="s">
        <v>0</v>
      </c>
      <c r="N33" s="60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 t="s">
        <v>0</v>
      </c>
      <c r="B34" s="60"/>
      <c r="C34" s="60"/>
      <c r="D34" s="60"/>
      <c r="E34" s="60"/>
      <c r="F34" s="78">
        <f>IFERROR(VLOOKUP(B34,'Подробна разбивка на разходите'!$A$6:$W$55,23,FALSE),0)</f>
      </c>
      <c r="G34" s="62" t="s">
        <v>0</v>
      </c>
      <c r="H34" s="78">
        <f>IFERROR(F34*G34,0)</f>
      </c>
      <c r="I34" s="60"/>
      <c r="J34" s="60"/>
      <c r="K34" s="60"/>
      <c r="L34" s="92"/>
      <c r="M34" s="60" t="s">
        <v>0</v>
      </c>
      <c r="N34" s="60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 t="s">
        <v>0</v>
      </c>
      <c r="B35" s="60"/>
      <c r="C35" s="60"/>
      <c r="D35" s="60"/>
      <c r="E35" s="60"/>
      <c r="F35" s="78">
        <f>IFERROR(VLOOKUP(B35,'Подробна разбивка на разходите'!$A$6:$W$55,23,FALSE),0)</f>
      </c>
      <c r="G35" s="62" t="s">
        <v>0</v>
      </c>
      <c r="H35" s="78">
        <f>IFERROR(F35*G35,0)</f>
      </c>
      <c r="I35" s="60"/>
      <c r="J35" s="60"/>
      <c r="K35" s="60"/>
      <c r="L35" s="92"/>
      <c r="M35" s="60" t="s">
        <v>0</v>
      </c>
      <c r="N35" s="60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 t="s">
        <v>0</v>
      </c>
      <c r="B36" s="60"/>
      <c r="C36" s="60"/>
      <c r="D36" s="60"/>
      <c r="E36" s="60"/>
      <c r="F36" s="78">
        <f>IFERROR(VLOOKUP(B36,'Подробна разбивка на разходите'!$A$6:$W$55,23,FALSE),0)</f>
      </c>
      <c r="G36" s="62" t="s">
        <v>0</v>
      </c>
      <c r="H36" s="78">
        <f>IFERROR(F36*G36,0)</f>
      </c>
      <c r="I36" s="60"/>
      <c r="J36" s="60"/>
      <c r="K36" s="60"/>
      <c r="L36" s="92"/>
      <c r="M36" s="60" t="s">
        <v>0</v>
      </c>
      <c r="N36" s="60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 t="s">
        <v>0</v>
      </c>
      <c r="B37" s="60"/>
      <c r="C37" s="60"/>
      <c r="D37" s="60"/>
      <c r="E37" s="60"/>
      <c r="F37" s="78">
        <f>IFERROR(VLOOKUP(B37,'Подробна разбивка на разходите'!$A$6:$W$55,23,FALSE),0)</f>
      </c>
      <c r="G37" s="62" t="s">
        <v>0</v>
      </c>
      <c r="H37" s="78">
        <f>IFERROR(F37*G37,0)</f>
      </c>
      <c r="I37" s="60"/>
      <c r="J37" s="60"/>
      <c r="K37" s="60"/>
      <c r="L37" s="92"/>
      <c r="M37" s="60" t="s">
        <v>0</v>
      </c>
      <c r="N37" s="60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 t="s">
        <v>0</v>
      </c>
      <c r="B38" s="60"/>
      <c r="C38" s="60"/>
      <c r="D38" s="60"/>
      <c r="E38" s="60"/>
      <c r="F38" s="78">
        <f>IFERROR(VLOOKUP(B38,'Подробна разбивка на разходите'!$A$6:$W$55,23,FALSE),0)</f>
      </c>
      <c r="G38" s="62" t="s">
        <v>0</v>
      </c>
      <c r="H38" s="78">
        <f>IFERROR(F38*G38,0)</f>
      </c>
      <c r="I38" s="60"/>
      <c r="J38" s="60"/>
      <c r="K38" s="60"/>
      <c r="L38" s="92"/>
      <c r="M38" s="60" t="s">
        <v>0</v>
      </c>
      <c r="N38" s="60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 t="s">
        <v>0</v>
      </c>
      <c r="B39" s="60"/>
      <c r="C39" s="60"/>
      <c r="D39" s="60"/>
      <c r="E39" s="60"/>
      <c r="F39" s="78">
        <f>IFERROR(VLOOKUP(B39,'Подробна разбивка на разходите'!$A$6:$W$55,23,FALSE),0)</f>
      </c>
      <c r="G39" s="62" t="s">
        <v>0</v>
      </c>
      <c r="H39" s="78">
        <f>IFERROR(F39*G39,0)</f>
      </c>
      <c r="I39" s="60"/>
      <c r="J39" s="60"/>
      <c r="K39" s="60"/>
      <c r="L39" s="92"/>
      <c r="M39" s="60" t="s">
        <v>0</v>
      </c>
      <c r="N39" s="60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 t="s">
        <v>0</v>
      </c>
      <c r="B40" s="60"/>
      <c r="C40" s="60"/>
      <c r="D40" s="60"/>
      <c r="E40" s="60"/>
      <c r="F40" s="78">
        <f>IFERROR(VLOOKUP(B40,'Подробна разбивка на разходите'!$A$6:$W$55,23,FALSE),0)</f>
      </c>
      <c r="G40" s="62" t="s">
        <v>0</v>
      </c>
      <c r="H40" s="78">
        <f>IFERROR(F40*G40,0)</f>
      </c>
      <c r="I40" s="60"/>
      <c r="J40" s="60"/>
      <c r="K40" s="60"/>
      <c r="L40" s="92"/>
      <c r="M40" s="60" t="s">
        <v>0</v>
      </c>
      <c r="N40" s="60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/>
    <row r="42" ht="22" customHeight="true"/>
    <row r="43" ht="22" customHeight="true"/>
    <row r="44" ht="22" customHeight="true"/>
    <row r="45" ht="22" customHeight="true"/>
    <row r="46" ht="22" customHeight="true"/>
    <row r="47" ht="22" customHeight="true"/>
    <row r="48" ht="22" customHeight="true"/>
    <row r="49" ht="22" customHeight="true"/>
    <row r="50" ht="22" customHeight="true"/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N1"/>
    <mergeCell ref="A2:N2"/>
  </mergeCells>
  <conditionalFormatting sqref="H6:H40">
    <cfRule type="dataBar" priority="1">
      <dataBar>
        <cfvo type="min"/>
        <cfvo type="max"/>
        <color rgb="FF4EA72E"/>
      </dataBar>
      <extLst>
        <x:ext xmlns:x14="http://schemas.microsoft.com/office/spreadsheetml/2009/9/main" uri="{B025F937-C7B1-47D3-B67F-A62EFF666E3E}">
          <x14:id>{30DE274A-F8F1-A5AC-AB32-5FD61EFFB25E}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sqref="D6:D40" type="list">
      <formula1>"谈判,需求优化,规格/工艺优化,供应商整合,alternative material,Условия на плащане优化,物流优化,合规清理,其他"</formula1>
    </dataValidation>
    <dataValidation allowBlank="true" sqref="I6:J40" type="list">
      <formula1>"High,Medium,Low"</formula1>
    </dataValidation>
    <dataValidation allowBlank="true" sqref="M6:M40" type="list">
      <formula1>"草稿,待供应商确认,待审批,谈判中,已锁价,Архивирано,Изчаква плащане,逾期待处理,计划中,Платено"</formula1>
    </dataValidation>
  </dataValidations>
  <pageMargins left="0.7" right="0.7" top="0.75" bottom="0.75" header="0.3" footer="0.3"/>
  <tableParts count="1">
    <tablePart r:id="R6ae42ccd6e4e4f00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30DE274A-F8F1-A5AC-AB32-5FD61EFFB25E}">
            <x14:dataBar gradient="1">
              <x14:cfvo type="min"/>
              <x14:cfvo type="max"/>
              <x14:fillColor rgb="FF4EA72E"/>
            </x14:dataBar>
          </x14:cfRule>
          <xm:sqref>H6:H40</xm:sqref>
        </x14:conditionalFormatting>
      </x14:conditionalFormattings>
    </x: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разбивка на очакваните разходи при доставки</dc:title>
  <dc:creator>Finite Field</dc:creator>
  <dc:description>Excel шаблон за разбивка на очакваните разходи при доставки по веригата.</dc:description>
  <lastModifiedBy/>
  <category>Supply Chain</category>
</coreProperties>
</file>