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使用说明" sheetId="1" state="visible" r:id="rId1"/>
    <sheet xmlns:r="http://schemas.openxmlformats.org/officeDocument/2006/relationships" name="配置项" sheetId="2" state="visible" r:id="rId2"/>
    <sheet xmlns:r="http://schemas.openxmlformats.org/officeDocument/2006/relationships" name="评分记录" sheetId="3" state="visible" r:id="rId3"/>
    <sheet xmlns:r="http://schemas.openxmlformats.org/officeDocument/2006/relationships" name="反馈与整改" sheetId="4" state="visible" r:id="rId4"/>
    <sheet xmlns:r="http://schemas.openxmlformats.org/officeDocument/2006/relationships" name="统计看板" sheetId="5" state="visible" r:id="rId5"/>
    <sheet xmlns:r="http://schemas.openxmlformats.org/officeDocument/2006/relationships" name="场景评分指引" sheetId="6" state="visible" r:id="rId6"/>
  </sheets>
  <definedNames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0.0"/>
    <numFmt numFmtId="166" formatCode="yyyy-mm"/>
  </numFmts>
  <fonts count="9">
    <font>
      <name val="Carlito"/>
      <sz val="11"/>
    </font>
    <font>
      <name val="Aptos"/>
      <color rgb="00334155"/>
      <sz val="10"/>
    </font>
    <font>
      <name val="Aptos"/>
      <b val="1"/>
      <color rgb="000F172A"/>
      <sz val="18"/>
    </font>
    <font>
      <name val="Aptos"/>
      <color rgb="00475569"/>
      <sz val="10"/>
    </font>
    <font>
      <name val="Aptos"/>
      <b val="1"/>
      <color rgb="000F172A"/>
      <sz val="11"/>
    </font>
    <font>
      <name val="Aptos"/>
      <b val="1"/>
      <color rgb="000F172A"/>
      <sz val="10"/>
    </font>
    <font>
      <name val="Aptos"/>
      <b val="1"/>
      <color rgb="000F172A"/>
      <sz val="17"/>
    </font>
    <font>
      <name val="Aptos"/>
      <b val="1"/>
      <color rgb="00334155"/>
      <sz val="10"/>
    </font>
    <font>
      <name val="Aptos"/>
      <b val="1"/>
      <color rgb="00475569"/>
      <sz val="10"/>
    </font>
  </fonts>
  <fills count="7">
    <fill>
      <patternFill/>
    </fill>
    <fill>
      <patternFill patternType="gray125"/>
    </fill>
    <fill>
      <patternFill patternType="solid">
        <fgColor rgb="00EAF2FF"/>
      </patternFill>
    </fill>
    <fill>
      <patternFill patternType="solid">
        <fgColor rgb="00F1F5F9"/>
      </patternFill>
    </fill>
    <fill>
      <patternFill patternType="solid">
        <fgColor rgb="00D9EAFB"/>
      </patternFill>
    </fill>
    <fill>
      <patternFill patternType="solid">
        <fgColor rgb="00F8FAFC"/>
      </patternFill>
    </fill>
    <fill>
      <patternFill patternType="solid">
        <fgColor rgb="00FFFFFF"/>
      </patternFill>
    </fill>
  </fills>
  <borders count="25">
    <border/>
    <border/>
    <border>
      <left style="thin">
        <color rgb="00E2E8F0"/>
      </left>
      <top style="thin">
        <color rgb="00E2E8F0"/>
      </top>
      <bottom style="thin">
        <color rgb="00E2E8F0"/>
      </bottom>
    </border>
    <border>
      <top style="thin">
        <color rgb="00E2E8F0"/>
      </top>
      <bottom style="thin">
        <color rgb="00E2E8F0"/>
      </bottom>
    </border>
    <border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top style="thin">
        <color rgb="00E2E8F0"/>
      </top>
      <bottom style="thin">
        <color rgb="00E2E8F0"/>
      </bottom>
    </border>
    <border>
      <top style="thin">
        <color rgb="00E2E8F0"/>
      </top>
      <bottom style="thin">
        <color rgb="00E2E8F0"/>
      </bottom>
    </border>
    <border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top style="thin">
        <color rgb="00E2E8F0"/>
      </top>
    </border>
    <border>
      <top style="thin">
        <color rgb="00E2E8F0"/>
      </top>
    </border>
    <border>
      <right style="thin">
        <color rgb="00E2E8F0"/>
      </right>
      <top style="thin">
        <color rgb="00E2E8F0"/>
      </top>
    </border>
    <border>
      <left style="thin">
        <color rgb="00E2E8F0"/>
      </left>
      <bottom style="thin">
        <color rgb="00E2E8F0"/>
      </bottom>
    </border>
    <border>
      <bottom style="thin">
        <color rgb="00E2E8F0"/>
      </bottom>
    </border>
    <border>
      <right style="thin">
        <color rgb="00E2E8F0"/>
      </right>
      <bottom style="thin">
        <color rgb="00E2E8F0"/>
      </bottom>
    </border>
    <border>
      <left style="thin">
        <color rgb="00E2E8F0"/>
      </left>
      <top style="thin">
        <color rgb="00E2E8F0"/>
      </top>
    </border>
    <border>
      <top style="thin">
        <color rgb="00E2E8F0"/>
      </top>
    </border>
    <border>
      <right style="thin">
        <color rgb="00E2E8F0"/>
      </right>
      <top style="thin">
        <color rgb="00E2E8F0"/>
      </top>
    </border>
    <border>
      <left style="thin">
        <color rgb="00E2E8F0"/>
      </left>
      <bottom style="thin">
        <color rgb="00E2E8F0"/>
      </bottom>
    </border>
    <border>
      <bottom style="thin">
        <color rgb="00E2E8F0"/>
      </bottom>
    </border>
    <border>
      <right style="thin">
        <color rgb="00E2E8F0"/>
      </right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</border>
    <border>
      <left style="thin">
        <color rgb="00E2E8F0"/>
      </left>
      <right style="thin">
        <color rgb="00E2E8F0"/>
      </right>
      <bottom style="thin">
        <color rgb="00E2E8F0"/>
      </bottom>
    </border>
    <border>
      <right style="thin">
        <color rgb="00E2E8F0"/>
      </right>
    </border>
  </borders>
  <cellStyleXfs count="1">
    <xf numFmtId="0" fontId="0" fillId="0" borderId="1"/>
  </cellStyleXfs>
  <cellXfs count="153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1" pivotButton="0" quotePrefix="0" xfId="0"/>
    <xf numFmtId="0" fontId="1" fillId="0" borderId="0" applyAlignment="1" pivotButton="0" quotePrefix="0" xfId="0">
      <alignment/>
    </xf>
    <xf numFmtId="0" fontId="1" fillId="0" borderId="1" applyAlignment="1" pivotButton="0" quotePrefix="0" xfId="0">
      <alignment/>
    </xf>
    <xf numFmtId="0" fontId="1" fillId="2" borderId="0" applyAlignment="1" pivotButton="0" quotePrefix="0" xfId="0">
      <alignment/>
    </xf>
    <xf numFmtId="0" fontId="1" fillId="2" borderId="1" applyAlignment="1" pivotButton="0" quotePrefix="0" xfId="0">
      <alignment/>
    </xf>
    <xf numFmtId="0" fontId="2" fillId="2" borderId="0" applyAlignment="1" pivotButton="0" quotePrefix="0" xfId="0">
      <alignment/>
    </xf>
    <xf numFmtId="0" fontId="2" fillId="2" borderId="1" applyAlignment="1" pivotButton="0" quotePrefix="0" xfId="0">
      <alignment/>
    </xf>
    <xf numFmtId="0" fontId="3" fillId="0" borderId="0" applyAlignment="1" pivotButton="0" quotePrefix="0" xfId="0">
      <alignment/>
    </xf>
    <xf numFmtId="0" fontId="3" fillId="0" borderId="1" applyAlignment="1" pivotButton="0" quotePrefix="0" xfId="0">
      <alignment/>
    </xf>
    <xf numFmtId="0" fontId="1" fillId="3" borderId="0" applyAlignment="1" pivotButton="0" quotePrefix="0" xfId="0">
      <alignment/>
    </xf>
    <xf numFmtId="0" fontId="1" fillId="3" borderId="1" applyAlignment="1" pivotButton="0" quotePrefix="0" xfId="0">
      <alignment/>
    </xf>
    <xf numFmtId="0" fontId="4" fillId="3" borderId="0" applyAlignment="1" pivotButton="0" quotePrefix="0" xfId="0">
      <alignment/>
    </xf>
    <xf numFmtId="0" fontId="4" fillId="3" borderId="1" applyAlignment="1" pivotButton="0" quotePrefix="0" xfId="0">
      <alignment/>
    </xf>
    <xf numFmtId="0" fontId="4" fillId="3" borderId="2" applyAlignment="1" pivotButton="0" quotePrefix="0" xfId="0">
      <alignment/>
    </xf>
    <xf numFmtId="0" fontId="4" fillId="3" borderId="3" applyAlignment="1" pivotButton="0" quotePrefix="0" xfId="0">
      <alignment/>
    </xf>
    <xf numFmtId="0" fontId="4" fillId="3" borderId="4" applyAlignment="1" pivotButton="0" quotePrefix="0" xfId="0">
      <alignment/>
    </xf>
    <xf numFmtId="0" fontId="4" fillId="3" borderId="5" applyAlignment="1" pivotButton="0" quotePrefix="0" xfId="0">
      <alignment/>
    </xf>
    <xf numFmtId="0" fontId="4" fillId="3" borderId="6" applyAlignment="1" pivotButton="0" quotePrefix="0" xfId="0">
      <alignment/>
    </xf>
    <xf numFmtId="0" fontId="4" fillId="3" borderId="7" applyAlignment="1" pivotButton="0" quotePrefix="0" xfId="0">
      <alignment/>
    </xf>
    <xf numFmtId="0" fontId="1" fillId="0" borderId="0" applyAlignment="1" pivotButton="0" quotePrefix="0" xfId="0">
      <alignment horizontal="center"/>
    </xf>
    <xf numFmtId="0" fontId="1" fillId="0" borderId="1" applyAlignment="1" pivotButton="0" quotePrefix="0" xfId="0">
      <alignment horizontal="center"/>
    </xf>
    <xf numFmtId="0" fontId="1" fillId="0" borderId="8" applyAlignment="1" pivotButton="0" quotePrefix="0" xfId="0">
      <alignment horizontal="center"/>
    </xf>
    <xf numFmtId="0" fontId="1" fillId="0" borderId="8" applyAlignment="1" pivotButton="0" quotePrefix="0" xfId="0">
      <alignment/>
    </xf>
    <xf numFmtId="0" fontId="1" fillId="0" borderId="9" applyAlignment="1" pivotButton="0" quotePrefix="0" xfId="0">
      <alignment horizontal="center"/>
    </xf>
    <xf numFmtId="0" fontId="1" fillId="0" borderId="9" applyAlignment="1" pivotButton="0" quotePrefix="0" xfId="0">
      <alignment/>
    </xf>
    <xf numFmtId="0" fontId="1" fillId="0" borderId="8" applyAlignment="1" pivotButton="0" quotePrefix="0" xfId="0">
      <alignment wrapText="1"/>
    </xf>
    <xf numFmtId="0" fontId="1" fillId="0" borderId="9" applyAlignment="1" pivotButton="0" quotePrefix="0" xfId="0">
      <alignment wrapText="1"/>
    </xf>
    <xf numFmtId="0" fontId="5" fillId="0" borderId="0" applyAlignment="1" pivotButton="0" quotePrefix="0" xfId="0">
      <alignment/>
    </xf>
    <xf numFmtId="0" fontId="5" fillId="0" borderId="1" applyAlignment="1" pivotButton="0" quotePrefix="0" xfId="0">
      <alignment/>
    </xf>
    <xf numFmtId="0" fontId="5" fillId="0" borderId="8" applyAlignment="1" pivotButton="0" quotePrefix="0" xfId="0">
      <alignment/>
    </xf>
    <xf numFmtId="0" fontId="5" fillId="0" borderId="9" applyAlignment="1" pivotButton="0" quotePrefix="0" xfId="0">
      <alignment/>
    </xf>
    <xf numFmtId="0" fontId="5" fillId="0" borderId="8" applyAlignment="1" pivotButton="0" quotePrefix="0" xfId="0">
      <alignment wrapText="1"/>
    </xf>
    <xf numFmtId="0" fontId="5" fillId="0" borderId="9" applyAlignment="1" pivotButton="0" quotePrefix="0" xfId="0">
      <alignment wrapText="1"/>
    </xf>
    <xf numFmtId="0" fontId="6" fillId="2" borderId="0" applyAlignment="1" pivotButton="0" quotePrefix="0" xfId="0">
      <alignment/>
    </xf>
    <xf numFmtId="0" fontId="6" fillId="2" borderId="1" applyAlignment="1" pivotButton="0" quotePrefix="0" xfId="0">
      <alignment/>
    </xf>
    <xf numFmtId="0" fontId="1" fillId="4" borderId="0" applyAlignment="1" pivotButton="0" quotePrefix="0" xfId="0">
      <alignment/>
    </xf>
    <xf numFmtId="0" fontId="1" fillId="4" borderId="1" applyAlignment="1" pivotButton="0" quotePrefix="0" xfId="0">
      <alignment/>
    </xf>
    <xf numFmtId="0" fontId="5" fillId="4" borderId="0" applyAlignment="1" pivotButton="0" quotePrefix="0" xfId="0">
      <alignment/>
    </xf>
    <xf numFmtId="0" fontId="5" fillId="4" borderId="1" applyAlignment="1" pivotButton="0" quotePrefix="0" xfId="0">
      <alignment/>
    </xf>
    <xf numFmtId="0" fontId="5" fillId="4" borderId="0" applyAlignment="1" pivotButton="0" quotePrefix="0" xfId="0">
      <alignment horizontal="center"/>
    </xf>
    <xf numFmtId="0" fontId="5" fillId="4" borderId="1" applyAlignment="1" pivotButton="0" quotePrefix="0" xfId="0">
      <alignment horizontal="center"/>
    </xf>
    <xf numFmtId="0" fontId="5" fillId="4" borderId="0" applyAlignment="1" pivotButton="0" quotePrefix="0" xfId="0">
      <alignment horizontal="center" wrapText="1"/>
    </xf>
    <xf numFmtId="0" fontId="5" fillId="4" borderId="1" applyAlignment="1" pivotButton="0" quotePrefix="0" xfId="0">
      <alignment horizontal="center" wrapText="1"/>
    </xf>
    <xf numFmtId="0" fontId="5" fillId="4" borderId="8" applyAlignment="1" pivotButton="0" quotePrefix="0" xfId="0">
      <alignment horizontal="center" wrapText="1"/>
    </xf>
    <xf numFmtId="0" fontId="5" fillId="4" borderId="9" applyAlignment="1" pivotButton="0" quotePrefix="0" xfId="0">
      <alignment horizontal="center" wrapText="1"/>
    </xf>
    <xf numFmtId="9" fontId="1" fillId="0" borderId="8" applyAlignment="1" pivotButton="0" quotePrefix="0" xfId="0">
      <alignment/>
    </xf>
    <xf numFmtId="9" fontId="1" fillId="0" borderId="9" applyAlignment="1" pivotButton="0" quotePrefix="0" xfId="0">
      <alignment/>
    </xf>
    <xf numFmtId="0" fontId="1" fillId="5" borderId="0" applyAlignment="1" pivotButton="0" quotePrefix="0" xfId="0">
      <alignment/>
    </xf>
    <xf numFmtId="0" fontId="1" fillId="5" borderId="1" applyAlignment="1" pivotButton="0" quotePrefix="0" xfId="0">
      <alignment/>
    </xf>
    <xf numFmtId="0" fontId="5" fillId="5" borderId="0" applyAlignment="1" pivotButton="0" quotePrefix="0" xfId="0">
      <alignment/>
    </xf>
    <xf numFmtId="0" fontId="5" fillId="5" borderId="1" applyAlignment="1" pivotButton="0" quotePrefix="0" xfId="0">
      <alignment/>
    </xf>
    <xf numFmtId="9" fontId="5" fillId="5" borderId="0" applyAlignment="1" pivotButton="0" quotePrefix="0" xfId="0">
      <alignment/>
    </xf>
    <xf numFmtId="9" fontId="5" fillId="5" borderId="1" applyAlignment="1" pivotButton="0" quotePrefix="0" xfId="0">
      <alignment/>
    </xf>
    <xf numFmtId="0" fontId="5" fillId="5" borderId="8" applyAlignment="1" pivotButton="0" quotePrefix="0" xfId="0">
      <alignment/>
    </xf>
    <xf numFmtId="9" fontId="5" fillId="5" borderId="8" applyAlignment="1" pivotButton="0" quotePrefix="0" xfId="0">
      <alignment/>
    </xf>
    <xf numFmtId="0" fontId="5" fillId="5" borderId="9" applyAlignment="1" pivotButton="0" quotePrefix="0" xfId="0">
      <alignment/>
    </xf>
    <xf numFmtId="9" fontId="5" fillId="5" borderId="9" applyAlignment="1" pivotButton="0" quotePrefix="0" xfId="0">
      <alignment/>
    </xf>
    <xf numFmtId="9" fontId="1" fillId="0" borderId="8" applyAlignment="1" pivotButton="0" quotePrefix="0" xfId="0">
      <alignment wrapText="1"/>
    </xf>
    <xf numFmtId="9" fontId="1" fillId="0" borderId="9" applyAlignment="1" pivotButton="0" quotePrefix="0" xfId="0">
      <alignment wrapText="1"/>
    </xf>
    <xf numFmtId="1" fontId="1" fillId="0" borderId="8" applyAlignment="1" pivotButton="0" quotePrefix="0" xfId="0">
      <alignment/>
    </xf>
    <xf numFmtId="1" fontId="1" fillId="0" borderId="9" applyAlignment="1" pivotButton="0" quotePrefix="0" xfId="0">
      <alignment/>
    </xf>
    <xf numFmtId="0" fontId="7" fillId="0" borderId="8" applyAlignment="1" pivotButton="0" quotePrefix="0" xfId="0">
      <alignment/>
    </xf>
    <xf numFmtId="0" fontId="7" fillId="0" borderId="9" applyAlignment="1" pivotButton="0" quotePrefix="0" xfId="0">
      <alignment/>
    </xf>
    <xf numFmtId="0" fontId="7" fillId="0" borderId="8" applyAlignment="1" pivotButton="0" quotePrefix="0" xfId="0">
      <alignment wrapText="1"/>
    </xf>
    <xf numFmtId="0" fontId="7" fillId="0" borderId="9" applyAlignment="1" pivotButton="0" quotePrefix="0" xfId="0">
      <alignment wrapText="1"/>
    </xf>
    <xf numFmtId="164" fontId="1" fillId="0" borderId="8" applyAlignment="1" pivotButton="0" quotePrefix="0" xfId="0">
      <alignment/>
    </xf>
    <xf numFmtId="164" fontId="1" fillId="0" borderId="9" applyAlignment="1" pivotButton="0" quotePrefix="0" xfId="0">
      <alignment/>
    </xf>
    <xf numFmtId="165" fontId="1" fillId="0" borderId="8" applyAlignment="1" pivotButton="0" quotePrefix="0" xfId="0">
      <alignment/>
    </xf>
    <xf numFmtId="165" fontId="1" fillId="0" borderId="9" applyAlignment="1" pivotButton="0" quotePrefix="0" xfId="0">
      <alignment/>
    </xf>
    <xf numFmtId="0" fontId="1" fillId="5" borderId="8" applyAlignment="1" pivotButton="0" quotePrefix="0" xfId="0">
      <alignment/>
    </xf>
    <xf numFmtId="0" fontId="1" fillId="5" borderId="9" applyAlignment="1" pivotButton="0" quotePrefix="0" xfId="0">
      <alignment/>
    </xf>
    <xf numFmtId="0" fontId="1" fillId="6" borderId="0" applyAlignment="1" pivotButton="0" quotePrefix="0" xfId="0">
      <alignment/>
    </xf>
    <xf numFmtId="0" fontId="1" fillId="6" borderId="1" applyAlignment="1" pivotButton="0" quotePrefix="0" xfId="0">
      <alignment/>
    </xf>
    <xf numFmtId="0" fontId="1" fillId="6" borderId="10" applyAlignment="1" pivotButton="0" quotePrefix="0" xfId="0">
      <alignment/>
    </xf>
    <xf numFmtId="0" fontId="1" fillId="6" borderId="11" applyAlignment="1" pivotButton="0" quotePrefix="0" xfId="0">
      <alignment/>
    </xf>
    <xf numFmtId="0" fontId="1" fillId="6" borderId="12" applyAlignment="1" pivotButton="0" quotePrefix="0" xfId="0">
      <alignment/>
    </xf>
    <xf numFmtId="0" fontId="1" fillId="6" borderId="13" applyAlignment="1" pivotButton="0" quotePrefix="0" xfId="0">
      <alignment/>
    </xf>
    <xf numFmtId="0" fontId="1" fillId="6" borderId="14" applyAlignment="1" pivotButton="0" quotePrefix="0" xfId="0">
      <alignment/>
    </xf>
    <xf numFmtId="0" fontId="1" fillId="6" borderId="15" applyAlignment="1" pivotButton="0" quotePrefix="0" xfId="0">
      <alignment/>
    </xf>
    <xf numFmtId="0" fontId="1" fillId="6" borderId="16" applyAlignment="1" pivotButton="0" quotePrefix="0" xfId="0">
      <alignment/>
    </xf>
    <xf numFmtId="0" fontId="1" fillId="6" borderId="17" applyAlignment="1" pivotButton="0" quotePrefix="0" xfId="0">
      <alignment/>
    </xf>
    <xf numFmtId="0" fontId="1" fillId="6" borderId="18" applyAlignment="1" pivotButton="0" quotePrefix="0" xfId="0">
      <alignment/>
    </xf>
    <xf numFmtId="0" fontId="1" fillId="6" borderId="19" applyAlignment="1" pivotButton="0" quotePrefix="0" xfId="0">
      <alignment/>
    </xf>
    <xf numFmtId="0" fontId="1" fillId="6" borderId="20" applyAlignment="1" pivotButton="0" quotePrefix="0" xfId="0">
      <alignment/>
    </xf>
    <xf numFmtId="0" fontId="1" fillId="6" borderId="21" applyAlignment="1" pivotButton="0" quotePrefix="0" xfId="0">
      <alignment/>
    </xf>
    <xf numFmtId="0" fontId="8" fillId="6" borderId="10" applyAlignment="1" pivotButton="0" quotePrefix="0" xfId="0">
      <alignment/>
    </xf>
    <xf numFmtId="0" fontId="8" fillId="6" borderId="11" applyAlignment="1" pivotButton="0" quotePrefix="0" xfId="0">
      <alignment/>
    </xf>
    <xf numFmtId="0" fontId="8" fillId="6" borderId="12" applyAlignment="1" pivotButton="0" quotePrefix="0" xfId="0">
      <alignment/>
    </xf>
    <xf numFmtId="0" fontId="8" fillId="6" borderId="16" applyAlignment="1" pivotButton="0" quotePrefix="0" xfId="0">
      <alignment/>
    </xf>
    <xf numFmtId="0" fontId="8" fillId="6" borderId="17" applyAlignment="1" pivotButton="0" quotePrefix="0" xfId="0">
      <alignment/>
    </xf>
    <xf numFmtId="0" fontId="8" fillId="6" borderId="18" applyAlignment="1" pivotButton="0" quotePrefix="0" xfId="0">
      <alignment/>
    </xf>
    <xf numFmtId="0" fontId="2" fillId="6" borderId="13" applyAlignment="1" pivotButton="0" quotePrefix="0" xfId="0">
      <alignment/>
    </xf>
    <xf numFmtId="0" fontId="2" fillId="6" borderId="14" applyAlignment="1" pivotButton="0" quotePrefix="0" xfId="0">
      <alignment/>
    </xf>
    <xf numFmtId="0" fontId="2" fillId="6" borderId="15" applyAlignment="1" pivotButton="0" quotePrefix="0" xfId="0">
      <alignment/>
    </xf>
    <xf numFmtId="0" fontId="2" fillId="6" borderId="19" applyAlignment="1" pivotButton="0" quotePrefix="0" xfId="0">
      <alignment/>
    </xf>
    <xf numFmtId="0" fontId="2" fillId="6" borderId="20" applyAlignment="1" pivotButton="0" quotePrefix="0" xfId="0">
      <alignment/>
    </xf>
    <xf numFmtId="0" fontId="2" fillId="6" borderId="21" applyAlignment="1" pivotButton="0" quotePrefix="0" xfId="0">
      <alignment/>
    </xf>
    <xf numFmtId="0" fontId="8" fillId="6" borderId="10" applyAlignment="1" pivotButton="0" quotePrefix="0" xfId="0">
      <alignment horizontal="center"/>
    </xf>
    <xf numFmtId="0" fontId="8" fillId="6" borderId="11" applyAlignment="1" pivotButton="0" quotePrefix="0" xfId="0">
      <alignment horizontal="center"/>
    </xf>
    <xf numFmtId="0" fontId="8" fillId="6" borderId="12" applyAlignment="1" pivotButton="0" quotePrefix="0" xfId="0">
      <alignment horizontal="center"/>
    </xf>
    <xf numFmtId="0" fontId="8" fillId="6" borderId="16" applyAlignment="1" pivotButton="0" quotePrefix="0" xfId="0">
      <alignment horizontal="center"/>
    </xf>
    <xf numFmtId="0" fontId="8" fillId="6" borderId="17" applyAlignment="1" pivotButton="0" quotePrefix="0" xfId="0">
      <alignment horizontal="center"/>
    </xf>
    <xf numFmtId="0" fontId="8" fillId="6" borderId="18" applyAlignment="1" pivotButton="0" quotePrefix="0" xfId="0">
      <alignment horizontal="center"/>
    </xf>
    <xf numFmtId="0" fontId="2" fillId="6" borderId="13" applyAlignment="1" pivotButton="0" quotePrefix="0" xfId="0">
      <alignment horizontal="center"/>
    </xf>
    <xf numFmtId="0" fontId="2" fillId="6" borderId="14" applyAlignment="1" pivotButton="0" quotePrefix="0" xfId="0">
      <alignment horizontal="center"/>
    </xf>
    <xf numFmtId="0" fontId="2" fillId="6" borderId="15" applyAlignment="1" pivotButton="0" quotePrefix="0" xfId="0">
      <alignment horizontal="center"/>
    </xf>
    <xf numFmtId="0" fontId="2" fillId="6" borderId="19" applyAlignment="1" pivotButton="0" quotePrefix="0" xfId="0">
      <alignment horizontal="center"/>
    </xf>
    <xf numFmtId="0" fontId="2" fillId="6" borderId="20" applyAlignment="1" pivotButton="0" quotePrefix="0" xfId="0">
      <alignment horizontal="center"/>
    </xf>
    <xf numFmtId="0" fontId="2" fillId="6" borderId="21" applyAlignment="1" pivotButton="0" quotePrefix="0" xfId="0">
      <alignment horizontal="center"/>
    </xf>
    <xf numFmtId="9" fontId="2" fillId="6" borderId="13" applyAlignment="1" pivotButton="0" quotePrefix="0" xfId="0">
      <alignment horizontal="center"/>
    </xf>
    <xf numFmtId="9" fontId="2" fillId="6" borderId="14" applyAlignment="1" pivotButton="0" quotePrefix="0" xfId="0">
      <alignment horizontal="center"/>
    </xf>
    <xf numFmtId="9" fontId="2" fillId="6" borderId="15" applyAlignment="1" pivotButton="0" quotePrefix="0" xfId="0">
      <alignment horizontal="center"/>
    </xf>
    <xf numFmtId="9" fontId="2" fillId="6" borderId="19" applyAlignment="1" pivotButton="0" quotePrefix="0" xfId="0">
      <alignment horizontal="center"/>
    </xf>
    <xf numFmtId="9" fontId="2" fillId="6" borderId="20" applyAlignment="1" pivotButton="0" quotePrefix="0" xfId="0">
      <alignment horizontal="center"/>
    </xf>
    <xf numFmtId="9" fontId="2" fillId="6" borderId="21" applyAlignment="1" pivotButton="0" quotePrefix="0" xfId="0">
      <alignment horizontal="center"/>
    </xf>
    <xf numFmtId="165" fontId="2" fillId="6" borderId="13" applyAlignment="1" pivotButton="0" quotePrefix="0" xfId="0">
      <alignment horizontal="center"/>
    </xf>
    <xf numFmtId="165" fontId="2" fillId="6" borderId="14" applyAlignment="1" pivotButton="0" quotePrefix="0" xfId="0">
      <alignment horizontal="center"/>
    </xf>
    <xf numFmtId="165" fontId="2" fillId="6" borderId="15" applyAlignment="1" pivotButton="0" quotePrefix="0" xfId="0">
      <alignment horizontal="center"/>
    </xf>
    <xf numFmtId="165" fontId="2" fillId="6" borderId="19" applyAlignment="1" pivotButton="0" quotePrefix="0" xfId="0">
      <alignment horizontal="center"/>
    </xf>
    <xf numFmtId="165" fontId="2" fillId="6" borderId="20" applyAlignment="1" pivotButton="0" quotePrefix="0" xfId="0">
      <alignment horizontal="center"/>
    </xf>
    <xf numFmtId="165" fontId="2" fillId="6" borderId="21" applyAlignment="1" pivotButton="0" quotePrefix="0" xfId="0">
      <alignment horizontal="center"/>
    </xf>
    <xf numFmtId="166" fontId="1" fillId="0" borderId="8" applyAlignment="1" pivotButton="0" quotePrefix="0" xfId="0">
      <alignment/>
    </xf>
    <xf numFmtId="166" fontId="1" fillId="0" borderId="9" applyAlignment="1" pivotButton="0" quotePrefix="0" xfId="0">
      <alignment/>
    </xf>
    <xf numFmtId="0" fontId="5" fillId="4" borderId="8" applyAlignment="1" pivotButton="0" quotePrefix="0" xfId="0">
      <alignment horizontal="center"/>
    </xf>
    <xf numFmtId="0" fontId="5" fillId="4" borderId="9" applyAlignment="1" pivotButton="0" quotePrefix="0" xfId="0">
      <alignment horizontal="center"/>
    </xf>
    <xf numFmtId="1" fontId="2" fillId="6" borderId="13" applyAlignment="1" pivotButton="0" quotePrefix="0" xfId="0">
      <alignment horizontal="center"/>
    </xf>
    <xf numFmtId="1" fontId="2" fillId="6" borderId="14" applyAlignment="1" pivotButton="0" quotePrefix="0" xfId="0">
      <alignment horizontal="center"/>
    </xf>
    <xf numFmtId="1" fontId="2" fillId="6" borderId="15" applyAlignment="1" pivotButton="0" quotePrefix="0" xfId="0">
      <alignment horizontal="center"/>
    </xf>
    <xf numFmtId="1" fontId="2" fillId="6" borderId="19" applyAlignment="1" pivotButton="0" quotePrefix="0" xfId="0">
      <alignment horizontal="center"/>
    </xf>
    <xf numFmtId="1" fontId="2" fillId="6" borderId="20" applyAlignment="1" pivotButton="0" quotePrefix="0" xfId="0">
      <alignment horizontal="center"/>
    </xf>
    <xf numFmtId="1" fontId="2" fillId="6" borderId="21" applyAlignment="1" pivotButton="0" quotePrefix="0" xfId="0">
      <alignment horizontal="center"/>
    </xf>
    <xf numFmtId="49" fontId="1" fillId="0" borderId="8" applyAlignment="1" pivotButton="0" quotePrefix="0" xfId="0">
      <alignment/>
    </xf>
    <xf numFmtId="0" fontId="4" fillId="3" borderId="9" applyAlignment="1" pivotButton="0" quotePrefix="0" xfId="0">
      <alignment/>
    </xf>
    <xf numFmtId="0" fontId="0" fillId="0" borderId="6" pivotButton="0" quotePrefix="0" xfId="0"/>
    <xf numFmtId="0" fontId="0" fillId="0" borderId="7" pivotButton="0" quotePrefix="0" xfId="0"/>
    <xf numFmtId="9" fontId="1" fillId="0" borderId="8" applyAlignment="1" pivotButton="0" quotePrefix="0" xfId="0">
      <alignment wrapText="1"/>
    </xf>
    <xf numFmtId="1" fontId="1" fillId="0" borderId="8" applyAlignment="1" pivotButton="0" quotePrefix="0" xfId="0">
      <alignment/>
    </xf>
    <xf numFmtId="9" fontId="5" fillId="5" borderId="8" applyAlignment="1" pivotButton="0" quotePrefix="0" xfId="0">
      <alignment/>
    </xf>
    <xf numFmtId="164" fontId="1" fillId="0" borderId="8" applyAlignment="1" pivotButton="0" quotePrefix="0" xfId="0">
      <alignment/>
    </xf>
    <xf numFmtId="165" fontId="1" fillId="0" borderId="8" applyAlignment="1" pivotButton="0" quotePrefix="0" xfId="0">
      <alignment/>
    </xf>
    <xf numFmtId="0" fontId="8" fillId="6" borderId="22" applyAlignment="1" pivotButton="0" quotePrefix="0" xfId="0">
      <alignment horizontal="center"/>
    </xf>
    <xf numFmtId="0" fontId="0" fillId="0" borderId="17" pivotButton="0" quotePrefix="0" xfId="0"/>
    <xf numFmtId="0" fontId="0" fillId="0" borderId="18" pivotButton="0" quotePrefix="0" xfId="0"/>
    <xf numFmtId="0" fontId="2" fillId="6" borderId="23" applyAlignment="1" pivotButton="0" quotePrefix="0" xfId="0">
      <alignment horizontal="center"/>
    </xf>
    <xf numFmtId="0" fontId="0" fillId="0" borderId="20" pivotButton="0" quotePrefix="0" xfId="0"/>
    <xf numFmtId="0" fontId="0" fillId="0" borderId="21" pivotButton="0" quotePrefix="0" xfId="0"/>
    <xf numFmtId="9" fontId="2" fillId="6" borderId="23" applyAlignment="1" pivotButton="0" quotePrefix="0" xfId="0">
      <alignment horizontal="center"/>
    </xf>
    <xf numFmtId="1" fontId="2" fillId="6" borderId="23" applyAlignment="1" pivotButton="0" quotePrefix="0" xfId="0">
      <alignment horizontal="center"/>
    </xf>
    <xf numFmtId="165" fontId="2" fillId="6" borderId="23" applyAlignment="1" pivotButton="0" quotePrefix="0" xfId="0">
      <alignment horizontal="center"/>
    </xf>
    <xf numFmtId="49" fontId="1" fillId="0" borderId="8" applyAlignment="1" pivotButton="0" quotePrefix="0" xfId="0">
      <alignment/>
    </xf>
  </cellXfs>
  <cellStyles count="1">
    <cellStyle name="Normal" xfId="0"/>
  </cellStyles>
  <dxfs count="9"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各业务场景：评分数与平均得分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评分数</v>
          </tx>
          <spPr>
            <a:ln xmlns:a="http://schemas.openxmlformats.org/drawingml/2006/main">
              <a:prstDash val="solid"/>
            </a:ln>
          </spPr>
          <cat>
            <strRef>
              <f>'统计看板'!$A$13:$A$23</f>
              <strCache>
                <ptCount val="0"/>
              </strCache>
            </strRef>
          </cat>
          <val>
            <numRef>
              <f>'统计看板'!$B$13:$B$23</f>
              <numCache>
                <ptCount val="0"/>
              </numCache>
            </numRef>
          </val>
        </ser>
        <ser>
          <idx val="1"/>
          <order val="1"/>
          <tx>
            <v>平均得分</v>
          </tx>
          <spPr>
            <a:ln xmlns:a="http://schemas.openxmlformats.org/drawingml/2006/main">
              <a:prstDash val="solid"/>
            </a:ln>
          </spPr>
          <cat>
            <strRef>
              <f>'统计看板'!$A$13:$A$23</f>
              <strCache>
                <ptCount val="0"/>
              </strCache>
            </strRef>
          </cat>
          <val>
            <numRef>
              <f>'统计看板'!$C$13:$C$23</f>
              <numCache>
                <formatCode>0.0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4763">
              <a:solidFill>
                <a:srgbClr val="E2E8F0"/>
              </a:solidFill>
              <a:prstDash val="solid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月度评分趋势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评分数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'统计看板'!$A$27:$A$38</f>
              <strCache>
                <ptCount val="0"/>
              </strCache>
            </strRef>
          </cat>
          <val>
            <numRef>
              <f>'统计看板'!$B$27:$B$38</f>
              <numCache>
                <ptCount val="0"/>
              </numCache>
            </numRef>
          </val>
          <smooth val="0"/>
        </ser>
        <ser>
          <idx val="1"/>
          <order val="1"/>
          <tx>
            <v>平均得分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'统计看板'!$A$27:$A$38</f>
              <strCache>
                <ptCount val="0"/>
              </strCache>
            </strRef>
          </cat>
          <val>
            <numRef>
              <f>'统计看板'!$C$27:$C$38</f>
              <numCache>
                <formatCode>0.0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yyyy-mm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4763">
              <a:solidFill>
                <a:srgbClr val="E2E8F0"/>
              </a:solidFill>
              <a:prstDash val="solid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整改状态分布</a:t>
            </a:r>
          </a:p>
        </rich>
      </tx>
      <overlay val="0"/>
    </title>
    <plotArea>
      <layout/>
      <doughnutChart>
        <varyColors val="1"/>
        <ser>
          <idx val="0"/>
          <order val="0"/>
          <tx>
            <v>数量</v>
          </tx>
          <spPr>
            <a:ln xmlns:a="http://schemas.openxmlformats.org/drawingml/2006/main">
              <a:prstDash val="solid"/>
            </a:ln>
          </spPr>
          <cat>
            <strRef>
              <f>'统计看板'!$H$27:$H$32</f>
              <strCache>
                <ptCount val="0"/>
              </strCache>
            </strRef>
          </cat>
          <val>
            <numRef>
              <f>'统计看板'!$I$27:$I$32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firstSliceAng val="0"/>
        <holeSize val="10"/>
      </doughnutChart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>
    <from>
      <col>12</col>
      <colOff>0</colOff>
      <row>3</row>
      <rowOff>0</rowOff>
    </from>
    <to>
      <col>21</col>
      <colOff>0</colOff>
      <row>18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12</col>
      <colOff>0</colOff>
      <row>19</row>
      <rowOff>0</rowOff>
    </from>
    <to>
      <col>21</col>
      <colOff>0</colOff>
      <row>34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12</col>
      <colOff>0</colOff>
      <row>35</row>
      <rowOff>0</rowOff>
    </from>
    <to>
      <col>21</col>
      <colOff>0</colOff>
      <row>49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coreDimensionWeights" displayName="ScoreDimensionWeights" ref="A5:D13" headerRowCount="1">
  <tableColumns count="4">
    <tableColumn id="1" name="维度"/>
    <tableColumn id="2" name="评分说明"/>
    <tableColumn id="3" name="权重"/>
    <tableColumn id="4" name="打分提示"/>
  </tableColumns>
  <tableStyleInfo name="TableStyleMedium2" showRowStripes="1"/>
</table>
</file>

<file path=xl/tables/table2.xml><?xml version="1.0" encoding="utf-8"?>
<table xmlns="http://schemas.openxmlformats.org/spreadsheetml/2006/main" id="2" name="RatingThresholds" displayName="RatingThresholds" ref="F5:G9" headerRowCount="1">
  <tableColumns count="2">
    <tableColumn id="1" name="评级"/>
    <tableColumn id="2" name="最低得分"/>
  </tableColumns>
  <tableStyleInfo name="TableStyleMedium2" showRowStripes="1"/>
</table>
</file>

<file path=xl/tables/table3.xml><?xml version="1.0" encoding="utf-8"?>
<table xmlns="http://schemas.openxmlformats.org/spreadsheetml/2006/main" id="3" name="DropdownOptions" displayName="DropdownOptions" ref="I5:O17" headerRowCount="1">
  <tableColumns count="7">
    <tableColumn id="1" name="业务场景"/>
    <tableColumn id="2" name="服务渠道"/>
    <tableColumn id="3" name="客户类型"/>
    <tableColumn id="4" name="问题等级"/>
    <tableColumn id="5" name="问题分类"/>
    <tableColumn id="6" name="整改状态"/>
    <tableColumn id="7" name="验证结果"/>
  </tableColumns>
  <tableStyleInfo name="TableStyleMedium2" showRowStripes="1"/>
</table>
</file>

<file path=xl/tables/table4.xml><?xml version="1.0" encoding="utf-8"?>
<table xmlns="http://schemas.openxmlformats.org/spreadsheetml/2006/main" id="4" name="ScoreRecords" displayName="ScoreRecords" ref="A4:Y254" headerRowCount="1">
  <tableColumns count="25">
    <tableColumn id="1" name="记录ID"/>
    <tableColumn id="2" name="评分日期"/>
    <tableColumn id="3" name="公司/品牌"/>
    <tableColumn id="4" name="部门/门店/项目"/>
    <tableColumn id="5" name="业务场景"/>
    <tableColumn id="6" name="服务渠道"/>
    <tableColumn id="7" name="客户类型"/>
    <tableColumn id="8" name="服务人员/团队"/>
    <tableColumn id="9" name="客户/工单编号"/>
    <tableColumn id="10" name="问题等级"/>
    <tableColumn id="11" name="响应及时性_x000a_1-5"/>
    <tableColumn id="12" name="沟通专业性_x000a_1-5"/>
    <tableColumn id="13" name="解决有效性_x000a_1-5"/>
    <tableColumn id="14" name="服务态度_x000a_1-5"/>
    <tableColumn id="15" name="流程合规_x000a_1-5"/>
    <tableColumn id="16" name="一次解决/交付完整_x000a_1-5"/>
    <tableColumn id="17" name="客户满意度_x000a_1-5"/>
    <tableColumn id="18" name="加权得分_x000a_0-100"/>
    <tableColumn id="19" name="评级"/>
    <tableColumn id="20" name="是否升级"/>
    <tableColumn id="21" name="评价人"/>
    <tableColumn id="22" name="客户反馈摘要"/>
    <tableColumn id="23" name="改进建议"/>
    <tableColumn id="24" name="关联整改ID"/>
    <tableColumn id="25" name="备注"/>
  </tableColumns>
  <tableStyleInfo name="TableStyleMedium2" showRowStripes="1"/>
</table>
</file>

<file path=xl/tables/table5.xml><?xml version="1.0" encoding="utf-8"?>
<table xmlns="http://schemas.openxmlformats.org/spreadsheetml/2006/main" id="5" name="CorrectiveActions" displayName="CorrectiveActions" ref="A4:S254" headerRowCount="1">
  <tableColumns count="19">
    <tableColumn id="1" name="整改ID"/>
    <tableColumn id="2" name="提出日期"/>
    <tableColumn id="3" name="来源记录ID"/>
    <tableColumn id="4" name="公司/项目"/>
    <tableColumn id="5" name="业务场景"/>
    <tableColumn id="6" name="问题分类"/>
    <tableColumn id="7" name="严重程度"/>
    <tableColumn id="8" name="反馈来源"/>
    <tableColumn id="9" name="反馈内容"/>
    <tableColumn id="10" name="根因分析"/>
    <tableColumn id="11" name="改进行动"/>
    <tableColumn id="12" name="负责人"/>
    <tableColumn id="13" name="截止日期"/>
    <tableColumn id="14" name="状态"/>
    <tableColumn id="15" name="完成日期"/>
    <tableColumn id="16" name="验证结果"/>
    <tableColumn id="17" name="逾期天数"/>
    <tableColumn id="18" name="处理周期(天)"/>
    <tableColumn id="19" name="备注"/>
  </tableColumns>
  <tableStyleInfo name="TableStyleMedium2" showRowStripes="1"/>
</table>
</file>

<file path=xl/tables/table6.xml><?xml version="1.0" encoding="utf-8"?>
<table xmlns="http://schemas.openxmlformats.org/spreadsheetml/2006/main" id="6" name="ScenarioGuide" displayName="ScenarioGuide" ref="A4:H15" headerRowCount="1">
  <tableColumns count="8">
    <tableColumn id="1" name="业务场景"/>
    <tableColumn id="2" name="适用示例"/>
    <tableColumn id="3" name="核心关注点"/>
    <tableColumn id="4" name="常见低分信号"/>
    <tableColumn id="5" name="建议抽样方式"/>
    <tableColumn id="6" name="可追加指标"/>
    <tableColumn id="7" name="推荐整改动作"/>
    <tableColumn id="8" name="备注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18" customWidth="1" min="1" max="1"/>
    <col width="100" customWidth="1" min="2" max="2"/>
  </cols>
  <sheetData>
    <row r="1" ht="34" customHeight="1">
      <c r="A1" s="9" t="inlineStr">
        <is>
          <t>服务质量监控评分与反馈表模板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15" customHeight="1">
      <c r="A2" s="11" t="inlineStr">
        <is>
          <t>适用于客服、售后、现场服务、物流交付、线上服务、技术支持、门店运营、项目交付等多种业务场景。</t>
        </is>
      </c>
      <c r="B2" s="1" t="n"/>
      <c r="C2" s="1" t="n"/>
      <c r="D2" s="1" t="n"/>
      <c r="E2" s="1" t="n"/>
      <c r="F2" s="1" t="n"/>
      <c r="G2" s="1" t="n"/>
      <c r="H2" s="1" t="n"/>
      <c r="I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</row>
    <row r="4" ht="15" customHeight="1">
      <c r="A4" s="135" t="inlineStr">
        <is>
          <t>使用步骤</t>
        </is>
      </c>
      <c r="B4" s="136" t="n"/>
      <c r="C4" s="136" t="n"/>
      <c r="D4" s="136" t="n"/>
      <c r="E4" s="136" t="n"/>
      <c r="F4" s="136" t="n"/>
      <c r="G4" s="136" t="n"/>
      <c r="H4" s="136" t="n"/>
      <c r="I4" s="137" t="n"/>
    </row>
    <row r="5" ht="28" customHeight="1">
      <c r="A5" s="24" t="inlineStr">
        <is>
          <t>1</t>
        </is>
      </c>
      <c r="B5" s="28" t="inlineStr">
        <is>
          <t>在【配置项】中确认评分维度权重、等级阈值和下拉选项。</t>
        </is>
      </c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24" t="inlineStr">
        <is>
          <t>2</t>
        </is>
      </c>
      <c r="B6" s="28" t="inlineStr">
        <is>
          <t>在【评分记录】中录入每一次质检、回访、抽查或客户反馈的评分；评分列仅需输入 1-5 分。</t>
        </is>
      </c>
      <c r="C6" s="4" t="n"/>
      <c r="D6" s="4" t="n"/>
      <c r="E6" s="4" t="n"/>
      <c r="F6" s="4" t="n"/>
      <c r="G6" s="4" t="n"/>
      <c r="H6" s="4" t="n"/>
      <c r="I6" s="4" t="n"/>
    </row>
    <row r="7" ht="28" customHeight="1">
      <c r="A7" s="24" t="inlineStr">
        <is>
          <t>3</t>
        </is>
      </c>
      <c r="B7" s="28" t="inlineStr">
        <is>
          <t>低分、升级、投诉或流程异常的记录，在【反馈与整改】中建立整改闭环，跟踪责任人、期限、状态和验证结果。</t>
        </is>
      </c>
      <c r="C7" s="4" t="n"/>
      <c r="D7" s="4" t="n"/>
      <c r="E7" s="4" t="n"/>
      <c r="F7" s="4" t="n"/>
      <c r="G7" s="4" t="n"/>
      <c r="H7" s="4" t="n"/>
      <c r="I7" s="4" t="n"/>
    </row>
    <row r="8" ht="28" customHeight="1">
      <c r="A8" s="24" t="inlineStr">
        <is>
          <t>4</t>
        </is>
      </c>
      <c r="B8" s="28" t="inlineStr">
        <is>
          <t>在【统计看板】查看总量、平均得分、低分记录、升级率、整改逾期、场景对比和月度趋势。</t>
        </is>
      </c>
      <c r="C8" s="4" t="n"/>
      <c r="D8" s="4" t="n"/>
      <c r="E8" s="4" t="n"/>
      <c r="F8" s="4" t="n"/>
      <c r="G8" s="4" t="n"/>
      <c r="H8" s="4" t="n"/>
      <c r="I8" s="4" t="n"/>
    </row>
    <row r="9" ht="28" customHeight="1">
      <c r="A9" s="24" t="inlineStr">
        <is>
          <t>5</t>
        </is>
      </c>
      <c r="B9" s="28" t="inlineStr">
        <is>
          <t>参考【场景评分指引】按不同公司和业务类型微调评分口径。</t>
        </is>
      </c>
      <c r="C9" s="4" t="n"/>
      <c r="D9" s="4" t="n"/>
      <c r="E9" s="4" t="n"/>
      <c r="F9" s="4" t="n"/>
      <c r="G9" s="4" t="n"/>
      <c r="H9" s="4" t="n"/>
      <c r="I9" s="4" t="n"/>
    </row>
    <row r="10" ht="15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 ht="15" customHeight="1">
      <c r="A11" s="135" t="inlineStr">
        <is>
          <t>评分口径</t>
        </is>
      </c>
      <c r="B11" s="136" t="n"/>
      <c r="C11" s="136" t="n"/>
      <c r="D11" s="136" t="n"/>
      <c r="E11" s="136" t="n"/>
      <c r="F11" s="136" t="n"/>
      <c r="G11" s="136" t="n"/>
      <c r="H11" s="136" t="n"/>
      <c r="I11" s="137" t="n"/>
    </row>
    <row r="12" ht="28" customHeight="1">
      <c r="A12" s="34" t="inlineStr">
        <is>
          <t>评分范围</t>
        </is>
      </c>
      <c r="B12" s="28" t="inlineStr">
        <is>
          <t>1 = 严重不达标；2 = 不达标；3 = 基本达标；4 = 良好；5 = 优秀。</t>
        </is>
      </c>
      <c r="C12" s="4" t="n"/>
      <c r="D12" s="4" t="n"/>
      <c r="E12" s="4" t="n"/>
      <c r="F12" s="4" t="n"/>
      <c r="G12" s="4" t="n"/>
      <c r="H12" s="4" t="n"/>
      <c r="I12" s="4" t="n"/>
    </row>
    <row r="13" ht="28" customHeight="1">
      <c r="A13" s="34" t="inlineStr">
        <is>
          <t>默认总分</t>
        </is>
      </c>
      <c r="B13" s="28" t="inlineStr">
        <is>
          <t>系统按维度权重自动折算为 0-100 分，权重可在【配置项】调整。</t>
        </is>
      </c>
      <c r="C13" s="4" t="n"/>
      <c r="D13" s="4" t="n"/>
      <c r="E13" s="4" t="n"/>
      <c r="F13" s="4" t="n"/>
      <c r="G13" s="4" t="n"/>
      <c r="H13" s="4" t="n"/>
      <c r="I13" s="4" t="n"/>
    </row>
    <row r="14" ht="28" customHeight="1">
      <c r="A14" s="34" t="inlineStr">
        <is>
          <t>默认评级</t>
        </is>
      </c>
      <c r="B14" s="28" t="inlineStr">
        <is>
          <t>优秀 ≥ 90；良好 ≥ 80；需关注 ≥ 70；不合格 &lt; 70。阈值可在【配置项】调整。</t>
        </is>
      </c>
      <c r="C14" s="4" t="n"/>
      <c r="D14" s="4" t="n"/>
      <c r="E14" s="4" t="n"/>
      <c r="F14" s="4" t="n"/>
      <c r="G14" s="4" t="n"/>
      <c r="H14" s="4" t="n"/>
      <c r="I14" s="4" t="n"/>
    </row>
    <row r="15" ht="28" customHeight="1">
      <c r="A15" s="34" t="inlineStr">
        <is>
          <t>整改建议</t>
        </is>
      </c>
      <c r="B15" s="28" t="inlineStr">
        <is>
          <t>建议将“需关注 / 不合格 / 是否升级=是”的记录转入整改闭环，并设置责任人和验证结果。</t>
        </is>
      </c>
      <c r="C15" s="4" t="n"/>
      <c r="D15" s="4" t="n"/>
      <c r="E15" s="4" t="n"/>
      <c r="F15" s="4" t="n"/>
      <c r="G15" s="4" t="n"/>
      <c r="H15" s="4" t="n"/>
      <c r="I15" s="4" t="n"/>
    </row>
    <row r="16" ht="15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</row>
    <row r="17" ht="15" customHeight="1">
      <c r="A17" s="135" t="inlineStr">
        <is>
          <t>工作表结构</t>
        </is>
      </c>
      <c r="B17" s="136" t="n"/>
      <c r="C17" s="136" t="n"/>
      <c r="D17" s="136" t="n"/>
      <c r="E17" s="136" t="n"/>
      <c r="F17" s="136" t="n"/>
      <c r="G17" s="136" t="n"/>
      <c r="H17" s="136" t="n"/>
      <c r="I17" s="137" t="n"/>
    </row>
    <row r="18" ht="24" customHeight="1">
      <c r="A18" s="34" t="inlineStr">
        <is>
          <t>使用说明</t>
        </is>
      </c>
      <c r="B18" s="28" t="inlineStr">
        <is>
          <t>模板操作说明、评分口径、来源参考。</t>
        </is>
      </c>
      <c r="C18" s="4" t="n"/>
      <c r="D18" s="4" t="n"/>
      <c r="E18" s="4" t="n"/>
      <c r="F18" s="4" t="n"/>
      <c r="G18" s="4" t="n"/>
      <c r="H18" s="4" t="n"/>
      <c r="I18" s="4" t="n"/>
    </row>
    <row r="19" ht="24" customHeight="1">
      <c r="A19" s="34" t="inlineStr">
        <is>
          <t>配置项</t>
        </is>
      </c>
      <c r="B19" s="28" t="inlineStr">
        <is>
          <t>评分维度、权重、等级阈值、业务场景和下拉选项。</t>
        </is>
      </c>
      <c r="C19" s="4" t="n"/>
      <c r="D19" s="4" t="n"/>
      <c r="E19" s="4" t="n"/>
      <c r="F19" s="4" t="n"/>
      <c r="G19" s="4" t="n"/>
      <c r="H19" s="4" t="n"/>
      <c r="I19" s="4" t="n"/>
    </row>
    <row r="20" ht="24" customHeight="1">
      <c r="A20" s="34" t="inlineStr">
        <is>
          <t>评分记录</t>
        </is>
      </c>
      <c r="B20" s="28" t="inlineStr">
        <is>
          <t>服务质量评分主表，适合质检、回访、暗访、主管抽检、客户反馈登记。</t>
        </is>
      </c>
      <c r="C20" s="4" t="n"/>
      <c r="D20" s="4" t="n"/>
      <c r="E20" s="4" t="n"/>
      <c r="F20" s="4" t="n"/>
      <c r="G20" s="4" t="n"/>
      <c r="H20" s="4" t="n"/>
      <c r="I20" s="4" t="n"/>
    </row>
    <row r="21" ht="24" customHeight="1">
      <c r="A21" s="34" t="inlineStr">
        <is>
          <t>反馈与整改</t>
        </is>
      </c>
      <c r="B21" s="28" t="inlineStr">
        <is>
          <t>问题闭环管理表，记录根因、行动、负责人、截止日期、逾期和验证结果。</t>
        </is>
      </c>
      <c r="C21" s="4" t="n"/>
      <c r="D21" s="4" t="n"/>
      <c r="E21" s="4" t="n"/>
      <c r="F21" s="4" t="n"/>
      <c r="G21" s="4" t="n"/>
      <c r="H21" s="4" t="n"/>
      <c r="I21" s="4" t="n"/>
    </row>
    <row r="22" ht="24" customHeight="1">
      <c r="A22" s="34" t="inlineStr">
        <is>
          <t>统计看板</t>
        </is>
      </c>
      <c r="B22" s="28" t="inlineStr">
        <is>
          <t>自动汇总关键指标、场景对比、问题分类、整改状态和月度趋势。</t>
        </is>
      </c>
      <c r="C22" s="4" t="n"/>
      <c r="D22" s="4" t="n"/>
      <c r="E22" s="4" t="n"/>
      <c r="F22" s="4" t="n"/>
      <c r="G22" s="4" t="n"/>
      <c r="H22" s="4" t="n"/>
      <c r="I22" s="4" t="n"/>
    </row>
    <row r="23" ht="24" customHeight="1">
      <c r="A23" s="34" t="inlineStr">
        <is>
          <t>场景评分指引</t>
        </is>
      </c>
      <c r="B23" s="28" t="inlineStr">
        <is>
          <t>跨行业/跨业务的评分参考，帮助公司快速落地。</t>
        </is>
      </c>
      <c r="C23" s="4" t="n"/>
      <c r="D23" s="4" t="n"/>
      <c r="E23" s="4" t="n"/>
      <c r="F23" s="4" t="n"/>
      <c r="G23" s="4" t="n"/>
      <c r="H23" s="4" t="n"/>
      <c r="I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</row>
    <row r="25" ht="15" customHeight="1">
      <c r="A25" s="135" t="inlineStr">
        <is>
          <t>来源与备注</t>
        </is>
      </c>
      <c r="B25" s="136" t="n"/>
      <c r="C25" s="136" t="n"/>
      <c r="D25" s="136" t="n"/>
      <c r="E25" s="136" t="n"/>
      <c r="F25" s="136" t="n"/>
      <c r="G25" s="136" t="n"/>
      <c r="H25" s="136" t="n"/>
      <c r="I25" s="137" t="n"/>
    </row>
    <row r="26" ht="28" customHeight="1">
      <c r="A26" s="32" t="inlineStr">
        <is>
          <t>用户提供页面</t>
        </is>
      </c>
      <c r="B26" s="28" t="inlineStr">
        <is>
          <t>http://localhost:2020/zh/excel-templates/service-operations/service-quality-scorecard/</t>
        </is>
      </c>
      <c r="C26" s="4" t="n"/>
      <c r="D26" s="4" t="n"/>
      <c r="E26" s="4" t="n"/>
      <c r="F26" s="4" t="n"/>
      <c r="G26" s="4" t="n"/>
      <c r="H26" s="4" t="n"/>
      <c r="I26" s="4" t="n"/>
    </row>
    <row r="27" ht="28" customHeight="1">
      <c r="A27" s="32" t="inlineStr">
        <is>
          <t>公开辅助参考</t>
        </is>
      </c>
      <c r="B27" s="28" t="inlineStr">
        <is>
          <t>https://excelbundle.com/service-spreadsheet/</t>
        </is>
      </c>
      <c r="C27" s="4" t="n"/>
      <c r="D27" s="4" t="n"/>
      <c r="E27" s="4" t="n"/>
      <c r="F27" s="4" t="n"/>
      <c r="G27" s="4" t="n"/>
      <c r="H27" s="4" t="n"/>
      <c r="I27" s="4" t="n"/>
    </row>
    <row r="28" ht="28" customHeight="1">
      <c r="A28" s="32" t="inlineStr">
        <is>
          <t>备注</t>
        </is>
      </c>
      <c r="B28" s="28" t="inlineStr">
        <is>
          <t>本模板基于服务质量评分、反馈闭环、整改跟踪、服务场景适配等有效需求进行通用化设计。</t>
        </is>
      </c>
      <c r="C28" s="4" t="n"/>
      <c r="D28" s="4" t="n"/>
      <c r="E28" s="4" t="n"/>
      <c r="F28" s="4" t="n"/>
      <c r="G28" s="4" t="n"/>
      <c r="H28" s="4" t="n"/>
      <c r="I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</sheetData>
  <mergeCells count="6">
    <mergeCell ref="A25:I25"/>
    <mergeCell ref="A2:I2"/>
    <mergeCell ref="A11:I11"/>
    <mergeCell ref="A1:I1"/>
    <mergeCell ref="A17:I17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80"/>
  <sheetViews>
    <sheetView workbookViewId="0">
      <selection activeCell="A1" sqref="A1"/>
    </sheetView>
  </sheetViews>
  <sheetFormatPr baseColWidth="8" defaultRowHeight="15"/>
  <cols>
    <col width="20" customWidth="1" min="1" max="1"/>
    <col width="82" customWidth="1" min="2" max="2"/>
    <col width="12" customWidth="1" min="3" max="3"/>
    <col width="42" customWidth="1" min="4" max="4"/>
    <col width="16" customWidth="1" min="6" max="6"/>
    <col width="14" customWidth="1" min="7" max="7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</cols>
  <sheetData>
    <row r="1" ht="32" customHeight="1">
      <c r="A1" s="37" t="inlineStr">
        <is>
          <t>配置项：评分维度、权重、阈值与下拉选项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15" customHeight="1">
      <c r="A2" s="11" t="inlineStr">
        <is>
          <t>请根据企业实际管理重点调整权重和阈值；调整后【评分记录】与【统计看板】会自动更新。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</row>
    <row r="4" ht="15" customHeight="1">
      <c r="A4" s="135" t="inlineStr">
        <is>
          <t>评分维度权重</t>
        </is>
      </c>
      <c r="B4" s="136" t="n"/>
      <c r="C4" s="136" t="n"/>
      <c r="D4" s="137" t="n"/>
      <c r="E4" s="4" t="n"/>
      <c r="F4" s="135" t="inlineStr">
        <is>
          <t>等级阈值</t>
        </is>
      </c>
      <c r="G4" s="137" t="n"/>
      <c r="H4" s="4" t="n"/>
      <c r="I4" s="135" t="inlineStr">
        <is>
          <t>下拉选项（可按公司实际业务增删）</t>
        </is>
      </c>
      <c r="J4" s="136" t="n"/>
      <c r="K4" s="136" t="n"/>
      <c r="L4" s="136" t="n"/>
      <c r="M4" s="136" t="n"/>
      <c r="N4" s="136" t="n"/>
      <c r="O4" s="137" t="n"/>
    </row>
    <row r="5" ht="15" customHeight="1">
      <c r="A5" s="46" t="inlineStr">
        <is>
          <t>维度</t>
        </is>
      </c>
      <c r="B5" s="46" t="inlineStr">
        <is>
          <t>评分说明</t>
        </is>
      </c>
      <c r="C5" s="46" t="inlineStr">
        <is>
          <t>权重</t>
        </is>
      </c>
      <c r="D5" s="46" t="inlineStr">
        <is>
          <t>打分提示</t>
        </is>
      </c>
      <c r="E5" s="4" t="n"/>
      <c r="F5" s="46" t="inlineStr">
        <is>
          <t>评级</t>
        </is>
      </c>
      <c r="G5" s="46" t="inlineStr">
        <is>
          <t>最低得分</t>
        </is>
      </c>
      <c r="H5" s="4" t="n"/>
      <c r="I5" s="46" t="inlineStr">
        <is>
          <t>业务场景</t>
        </is>
      </c>
      <c r="J5" s="46" t="inlineStr">
        <is>
          <t>服务渠道</t>
        </is>
      </c>
      <c r="K5" s="46" t="inlineStr">
        <is>
          <t>客户类型</t>
        </is>
      </c>
      <c r="L5" s="46" t="inlineStr">
        <is>
          <t>问题等级</t>
        </is>
      </c>
      <c r="M5" s="46" t="inlineStr">
        <is>
          <t>问题分类</t>
        </is>
      </c>
      <c r="N5" s="46" t="inlineStr">
        <is>
          <t>整改状态</t>
        </is>
      </c>
      <c r="O5" s="46" t="inlineStr">
        <is>
          <t>验证结果</t>
        </is>
      </c>
    </row>
    <row r="6" ht="21" customHeight="1">
      <c r="A6" s="28" t="inlineStr">
        <is>
          <t>响应及时性</t>
        </is>
      </c>
      <c r="B6" s="28" t="inlineStr">
        <is>
          <t>是否在承诺时间内响应、排队/等待是否可接受</t>
        </is>
      </c>
      <c r="C6" s="138" t="n">
        <v>0.15</v>
      </c>
      <c r="D6" s="28" t="inlineStr">
        <is>
          <t>关注首次响应、排队时长、延期告知</t>
        </is>
      </c>
      <c r="E6" s="4" t="n"/>
      <c r="F6" s="25" t="inlineStr">
        <is>
          <t>优秀</t>
        </is>
      </c>
      <c r="G6" s="139" t="n">
        <v>90</v>
      </c>
      <c r="H6" s="4" t="n"/>
      <c r="I6" s="25" t="inlineStr">
        <is>
          <t>客户服务</t>
        </is>
      </c>
      <c r="J6" s="25" t="inlineStr">
        <is>
          <t>电话</t>
        </is>
      </c>
      <c r="K6" s="25" t="inlineStr">
        <is>
          <t>个人客户</t>
        </is>
      </c>
      <c r="L6" s="25" t="inlineStr">
        <is>
          <t>一般</t>
        </is>
      </c>
      <c r="M6" s="25" t="inlineStr">
        <is>
          <t>响应慢</t>
        </is>
      </c>
      <c r="N6" s="25" t="inlineStr">
        <is>
          <t>待评估</t>
        </is>
      </c>
      <c r="O6" s="25" t="inlineStr">
        <is>
          <t>有效</t>
        </is>
      </c>
    </row>
    <row r="7" ht="21" customHeight="1">
      <c r="A7" s="28" t="inlineStr">
        <is>
          <t>沟通专业性</t>
        </is>
      </c>
      <c r="B7" s="28" t="inlineStr">
        <is>
          <t>表达清晰、倾听准确、信息充分、语言规范</t>
        </is>
      </c>
      <c r="C7" s="138" t="n">
        <v>0.15</v>
      </c>
      <c r="D7" s="28" t="inlineStr">
        <is>
          <t>关注措辞、确认需求、解释完整</t>
        </is>
      </c>
      <c r="E7" s="4" t="n"/>
      <c r="F7" s="25" t="inlineStr">
        <is>
          <t>良好</t>
        </is>
      </c>
      <c r="G7" s="139" t="n">
        <v>80</v>
      </c>
      <c r="H7" s="4" t="n"/>
      <c r="I7" s="25" t="inlineStr">
        <is>
          <t>售后支持</t>
        </is>
      </c>
      <c r="J7" s="25" t="inlineStr">
        <is>
          <t>在线聊天</t>
        </is>
      </c>
      <c r="K7" s="25" t="inlineStr">
        <is>
          <t>企业客户</t>
        </is>
      </c>
      <c r="L7" s="25" t="inlineStr">
        <is>
          <t>重要</t>
        </is>
      </c>
      <c r="M7" s="25" t="inlineStr">
        <is>
          <t>态度/沟通</t>
        </is>
      </c>
      <c r="N7" s="25" t="inlineStr">
        <is>
          <t>处理中</t>
        </is>
      </c>
      <c r="O7" s="25" t="inlineStr">
        <is>
          <t>部分有效</t>
        </is>
      </c>
    </row>
    <row r="8" ht="21" customHeight="1">
      <c r="A8" s="28" t="inlineStr">
        <is>
          <t>解决有效性</t>
        </is>
      </c>
      <c r="B8" s="28" t="inlineStr">
        <is>
          <t>是否真正解决客户问题或达成交付目标</t>
        </is>
      </c>
      <c r="C8" s="138" t="n">
        <v>0.25</v>
      </c>
      <c r="D8" s="28" t="inlineStr">
        <is>
          <t>关注根因解决、复发情况、工单结案质量</t>
        </is>
      </c>
      <c r="E8" s="4" t="n"/>
      <c r="F8" s="25" t="inlineStr">
        <is>
          <t>需关注</t>
        </is>
      </c>
      <c r="G8" s="139" t="n">
        <v>70</v>
      </c>
      <c r="H8" s="4" t="n"/>
      <c r="I8" s="25" t="inlineStr">
        <is>
          <t>现场服务</t>
        </is>
      </c>
      <c r="J8" s="25" t="inlineStr">
        <is>
          <t>邮件</t>
        </is>
      </c>
      <c r="K8" s="25" t="inlineStr">
        <is>
          <t>内部客户</t>
        </is>
      </c>
      <c r="L8" s="25" t="inlineStr">
        <is>
          <t>紧急</t>
        </is>
      </c>
      <c r="M8" s="25" t="inlineStr">
        <is>
          <t>未解决</t>
        </is>
      </c>
      <c r="N8" s="25" t="inlineStr">
        <is>
          <t>已完成</t>
        </is>
      </c>
      <c r="O8" s="25" t="inlineStr">
        <is>
          <t>无效</t>
        </is>
      </c>
    </row>
    <row r="9" ht="21" customHeight="1">
      <c r="A9" s="28" t="inlineStr">
        <is>
          <t>服务态度</t>
        </is>
      </c>
      <c r="B9" s="28" t="inlineStr">
        <is>
          <t>礼貌、尊重、同理心、主动性</t>
        </is>
      </c>
      <c r="C9" s="138" t="n">
        <v>0.1</v>
      </c>
      <c r="D9" s="28" t="inlineStr">
        <is>
          <t>关注情绪处理、主动承担、避免推诿</t>
        </is>
      </c>
      <c r="E9" s="4" t="n"/>
      <c r="F9" s="25" t="inlineStr">
        <is>
          <t>不合格</t>
        </is>
      </c>
      <c r="G9" s="139" t="n">
        <v>0</v>
      </c>
      <c r="H9" s="4" t="n"/>
      <c r="I9" s="25" t="inlineStr">
        <is>
          <t>呼叫中心</t>
        </is>
      </c>
      <c r="J9" s="25" t="inlineStr">
        <is>
          <t>现场</t>
        </is>
      </c>
      <c r="K9" s="25" t="inlineStr">
        <is>
          <t>合作伙伴</t>
        </is>
      </c>
      <c r="L9" s="25" t="inlineStr">
        <is>
          <t>重大</t>
        </is>
      </c>
      <c r="M9" s="25" t="inlineStr">
        <is>
          <t>流程不合规</t>
        </is>
      </c>
      <c r="N9" s="25" t="inlineStr">
        <is>
          <t>已关闭</t>
        </is>
      </c>
      <c r="O9" s="25" t="inlineStr">
        <is>
          <t>待验证</t>
        </is>
      </c>
    </row>
    <row r="10" ht="21" customHeight="1">
      <c r="A10" s="28" t="inlineStr">
        <is>
          <t>流程合规</t>
        </is>
      </c>
      <c r="B10" s="28" t="inlineStr">
        <is>
          <t>是否按标准流程、制度、合规要求执行</t>
        </is>
      </c>
      <c r="C10" s="138" t="n">
        <v>0.1</v>
      </c>
      <c r="D10" s="28" t="inlineStr">
        <is>
          <t>关注身份验证、记录完整、授权审批</t>
        </is>
      </c>
      <c r="E10" s="4" t="n"/>
      <c r="F10" s="4" t="n"/>
      <c r="G10" s="4" t="n"/>
      <c r="H10" s="4" t="n"/>
      <c r="I10" s="25" t="inlineStr">
        <is>
          <t>物流/交付</t>
        </is>
      </c>
      <c r="J10" s="25" t="inlineStr">
        <is>
          <t>App/小程序</t>
        </is>
      </c>
      <c r="K10" s="25" t="inlineStr">
        <is>
          <t>供应商</t>
        </is>
      </c>
      <c r="L10" s="25" t="str"/>
      <c r="M10" s="25" t="inlineStr">
        <is>
          <t>信息错误</t>
        </is>
      </c>
      <c r="N10" s="25" t="inlineStr">
        <is>
          <t>延期</t>
        </is>
      </c>
      <c r="O10" s="25" t="str"/>
    </row>
    <row r="11" ht="21" customHeight="1">
      <c r="A11" s="28" t="inlineStr">
        <is>
          <t>一次解决/交付完整</t>
        </is>
      </c>
      <c r="B11" s="28" t="inlineStr">
        <is>
          <t>是否一次性完成或减少客户反复沟通</t>
        </is>
      </c>
      <c r="C11" s="138" t="n">
        <v>0.15</v>
      </c>
      <c r="D11" s="28" t="inlineStr">
        <is>
          <t>关注一次解决率、返工、补充材料次数</t>
        </is>
      </c>
      <c r="E11" s="4" t="n"/>
      <c r="F11" s="4" t="n"/>
      <c r="G11" s="4" t="n"/>
      <c r="H11" s="4" t="n"/>
      <c r="I11" s="25" t="inlineStr">
        <is>
          <t>线上服务</t>
        </is>
      </c>
      <c r="J11" s="25" t="inlineStr">
        <is>
          <t>社媒</t>
        </is>
      </c>
      <c r="K11" s="25" t="inlineStr">
        <is>
          <t>其他</t>
        </is>
      </c>
      <c r="L11" s="25" t="str"/>
      <c r="M11" s="25" t="inlineStr">
        <is>
          <t>交付延迟</t>
        </is>
      </c>
      <c r="N11" s="25" t="inlineStr">
        <is>
          <t>取消</t>
        </is>
      </c>
      <c r="O11" s="25" t="str"/>
    </row>
    <row r="12" ht="21" customHeight="1">
      <c r="A12" s="28" t="inlineStr">
        <is>
          <t>客户满意度</t>
        </is>
      </c>
      <c r="B12" s="28" t="inlineStr">
        <is>
          <t>客户感受、回访结果、推荐意愿</t>
        </is>
      </c>
      <c r="C12" s="138" t="n">
        <v>0.1</v>
      </c>
      <c r="D12" s="28" t="inlineStr">
        <is>
          <t>关注满意度、投诉、表扬和复购信号</t>
        </is>
      </c>
      <c r="E12" s="4" t="n"/>
      <c r="F12" s="4" t="n"/>
      <c r="G12" s="4" t="n"/>
      <c r="H12" s="4" t="n"/>
      <c r="I12" s="25" t="inlineStr">
        <is>
          <t>技术支持</t>
        </is>
      </c>
      <c r="J12" s="25" t="inlineStr">
        <is>
          <t>工单系统</t>
        </is>
      </c>
      <c r="K12" s="25" t="str"/>
      <c r="L12" s="25" t="str"/>
      <c r="M12" s="25" t="inlineStr">
        <is>
          <t>投诉升级</t>
        </is>
      </c>
      <c r="N12" s="25" t="str"/>
      <c r="O12" s="25" t="str"/>
    </row>
    <row r="13" ht="21" customHeight="1">
      <c r="A13" s="25" t="n"/>
      <c r="B13" s="56" t="inlineStr">
        <is>
          <t>权重合计</t>
        </is>
      </c>
      <c r="C13" s="140">
        <f>SUM(C6:C12)</f>
        <v/>
      </c>
      <c r="D13" s="25" t="n"/>
      <c r="E13" s="4" t="n"/>
      <c r="F13" s="4" t="n"/>
      <c r="G13" s="4" t="n"/>
      <c r="H13" s="4" t="n"/>
      <c r="I13" s="25" t="inlineStr">
        <is>
          <t>门店/零售</t>
        </is>
      </c>
      <c r="J13" s="25" t="inlineStr">
        <is>
          <t>视频会议</t>
        </is>
      </c>
      <c r="K13" s="25" t="str"/>
      <c r="L13" s="25" t="str"/>
      <c r="M13" s="25" t="inlineStr">
        <is>
          <t>系统/工具</t>
        </is>
      </c>
      <c r="N13" s="25" t="str"/>
      <c r="O13" s="25" t="str"/>
    </row>
    <row r="14" ht="21" customHeight="1">
      <c r="A14" s="4" t="n"/>
      <c r="B14" s="4" t="n"/>
      <c r="C14" s="4" t="n"/>
      <c r="D14" s="4" t="n"/>
      <c r="E14" s="4" t="n"/>
      <c r="F14" s="4" t="n"/>
      <c r="G14" s="4" t="n"/>
      <c r="H14" s="4" t="n"/>
      <c r="I14" s="25" t="inlineStr">
        <is>
          <t>B2B项目交付</t>
        </is>
      </c>
      <c r="J14" s="25" t="inlineStr">
        <is>
          <t>其他</t>
        </is>
      </c>
      <c r="K14" s="25" t="str"/>
      <c r="L14" s="25" t="str"/>
      <c r="M14" s="25" t="inlineStr">
        <is>
          <t>人员培训</t>
        </is>
      </c>
      <c r="N14" s="25" t="str"/>
      <c r="O14" s="25" t="str"/>
    </row>
    <row r="15" ht="21" customHeight="1">
      <c r="A15" s="4" t="n"/>
      <c r="B15" s="4" t="n"/>
      <c r="C15" s="4" t="n"/>
      <c r="D15" s="4" t="n"/>
      <c r="E15" s="4" t="n"/>
      <c r="F15" s="4" t="n"/>
      <c r="G15" s="4" t="n"/>
      <c r="H15" s="4" t="n"/>
      <c r="I15" s="25" t="inlineStr">
        <is>
          <t>医疗/咨询/教育</t>
        </is>
      </c>
      <c r="J15" s="25" t="str"/>
      <c r="K15" s="25" t="str"/>
      <c r="L15" s="25" t="str"/>
      <c r="M15" s="25" t="inlineStr">
        <is>
          <t>其他</t>
        </is>
      </c>
      <c r="N15" s="25" t="str"/>
      <c r="O15" s="25" t="str"/>
    </row>
    <row r="16" ht="21" customHeight="1">
      <c r="A16" s="135" t="inlineStr">
        <is>
          <t>评分等级说明</t>
        </is>
      </c>
      <c r="B16" s="136" t="n"/>
      <c r="C16" s="136" t="n"/>
      <c r="D16" s="137" t="n"/>
      <c r="E16" s="4" t="n"/>
      <c r="F16" s="4" t="n"/>
      <c r="G16" s="4" t="n"/>
      <c r="H16" s="4" t="n"/>
      <c r="I16" s="25" t="inlineStr">
        <is>
          <t>物业/设施管理</t>
        </is>
      </c>
      <c r="J16" s="25" t="str"/>
      <c r="K16" s="25" t="str"/>
      <c r="L16" s="25" t="str"/>
      <c r="M16" s="25" t="str"/>
      <c r="N16" s="25" t="str"/>
      <c r="O16" s="25" t="str"/>
    </row>
    <row r="17" ht="24" customHeight="1">
      <c r="A17" s="66" t="inlineStr">
        <is>
          <t>5分</t>
        </is>
      </c>
      <c r="B17" s="28" t="inlineStr">
        <is>
          <t>明显超出标准；服务主动、完整，客户体验优秀。</t>
        </is>
      </c>
      <c r="C17" s="4" t="n"/>
      <c r="D17" s="4" t="n"/>
      <c r="E17" s="4" t="n"/>
      <c r="F17" s="4" t="n"/>
      <c r="G17" s="4" t="n"/>
      <c r="H17" s="4" t="n"/>
      <c r="I17" s="25" t="inlineStr">
        <is>
          <t>其他</t>
        </is>
      </c>
      <c r="J17" s="25" t="str"/>
      <c r="K17" s="25" t="str"/>
      <c r="L17" s="25" t="str"/>
      <c r="M17" s="25" t="str"/>
      <c r="N17" s="25" t="str"/>
      <c r="O17" s="25" t="str"/>
    </row>
    <row r="18" ht="24" customHeight="1">
      <c r="A18" s="66" t="inlineStr">
        <is>
          <t>4分</t>
        </is>
      </c>
      <c r="B18" s="28" t="inlineStr">
        <is>
          <t>达到标准且表现良好；少量细节可优化。</t>
        </is>
      </c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</row>
    <row r="19" ht="24" customHeight="1">
      <c r="A19" s="66" t="inlineStr">
        <is>
          <t>3分</t>
        </is>
      </c>
      <c r="B19" s="28" t="inlineStr">
        <is>
          <t>基本达标；未造成明显影响，但存在改进点。</t>
        </is>
      </c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</row>
    <row r="20" ht="24" customHeight="1">
      <c r="A20" s="66" t="inlineStr">
        <is>
          <t>2分</t>
        </is>
      </c>
      <c r="B20" s="28" t="inlineStr">
        <is>
          <t>低于标准；客户体验受影响或需返工。</t>
        </is>
      </c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</row>
    <row r="21" ht="24" customHeight="1">
      <c r="A21" s="66" t="inlineStr">
        <is>
          <t>1分</t>
        </is>
      </c>
      <c r="B21" s="28" t="inlineStr">
        <is>
          <t>严重不达标；引发投诉、重大延误或合规风险。</t>
        </is>
      </c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</row>
    <row r="22" ht="15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</row>
    <row r="23" ht="15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</row>
    <row r="25" ht="15" customHeight="1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</row>
    <row r="26" ht="15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</row>
    <row r="28" ht="15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</row>
    <row r="36" ht="15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</row>
  </sheetData>
  <mergeCells count="6">
    <mergeCell ref="F4:G4"/>
    <mergeCell ref="A2:O2"/>
    <mergeCell ref="A4:D4"/>
    <mergeCell ref="A1:O1"/>
    <mergeCell ref="I4:O4"/>
    <mergeCell ref="A16:D16"/>
  </mergeCells>
  <pageMargins left="0.7" right="0.7" top="0.75" bottom="0.75" header="0.3" footer="0.3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254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6" customWidth="1" min="3" max="3"/>
    <col width="18" customWidth="1" min="4" max="4"/>
    <col width="16" customWidth="1" min="5" max="5"/>
    <col width="14" customWidth="1" min="6" max="6"/>
    <col width="14" customWidth="1" min="7" max="7"/>
    <col width="18" customWidth="1" min="8" max="8"/>
    <col width="18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34" customWidth="1" min="22" max="22"/>
    <col width="34" customWidth="1" min="23" max="23"/>
    <col width="14" customWidth="1" min="24" max="24"/>
    <col width="20" customWidth="1" min="25" max="25"/>
  </cols>
  <sheetData>
    <row r="1" ht="32" customHeight="1">
      <c r="A1" s="37" t="inlineStr">
        <is>
          <t>评分记录：服务质量监控评分表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 ht="22" customHeight="1">
      <c r="A2" s="11" t="inlineStr">
        <is>
          <t>填写日期、场景、渠道、客户类型和 1-5 分评分；加权得分、评级会自动计算。建议对低分或升级记录建立整改。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</row>
    <row r="4" ht="34" customHeight="1">
      <c r="A4" s="46" t="inlineStr">
        <is>
          <t>记录ID</t>
        </is>
      </c>
      <c r="B4" s="46" t="inlineStr">
        <is>
          <t>评分日期</t>
        </is>
      </c>
      <c r="C4" s="46" t="inlineStr">
        <is>
          <t>公司/品牌</t>
        </is>
      </c>
      <c r="D4" s="46" t="inlineStr">
        <is>
          <t>部门/门店/项目</t>
        </is>
      </c>
      <c r="E4" s="46" t="inlineStr">
        <is>
          <t>业务场景</t>
        </is>
      </c>
      <c r="F4" s="46" t="inlineStr">
        <is>
          <t>服务渠道</t>
        </is>
      </c>
      <c r="G4" s="46" t="inlineStr">
        <is>
          <t>客户类型</t>
        </is>
      </c>
      <c r="H4" s="46" t="inlineStr">
        <is>
          <t>服务人员/团队</t>
        </is>
      </c>
      <c r="I4" s="46" t="inlineStr">
        <is>
          <t>客户/工单编号</t>
        </is>
      </c>
      <c r="J4" s="46" t="inlineStr">
        <is>
          <t>问题等级</t>
        </is>
      </c>
      <c r="K4" s="46" t="inlineStr">
        <is>
          <t>响应及时性
1-5</t>
        </is>
      </c>
      <c r="L4" s="46" t="inlineStr">
        <is>
          <t>沟通专业性
1-5</t>
        </is>
      </c>
      <c r="M4" s="46" t="inlineStr">
        <is>
          <t>解决有效性
1-5</t>
        </is>
      </c>
      <c r="N4" s="46" t="inlineStr">
        <is>
          <t>服务态度
1-5</t>
        </is>
      </c>
      <c r="O4" s="46" t="inlineStr">
        <is>
          <t>流程合规
1-5</t>
        </is>
      </c>
      <c r="P4" s="46" t="inlineStr">
        <is>
          <t>一次解决/交付完整
1-5</t>
        </is>
      </c>
      <c r="Q4" s="46" t="inlineStr">
        <is>
          <t>客户满意度
1-5</t>
        </is>
      </c>
      <c r="R4" s="46" t="inlineStr">
        <is>
          <t>加权得分
0-100</t>
        </is>
      </c>
      <c r="S4" s="46" t="inlineStr">
        <is>
          <t>评级</t>
        </is>
      </c>
      <c r="T4" s="46" t="inlineStr">
        <is>
          <t>是否升级</t>
        </is>
      </c>
      <c r="U4" s="46" t="inlineStr">
        <is>
          <t>评价人</t>
        </is>
      </c>
      <c r="V4" s="46" t="inlineStr">
        <is>
          <t>客户反馈摘要</t>
        </is>
      </c>
      <c r="W4" s="46" t="inlineStr">
        <is>
          <t>改进建议</t>
        </is>
      </c>
      <c r="X4" s="46" t="inlineStr">
        <is>
          <t>关联整改ID</t>
        </is>
      </c>
      <c r="Y4" s="46" t="inlineStr">
        <is>
          <t>备注</t>
        </is>
      </c>
    </row>
    <row r="5" ht="24" customHeight="1">
      <c r="A5" s="25">
        <f>IF($B5="","","SQ-"&amp;TEXT(ROW()-4,"0000"))</f>
        <v/>
      </c>
      <c r="B5" s="141" t="n">
        <v>46034</v>
      </c>
      <c r="C5" s="25" t="inlineStr">
        <is>
          <t>示例公司A</t>
        </is>
      </c>
      <c r="D5" s="25" t="inlineStr">
        <is>
          <t>客服中心</t>
        </is>
      </c>
      <c r="E5" s="25" t="inlineStr">
        <is>
          <t>客户服务</t>
        </is>
      </c>
      <c r="F5" s="25" t="inlineStr">
        <is>
          <t>在线聊天</t>
        </is>
      </c>
      <c r="G5" s="25" t="inlineStr">
        <is>
          <t>个人客户</t>
        </is>
      </c>
      <c r="H5" s="25" t="inlineStr">
        <is>
          <t>一线客服A</t>
        </is>
      </c>
      <c r="I5" s="25" t="inlineStr">
        <is>
          <t>CS-20260112-01</t>
        </is>
      </c>
      <c r="J5" s="25" t="inlineStr">
        <is>
          <t>一般</t>
        </is>
      </c>
      <c r="K5" s="139" t="n">
        <v>5</v>
      </c>
      <c r="L5" s="139" t="n">
        <v>5</v>
      </c>
      <c r="M5" s="139" t="n">
        <v>5</v>
      </c>
      <c r="N5" s="139" t="n">
        <v>5</v>
      </c>
      <c r="O5" s="139" t="n">
        <v>5</v>
      </c>
      <c r="P5" s="139" t="n">
        <v>4</v>
      </c>
      <c r="Q5" s="139" t="n">
        <v>5</v>
      </c>
      <c r="R5" s="142">
        <f>IF(COUNT($K5:$Q5)&lt;7,"",ROUND(($K5*'配置项'!$C$6+$L5*'配置项'!$C$7+$M5*'配置项'!$C$8+$N5*'配置项'!$C$9+$O5*'配置项'!$C$10+$P5*'配置项'!$C$11+$Q5*'配置项'!$C$12)*20,1))</f>
        <v/>
      </c>
      <c r="S5" s="25">
        <f>IF($R5="","",IF($R5&gt;='配置项'!$G$6,"优秀",IF($R5&gt;='配置项'!$G$7,"良好",IF($R5&gt;='配置项'!$G$8,"需关注","不合格"))))</f>
        <v/>
      </c>
      <c r="T5" s="25" t="inlineStr">
        <is>
          <t>否</t>
        </is>
      </c>
      <c r="U5" s="25" t="inlineStr">
        <is>
          <t>质检员01</t>
        </is>
      </c>
      <c r="V5" s="28" t="inlineStr">
        <is>
          <t>客户咨询账单解释，响应快，说明清楚。</t>
        </is>
      </c>
      <c r="W5" s="28" t="inlineStr">
        <is>
          <t>沉淀常见问题话术。</t>
        </is>
      </c>
      <c r="X5" s="25" t="str"/>
      <c r="Y5" s="25" t="str"/>
    </row>
    <row r="6" ht="24" customHeight="1">
      <c r="A6" s="25">
        <f>IF($B6="","","SQ-"&amp;TEXT(ROW()-4,"0000"))</f>
        <v/>
      </c>
      <c r="B6" s="141" t="n">
        <v>46041</v>
      </c>
      <c r="C6" s="25" t="inlineStr">
        <is>
          <t>示例公司A</t>
        </is>
      </c>
      <c r="D6" s="25" t="inlineStr">
        <is>
          <t>售后维修</t>
        </is>
      </c>
      <c r="E6" s="25" t="inlineStr">
        <is>
          <t>售后支持</t>
        </is>
      </c>
      <c r="F6" s="25" t="inlineStr">
        <is>
          <t>电话</t>
        </is>
      </c>
      <c r="G6" s="25" t="inlineStr">
        <is>
          <t>个人客户</t>
        </is>
      </c>
      <c r="H6" s="25" t="inlineStr">
        <is>
          <t>售后团队B</t>
        </is>
      </c>
      <c r="I6" s="25" t="inlineStr">
        <is>
          <t>AS-20260119-02</t>
        </is>
      </c>
      <c r="J6" s="25" t="inlineStr">
        <is>
          <t>重要</t>
        </is>
      </c>
      <c r="K6" s="139" t="n">
        <v>3</v>
      </c>
      <c r="L6" s="139" t="n">
        <v>4</v>
      </c>
      <c r="M6" s="139" t="n">
        <v>3</v>
      </c>
      <c r="N6" s="139" t="n">
        <v>4</v>
      </c>
      <c r="O6" s="139" t="n">
        <v>3</v>
      </c>
      <c r="P6" s="139" t="n">
        <v>3</v>
      </c>
      <c r="Q6" s="139" t="n">
        <v>3</v>
      </c>
      <c r="R6" s="142">
        <f>IF(COUNT($K6:$Q6)&lt;7,"",ROUND(($K6*'配置项'!$C$6+$L6*'配置项'!$C$7+$M6*'配置项'!$C$8+$N6*'配置项'!$C$9+$O6*'配置项'!$C$10+$P6*'配置项'!$C$11+$Q6*'配置项'!$C$12)*20,1))</f>
        <v/>
      </c>
      <c r="S6" s="25">
        <f>IF($R6="","",IF($R6&gt;='配置项'!$G$6,"优秀",IF($R6&gt;='配置项'!$G$7,"良好",IF($R6&gt;='配置项'!$G$8,"需关注","不合格"))))</f>
        <v/>
      </c>
      <c r="T6" s="25" t="inlineStr">
        <is>
          <t>是</t>
        </is>
      </c>
      <c r="U6" s="25" t="inlineStr">
        <is>
          <t>主管01</t>
        </is>
      </c>
      <c r="V6" s="28" t="inlineStr">
        <is>
          <t>维修进度解释不充分，客户二次来电。</t>
        </is>
      </c>
      <c r="W6" s="28" t="inlineStr">
        <is>
          <t>补充维修节点通知机制。</t>
        </is>
      </c>
      <c r="X6" s="25" t="inlineStr">
        <is>
          <t>CA-0001</t>
        </is>
      </c>
      <c r="Y6" s="25" t="str"/>
    </row>
    <row r="7" ht="24" customHeight="1">
      <c r="A7" s="25">
        <f>IF($B7="","","SQ-"&amp;TEXT(ROW()-4,"0000"))</f>
        <v/>
      </c>
      <c r="B7" s="141" t="n">
        <v>46056</v>
      </c>
      <c r="C7" s="25" t="inlineStr">
        <is>
          <t>示例公司B</t>
        </is>
      </c>
      <c r="D7" s="25" t="inlineStr">
        <is>
          <t>华东项目组</t>
        </is>
      </c>
      <c r="E7" s="25" t="inlineStr">
        <is>
          <t>现场服务</t>
        </is>
      </c>
      <c r="F7" s="25" t="inlineStr">
        <is>
          <t>现场</t>
        </is>
      </c>
      <c r="G7" s="25" t="inlineStr">
        <is>
          <t>企业客户</t>
        </is>
      </c>
      <c r="H7" s="25" t="inlineStr">
        <is>
          <t>工程师C</t>
        </is>
      </c>
      <c r="I7" s="25" t="inlineStr">
        <is>
          <t>FS-20260203-03</t>
        </is>
      </c>
      <c r="J7" s="25" t="inlineStr">
        <is>
          <t>一般</t>
        </is>
      </c>
      <c r="K7" s="139" t="n">
        <v>4</v>
      </c>
      <c r="L7" s="139" t="n">
        <v>4</v>
      </c>
      <c r="M7" s="139" t="n">
        <v>4</v>
      </c>
      <c r="N7" s="139" t="n">
        <v>4</v>
      </c>
      <c r="O7" s="139" t="n">
        <v>5</v>
      </c>
      <c r="P7" s="139" t="n">
        <v>4</v>
      </c>
      <c r="Q7" s="139" t="n">
        <v>4</v>
      </c>
      <c r="R7" s="142">
        <f>IF(COUNT($K7:$Q7)&lt;7,"",ROUND(($K7*'配置项'!$C$6+$L7*'配置项'!$C$7+$M7*'配置项'!$C$8+$N7*'配置项'!$C$9+$O7*'配置项'!$C$10+$P7*'配置项'!$C$11+$Q7*'配置项'!$C$12)*20,1))</f>
        <v/>
      </c>
      <c r="S7" s="25">
        <f>IF($R7="","",IF($R7&gt;='配置项'!$G$6,"优秀",IF($R7&gt;='配置项'!$G$7,"良好",IF($R7&gt;='配置项'!$G$8,"需关注","不合格"))))</f>
        <v/>
      </c>
      <c r="T7" s="25" t="inlineStr">
        <is>
          <t>否</t>
        </is>
      </c>
      <c r="U7" s="25" t="inlineStr">
        <is>
          <t>质检员02</t>
        </is>
      </c>
      <c r="V7" s="28" t="inlineStr">
        <is>
          <t>现场处理及时，记录较完整。</t>
        </is>
      </c>
      <c r="W7" s="28" t="inlineStr">
        <is>
          <t>加强客户签字确认。</t>
        </is>
      </c>
      <c r="X7" s="25" t="str"/>
      <c r="Y7" s="25" t="str"/>
    </row>
    <row r="8" ht="24" customHeight="1">
      <c r="A8" s="25">
        <f>IF($B8="","","SQ-"&amp;TEXT(ROW()-4,"0000"))</f>
        <v/>
      </c>
      <c r="B8" s="141" t="n">
        <v>46070</v>
      </c>
      <c r="C8" s="25" t="inlineStr">
        <is>
          <t>示例公司B</t>
        </is>
      </c>
      <c r="D8" s="25" t="inlineStr">
        <is>
          <t>仓配中心</t>
        </is>
      </c>
      <c r="E8" s="25" t="inlineStr">
        <is>
          <t>物流/交付</t>
        </is>
      </c>
      <c r="F8" s="25" t="inlineStr">
        <is>
          <t>工单系统</t>
        </is>
      </c>
      <c r="G8" s="25" t="inlineStr">
        <is>
          <t>企业客户</t>
        </is>
      </c>
      <c r="H8" s="25" t="inlineStr">
        <is>
          <t>配送小组D</t>
        </is>
      </c>
      <c r="I8" s="25" t="inlineStr">
        <is>
          <t>DL-20260217-04</t>
        </is>
      </c>
      <c r="J8" s="25" t="inlineStr">
        <is>
          <t>重大</t>
        </is>
      </c>
      <c r="K8" s="139" t="n">
        <v>2</v>
      </c>
      <c r="L8" s="139" t="n">
        <v>3</v>
      </c>
      <c r="M8" s="139" t="n">
        <v>2</v>
      </c>
      <c r="N8" s="139" t="n">
        <v>3</v>
      </c>
      <c r="O8" s="139" t="n">
        <v>3</v>
      </c>
      <c r="P8" s="139" t="n">
        <v>2</v>
      </c>
      <c r="Q8" s="139" t="n">
        <v>2</v>
      </c>
      <c r="R8" s="142">
        <f>IF(COUNT($K8:$Q8)&lt;7,"",ROUND(($K8*'配置项'!$C$6+$L8*'配置项'!$C$7+$M8*'配置项'!$C$8+$N8*'配置项'!$C$9+$O8*'配置项'!$C$10+$P8*'配置项'!$C$11+$Q8*'配置项'!$C$12)*20,1))</f>
        <v/>
      </c>
      <c r="S8" s="25">
        <f>IF($R8="","",IF($R8&gt;='配置项'!$G$6,"优秀",IF($R8&gt;='配置项'!$G$7,"良好",IF($R8&gt;='配置项'!$G$8,"需关注","不合格"))))</f>
        <v/>
      </c>
      <c r="T8" s="25" t="inlineStr">
        <is>
          <t>是</t>
        </is>
      </c>
      <c r="U8" s="25" t="inlineStr">
        <is>
          <t>客户成功01</t>
        </is>
      </c>
      <c r="V8" s="28" t="inlineStr">
        <is>
          <t>交付延迟且告知不及时，引发投诉。</t>
        </is>
      </c>
      <c r="W8" s="28" t="inlineStr">
        <is>
          <t>建立异常预警与主动通知机制。</t>
        </is>
      </c>
      <c r="X8" s="25" t="inlineStr">
        <is>
          <t>CA-0002</t>
        </is>
      </c>
      <c r="Y8" s="25" t="str"/>
    </row>
    <row r="9" ht="24" customHeight="1">
      <c r="A9" s="25">
        <f>IF($B9="","","SQ-"&amp;TEXT(ROW()-4,"0000"))</f>
        <v/>
      </c>
      <c r="B9" s="141" t="n">
        <v>46086</v>
      </c>
      <c r="C9" s="25" t="inlineStr">
        <is>
          <t>示例公司C</t>
        </is>
      </c>
      <c r="D9" s="25" t="inlineStr">
        <is>
          <t>SaaS支持</t>
        </is>
      </c>
      <c r="E9" s="25" t="inlineStr">
        <is>
          <t>技术支持</t>
        </is>
      </c>
      <c r="F9" s="25" t="inlineStr">
        <is>
          <t>视频会议</t>
        </is>
      </c>
      <c r="G9" s="25" t="inlineStr">
        <is>
          <t>企业客户</t>
        </is>
      </c>
      <c r="H9" s="25" t="inlineStr">
        <is>
          <t>技术支持E</t>
        </is>
      </c>
      <c r="I9" s="25" t="inlineStr">
        <is>
          <t>TS-20260305-05</t>
        </is>
      </c>
      <c r="J9" s="25" t="inlineStr">
        <is>
          <t>紧急</t>
        </is>
      </c>
      <c r="K9" s="139" t="n">
        <v>4</v>
      </c>
      <c r="L9" s="139" t="n">
        <v>5</v>
      </c>
      <c r="M9" s="139" t="n">
        <v>4</v>
      </c>
      <c r="N9" s="139" t="n">
        <v>4</v>
      </c>
      <c r="O9" s="139" t="n">
        <v>4</v>
      </c>
      <c r="P9" s="139" t="n">
        <v>4</v>
      </c>
      <c r="Q9" s="139" t="n">
        <v>5</v>
      </c>
      <c r="R9" s="142">
        <f>IF(COUNT($K9:$Q9)&lt;7,"",ROUND(($K9*'配置项'!$C$6+$L9*'配置项'!$C$7+$M9*'配置项'!$C$8+$N9*'配置项'!$C$9+$O9*'配置项'!$C$10+$P9*'配置项'!$C$11+$Q9*'配置项'!$C$12)*20,1))</f>
        <v/>
      </c>
      <c r="S9" s="25">
        <f>IF($R9="","",IF($R9&gt;='配置项'!$G$6,"优秀",IF($R9&gt;='配置项'!$G$7,"良好",IF($R9&gt;='配置项'!$G$8,"需关注","不合格"))))</f>
        <v/>
      </c>
      <c r="T9" s="25" t="inlineStr">
        <is>
          <t>否</t>
        </is>
      </c>
      <c r="U9" s="25" t="inlineStr">
        <is>
          <t>质检员03</t>
        </is>
      </c>
      <c r="V9" s="28" t="inlineStr">
        <is>
          <t>远程排障专业，客户满意。</t>
        </is>
      </c>
      <c r="W9" s="28" t="inlineStr">
        <is>
          <t>形成故障排查清单。</t>
        </is>
      </c>
      <c r="X9" s="25" t="str"/>
      <c r="Y9" s="25" t="str"/>
    </row>
    <row r="10" ht="24" customHeight="1">
      <c r="A10" s="25">
        <f>IF($B10="","","SQ-"&amp;TEXT(ROW()-4,"0000"))</f>
        <v/>
      </c>
      <c r="B10" s="141" t="n">
        <v>46103</v>
      </c>
      <c r="C10" s="25" t="inlineStr">
        <is>
          <t>示例公司C</t>
        </is>
      </c>
      <c r="D10" s="25" t="inlineStr">
        <is>
          <t>线上运营</t>
        </is>
      </c>
      <c r="E10" s="25" t="inlineStr">
        <is>
          <t>线上服务</t>
        </is>
      </c>
      <c r="F10" s="25" t="inlineStr">
        <is>
          <t>App/小程序</t>
        </is>
      </c>
      <c r="G10" s="25" t="inlineStr">
        <is>
          <t>个人客户</t>
        </is>
      </c>
      <c r="H10" s="25" t="inlineStr">
        <is>
          <t>在线运营F</t>
        </is>
      </c>
      <c r="I10" s="25" t="inlineStr">
        <is>
          <t>ON-20260322-06</t>
        </is>
      </c>
      <c r="J10" s="25" t="inlineStr">
        <is>
          <t>一般</t>
        </is>
      </c>
      <c r="K10" s="139" t="n">
        <v>5</v>
      </c>
      <c r="L10" s="139" t="n">
        <v>4</v>
      </c>
      <c r="M10" s="139" t="n">
        <v>4</v>
      </c>
      <c r="N10" s="139" t="n">
        <v>4</v>
      </c>
      <c r="O10" s="139" t="n">
        <v>4</v>
      </c>
      <c r="P10" s="139" t="n">
        <v>4</v>
      </c>
      <c r="Q10" s="139" t="n">
        <v>4</v>
      </c>
      <c r="R10" s="142">
        <f>IF(COUNT($K10:$Q10)&lt;7,"",ROUND(($K10*'配置项'!$C$6+$L10*'配置项'!$C$7+$M10*'配置项'!$C$8+$N10*'配置项'!$C$9+$O10*'配置项'!$C$10+$P10*'配置项'!$C$11+$Q10*'配置项'!$C$12)*20,1))</f>
        <v/>
      </c>
      <c r="S10" s="25">
        <f>IF($R10="","",IF($R10&gt;='配置项'!$G$6,"优秀",IF($R10&gt;='配置项'!$G$7,"良好",IF($R10&gt;='配置项'!$G$8,"需关注","不合格"))))</f>
        <v/>
      </c>
      <c r="T10" s="25" t="inlineStr">
        <is>
          <t>否</t>
        </is>
      </c>
      <c r="U10" s="25" t="inlineStr">
        <is>
          <t>质检员01</t>
        </is>
      </c>
      <c r="V10" s="28" t="inlineStr">
        <is>
          <t>自助流程清楚，个别提示可优化。</t>
        </is>
      </c>
      <c r="W10" s="28" t="inlineStr">
        <is>
          <t>优化页面提示。</t>
        </is>
      </c>
      <c r="X10" s="25" t="str"/>
      <c r="Y10" s="25" t="str"/>
    </row>
    <row r="11" ht="24" customHeight="1">
      <c r="A11" s="25">
        <f>IF($B11="","","SQ-"&amp;TEXT(ROW()-4,"0000"))</f>
        <v/>
      </c>
      <c r="B11" s="141" t="n">
        <v>46114</v>
      </c>
      <c r="C11" s="25" t="inlineStr">
        <is>
          <t>示例公司A</t>
        </is>
      </c>
      <c r="D11" s="25" t="inlineStr">
        <is>
          <t>呼叫中心</t>
        </is>
      </c>
      <c r="E11" s="25" t="inlineStr">
        <is>
          <t>呼叫中心</t>
        </is>
      </c>
      <c r="F11" s="25" t="inlineStr">
        <is>
          <t>电话</t>
        </is>
      </c>
      <c r="G11" s="25" t="inlineStr">
        <is>
          <t>个人客户</t>
        </is>
      </c>
      <c r="H11" s="25" t="inlineStr">
        <is>
          <t>座席G</t>
        </is>
      </c>
      <c r="I11" s="25" t="inlineStr">
        <is>
          <t>CC-20260402-07</t>
        </is>
      </c>
      <c r="J11" s="25" t="inlineStr">
        <is>
          <t>重要</t>
        </is>
      </c>
      <c r="K11" s="139" t="n">
        <v>3</v>
      </c>
      <c r="L11" s="139" t="n">
        <v>3</v>
      </c>
      <c r="M11" s="139" t="n">
        <v>3</v>
      </c>
      <c r="N11" s="139" t="n">
        <v>4</v>
      </c>
      <c r="O11" s="139" t="n">
        <v>4</v>
      </c>
      <c r="P11" s="139" t="n">
        <v>3</v>
      </c>
      <c r="Q11" s="139" t="n">
        <v>3</v>
      </c>
      <c r="R11" s="142">
        <f>IF(COUNT($K11:$Q11)&lt;7,"",ROUND(($K11*'配置项'!$C$6+$L11*'配置项'!$C$7+$M11*'配置项'!$C$8+$N11*'配置项'!$C$9+$O11*'配置项'!$C$10+$P11*'配置项'!$C$11+$Q11*'配置项'!$C$12)*20,1))</f>
        <v/>
      </c>
      <c r="S11" s="25">
        <f>IF($R11="","",IF($R11&gt;='配置项'!$G$6,"优秀",IF($R11&gt;='配置项'!$G$7,"良好",IF($R11&gt;='配置项'!$G$8,"需关注","不合格"))))</f>
        <v/>
      </c>
      <c r="T11" s="25" t="inlineStr">
        <is>
          <t>是</t>
        </is>
      </c>
      <c r="U11" s="25" t="inlineStr">
        <is>
          <t>主管02</t>
        </is>
      </c>
      <c r="V11" s="28" t="inlineStr">
        <is>
          <t>等待时间较长，首次解决不足。</t>
        </is>
      </c>
      <c r="W11" s="28" t="inlineStr">
        <is>
          <t>调整排班和知识库。</t>
        </is>
      </c>
      <c r="X11" s="25" t="inlineStr">
        <is>
          <t>CA-0003</t>
        </is>
      </c>
      <c r="Y11" s="25" t="str"/>
    </row>
    <row r="12" ht="24" customHeight="1">
      <c r="A12" s="25">
        <f>IF($B12="","","SQ-"&amp;TEXT(ROW()-4,"0000"))</f>
        <v/>
      </c>
      <c r="B12" s="141" t="n">
        <v>46127</v>
      </c>
      <c r="C12" s="25" t="inlineStr">
        <is>
          <t>示例公司D</t>
        </is>
      </c>
      <c r="D12" s="25" t="inlineStr">
        <is>
          <t>旗舰店</t>
        </is>
      </c>
      <c r="E12" s="25" t="inlineStr">
        <is>
          <t>门店/零售</t>
        </is>
      </c>
      <c r="F12" s="25" t="inlineStr">
        <is>
          <t>现场</t>
        </is>
      </c>
      <c r="G12" s="25" t="inlineStr">
        <is>
          <t>个人客户</t>
        </is>
      </c>
      <c r="H12" s="25" t="inlineStr">
        <is>
          <t>门店团队H</t>
        </is>
      </c>
      <c r="I12" s="25" t="inlineStr">
        <is>
          <t>RS-20260415-08</t>
        </is>
      </c>
      <c r="J12" s="25" t="inlineStr">
        <is>
          <t>一般</t>
        </is>
      </c>
      <c r="K12" s="139" t="n">
        <v>5</v>
      </c>
      <c r="L12" s="139" t="n">
        <v>4</v>
      </c>
      <c r="M12" s="139" t="n">
        <v>5</v>
      </c>
      <c r="N12" s="139" t="n">
        <v>5</v>
      </c>
      <c r="O12" s="139" t="n">
        <v>5</v>
      </c>
      <c r="P12" s="139" t="n">
        <v>5</v>
      </c>
      <c r="Q12" s="139" t="n">
        <v>5</v>
      </c>
      <c r="R12" s="142">
        <f>IF(COUNT($K12:$Q12)&lt;7,"",ROUND(($K12*'配置项'!$C$6+$L12*'配置项'!$C$7+$M12*'配置项'!$C$8+$N12*'配置项'!$C$9+$O12*'配置项'!$C$10+$P12*'配置项'!$C$11+$Q12*'配置项'!$C$12)*20,1))</f>
        <v/>
      </c>
      <c r="S12" s="25">
        <f>IF($R12="","",IF($R12&gt;='配置项'!$G$6,"优秀",IF($R12&gt;='配置项'!$G$7,"良好",IF($R12&gt;='配置项'!$G$8,"需关注","不合格"))))</f>
        <v/>
      </c>
      <c r="T12" s="25" t="inlineStr">
        <is>
          <t>否</t>
        </is>
      </c>
      <c r="U12" s="25" t="inlineStr">
        <is>
          <t>暗访员01</t>
        </is>
      </c>
      <c r="V12" s="28" t="inlineStr">
        <is>
          <t>服务主动，商品介绍完整。</t>
        </is>
      </c>
      <c r="W12" s="28" t="inlineStr">
        <is>
          <t>复制优秀接待案例。</t>
        </is>
      </c>
      <c r="X12" s="25" t="str"/>
      <c r="Y12" s="25" t="str"/>
    </row>
    <row r="13" ht="24" customHeight="1">
      <c r="A13" s="25">
        <f>IF($B13="","","SQ-"&amp;TEXT(ROW()-4,"0000"))</f>
        <v/>
      </c>
      <c r="B13" s="141" t="n">
        <v>46133</v>
      </c>
      <c r="C13" s="25" t="inlineStr">
        <is>
          <t>示例公司E</t>
        </is>
      </c>
      <c r="D13" s="25" t="inlineStr">
        <is>
          <t>交付项目P1</t>
        </is>
      </c>
      <c r="E13" s="25" t="inlineStr">
        <is>
          <t>B2B项目交付</t>
        </is>
      </c>
      <c r="F13" s="25" t="inlineStr">
        <is>
          <t>邮件</t>
        </is>
      </c>
      <c r="G13" s="25" t="inlineStr">
        <is>
          <t>企业客户</t>
        </is>
      </c>
      <c r="H13" s="25" t="inlineStr">
        <is>
          <t>项目经理I</t>
        </is>
      </c>
      <c r="I13" s="25" t="inlineStr">
        <is>
          <t>PJ-20260421-09</t>
        </is>
      </c>
      <c r="J13" s="25" t="inlineStr">
        <is>
          <t>紧急</t>
        </is>
      </c>
      <c r="K13" s="139" t="n">
        <v>4</v>
      </c>
      <c r="L13" s="139" t="n">
        <v>4</v>
      </c>
      <c r="M13" s="139" t="n">
        <v>3</v>
      </c>
      <c r="N13" s="139" t="n">
        <v>4</v>
      </c>
      <c r="O13" s="139" t="n">
        <v>3</v>
      </c>
      <c r="P13" s="139" t="n">
        <v>3</v>
      </c>
      <c r="Q13" s="139" t="n">
        <v>3</v>
      </c>
      <c r="R13" s="142">
        <f>IF(COUNT($K13:$Q13)&lt;7,"",ROUND(($K13*'配置项'!$C$6+$L13*'配置项'!$C$7+$M13*'配置项'!$C$8+$N13*'配置项'!$C$9+$O13*'配置项'!$C$10+$P13*'配置项'!$C$11+$Q13*'配置项'!$C$12)*20,1))</f>
        <v/>
      </c>
      <c r="S13" s="25">
        <f>IF($R13="","",IF($R13&gt;='配置项'!$G$6,"优秀",IF($R13&gt;='配置项'!$G$7,"良好",IF($R13&gt;='配置项'!$G$8,"需关注","不合格"))))</f>
        <v/>
      </c>
      <c r="T13" s="25" t="inlineStr">
        <is>
          <t>是</t>
        </is>
      </c>
      <c r="U13" s="25" t="inlineStr">
        <is>
          <t>PMO</t>
        </is>
      </c>
      <c r="V13" s="28" t="inlineStr">
        <is>
          <t>交付资料多次补充，客户验收受影响。</t>
        </is>
      </c>
      <c r="W13" s="28" t="inlineStr">
        <is>
          <t>明确交付清单和阶段验收。</t>
        </is>
      </c>
      <c r="X13" s="25" t="inlineStr">
        <is>
          <t>CA-0004</t>
        </is>
      </c>
      <c r="Y13" s="25" t="str"/>
    </row>
    <row r="14" ht="24" customHeight="1">
      <c r="A14" s="25">
        <f>IF($B14="","","SQ-"&amp;TEXT(ROW()-4,"0000"))</f>
        <v/>
      </c>
      <c r="B14" s="141" t="n">
        <v>46136</v>
      </c>
      <c r="C14" s="25" t="inlineStr">
        <is>
          <t>示例公司F</t>
        </is>
      </c>
      <c r="D14" s="25" t="inlineStr">
        <is>
          <t>咨询门诊</t>
        </is>
      </c>
      <c r="E14" s="25" t="inlineStr">
        <is>
          <t>医疗/咨询/教育</t>
        </is>
      </c>
      <c r="F14" s="25" t="inlineStr">
        <is>
          <t>现场</t>
        </is>
      </c>
      <c r="G14" s="25" t="inlineStr">
        <is>
          <t>个人客户</t>
        </is>
      </c>
      <c r="H14" s="25" t="inlineStr">
        <is>
          <t>顾问J</t>
        </is>
      </c>
      <c r="I14" s="25" t="inlineStr">
        <is>
          <t>HC-20260424-10</t>
        </is>
      </c>
      <c r="J14" s="25" t="inlineStr">
        <is>
          <t>一般</t>
        </is>
      </c>
      <c r="K14" s="139" t="n">
        <v>4</v>
      </c>
      <c r="L14" s="139" t="n">
        <v>5</v>
      </c>
      <c r="M14" s="139" t="n">
        <v>4</v>
      </c>
      <c r="N14" s="139" t="n">
        <v>5</v>
      </c>
      <c r="O14" s="139" t="n">
        <v>5</v>
      </c>
      <c r="P14" s="139" t="n">
        <v>4</v>
      </c>
      <c r="Q14" s="139" t="n">
        <v>5</v>
      </c>
      <c r="R14" s="142">
        <f>IF(COUNT($K14:$Q14)&lt;7,"",ROUND(($K14*'配置项'!$C$6+$L14*'配置项'!$C$7+$M14*'配置项'!$C$8+$N14*'配置项'!$C$9+$O14*'配置项'!$C$10+$P14*'配置项'!$C$11+$Q14*'配置项'!$C$12)*20,1))</f>
        <v/>
      </c>
      <c r="S14" s="25">
        <f>IF($R14="","",IF($R14&gt;='配置项'!$G$6,"优秀",IF($R14&gt;='配置项'!$G$7,"良好",IF($R14&gt;='配置项'!$G$8,"需关注","不合格"))))</f>
        <v/>
      </c>
      <c r="T14" s="25" t="inlineStr">
        <is>
          <t>否</t>
        </is>
      </c>
      <c r="U14" s="25" t="inlineStr">
        <is>
          <t>质检员04</t>
        </is>
      </c>
      <c r="V14" s="28" t="inlineStr">
        <is>
          <t>沟通耐心，解释充分。</t>
        </is>
      </c>
      <c r="W14" s="28" t="inlineStr">
        <is>
          <t>保留客户教育材料模板。</t>
        </is>
      </c>
      <c r="X14" s="25" t="str"/>
      <c r="Y14" s="25" t="str"/>
    </row>
    <row r="15" ht="24" customHeight="1">
      <c r="A15" s="25">
        <f>IF($B15="","","SQ-"&amp;TEXT(ROW()-4,"0000"))</f>
        <v/>
      </c>
      <c r="B15" s="141" t="n">
        <v>46139</v>
      </c>
      <c r="C15" s="25" t="inlineStr">
        <is>
          <t>示例公司G</t>
        </is>
      </c>
      <c r="D15" s="25" t="inlineStr">
        <is>
          <t>物业客服</t>
        </is>
      </c>
      <c r="E15" s="25" t="inlineStr">
        <is>
          <t>物业/设施管理</t>
        </is>
      </c>
      <c r="F15" s="25" t="inlineStr">
        <is>
          <t>电话</t>
        </is>
      </c>
      <c r="G15" s="25" t="inlineStr">
        <is>
          <t>内部客户</t>
        </is>
      </c>
      <c r="H15" s="25" t="inlineStr">
        <is>
          <t>物业客服K</t>
        </is>
      </c>
      <c r="I15" s="25" t="inlineStr">
        <is>
          <t>PM-20260427-11</t>
        </is>
      </c>
      <c r="J15" s="25" t="inlineStr">
        <is>
          <t>重要</t>
        </is>
      </c>
      <c r="K15" s="139" t="n">
        <v>3</v>
      </c>
      <c r="L15" s="139" t="n">
        <v>3</v>
      </c>
      <c r="M15" s="139" t="n">
        <v>4</v>
      </c>
      <c r="N15" s="139" t="n">
        <v>3</v>
      </c>
      <c r="O15" s="139" t="n">
        <v>4</v>
      </c>
      <c r="P15" s="139" t="n">
        <v>3</v>
      </c>
      <c r="Q15" s="139" t="n">
        <v>3</v>
      </c>
      <c r="R15" s="142">
        <f>IF(COUNT($K15:$Q15)&lt;7,"",ROUND(($K15*'配置项'!$C$6+$L15*'配置项'!$C$7+$M15*'配置项'!$C$8+$N15*'配置项'!$C$9+$O15*'配置项'!$C$10+$P15*'配置项'!$C$11+$Q15*'配置项'!$C$12)*20,1))</f>
        <v/>
      </c>
      <c r="S15" s="25">
        <f>IF($R15="","",IF($R15&gt;='配置项'!$G$6,"优秀",IF($R15&gt;='配置项'!$G$7,"良好",IF($R15&gt;='配置项'!$G$8,"需关注","不合格"))))</f>
        <v/>
      </c>
      <c r="T15" s="25" t="inlineStr">
        <is>
          <t>否</t>
        </is>
      </c>
      <c r="U15" s="25" t="inlineStr">
        <is>
          <t>质检员05</t>
        </is>
      </c>
      <c r="V15" s="28" t="inlineStr">
        <is>
          <t>维修派单响应一般，回访未及时。</t>
        </is>
      </c>
      <c r="W15" s="28" t="inlineStr">
        <is>
          <t>设置回访提醒。</t>
        </is>
      </c>
      <c r="X15" s="25" t="inlineStr">
        <is>
          <t>CA-0005</t>
        </is>
      </c>
      <c r="Y15" s="25" t="str"/>
    </row>
    <row r="16" ht="24" customHeight="1">
      <c r="A16" s="25">
        <f>IF($B16="","","SQ-"&amp;TEXT(ROW()-4,"0000"))</f>
        <v/>
      </c>
      <c r="B16" s="141" t="n">
        <v>46141</v>
      </c>
      <c r="C16" s="25" t="inlineStr">
        <is>
          <t>示例公司C</t>
        </is>
      </c>
      <c r="D16" s="25" t="inlineStr">
        <is>
          <t>SaaS支持</t>
        </is>
      </c>
      <c r="E16" s="25" t="inlineStr">
        <is>
          <t>技术支持</t>
        </is>
      </c>
      <c r="F16" s="25" t="inlineStr">
        <is>
          <t>工单系统</t>
        </is>
      </c>
      <c r="G16" s="25" t="inlineStr">
        <is>
          <t>企业客户</t>
        </is>
      </c>
      <c r="H16" s="25" t="inlineStr">
        <is>
          <t>技术支持L</t>
        </is>
      </c>
      <c r="I16" s="25" t="inlineStr">
        <is>
          <t>TS-20260429-12</t>
        </is>
      </c>
      <c r="J16" s="25" t="inlineStr">
        <is>
          <t>一般</t>
        </is>
      </c>
      <c r="K16" s="139" t="n">
        <v>5</v>
      </c>
      <c r="L16" s="139" t="n">
        <v>5</v>
      </c>
      <c r="M16" s="139" t="n">
        <v>5</v>
      </c>
      <c r="N16" s="139" t="n">
        <v>5</v>
      </c>
      <c r="O16" s="139" t="n">
        <v>4</v>
      </c>
      <c r="P16" s="139" t="n">
        <v>5</v>
      </c>
      <c r="Q16" s="139" t="n">
        <v>5</v>
      </c>
      <c r="R16" s="142">
        <f>IF(COUNT($K16:$Q16)&lt;7,"",ROUND(($K16*'配置项'!$C$6+$L16*'配置项'!$C$7+$M16*'配置项'!$C$8+$N16*'配置项'!$C$9+$O16*'配置项'!$C$10+$P16*'配置项'!$C$11+$Q16*'配置项'!$C$12)*20,1))</f>
        <v/>
      </c>
      <c r="S16" s="25">
        <f>IF($R16="","",IF($R16&gt;='配置项'!$G$6,"优秀",IF($R16&gt;='配置项'!$G$7,"良好",IF($R16&gt;='配置项'!$G$8,"需关注","不合格"))))</f>
        <v/>
      </c>
      <c r="T16" s="25" t="inlineStr">
        <is>
          <t>否</t>
        </is>
      </c>
      <c r="U16" s="25" t="inlineStr">
        <is>
          <t>质检员03</t>
        </is>
      </c>
      <c r="V16" s="28" t="inlineStr">
        <is>
          <t>问题一次解决，客户表扬。</t>
        </is>
      </c>
      <c r="W16" s="28" t="inlineStr">
        <is>
          <t>纳入优秀案例库。</t>
        </is>
      </c>
      <c r="X16" s="25" t="str"/>
      <c r="Y16" s="25" t="str"/>
    </row>
    <row r="17" ht="24" customHeight="1">
      <c r="A17" s="25">
        <f>IF($B17="","","SQ-"&amp;TEXT(ROW()-4,"0000"))</f>
        <v/>
      </c>
      <c r="B17" s="141" t="n"/>
      <c r="C17" s="25" t="n"/>
      <c r="D17" s="25" t="n"/>
      <c r="E17" s="25" t="n"/>
      <c r="F17" s="25" t="n"/>
      <c r="G17" s="25" t="n"/>
      <c r="H17" s="25" t="n"/>
      <c r="I17" s="25" t="n"/>
      <c r="J17" s="25" t="n"/>
      <c r="K17" s="139" t="n"/>
      <c r="L17" s="139" t="n"/>
      <c r="M17" s="139" t="n"/>
      <c r="N17" s="139" t="n"/>
      <c r="O17" s="139" t="n"/>
      <c r="P17" s="139" t="n"/>
      <c r="Q17" s="139" t="n"/>
      <c r="R17" s="142">
        <f>IF(COUNT($K17:$Q17)&lt;7,"",ROUND(($K17*'配置项'!$C$6+$L17*'配置项'!$C$7+$M17*'配置项'!$C$8+$N17*'配置项'!$C$9+$O17*'配置项'!$C$10+$P17*'配置项'!$C$11+$Q17*'配置项'!$C$12)*20,1))</f>
        <v/>
      </c>
      <c r="S17" s="25">
        <f>IF($R17="","",IF($R17&gt;='配置项'!$G$6,"优秀",IF($R17&gt;='配置项'!$G$7,"良好",IF($R17&gt;='配置项'!$G$8,"需关注","不合格"))))</f>
        <v/>
      </c>
      <c r="T17" s="25" t="n"/>
      <c r="U17" s="25" t="n"/>
      <c r="V17" s="28" t="n"/>
      <c r="W17" s="28" t="n"/>
      <c r="X17" s="25" t="n"/>
      <c r="Y17" s="25" t="n"/>
    </row>
    <row r="18" ht="24" customHeight="1">
      <c r="A18" s="25">
        <f>IF($B18="","","SQ-"&amp;TEXT(ROW()-4,"0000"))</f>
        <v/>
      </c>
      <c r="B18" s="141" t="n"/>
      <c r="C18" s="25" t="n"/>
      <c r="D18" s="25" t="n"/>
      <c r="E18" s="25" t="n"/>
      <c r="F18" s="25" t="n"/>
      <c r="G18" s="25" t="n"/>
      <c r="H18" s="25" t="n"/>
      <c r="I18" s="25" t="n"/>
      <c r="J18" s="25" t="n"/>
      <c r="K18" s="139" t="n"/>
      <c r="L18" s="139" t="n"/>
      <c r="M18" s="139" t="n"/>
      <c r="N18" s="139" t="n"/>
      <c r="O18" s="139" t="n"/>
      <c r="P18" s="139" t="n"/>
      <c r="Q18" s="139" t="n"/>
      <c r="R18" s="142">
        <f>IF(COUNT($K18:$Q18)&lt;7,"",ROUND(($K18*'配置项'!$C$6+$L18*'配置项'!$C$7+$M18*'配置项'!$C$8+$N18*'配置项'!$C$9+$O18*'配置项'!$C$10+$P18*'配置项'!$C$11+$Q18*'配置项'!$C$12)*20,1))</f>
        <v/>
      </c>
      <c r="S18" s="25">
        <f>IF($R18="","",IF($R18&gt;='配置项'!$G$6,"优秀",IF($R18&gt;='配置项'!$G$7,"良好",IF($R18&gt;='配置项'!$G$8,"需关注","不合格"))))</f>
        <v/>
      </c>
      <c r="T18" s="25" t="n"/>
      <c r="U18" s="25" t="n"/>
      <c r="V18" s="28" t="n"/>
      <c r="W18" s="28" t="n"/>
      <c r="X18" s="25" t="n"/>
      <c r="Y18" s="25" t="n"/>
    </row>
    <row r="19" ht="24" customHeight="1">
      <c r="A19" s="25">
        <f>IF($B19="","","SQ-"&amp;TEXT(ROW()-4,"0000"))</f>
        <v/>
      </c>
      <c r="B19" s="141" t="n"/>
      <c r="C19" s="25" t="n"/>
      <c r="D19" s="25" t="n"/>
      <c r="E19" s="25" t="n"/>
      <c r="F19" s="25" t="n"/>
      <c r="G19" s="25" t="n"/>
      <c r="H19" s="25" t="n"/>
      <c r="I19" s="25" t="n"/>
      <c r="J19" s="25" t="n"/>
      <c r="K19" s="139" t="n"/>
      <c r="L19" s="139" t="n"/>
      <c r="M19" s="139" t="n"/>
      <c r="N19" s="139" t="n"/>
      <c r="O19" s="139" t="n"/>
      <c r="P19" s="139" t="n"/>
      <c r="Q19" s="139" t="n"/>
      <c r="R19" s="142">
        <f>IF(COUNT($K19:$Q19)&lt;7,"",ROUND(($K19*'配置项'!$C$6+$L19*'配置项'!$C$7+$M19*'配置项'!$C$8+$N19*'配置项'!$C$9+$O19*'配置项'!$C$10+$P19*'配置项'!$C$11+$Q19*'配置项'!$C$12)*20,1))</f>
        <v/>
      </c>
      <c r="S19" s="25">
        <f>IF($R19="","",IF($R19&gt;='配置项'!$G$6,"优秀",IF($R19&gt;='配置项'!$G$7,"良好",IF($R19&gt;='配置项'!$G$8,"需关注","不合格"))))</f>
        <v/>
      </c>
      <c r="T19" s="25" t="n"/>
      <c r="U19" s="25" t="n"/>
      <c r="V19" s="28" t="n"/>
      <c r="W19" s="28" t="n"/>
      <c r="X19" s="25" t="n"/>
      <c r="Y19" s="25" t="n"/>
    </row>
    <row r="20" ht="24" customHeight="1">
      <c r="A20" s="25">
        <f>IF($B20="","","SQ-"&amp;TEXT(ROW()-4,"0000"))</f>
        <v/>
      </c>
      <c r="B20" s="141" t="n"/>
      <c r="C20" s="25" t="n"/>
      <c r="D20" s="25" t="n"/>
      <c r="E20" s="25" t="n"/>
      <c r="F20" s="25" t="n"/>
      <c r="G20" s="25" t="n"/>
      <c r="H20" s="25" t="n"/>
      <c r="I20" s="25" t="n"/>
      <c r="J20" s="25" t="n"/>
      <c r="K20" s="139" t="n"/>
      <c r="L20" s="139" t="n"/>
      <c r="M20" s="139" t="n"/>
      <c r="N20" s="139" t="n"/>
      <c r="O20" s="139" t="n"/>
      <c r="P20" s="139" t="n"/>
      <c r="Q20" s="139" t="n"/>
      <c r="R20" s="142">
        <f>IF(COUNT($K20:$Q20)&lt;7,"",ROUND(($K20*'配置项'!$C$6+$L20*'配置项'!$C$7+$M20*'配置项'!$C$8+$N20*'配置项'!$C$9+$O20*'配置项'!$C$10+$P20*'配置项'!$C$11+$Q20*'配置项'!$C$12)*20,1))</f>
        <v/>
      </c>
      <c r="S20" s="25">
        <f>IF($R20="","",IF($R20&gt;='配置项'!$G$6,"优秀",IF($R20&gt;='配置项'!$G$7,"良好",IF($R20&gt;='配置项'!$G$8,"需关注","不合格"))))</f>
        <v/>
      </c>
      <c r="T20" s="25" t="n"/>
      <c r="U20" s="25" t="n"/>
      <c r="V20" s="28" t="n"/>
      <c r="W20" s="28" t="n"/>
      <c r="X20" s="25" t="n"/>
      <c r="Y20" s="25" t="n"/>
    </row>
    <row r="21" ht="24" customHeight="1">
      <c r="A21" s="25">
        <f>IF($B21="","","SQ-"&amp;TEXT(ROW()-4,"0000"))</f>
        <v/>
      </c>
      <c r="B21" s="141" t="n"/>
      <c r="C21" s="25" t="n"/>
      <c r="D21" s="25" t="n"/>
      <c r="E21" s="25" t="n"/>
      <c r="F21" s="25" t="n"/>
      <c r="G21" s="25" t="n"/>
      <c r="H21" s="25" t="n"/>
      <c r="I21" s="25" t="n"/>
      <c r="J21" s="25" t="n"/>
      <c r="K21" s="139" t="n"/>
      <c r="L21" s="139" t="n"/>
      <c r="M21" s="139" t="n"/>
      <c r="N21" s="139" t="n"/>
      <c r="O21" s="139" t="n"/>
      <c r="P21" s="139" t="n"/>
      <c r="Q21" s="139" t="n"/>
      <c r="R21" s="142">
        <f>IF(COUNT($K21:$Q21)&lt;7,"",ROUND(($K21*'配置项'!$C$6+$L21*'配置项'!$C$7+$M21*'配置项'!$C$8+$N21*'配置项'!$C$9+$O21*'配置项'!$C$10+$P21*'配置项'!$C$11+$Q21*'配置项'!$C$12)*20,1))</f>
        <v/>
      </c>
      <c r="S21" s="25">
        <f>IF($R21="","",IF($R21&gt;='配置项'!$G$6,"优秀",IF($R21&gt;='配置项'!$G$7,"良好",IF($R21&gt;='配置项'!$G$8,"需关注","不合格"))))</f>
        <v/>
      </c>
      <c r="T21" s="25" t="n"/>
      <c r="U21" s="25" t="n"/>
      <c r="V21" s="28" t="n"/>
      <c r="W21" s="28" t="n"/>
      <c r="X21" s="25" t="n"/>
      <c r="Y21" s="25" t="n"/>
    </row>
    <row r="22" ht="24" customHeight="1">
      <c r="A22" s="25">
        <f>IF($B22="","","SQ-"&amp;TEXT(ROW()-4,"0000"))</f>
        <v/>
      </c>
      <c r="B22" s="141" t="n"/>
      <c r="C22" s="25" t="n"/>
      <c r="D22" s="25" t="n"/>
      <c r="E22" s="25" t="n"/>
      <c r="F22" s="25" t="n"/>
      <c r="G22" s="25" t="n"/>
      <c r="H22" s="25" t="n"/>
      <c r="I22" s="25" t="n"/>
      <c r="J22" s="25" t="n"/>
      <c r="K22" s="139" t="n"/>
      <c r="L22" s="139" t="n"/>
      <c r="M22" s="139" t="n"/>
      <c r="N22" s="139" t="n"/>
      <c r="O22" s="139" t="n"/>
      <c r="P22" s="139" t="n"/>
      <c r="Q22" s="139" t="n"/>
      <c r="R22" s="142">
        <f>IF(COUNT($K22:$Q22)&lt;7,"",ROUND(($K22*'配置项'!$C$6+$L22*'配置项'!$C$7+$M22*'配置项'!$C$8+$N22*'配置项'!$C$9+$O22*'配置项'!$C$10+$P22*'配置项'!$C$11+$Q22*'配置项'!$C$12)*20,1))</f>
        <v/>
      </c>
      <c r="S22" s="25">
        <f>IF($R22="","",IF($R22&gt;='配置项'!$G$6,"优秀",IF($R22&gt;='配置项'!$G$7,"良好",IF($R22&gt;='配置项'!$G$8,"需关注","不合格"))))</f>
        <v/>
      </c>
      <c r="T22" s="25" t="n"/>
      <c r="U22" s="25" t="n"/>
      <c r="V22" s="28" t="n"/>
      <c r="W22" s="28" t="n"/>
      <c r="X22" s="25" t="n"/>
      <c r="Y22" s="25" t="n"/>
    </row>
    <row r="23" ht="24" customHeight="1">
      <c r="A23" s="25">
        <f>IF($B23="","","SQ-"&amp;TEXT(ROW()-4,"0000"))</f>
        <v/>
      </c>
      <c r="B23" s="141" t="n"/>
      <c r="C23" s="25" t="n"/>
      <c r="D23" s="25" t="n"/>
      <c r="E23" s="25" t="n"/>
      <c r="F23" s="25" t="n"/>
      <c r="G23" s="25" t="n"/>
      <c r="H23" s="25" t="n"/>
      <c r="I23" s="25" t="n"/>
      <c r="J23" s="25" t="n"/>
      <c r="K23" s="139" t="n"/>
      <c r="L23" s="139" t="n"/>
      <c r="M23" s="139" t="n"/>
      <c r="N23" s="139" t="n"/>
      <c r="O23" s="139" t="n"/>
      <c r="P23" s="139" t="n"/>
      <c r="Q23" s="139" t="n"/>
      <c r="R23" s="142">
        <f>IF(COUNT($K23:$Q23)&lt;7,"",ROUND(($K23*'配置项'!$C$6+$L23*'配置项'!$C$7+$M23*'配置项'!$C$8+$N23*'配置项'!$C$9+$O23*'配置项'!$C$10+$P23*'配置项'!$C$11+$Q23*'配置项'!$C$12)*20,1))</f>
        <v/>
      </c>
      <c r="S23" s="25">
        <f>IF($R23="","",IF($R23&gt;='配置项'!$G$6,"优秀",IF($R23&gt;='配置项'!$G$7,"良好",IF($R23&gt;='配置项'!$G$8,"需关注","不合格"))))</f>
        <v/>
      </c>
      <c r="T23" s="25" t="n"/>
      <c r="U23" s="25" t="n"/>
      <c r="V23" s="28" t="n"/>
      <c r="W23" s="28" t="n"/>
      <c r="X23" s="25" t="n"/>
      <c r="Y23" s="25" t="n"/>
    </row>
    <row r="24" ht="24" customHeight="1">
      <c r="A24" s="25">
        <f>IF($B24="","","SQ-"&amp;TEXT(ROW()-4,"0000"))</f>
        <v/>
      </c>
      <c r="B24" s="141" t="n"/>
      <c r="C24" s="25" t="n"/>
      <c r="D24" s="25" t="n"/>
      <c r="E24" s="25" t="n"/>
      <c r="F24" s="25" t="n"/>
      <c r="G24" s="25" t="n"/>
      <c r="H24" s="25" t="n"/>
      <c r="I24" s="25" t="n"/>
      <c r="J24" s="25" t="n"/>
      <c r="K24" s="139" t="n"/>
      <c r="L24" s="139" t="n"/>
      <c r="M24" s="139" t="n"/>
      <c r="N24" s="139" t="n"/>
      <c r="O24" s="139" t="n"/>
      <c r="P24" s="139" t="n"/>
      <c r="Q24" s="139" t="n"/>
      <c r="R24" s="142">
        <f>IF(COUNT($K24:$Q24)&lt;7,"",ROUND(($K24*'配置项'!$C$6+$L24*'配置项'!$C$7+$M24*'配置项'!$C$8+$N24*'配置项'!$C$9+$O24*'配置项'!$C$10+$P24*'配置项'!$C$11+$Q24*'配置项'!$C$12)*20,1))</f>
        <v/>
      </c>
      <c r="S24" s="25">
        <f>IF($R24="","",IF($R24&gt;='配置项'!$G$6,"优秀",IF($R24&gt;='配置项'!$G$7,"良好",IF($R24&gt;='配置项'!$G$8,"需关注","不合格"))))</f>
        <v/>
      </c>
      <c r="T24" s="25" t="n"/>
      <c r="U24" s="25" t="n"/>
      <c r="V24" s="28" t="n"/>
      <c r="W24" s="28" t="n"/>
      <c r="X24" s="25" t="n"/>
      <c r="Y24" s="25" t="n"/>
    </row>
    <row r="25" ht="24" customHeight="1">
      <c r="A25" s="25">
        <f>IF($B25="","","SQ-"&amp;TEXT(ROW()-4,"0000"))</f>
        <v/>
      </c>
      <c r="B25" s="141" t="n"/>
      <c r="C25" s="25" t="n"/>
      <c r="D25" s="25" t="n"/>
      <c r="E25" s="25" t="n"/>
      <c r="F25" s="25" t="n"/>
      <c r="G25" s="25" t="n"/>
      <c r="H25" s="25" t="n"/>
      <c r="I25" s="25" t="n"/>
      <c r="J25" s="25" t="n"/>
      <c r="K25" s="139" t="n"/>
      <c r="L25" s="139" t="n"/>
      <c r="M25" s="139" t="n"/>
      <c r="N25" s="139" t="n"/>
      <c r="O25" s="139" t="n"/>
      <c r="P25" s="139" t="n"/>
      <c r="Q25" s="139" t="n"/>
      <c r="R25" s="142">
        <f>IF(COUNT($K25:$Q25)&lt;7,"",ROUND(($K25*'配置项'!$C$6+$L25*'配置项'!$C$7+$M25*'配置项'!$C$8+$N25*'配置项'!$C$9+$O25*'配置项'!$C$10+$P25*'配置项'!$C$11+$Q25*'配置项'!$C$12)*20,1))</f>
        <v/>
      </c>
      <c r="S25" s="25">
        <f>IF($R25="","",IF($R25&gt;='配置项'!$G$6,"优秀",IF($R25&gt;='配置项'!$G$7,"良好",IF($R25&gt;='配置项'!$G$8,"需关注","不合格"))))</f>
        <v/>
      </c>
      <c r="T25" s="25" t="n"/>
      <c r="U25" s="25" t="n"/>
      <c r="V25" s="28" t="n"/>
      <c r="W25" s="28" t="n"/>
      <c r="X25" s="25" t="n"/>
      <c r="Y25" s="25" t="n"/>
    </row>
    <row r="26" ht="24" customHeight="1">
      <c r="A26" s="25">
        <f>IF($B26="","","SQ-"&amp;TEXT(ROW()-4,"0000"))</f>
        <v/>
      </c>
      <c r="B26" s="141" t="n"/>
      <c r="C26" s="25" t="n"/>
      <c r="D26" s="25" t="n"/>
      <c r="E26" s="25" t="n"/>
      <c r="F26" s="25" t="n"/>
      <c r="G26" s="25" t="n"/>
      <c r="H26" s="25" t="n"/>
      <c r="I26" s="25" t="n"/>
      <c r="J26" s="25" t="n"/>
      <c r="K26" s="139" t="n"/>
      <c r="L26" s="139" t="n"/>
      <c r="M26" s="139" t="n"/>
      <c r="N26" s="139" t="n"/>
      <c r="O26" s="139" t="n"/>
      <c r="P26" s="139" t="n"/>
      <c r="Q26" s="139" t="n"/>
      <c r="R26" s="142">
        <f>IF(COUNT($K26:$Q26)&lt;7,"",ROUND(($K26*'配置项'!$C$6+$L26*'配置项'!$C$7+$M26*'配置项'!$C$8+$N26*'配置项'!$C$9+$O26*'配置项'!$C$10+$P26*'配置项'!$C$11+$Q26*'配置项'!$C$12)*20,1))</f>
        <v/>
      </c>
      <c r="S26" s="25">
        <f>IF($R26="","",IF($R26&gt;='配置项'!$G$6,"优秀",IF($R26&gt;='配置项'!$G$7,"良好",IF($R26&gt;='配置项'!$G$8,"需关注","不合格"))))</f>
        <v/>
      </c>
      <c r="T26" s="25" t="n"/>
      <c r="U26" s="25" t="n"/>
      <c r="V26" s="28" t="n"/>
      <c r="W26" s="28" t="n"/>
      <c r="X26" s="25" t="n"/>
      <c r="Y26" s="25" t="n"/>
    </row>
    <row r="27" ht="24" customHeight="1">
      <c r="A27" s="25">
        <f>IF($B27="","","SQ-"&amp;TEXT(ROW()-4,"0000"))</f>
        <v/>
      </c>
      <c r="B27" s="141" t="n"/>
      <c r="C27" s="25" t="n"/>
      <c r="D27" s="25" t="n"/>
      <c r="E27" s="25" t="n"/>
      <c r="F27" s="25" t="n"/>
      <c r="G27" s="25" t="n"/>
      <c r="H27" s="25" t="n"/>
      <c r="I27" s="25" t="n"/>
      <c r="J27" s="25" t="n"/>
      <c r="K27" s="139" t="n"/>
      <c r="L27" s="139" t="n"/>
      <c r="M27" s="139" t="n"/>
      <c r="N27" s="139" t="n"/>
      <c r="O27" s="139" t="n"/>
      <c r="P27" s="139" t="n"/>
      <c r="Q27" s="139" t="n"/>
      <c r="R27" s="142">
        <f>IF(COUNT($K27:$Q27)&lt;7,"",ROUND(($K27*'配置项'!$C$6+$L27*'配置项'!$C$7+$M27*'配置项'!$C$8+$N27*'配置项'!$C$9+$O27*'配置项'!$C$10+$P27*'配置项'!$C$11+$Q27*'配置项'!$C$12)*20,1))</f>
        <v/>
      </c>
      <c r="S27" s="25">
        <f>IF($R27="","",IF($R27&gt;='配置项'!$G$6,"优秀",IF($R27&gt;='配置项'!$G$7,"良好",IF($R27&gt;='配置项'!$G$8,"需关注","不合格"))))</f>
        <v/>
      </c>
      <c r="T27" s="25" t="n"/>
      <c r="U27" s="25" t="n"/>
      <c r="V27" s="28" t="n"/>
      <c r="W27" s="28" t="n"/>
      <c r="X27" s="25" t="n"/>
      <c r="Y27" s="25" t="n"/>
    </row>
    <row r="28" ht="24" customHeight="1">
      <c r="A28" s="25">
        <f>IF($B28="","","SQ-"&amp;TEXT(ROW()-4,"0000"))</f>
        <v/>
      </c>
      <c r="B28" s="141" t="n"/>
      <c r="C28" s="25" t="n"/>
      <c r="D28" s="25" t="n"/>
      <c r="E28" s="25" t="n"/>
      <c r="F28" s="25" t="n"/>
      <c r="G28" s="25" t="n"/>
      <c r="H28" s="25" t="n"/>
      <c r="I28" s="25" t="n"/>
      <c r="J28" s="25" t="n"/>
      <c r="K28" s="139" t="n"/>
      <c r="L28" s="139" t="n"/>
      <c r="M28" s="139" t="n"/>
      <c r="N28" s="139" t="n"/>
      <c r="O28" s="139" t="n"/>
      <c r="P28" s="139" t="n"/>
      <c r="Q28" s="139" t="n"/>
      <c r="R28" s="142">
        <f>IF(COUNT($K28:$Q28)&lt;7,"",ROUND(($K28*'配置项'!$C$6+$L28*'配置项'!$C$7+$M28*'配置项'!$C$8+$N28*'配置项'!$C$9+$O28*'配置项'!$C$10+$P28*'配置项'!$C$11+$Q28*'配置项'!$C$12)*20,1))</f>
        <v/>
      </c>
      <c r="S28" s="25">
        <f>IF($R28="","",IF($R28&gt;='配置项'!$G$6,"优秀",IF($R28&gt;='配置项'!$G$7,"良好",IF($R28&gt;='配置项'!$G$8,"需关注","不合格"))))</f>
        <v/>
      </c>
      <c r="T28" s="25" t="n"/>
      <c r="U28" s="25" t="n"/>
      <c r="V28" s="28" t="n"/>
      <c r="W28" s="28" t="n"/>
      <c r="X28" s="25" t="n"/>
      <c r="Y28" s="25" t="n"/>
    </row>
    <row r="29" ht="24" customHeight="1">
      <c r="A29" s="25">
        <f>IF($B29="","","SQ-"&amp;TEXT(ROW()-4,"0000"))</f>
        <v/>
      </c>
      <c r="B29" s="141" t="n"/>
      <c r="C29" s="25" t="n"/>
      <c r="D29" s="25" t="n"/>
      <c r="E29" s="25" t="n"/>
      <c r="F29" s="25" t="n"/>
      <c r="G29" s="25" t="n"/>
      <c r="H29" s="25" t="n"/>
      <c r="I29" s="25" t="n"/>
      <c r="J29" s="25" t="n"/>
      <c r="K29" s="139" t="n"/>
      <c r="L29" s="139" t="n"/>
      <c r="M29" s="139" t="n"/>
      <c r="N29" s="139" t="n"/>
      <c r="O29" s="139" t="n"/>
      <c r="P29" s="139" t="n"/>
      <c r="Q29" s="139" t="n"/>
      <c r="R29" s="142">
        <f>IF(COUNT($K29:$Q29)&lt;7,"",ROUND(($K29*'配置项'!$C$6+$L29*'配置项'!$C$7+$M29*'配置项'!$C$8+$N29*'配置项'!$C$9+$O29*'配置项'!$C$10+$P29*'配置项'!$C$11+$Q29*'配置项'!$C$12)*20,1))</f>
        <v/>
      </c>
      <c r="S29" s="25">
        <f>IF($R29="","",IF($R29&gt;='配置项'!$G$6,"优秀",IF($R29&gt;='配置项'!$G$7,"良好",IF($R29&gt;='配置项'!$G$8,"需关注","不合格"))))</f>
        <v/>
      </c>
      <c r="T29" s="25" t="n"/>
      <c r="U29" s="25" t="n"/>
      <c r="V29" s="28" t="n"/>
      <c r="W29" s="28" t="n"/>
      <c r="X29" s="25" t="n"/>
      <c r="Y29" s="25" t="n"/>
    </row>
    <row r="30" ht="24" customHeight="1">
      <c r="A30" s="25">
        <f>IF($B30="","","SQ-"&amp;TEXT(ROW()-4,"0000"))</f>
        <v/>
      </c>
      <c r="B30" s="141" t="n"/>
      <c r="C30" s="25" t="n"/>
      <c r="D30" s="25" t="n"/>
      <c r="E30" s="25" t="n"/>
      <c r="F30" s="25" t="n"/>
      <c r="G30" s="25" t="n"/>
      <c r="H30" s="25" t="n"/>
      <c r="I30" s="25" t="n"/>
      <c r="J30" s="25" t="n"/>
      <c r="K30" s="139" t="n"/>
      <c r="L30" s="139" t="n"/>
      <c r="M30" s="139" t="n"/>
      <c r="N30" s="139" t="n"/>
      <c r="O30" s="139" t="n"/>
      <c r="P30" s="139" t="n"/>
      <c r="Q30" s="139" t="n"/>
      <c r="R30" s="142">
        <f>IF(COUNT($K30:$Q30)&lt;7,"",ROUND(($K30*'配置项'!$C$6+$L30*'配置项'!$C$7+$M30*'配置项'!$C$8+$N30*'配置项'!$C$9+$O30*'配置项'!$C$10+$P30*'配置项'!$C$11+$Q30*'配置项'!$C$12)*20,1))</f>
        <v/>
      </c>
      <c r="S30" s="25">
        <f>IF($R30="","",IF($R30&gt;='配置项'!$G$6,"优秀",IF($R30&gt;='配置项'!$G$7,"良好",IF($R30&gt;='配置项'!$G$8,"需关注","不合格"))))</f>
        <v/>
      </c>
      <c r="T30" s="25" t="n"/>
      <c r="U30" s="25" t="n"/>
      <c r="V30" s="28" t="n"/>
      <c r="W30" s="28" t="n"/>
      <c r="X30" s="25" t="n"/>
      <c r="Y30" s="25" t="n"/>
    </row>
    <row r="31" ht="24" customHeight="1">
      <c r="A31" s="25">
        <f>IF($B31="","","SQ-"&amp;TEXT(ROW()-4,"0000"))</f>
        <v/>
      </c>
      <c r="B31" s="141" t="n"/>
      <c r="C31" s="25" t="n"/>
      <c r="D31" s="25" t="n"/>
      <c r="E31" s="25" t="n"/>
      <c r="F31" s="25" t="n"/>
      <c r="G31" s="25" t="n"/>
      <c r="H31" s="25" t="n"/>
      <c r="I31" s="25" t="n"/>
      <c r="J31" s="25" t="n"/>
      <c r="K31" s="139" t="n"/>
      <c r="L31" s="139" t="n"/>
      <c r="M31" s="139" t="n"/>
      <c r="N31" s="139" t="n"/>
      <c r="O31" s="139" t="n"/>
      <c r="P31" s="139" t="n"/>
      <c r="Q31" s="139" t="n"/>
      <c r="R31" s="142">
        <f>IF(COUNT($K31:$Q31)&lt;7,"",ROUND(($K31*'配置项'!$C$6+$L31*'配置项'!$C$7+$M31*'配置项'!$C$8+$N31*'配置项'!$C$9+$O31*'配置项'!$C$10+$P31*'配置项'!$C$11+$Q31*'配置项'!$C$12)*20,1))</f>
        <v/>
      </c>
      <c r="S31" s="25">
        <f>IF($R31="","",IF($R31&gt;='配置项'!$G$6,"优秀",IF($R31&gt;='配置项'!$G$7,"良好",IF($R31&gt;='配置项'!$G$8,"需关注","不合格"))))</f>
        <v/>
      </c>
      <c r="T31" s="25" t="n"/>
      <c r="U31" s="25" t="n"/>
      <c r="V31" s="28" t="n"/>
      <c r="W31" s="28" t="n"/>
      <c r="X31" s="25" t="n"/>
      <c r="Y31" s="25" t="n"/>
    </row>
    <row r="32" ht="24" customHeight="1">
      <c r="A32" s="25">
        <f>IF($B32="","","SQ-"&amp;TEXT(ROW()-4,"0000"))</f>
        <v/>
      </c>
      <c r="B32" s="141" t="n"/>
      <c r="C32" s="25" t="n"/>
      <c r="D32" s="25" t="n"/>
      <c r="E32" s="25" t="n"/>
      <c r="F32" s="25" t="n"/>
      <c r="G32" s="25" t="n"/>
      <c r="H32" s="25" t="n"/>
      <c r="I32" s="25" t="n"/>
      <c r="J32" s="25" t="n"/>
      <c r="K32" s="139" t="n"/>
      <c r="L32" s="139" t="n"/>
      <c r="M32" s="139" t="n"/>
      <c r="N32" s="139" t="n"/>
      <c r="O32" s="139" t="n"/>
      <c r="P32" s="139" t="n"/>
      <c r="Q32" s="139" t="n"/>
      <c r="R32" s="142">
        <f>IF(COUNT($K32:$Q32)&lt;7,"",ROUND(($K32*'配置项'!$C$6+$L32*'配置项'!$C$7+$M32*'配置项'!$C$8+$N32*'配置项'!$C$9+$O32*'配置项'!$C$10+$P32*'配置项'!$C$11+$Q32*'配置项'!$C$12)*20,1))</f>
        <v/>
      </c>
      <c r="S32" s="25">
        <f>IF($R32="","",IF($R32&gt;='配置项'!$G$6,"优秀",IF($R32&gt;='配置项'!$G$7,"良好",IF($R32&gt;='配置项'!$G$8,"需关注","不合格"))))</f>
        <v/>
      </c>
      <c r="T32" s="25" t="n"/>
      <c r="U32" s="25" t="n"/>
      <c r="V32" s="28" t="n"/>
      <c r="W32" s="28" t="n"/>
      <c r="X32" s="25" t="n"/>
      <c r="Y32" s="25" t="n"/>
    </row>
    <row r="33" ht="24" customHeight="1">
      <c r="A33" s="25">
        <f>IF($B33="","","SQ-"&amp;TEXT(ROW()-4,"0000"))</f>
        <v/>
      </c>
      <c r="B33" s="141" t="n"/>
      <c r="C33" s="25" t="n"/>
      <c r="D33" s="25" t="n"/>
      <c r="E33" s="25" t="n"/>
      <c r="F33" s="25" t="n"/>
      <c r="G33" s="25" t="n"/>
      <c r="H33" s="25" t="n"/>
      <c r="I33" s="25" t="n"/>
      <c r="J33" s="25" t="n"/>
      <c r="K33" s="139" t="n"/>
      <c r="L33" s="139" t="n"/>
      <c r="M33" s="139" t="n"/>
      <c r="N33" s="139" t="n"/>
      <c r="O33" s="139" t="n"/>
      <c r="P33" s="139" t="n"/>
      <c r="Q33" s="139" t="n"/>
      <c r="R33" s="142">
        <f>IF(COUNT($K33:$Q33)&lt;7,"",ROUND(($K33*'配置项'!$C$6+$L33*'配置项'!$C$7+$M33*'配置项'!$C$8+$N33*'配置项'!$C$9+$O33*'配置项'!$C$10+$P33*'配置项'!$C$11+$Q33*'配置项'!$C$12)*20,1))</f>
        <v/>
      </c>
      <c r="S33" s="25">
        <f>IF($R33="","",IF($R33&gt;='配置项'!$G$6,"优秀",IF($R33&gt;='配置项'!$G$7,"良好",IF($R33&gt;='配置项'!$G$8,"需关注","不合格"))))</f>
        <v/>
      </c>
      <c r="T33" s="25" t="n"/>
      <c r="U33" s="25" t="n"/>
      <c r="V33" s="28" t="n"/>
      <c r="W33" s="28" t="n"/>
      <c r="X33" s="25" t="n"/>
      <c r="Y33" s="25" t="n"/>
    </row>
    <row r="34" ht="24" customHeight="1">
      <c r="A34" s="25">
        <f>IF($B34="","","SQ-"&amp;TEXT(ROW()-4,"0000"))</f>
        <v/>
      </c>
      <c r="B34" s="141" t="n"/>
      <c r="C34" s="25" t="n"/>
      <c r="D34" s="25" t="n"/>
      <c r="E34" s="25" t="n"/>
      <c r="F34" s="25" t="n"/>
      <c r="G34" s="25" t="n"/>
      <c r="H34" s="25" t="n"/>
      <c r="I34" s="25" t="n"/>
      <c r="J34" s="25" t="n"/>
      <c r="K34" s="139" t="n"/>
      <c r="L34" s="139" t="n"/>
      <c r="M34" s="139" t="n"/>
      <c r="N34" s="139" t="n"/>
      <c r="O34" s="139" t="n"/>
      <c r="P34" s="139" t="n"/>
      <c r="Q34" s="139" t="n"/>
      <c r="R34" s="142">
        <f>IF(COUNT($K34:$Q34)&lt;7,"",ROUND(($K34*'配置项'!$C$6+$L34*'配置项'!$C$7+$M34*'配置项'!$C$8+$N34*'配置项'!$C$9+$O34*'配置项'!$C$10+$P34*'配置项'!$C$11+$Q34*'配置项'!$C$12)*20,1))</f>
        <v/>
      </c>
      <c r="S34" s="25">
        <f>IF($R34="","",IF($R34&gt;='配置项'!$G$6,"优秀",IF($R34&gt;='配置项'!$G$7,"良好",IF($R34&gt;='配置项'!$G$8,"需关注","不合格"))))</f>
        <v/>
      </c>
      <c r="T34" s="25" t="n"/>
      <c r="U34" s="25" t="n"/>
      <c r="V34" s="28" t="n"/>
      <c r="W34" s="28" t="n"/>
      <c r="X34" s="25" t="n"/>
      <c r="Y34" s="25" t="n"/>
    </row>
    <row r="35" ht="24" customHeight="1">
      <c r="A35" s="25">
        <f>IF($B35="","","SQ-"&amp;TEXT(ROW()-4,"0000"))</f>
        <v/>
      </c>
      <c r="B35" s="141" t="n"/>
      <c r="C35" s="25" t="n"/>
      <c r="D35" s="25" t="n"/>
      <c r="E35" s="25" t="n"/>
      <c r="F35" s="25" t="n"/>
      <c r="G35" s="25" t="n"/>
      <c r="H35" s="25" t="n"/>
      <c r="I35" s="25" t="n"/>
      <c r="J35" s="25" t="n"/>
      <c r="K35" s="139" t="n"/>
      <c r="L35" s="139" t="n"/>
      <c r="M35" s="139" t="n"/>
      <c r="N35" s="139" t="n"/>
      <c r="O35" s="139" t="n"/>
      <c r="P35" s="139" t="n"/>
      <c r="Q35" s="139" t="n"/>
      <c r="R35" s="142">
        <f>IF(COUNT($K35:$Q35)&lt;7,"",ROUND(($K35*'配置项'!$C$6+$L35*'配置项'!$C$7+$M35*'配置项'!$C$8+$N35*'配置项'!$C$9+$O35*'配置项'!$C$10+$P35*'配置项'!$C$11+$Q35*'配置项'!$C$12)*20,1))</f>
        <v/>
      </c>
      <c r="S35" s="25">
        <f>IF($R35="","",IF($R35&gt;='配置项'!$G$6,"优秀",IF($R35&gt;='配置项'!$G$7,"良好",IF($R35&gt;='配置项'!$G$8,"需关注","不合格"))))</f>
        <v/>
      </c>
      <c r="T35" s="25" t="n"/>
      <c r="U35" s="25" t="n"/>
      <c r="V35" s="28" t="n"/>
      <c r="W35" s="28" t="n"/>
      <c r="X35" s="25" t="n"/>
      <c r="Y35" s="25" t="n"/>
    </row>
    <row r="36" ht="24" customHeight="1">
      <c r="A36" s="25">
        <f>IF($B36="","","SQ-"&amp;TEXT(ROW()-4,"0000"))</f>
        <v/>
      </c>
      <c r="B36" s="141" t="n"/>
      <c r="C36" s="25" t="n"/>
      <c r="D36" s="25" t="n"/>
      <c r="E36" s="25" t="n"/>
      <c r="F36" s="25" t="n"/>
      <c r="G36" s="25" t="n"/>
      <c r="H36" s="25" t="n"/>
      <c r="I36" s="25" t="n"/>
      <c r="J36" s="25" t="n"/>
      <c r="K36" s="139" t="n"/>
      <c r="L36" s="139" t="n"/>
      <c r="M36" s="139" t="n"/>
      <c r="N36" s="139" t="n"/>
      <c r="O36" s="139" t="n"/>
      <c r="P36" s="139" t="n"/>
      <c r="Q36" s="139" t="n"/>
      <c r="R36" s="142">
        <f>IF(COUNT($K36:$Q36)&lt;7,"",ROUND(($K36*'配置项'!$C$6+$L36*'配置项'!$C$7+$M36*'配置项'!$C$8+$N36*'配置项'!$C$9+$O36*'配置项'!$C$10+$P36*'配置项'!$C$11+$Q36*'配置项'!$C$12)*20,1))</f>
        <v/>
      </c>
      <c r="S36" s="25">
        <f>IF($R36="","",IF($R36&gt;='配置项'!$G$6,"优秀",IF($R36&gt;='配置项'!$G$7,"良好",IF($R36&gt;='配置项'!$G$8,"需关注","不合格"))))</f>
        <v/>
      </c>
      <c r="T36" s="25" t="n"/>
      <c r="U36" s="25" t="n"/>
      <c r="V36" s="28" t="n"/>
      <c r="W36" s="28" t="n"/>
      <c r="X36" s="25" t="n"/>
      <c r="Y36" s="25" t="n"/>
    </row>
    <row r="37" ht="24" customHeight="1">
      <c r="A37" s="25">
        <f>IF($B37="","","SQ-"&amp;TEXT(ROW()-4,"0000"))</f>
        <v/>
      </c>
      <c r="B37" s="141" t="n"/>
      <c r="C37" s="25" t="n"/>
      <c r="D37" s="25" t="n"/>
      <c r="E37" s="25" t="n"/>
      <c r="F37" s="25" t="n"/>
      <c r="G37" s="25" t="n"/>
      <c r="H37" s="25" t="n"/>
      <c r="I37" s="25" t="n"/>
      <c r="J37" s="25" t="n"/>
      <c r="K37" s="139" t="n"/>
      <c r="L37" s="139" t="n"/>
      <c r="M37" s="139" t="n"/>
      <c r="N37" s="139" t="n"/>
      <c r="O37" s="139" t="n"/>
      <c r="P37" s="139" t="n"/>
      <c r="Q37" s="139" t="n"/>
      <c r="R37" s="142">
        <f>IF(COUNT($K37:$Q37)&lt;7,"",ROUND(($K37*'配置项'!$C$6+$L37*'配置项'!$C$7+$M37*'配置项'!$C$8+$N37*'配置项'!$C$9+$O37*'配置项'!$C$10+$P37*'配置项'!$C$11+$Q37*'配置项'!$C$12)*20,1))</f>
        <v/>
      </c>
      <c r="S37" s="25">
        <f>IF($R37="","",IF($R37&gt;='配置项'!$G$6,"优秀",IF($R37&gt;='配置项'!$G$7,"良好",IF($R37&gt;='配置项'!$G$8,"需关注","不合格"))))</f>
        <v/>
      </c>
      <c r="T37" s="25" t="n"/>
      <c r="U37" s="25" t="n"/>
      <c r="V37" s="28" t="n"/>
      <c r="W37" s="28" t="n"/>
      <c r="X37" s="25" t="n"/>
      <c r="Y37" s="25" t="n"/>
    </row>
    <row r="38" ht="24" customHeight="1">
      <c r="A38" s="25">
        <f>IF($B38="","","SQ-"&amp;TEXT(ROW()-4,"0000"))</f>
        <v/>
      </c>
      <c r="B38" s="141" t="n"/>
      <c r="C38" s="25" t="n"/>
      <c r="D38" s="25" t="n"/>
      <c r="E38" s="25" t="n"/>
      <c r="F38" s="25" t="n"/>
      <c r="G38" s="25" t="n"/>
      <c r="H38" s="25" t="n"/>
      <c r="I38" s="25" t="n"/>
      <c r="J38" s="25" t="n"/>
      <c r="K38" s="139" t="n"/>
      <c r="L38" s="139" t="n"/>
      <c r="M38" s="139" t="n"/>
      <c r="N38" s="139" t="n"/>
      <c r="O38" s="139" t="n"/>
      <c r="P38" s="139" t="n"/>
      <c r="Q38" s="139" t="n"/>
      <c r="R38" s="142">
        <f>IF(COUNT($K38:$Q38)&lt;7,"",ROUND(($K38*'配置项'!$C$6+$L38*'配置项'!$C$7+$M38*'配置项'!$C$8+$N38*'配置项'!$C$9+$O38*'配置项'!$C$10+$P38*'配置项'!$C$11+$Q38*'配置项'!$C$12)*20,1))</f>
        <v/>
      </c>
      <c r="S38" s="25">
        <f>IF($R38="","",IF($R38&gt;='配置项'!$G$6,"优秀",IF($R38&gt;='配置项'!$G$7,"良好",IF($R38&gt;='配置项'!$G$8,"需关注","不合格"))))</f>
        <v/>
      </c>
      <c r="T38" s="25" t="n"/>
      <c r="U38" s="25" t="n"/>
      <c r="V38" s="28" t="n"/>
      <c r="W38" s="28" t="n"/>
      <c r="X38" s="25" t="n"/>
      <c r="Y38" s="25" t="n"/>
    </row>
    <row r="39" ht="24" customHeight="1">
      <c r="A39" s="25">
        <f>IF($B39="","","SQ-"&amp;TEXT(ROW()-4,"0000"))</f>
        <v/>
      </c>
      <c r="B39" s="141" t="n"/>
      <c r="C39" s="25" t="n"/>
      <c r="D39" s="25" t="n"/>
      <c r="E39" s="25" t="n"/>
      <c r="F39" s="25" t="n"/>
      <c r="G39" s="25" t="n"/>
      <c r="H39" s="25" t="n"/>
      <c r="I39" s="25" t="n"/>
      <c r="J39" s="25" t="n"/>
      <c r="K39" s="139" t="n"/>
      <c r="L39" s="139" t="n"/>
      <c r="M39" s="139" t="n"/>
      <c r="N39" s="139" t="n"/>
      <c r="O39" s="139" t="n"/>
      <c r="P39" s="139" t="n"/>
      <c r="Q39" s="139" t="n"/>
      <c r="R39" s="142">
        <f>IF(COUNT($K39:$Q39)&lt;7,"",ROUND(($K39*'配置项'!$C$6+$L39*'配置项'!$C$7+$M39*'配置项'!$C$8+$N39*'配置项'!$C$9+$O39*'配置项'!$C$10+$P39*'配置项'!$C$11+$Q39*'配置项'!$C$12)*20,1))</f>
        <v/>
      </c>
      <c r="S39" s="25">
        <f>IF($R39="","",IF($R39&gt;='配置项'!$G$6,"优秀",IF($R39&gt;='配置项'!$G$7,"良好",IF($R39&gt;='配置项'!$G$8,"需关注","不合格"))))</f>
        <v/>
      </c>
      <c r="T39" s="25" t="n"/>
      <c r="U39" s="25" t="n"/>
      <c r="V39" s="28" t="n"/>
      <c r="W39" s="28" t="n"/>
      <c r="X39" s="25" t="n"/>
      <c r="Y39" s="25" t="n"/>
    </row>
    <row r="40" ht="24" customHeight="1">
      <c r="A40" s="25">
        <f>IF($B40="","","SQ-"&amp;TEXT(ROW()-4,"0000"))</f>
        <v/>
      </c>
      <c r="B40" s="141" t="n"/>
      <c r="C40" s="25" t="n"/>
      <c r="D40" s="25" t="n"/>
      <c r="E40" s="25" t="n"/>
      <c r="F40" s="25" t="n"/>
      <c r="G40" s="25" t="n"/>
      <c r="H40" s="25" t="n"/>
      <c r="I40" s="25" t="n"/>
      <c r="J40" s="25" t="n"/>
      <c r="K40" s="139" t="n"/>
      <c r="L40" s="139" t="n"/>
      <c r="M40" s="139" t="n"/>
      <c r="N40" s="139" t="n"/>
      <c r="O40" s="139" t="n"/>
      <c r="P40" s="139" t="n"/>
      <c r="Q40" s="139" t="n"/>
      <c r="R40" s="142">
        <f>IF(COUNT($K40:$Q40)&lt;7,"",ROUND(($K40*'配置项'!$C$6+$L40*'配置项'!$C$7+$M40*'配置项'!$C$8+$N40*'配置项'!$C$9+$O40*'配置项'!$C$10+$P40*'配置项'!$C$11+$Q40*'配置项'!$C$12)*20,1))</f>
        <v/>
      </c>
      <c r="S40" s="25">
        <f>IF($R40="","",IF($R40&gt;='配置项'!$G$6,"优秀",IF($R40&gt;='配置项'!$G$7,"良好",IF($R40&gt;='配置项'!$G$8,"需关注","不合格"))))</f>
        <v/>
      </c>
      <c r="T40" s="25" t="n"/>
      <c r="U40" s="25" t="n"/>
      <c r="V40" s="28" t="n"/>
      <c r="W40" s="28" t="n"/>
      <c r="X40" s="25" t="n"/>
      <c r="Y40" s="25" t="n"/>
    </row>
    <row r="41" ht="24" customHeight="1">
      <c r="A41" s="25">
        <f>IF($B41="","","SQ-"&amp;TEXT(ROW()-4,"0000"))</f>
        <v/>
      </c>
      <c r="B41" s="141" t="n"/>
      <c r="C41" s="25" t="n"/>
      <c r="D41" s="25" t="n"/>
      <c r="E41" s="25" t="n"/>
      <c r="F41" s="25" t="n"/>
      <c r="G41" s="25" t="n"/>
      <c r="H41" s="25" t="n"/>
      <c r="I41" s="25" t="n"/>
      <c r="J41" s="25" t="n"/>
      <c r="K41" s="139" t="n"/>
      <c r="L41" s="139" t="n"/>
      <c r="M41" s="139" t="n"/>
      <c r="N41" s="139" t="n"/>
      <c r="O41" s="139" t="n"/>
      <c r="P41" s="139" t="n"/>
      <c r="Q41" s="139" t="n"/>
      <c r="R41" s="142">
        <f>IF(COUNT($K41:$Q41)&lt;7,"",ROUND(($K41*'配置项'!$C$6+$L41*'配置项'!$C$7+$M41*'配置项'!$C$8+$N41*'配置项'!$C$9+$O41*'配置项'!$C$10+$P41*'配置项'!$C$11+$Q41*'配置项'!$C$12)*20,1))</f>
        <v/>
      </c>
      <c r="S41" s="25">
        <f>IF($R41="","",IF($R41&gt;='配置项'!$G$6,"优秀",IF($R41&gt;='配置项'!$G$7,"良好",IF($R41&gt;='配置项'!$G$8,"需关注","不合格"))))</f>
        <v/>
      </c>
      <c r="T41" s="25" t="n"/>
      <c r="U41" s="25" t="n"/>
      <c r="V41" s="28" t="n"/>
      <c r="W41" s="28" t="n"/>
      <c r="X41" s="25" t="n"/>
      <c r="Y41" s="25" t="n"/>
    </row>
    <row r="42" ht="24" customHeight="1">
      <c r="A42" s="25">
        <f>IF($B42="","","SQ-"&amp;TEXT(ROW()-4,"0000"))</f>
        <v/>
      </c>
      <c r="B42" s="141" t="n"/>
      <c r="C42" s="25" t="n"/>
      <c r="D42" s="25" t="n"/>
      <c r="E42" s="25" t="n"/>
      <c r="F42" s="25" t="n"/>
      <c r="G42" s="25" t="n"/>
      <c r="H42" s="25" t="n"/>
      <c r="I42" s="25" t="n"/>
      <c r="J42" s="25" t="n"/>
      <c r="K42" s="139" t="n"/>
      <c r="L42" s="139" t="n"/>
      <c r="M42" s="139" t="n"/>
      <c r="N42" s="139" t="n"/>
      <c r="O42" s="139" t="n"/>
      <c r="P42" s="139" t="n"/>
      <c r="Q42" s="139" t="n"/>
      <c r="R42" s="142">
        <f>IF(COUNT($K42:$Q42)&lt;7,"",ROUND(($K42*'配置项'!$C$6+$L42*'配置项'!$C$7+$M42*'配置项'!$C$8+$N42*'配置项'!$C$9+$O42*'配置项'!$C$10+$P42*'配置项'!$C$11+$Q42*'配置项'!$C$12)*20,1))</f>
        <v/>
      </c>
      <c r="S42" s="25">
        <f>IF($R42="","",IF($R42&gt;='配置项'!$G$6,"优秀",IF($R42&gt;='配置项'!$G$7,"良好",IF($R42&gt;='配置项'!$G$8,"需关注","不合格"))))</f>
        <v/>
      </c>
      <c r="T42" s="25" t="n"/>
      <c r="U42" s="25" t="n"/>
      <c r="V42" s="28" t="n"/>
      <c r="W42" s="28" t="n"/>
      <c r="X42" s="25" t="n"/>
      <c r="Y42" s="25" t="n"/>
    </row>
    <row r="43" ht="24" customHeight="1">
      <c r="A43" s="25">
        <f>IF($B43="","","SQ-"&amp;TEXT(ROW()-4,"0000"))</f>
        <v/>
      </c>
      <c r="B43" s="141" t="n"/>
      <c r="C43" s="25" t="n"/>
      <c r="D43" s="25" t="n"/>
      <c r="E43" s="25" t="n"/>
      <c r="F43" s="25" t="n"/>
      <c r="G43" s="25" t="n"/>
      <c r="H43" s="25" t="n"/>
      <c r="I43" s="25" t="n"/>
      <c r="J43" s="25" t="n"/>
      <c r="K43" s="139" t="n"/>
      <c r="L43" s="139" t="n"/>
      <c r="M43" s="139" t="n"/>
      <c r="N43" s="139" t="n"/>
      <c r="O43" s="139" t="n"/>
      <c r="P43" s="139" t="n"/>
      <c r="Q43" s="139" t="n"/>
      <c r="R43" s="142">
        <f>IF(COUNT($K43:$Q43)&lt;7,"",ROUND(($K43*'配置项'!$C$6+$L43*'配置项'!$C$7+$M43*'配置项'!$C$8+$N43*'配置项'!$C$9+$O43*'配置项'!$C$10+$P43*'配置项'!$C$11+$Q43*'配置项'!$C$12)*20,1))</f>
        <v/>
      </c>
      <c r="S43" s="25">
        <f>IF($R43="","",IF($R43&gt;='配置项'!$G$6,"优秀",IF($R43&gt;='配置项'!$G$7,"良好",IF($R43&gt;='配置项'!$G$8,"需关注","不合格"))))</f>
        <v/>
      </c>
      <c r="T43" s="25" t="n"/>
      <c r="U43" s="25" t="n"/>
      <c r="V43" s="28" t="n"/>
      <c r="W43" s="28" t="n"/>
      <c r="X43" s="25" t="n"/>
      <c r="Y43" s="25" t="n"/>
    </row>
    <row r="44" ht="24" customHeight="1">
      <c r="A44" s="25">
        <f>IF($B44="","","SQ-"&amp;TEXT(ROW()-4,"0000"))</f>
        <v/>
      </c>
      <c r="B44" s="141" t="n"/>
      <c r="C44" s="25" t="n"/>
      <c r="D44" s="25" t="n"/>
      <c r="E44" s="25" t="n"/>
      <c r="F44" s="25" t="n"/>
      <c r="G44" s="25" t="n"/>
      <c r="H44" s="25" t="n"/>
      <c r="I44" s="25" t="n"/>
      <c r="J44" s="25" t="n"/>
      <c r="K44" s="139" t="n"/>
      <c r="L44" s="139" t="n"/>
      <c r="M44" s="139" t="n"/>
      <c r="N44" s="139" t="n"/>
      <c r="O44" s="139" t="n"/>
      <c r="P44" s="139" t="n"/>
      <c r="Q44" s="139" t="n"/>
      <c r="R44" s="142">
        <f>IF(COUNT($K44:$Q44)&lt;7,"",ROUND(($K44*'配置项'!$C$6+$L44*'配置项'!$C$7+$M44*'配置项'!$C$8+$N44*'配置项'!$C$9+$O44*'配置项'!$C$10+$P44*'配置项'!$C$11+$Q44*'配置项'!$C$12)*20,1))</f>
        <v/>
      </c>
      <c r="S44" s="25">
        <f>IF($R44="","",IF($R44&gt;='配置项'!$G$6,"优秀",IF($R44&gt;='配置项'!$G$7,"良好",IF($R44&gt;='配置项'!$G$8,"需关注","不合格"))))</f>
        <v/>
      </c>
      <c r="T44" s="25" t="n"/>
      <c r="U44" s="25" t="n"/>
      <c r="V44" s="28" t="n"/>
      <c r="W44" s="28" t="n"/>
      <c r="X44" s="25" t="n"/>
      <c r="Y44" s="25" t="n"/>
    </row>
    <row r="45" ht="24" customHeight="1">
      <c r="A45" s="25">
        <f>IF($B45="","","SQ-"&amp;TEXT(ROW()-4,"0000"))</f>
        <v/>
      </c>
      <c r="B45" s="141" t="n"/>
      <c r="C45" s="25" t="n"/>
      <c r="D45" s="25" t="n"/>
      <c r="E45" s="25" t="n"/>
      <c r="F45" s="25" t="n"/>
      <c r="G45" s="25" t="n"/>
      <c r="H45" s="25" t="n"/>
      <c r="I45" s="25" t="n"/>
      <c r="J45" s="25" t="n"/>
      <c r="K45" s="139" t="n"/>
      <c r="L45" s="139" t="n"/>
      <c r="M45" s="139" t="n"/>
      <c r="N45" s="139" t="n"/>
      <c r="O45" s="139" t="n"/>
      <c r="P45" s="139" t="n"/>
      <c r="Q45" s="139" t="n"/>
      <c r="R45" s="142">
        <f>IF(COUNT($K45:$Q45)&lt;7,"",ROUND(($K45*'配置项'!$C$6+$L45*'配置项'!$C$7+$M45*'配置项'!$C$8+$N45*'配置项'!$C$9+$O45*'配置项'!$C$10+$P45*'配置项'!$C$11+$Q45*'配置项'!$C$12)*20,1))</f>
        <v/>
      </c>
      <c r="S45" s="25">
        <f>IF($R45="","",IF($R45&gt;='配置项'!$G$6,"优秀",IF($R45&gt;='配置项'!$G$7,"良好",IF($R45&gt;='配置项'!$G$8,"需关注","不合格"))))</f>
        <v/>
      </c>
      <c r="T45" s="25" t="n"/>
      <c r="U45" s="25" t="n"/>
      <c r="V45" s="28" t="n"/>
      <c r="W45" s="28" t="n"/>
      <c r="X45" s="25" t="n"/>
      <c r="Y45" s="25" t="n"/>
    </row>
    <row r="46" ht="24" customHeight="1">
      <c r="A46" s="25">
        <f>IF($B46="","","SQ-"&amp;TEXT(ROW()-4,"0000"))</f>
        <v/>
      </c>
      <c r="B46" s="141" t="n"/>
      <c r="C46" s="25" t="n"/>
      <c r="D46" s="25" t="n"/>
      <c r="E46" s="25" t="n"/>
      <c r="F46" s="25" t="n"/>
      <c r="G46" s="25" t="n"/>
      <c r="H46" s="25" t="n"/>
      <c r="I46" s="25" t="n"/>
      <c r="J46" s="25" t="n"/>
      <c r="K46" s="139" t="n"/>
      <c r="L46" s="139" t="n"/>
      <c r="M46" s="139" t="n"/>
      <c r="N46" s="139" t="n"/>
      <c r="O46" s="139" t="n"/>
      <c r="P46" s="139" t="n"/>
      <c r="Q46" s="139" t="n"/>
      <c r="R46" s="142">
        <f>IF(COUNT($K46:$Q46)&lt;7,"",ROUND(($K46*'配置项'!$C$6+$L46*'配置项'!$C$7+$M46*'配置项'!$C$8+$N46*'配置项'!$C$9+$O46*'配置项'!$C$10+$P46*'配置项'!$C$11+$Q46*'配置项'!$C$12)*20,1))</f>
        <v/>
      </c>
      <c r="S46" s="25">
        <f>IF($R46="","",IF($R46&gt;='配置项'!$G$6,"优秀",IF($R46&gt;='配置项'!$G$7,"良好",IF($R46&gt;='配置项'!$G$8,"需关注","不合格"))))</f>
        <v/>
      </c>
      <c r="T46" s="25" t="n"/>
      <c r="U46" s="25" t="n"/>
      <c r="V46" s="28" t="n"/>
      <c r="W46" s="28" t="n"/>
      <c r="X46" s="25" t="n"/>
      <c r="Y46" s="25" t="n"/>
    </row>
    <row r="47" ht="24" customHeight="1">
      <c r="A47" s="25">
        <f>IF($B47="","","SQ-"&amp;TEXT(ROW()-4,"0000"))</f>
        <v/>
      </c>
      <c r="B47" s="141" t="n"/>
      <c r="C47" s="25" t="n"/>
      <c r="D47" s="25" t="n"/>
      <c r="E47" s="25" t="n"/>
      <c r="F47" s="25" t="n"/>
      <c r="G47" s="25" t="n"/>
      <c r="H47" s="25" t="n"/>
      <c r="I47" s="25" t="n"/>
      <c r="J47" s="25" t="n"/>
      <c r="K47" s="139" t="n"/>
      <c r="L47" s="139" t="n"/>
      <c r="M47" s="139" t="n"/>
      <c r="N47" s="139" t="n"/>
      <c r="O47" s="139" t="n"/>
      <c r="P47" s="139" t="n"/>
      <c r="Q47" s="139" t="n"/>
      <c r="R47" s="142">
        <f>IF(COUNT($K47:$Q47)&lt;7,"",ROUND(($K47*'配置项'!$C$6+$L47*'配置项'!$C$7+$M47*'配置项'!$C$8+$N47*'配置项'!$C$9+$O47*'配置项'!$C$10+$P47*'配置项'!$C$11+$Q47*'配置项'!$C$12)*20,1))</f>
        <v/>
      </c>
      <c r="S47" s="25">
        <f>IF($R47="","",IF($R47&gt;='配置项'!$G$6,"优秀",IF($R47&gt;='配置项'!$G$7,"良好",IF($R47&gt;='配置项'!$G$8,"需关注","不合格"))))</f>
        <v/>
      </c>
      <c r="T47" s="25" t="n"/>
      <c r="U47" s="25" t="n"/>
      <c r="V47" s="28" t="n"/>
      <c r="W47" s="28" t="n"/>
      <c r="X47" s="25" t="n"/>
      <c r="Y47" s="25" t="n"/>
    </row>
    <row r="48" ht="24" customHeight="1">
      <c r="A48" s="25">
        <f>IF($B48="","","SQ-"&amp;TEXT(ROW()-4,"0000"))</f>
        <v/>
      </c>
      <c r="B48" s="141" t="n"/>
      <c r="C48" s="25" t="n"/>
      <c r="D48" s="25" t="n"/>
      <c r="E48" s="25" t="n"/>
      <c r="F48" s="25" t="n"/>
      <c r="G48" s="25" t="n"/>
      <c r="H48" s="25" t="n"/>
      <c r="I48" s="25" t="n"/>
      <c r="J48" s="25" t="n"/>
      <c r="K48" s="139" t="n"/>
      <c r="L48" s="139" t="n"/>
      <c r="M48" s="139" t="n"/>
      <c r="N48" s="139" t="n"/>
      <c r="O48" s="139" t="n"/>
      <c r="P48" s="139" t="n"/>
      <c r="Q48" s="139" t="n"/>
      <c r="R48" s="142">
        <f>IF(COUNT($K48:$Q48)&lt;7,"",ROUND(($K48*'配置项'!$C$6+$L48*'配置项'!$C$7+$M48*'配置项'!$C$8+$N48*'配置项'!$C$9+$O48*'配置项'!$C$10+$P48*'配置项'!$C$11+$Q48*'配置项'!$C$12)*20,1))</f>
        <v/>
      </c>
      <c r="S48" s="25">
        <f>IF($R48="","",IF($R48&gt;='配置项'!$G$6,"优秀",IF($R48&gt;='配置项'!$G$7,"良好",IF($R48&gt;='配置项'!$G$8,"需关注","不合格"))))</f>
        <v/>
      </c>
      <c r="T48" s="25" t="n"/>
      <c r="U48" s="25" t="n"/>
      <c r="V48" s="28" t="n"/>
      <c r="W48" s="28" t="n"/>
      <c r="X48" s="25" t="n"/>
      <c r="Y48" s="25" t="n"/>
    </row>
    <row r="49" ht="24" customHeight="1">
      <c r="A49" s="25">
        <f>IF($B49="","","SQ-"&amp;TEXT(ROW()-4,"0000"))</f>
        <v/>
      </c>
      <c r="B49" s="141" t="n"/>
      <c r="C49" s="25" t="n"/>
      <c r="D49" s="25" t="n"/>
      <c r="E49" s="25" t="n"/>
      <c r="F49" s="25" t="n"/>
      <c r="G49" s="25" t="n"/>
      <c r="H49" s="25" t="n"/>
      <c r="I49" s="25" t="n"/>
      <c r="J49" s="25" t="n"/>
      <c r="K49" s="139" t="n"/>
      <c r="L49" s="139" t="n"/>
      <c r="M49" s="139" t="n"/>
      <c r="N49" s="139" t="n"/>
      <c r="O49" s="139" t="n"/>
      <c r="P49" s="139" t="n"/>
      <c r="Q49" s="139" t="n"/>
      <c r="R49" s="142">
        <f>IF(COUNT($K49:$Q49)&lt;7,"",ROUND(($K49*'配置项'!$C$6+$L49*'配置项'!$C$7+$M49*'配置项'!$C$8+$N49*'配置项'!$C$9+$O49*'配置项'!$C$10+$P49*'配置项'!$C$11+$Q49*'配置项'!$C$12)*20,1))</f>
        <v/>
      </c>
      <c r="S49" s="25">
        <f>IF($R49="","",IF($R49&gt;='配置项'!$G$6,"优秀",IF($R49&gt;='配置项'!$G$7,"良好",IF($R49&gt;='配置项'!$G$8,"需关注","不合格"))))</f>
        <v/>
      </c>
      <c r="T49" s="25" t="n"/>
      <c r="U49" s="25" t="n"/>
      <c r="V49" s="28" t="n"/>
      <c r="W49" s="28" t="n"/>
      <c r="X49" s="25" t="n"/>
      <c r="Y49" s="25" t="n"/>
    </row>
    <row r="50" ht="24" customHeight="1">
      <c r="A50" s="25">
        <f>IF($B50="","","SQ-"&amp;TEXT(ROW()-4,"0000"))</f>
        <v/>
      </c>
      <c r="B50" s="141" t="n"/>
      <c r="C50" s="25" t="n"/>
      <c r="D50" s="25" t="n"/>
      <c r="E50" s="25" t="n"/>
      <c r="F50" s="25" t="n"/>
      <c r="G50" s="25" t="n"/>
      <c r="H50" s="25" t="n"/>
      <c r="I50" s="25" t="n"/>
      <c r="J50" s="25" t="n"/>
      <c r="K50" s="139" t="n"/>
      <c r="L50" s="139" t="n"/>
      <c r="M50" s="139" t="n"/>
      <c r="N50" s="139" t="n"/>
      <c r="O50" s="139" t="n"/>
      <c r="P50" s="139" t="n"/>
      <c r="Q50" s="139" t="n"/>
      <c r="R50" s="142">
        <f>IF(COUNT($K50:$Q50)&lt;7,"",ROUND(($K50*'配置项'!$C$6+$L50*'配置项'!$C$7+$M50*'配置项'!$C$8+$N50*'配置项'!$C$9+$O50*'配置项'!$C$10+$P50*'配置项'!$C$11+$Q50*'配置项'!$C$12)*20,1))</f>
        <v/>
      </c>
      <c r="S50" s="25">
        <f>IF($R50="","",IF($R50&gt;='配置项'!$G$6,"优秀",IF($R50&gt;='配置项'!$G$7,"良好",IF($R50&gt;='配置项'!$G$8,"需关注","不合格"))))</f>
        <v/>
      </c>
      <c r="T50" s="25" t="n"/>
      <c r="U50" s="25" t="n"/>
      <c r="V50" s="28" t="n"/>
      <c r="W50" s="28" t="n"/>
      <c r="X50" s="25" t="n"/>
      <c r="Y50" s="25" t="n"/>
    </row>
    <row r="51" ht="24" customHeight="1">
      <c r="A51" s="25">
        <f>IF($B51="","","SQ-"&amp;TEXT(ROW()-4,"0000"))</f>
        <v/>
      </c>
      <c r="B51" s="141" t="n"/>
      <c r="C51" s="25" t="n"/>
      <c r="D51" s="25" t="n"/>
      <c r="E51" s="25" t="n"/>
      <c r="F51" s="25" t="n"/>
      <c r="G51" s="25" t="n"/>
      <c r="H51" s="25" t="n"/>
      <c r="I51" s="25" t="n"/>
      <c r="J51" s="25" t="n"/>
      <c r="K51" s="139" t="n"/>
      <c r="L51" s="139" t="n"/>
      <c r="M51" s="139" t="n"/>
      <c r="N51" s="139" t="n"/>
      <c r="O51" s="139" t="n"/>
      <c r="P51" s="139" t="n"/>
      <c r="Q51" s="139" t="n"/>
      <c r="R51" s="142">
        <f>IF(COUNT($K51:$Q51)&lt;7,"",ROUND(($K51*'配置项'!$C$6+$L51*'配置项'!$C$7+$M51*'配置项'!$C$8+$N51*'配置项'!$C$9+$O51*'配置项'!$C$10+$P51*'配置项'!$C$11+$Q51*'配置项'!$C$12)*20,1))</f>
        <v/>
      </c>
      <c r="S51" s="25">
        <f>IF($R51="","",IF($R51&gt;='配置项'!$G$6,"优秀",IF($R51&gt;='配置项'!$G$7,"良好",IF($R51&gt;='配置项'!$G$8,"需关注","不合格"))))</f>
        <v/>
      </c>
      <c r="T51" s="25" t="n"/>
      <c r="U51" s="25" t="n"/>
      <c r="V51" s="28" t="n"/>
      <c r="W51" s="28" t="n"/>
      <c r="X51" s="25" t="n"/>
      <c r="Y51" s="25" t="n"/>
    </row>
    <row r="52" ht="24" customHeight="1">
      <c r="A52" s="25">
        <f>IF($B52="","","SQ-"&amp;TEXT(ROW()-4,"0000"))</f>
        <v/>
      </c>
      <c r="B52" s="141" t="n"/>
      <c r="C52" s="25" t="n"/>
      <c r="D52" s="25" t="n"/>
      <c r="E52" s="25" t="n"/>
      <c r="F52" s="25" t="n"/>
      <c r="G52" s="25" t="n"/>
      <c r="H52" s="25" t="n"/>
      <c r="I52" s="25" t="n"/>
      <c r="J52" s="25" t="n"/>
      <c r="K52" s="139" t="n"/>
      <c r="L52" s="139" t="n"/>
      <c r="M52" s="139" t="n"/>
      <c r="N52" s="139" t="n"/>
      <c r="O52" s="139" t="n"/>
      <c r="P52" s="139" t="n"/>
      <c r="Q52" s="139" t="n"/>
      <c r="R52" s="142">
        <f>IF(COUNT($K52:$Q52)&lt;7,"",ROUND(($K52*'配置项'!$C$6+$L52*'配置项'!$C$7+$M52*'配置项'!$C$8+$N52*'配置项'!$C$9+$O52*'配置项'!$C$10+$P52*'配置项'!$C$11+$Q52*'配置项'!$C$12)*20,1))</f>
        <v/>
      </c>
      <c r="S52" s="25">
        <f>IF($R52="","",IF($R52&gt;='配置项'!$G$6,"优秀",IF($R52&gt;='配置项'!$G$7,"良好",IF($R52&gt;='配置项'!$G$8,"需关注","不合格"))))</f>
        <v/>
      </c>
      <c r="T52" s="25" t="n"/>
      <c r="U52" s="25" t="n"/>
      <c r="V52" s="28" t="n"/>
      <c r="W52" s="28" t="n"/>
      <c r="X52" s="25" t="n"/>
      <c r="Y52" s="25" t="n"/>
    </row>
    <row r="53" ht="24" customHeight="1">
      <c r="A53" s="25">
        <f>IF($B53="","","SQ-"&amp;TEXT(ROW()-4,"0000"))</f>
        <v/>
      </c>
      <c r="B53" s="141" t="n"/>
      <c r="C53" s="25" t="n"/>
      <c r="D53" s="25" t="n"/>
      <c r="E53" s="25" t="n"/>
      <c r="F53" s="25" t="n"/>
      <c r="G53" s="25" t="n"/>
      <c r="H53" s="25" t="n"/>
      <c r="I53" s="25" t="n"/>
      <c r="J53" s="25" t="n"/>
      <c r="K53" s="139" t="n"/>
      <c r="L53" s="139" t="n"/>
      <c r="M53" s="139" t="n"/>
      <c r="N53" s="139" t="n"/>
      <c r="O53" s="139" t="n"/>
      <c r="P53" s="139" t="n"/>
      <c r="Q53" s="139" t="n"/>
      <c r="R53" s="142">
        <f>IF(COUNT($K53:$Q53)&lt;7,"",ROUND(($K53*'配置项'!$C$6+$L53*'配置项'!$C$7+$M53*'配置项'!$C$8+$N53*'配置项'!$C$9+$O53*'配置项'!$C$10+$P53*'配置项'!$C$11+$Q53*'配置项'!$C$12)*20,1))</f>
        <v/>
      </c>
      <c r="S53" s="25">
        <f>IF($R53="","",IF($R53&gt;='配置项'!$G$6,"优秀",IF($R53&gt;='配置项'!$G$7,"良好",IF($R53&gt;='配置项'!$G$8,"需关注","不合格"))))</f>
        <v/>
      </c>
      <c r="T53" s="25" t="n"/>
      <c r="U53" s="25" t="n"/>
      <c r="V53" s="28" t="n"/>
      <c r="W53" s="28" t="n"/>
      <c r="X53" s="25" t="n"/>
      <c r="Y53" s="25" t="n"/>
    </row>
    <row r="54" ht="24" customHeight="1">
      <c r="A54" s="25">
        <f>IF($B54="","","SQ-"&amp;TEXT(ROW()-4,"0000"))</f>
        <v/>
      </c>
      <c r="B54" s="141" t="n"/>
      <c r="C54" s="25" t="n"/>
      <c r="D54" s="25" t="n"/>
      <c r="E54" s="25" t="n"/>
      <c r="F54" s="25" t="n"/>
      <c r="G54" s="25" t="n"/>
      <c r="H54" s="25" t="n"/>
      <c r="I54" s="25" t="n"/>
      <c r="J54" s="25" t="n"/>
      <c r="K54" s="139" t="n"/>
      <c r="L54" s="139" t="n"/>
      <c r="M54" s="139" t="n"/>
      <c r="N54" s="139" t="n"/>
      <c r="O54" s="139" t="n"/>
      <c r="P54" s="139" t="n"/>
      <c r="Q54" s="139" t="n"/>
      <c r="R54" s="142">
        <f>IF(COUNT($K54:$Q54)&lt;7,"",ROUND(($K54*'配置项'!$C$6+$L54*'配置项'!$C$7+$M54*'配置项'!$C$8+$N54*'配置项'!$C$9+$O54*'配置项'!$C$10+$P54*'配置项'!$C$11+$Q54*'配置项'!$C$12)*20,1))</f>
        <v/>
      </c>
      <c r="S54" s="25">
        <f>IF($R54="","",IF($R54&gt;='配置项'!$G$6,"优秀",IF($R54&gt;='配置项'!$G$7,"良好",IF($R54&gt;='配置项'!$G$8,"需关注","不合格"))))</f>
        <v/>
      </c>
      <c r="T54" s="25" t="n"/>
      <c r="U54" s="25" t="n"/>
      <c r="V54" s="28" t="n"/>
      <c r="W54" s="28" t="n"/>
      <c r="X54" s="25" t="n"/>
      <c r="Y54" s="25" t="n"/>
    </row>
    <row r="55" ht="24" customHeight="1">
      <c r="A55" s="25">
        <f>IF($B55="","","SQ-"&amp;TEXT(ROW()-4,"0000"))</f>
        <v/>
      </c>
      <c r="B55" s="141" t="n"/>
      <c r="C55" s="25" t="n"/>
      <c r="D55" s="25" t="n"/>
      <c r="E55" s="25" t="n"/>
      <c r="F55" s="25" t="n"/>
      <c r="G55" s="25" t="n"/>
      <c r="H55" s="25" t="n"/>
      <c r="I55" s="25" t="n"/>
      <c r="J55" s="25" t="n"/>
      <c r="K55" s="139" t="n"/>
      <c r="L55" s="139" t="n"/>
      <c r="M55" s="139" t="n"/>
      <c r="N55" s="139" t="n"/>
      <c r="O55" s="139" t="n"/>
      <c r="P55" s="139" t="n"/>
      <c r="Q55" s="139" t="n"/>
      <c r="R55" s="142">
        <f>IF(COUNT($K55:$Q55)&lt;7,"",ROUND(($K55*'配置项'!$C$6+$L55*'配置项'!$C$7+$M55*'配置项'!$C$8+$N55*'配置项'!$C$9+$O55*'配置项'!$C$10+$P55*'配置项'!$C$11+$Q55*'配置项'!$C$12)*20,1))</f>
        <v/>
      </c>
      <c r="S55" s="25">
        <f>IF($R55="","",IF($R55&gt;='配置项'!$G$6,"优秀",IF($R55&gt;='配置项'!$G$7,"良好",IF($R55&gt;='配置项'!$G$8,"需关注","不合格"))))</f>
        <v/>
      </c>
      <c r="T55" s="25" t="n"/>
      <c r="U55" s="25" t="n"/>
      <c r="V55" s="28" t="n"/>
      <c r="W55" s="28" t="n"/>
      <c r="X55" s="25" t="n"/>
      <c r="Y55" s="25" t="n"/>
    </row>
    <row r="56" ht="24" customHeight="1">
      <c r="A56" s="25">
        <f>IF($B56="","","SQ-"&amp;TEXT(ROW()-4,"0000"))</f>
        <v/>
      </c>
      <c r="B56" s="141" t="n"/>
      <c r="C56" s="25" t="n"/>
      <c r="D56" s="25" t="n"/>
      <c r="E56" s="25" t="n"/>
      <c r="F56" s="25" t="n"/>
      <c r="G56" s="25" t="n"/>
      <c r="H56" s="25" t="n"/>
      <c r="I56" s="25" t="n"/>
      <c r="J56" s="25" t="n"/>
      <c r="K56" s="139" t="n"/>
      <c r="L56" s="139" t="n"/>
      <c r="M56" s="139" t="n"/>
      <c r="N56" s="139" t="n"/>
      <c r="O56" s="139" t="n"/>
      <c r="P56" s="139" t="n"/>
      <c r="Q56" s="139" t="n"/>
      <c r="R56" s="142">
        <f>IF(COUNT($K56:$Q56)&lt;7,"",ROUND(($K56*'配置项'!$C$6+$L56*'配置项'!$C$7+$M56*'配置项'!$C$8+$N56*'配置项'!$C$9+$O56*'配置项'!$C$10+$P56*'配置项'!$C$11+$Q56*'配置项'!$C$12)*20,1))</f>
        <v/>
      </c>
      <c r="S56" s="25">
        <f>IF($R56="","",IF($R56&gt;='配置项'!$G$6,"优秀",IF($R56&gt;='配置项'!$G$7,"良好",IF($R56&gt;='配置项'!$G$8,"需关注","不合格"))))</f>
        <v/>
      </c>
      <c r="T56" s="25" t="n"/>
      <c r="U56" s="25" t="n"/>
      <c r="V56" s="28" t="n"/>
      <c r="W56" s="28" t="n"/>
      <c r="X56" s="25" t="n"/>
      <c r="Y56" s="25" t="n"/>
    </row>
    <row r="57" ht="24" customHeight="1">
      <c r="A57" s="25">
        <f>IF($B57="","","SQ-"&amp;TEXT(ROW()-4,"0000"))</f>
        <v/>
      </c>
      <c r="B57" s="141" t="n"/>
      <c r="C57" s="25" t="n"/>
      <c r="D57" s="25" t="n"/>
      <c r="E57" s="25" t="n"/>
      <c r="F57" s="25" t="n"/>
      <c r="G57" s="25" t="n"/>
      <c r="H57" s="25" t="n"/>
      <c r="I57" s="25" t="n"/>
      <c r="J57" s="25" t="n"/>
      <c r="K57" s="139" t="n"/>
      <c r="L57" s="139" t="n"/>
      <c r="M57" s="139" t="n"/>
      <c r="N57" s="139" t="n"/>
      <c r="O57" s="139" t="n"/>
      <c r="P57" s="139" t="n"/>
      <c r="Q57" s="139" t="n"/>
      <c r="R57" s="142">
        <f>IF(COUNT($K57:$Q57)&lt;7,"",ROUND(($K57*'配置项'!$C$6+$L57*'配置项'!$C$7+$M57*'配置项'!$C$8+$N57*'配置项'!$C$9+$O57*'配置项'!$C$10+$P57*'配置项'!$C$11+$Q57*'配置项'!$C$12)*20,1))</f>
        <v/>
      </c>
      <c r="S57" s="25">
        <f>IF($R57="","",IF($R57&gt;='配置项'!$G$6,"优秀",IF($R57&gt;='配置项'!$G$7,"良好",IF($R57&gt;='配置项'!$G$8,"需关注","不合格"))))</f>
        <v/>
      </c>
      <c r="T57" s="25" t="n"/>
      <c r="U57" s="25" t="n"/>
      <c r="V57" s="28" t="n"/>
      <c r="W57" s="28" t="n"/>
      <c r="X57" s="25" t="n"/>
      <c r="Y57" s="25" t="n"/>
    </row>
    <row r="58" ht="24" customHeight="1">
      <c r="A58" s="25">
        <f>IF($B58="","","SQ-"&amp;TEXT(ROW()-4,"0000"))</f>
        <v/>
      </c>
      <c r="B58" s="141" t="n"/>
      <c r="C58" s="25" t="n"/>
      <c r="D58" s="25" t="n"/>
      <c r="E58" s="25" t="n"/>
      <c r="F58" s="25" t="n"/>
      <c r="G58" s="25" t="n"/>
      <c r="H58" s="25" t="n"/>
      <c r="I58" s="25" t="n"/>
      <c r="J58" s="25" t="n"/>
      <c r="K58" s="139" t="n"/>
      <c r="L58" s="139" t="n"/>
      <c r="M58" s="139" t="n"/>
      <c r="N58" s="139" t="n"/>
      <c r="O58" s="139" t="n"/>
      <c r="P58" s="139" t="n"/>
      <c r="Q58" s="139" t="n"/>
      <c r="R58" s="142">
        <f>IF(COUNT($K58:$Q58)&lt;7,"",ROUND(($K58*'配置项'!$C$6+$L58*'配置项'!$C$7+$M58*'配置项'!$C$8+$N58*'配置项'!$C$9+$O58*'配置项'!$C$10+$P58*'配置项'!$C$11+$Q58*'配置项'!$C$12)*20,1))</f>
        <v/>
      </c>
      <c r="S58" s="25">
        <f>IF($R58="","",IF($R58&gt;='配置项'!$G$6,"优秀",IF($R58&gt;='配置项'!$G$7,"良好",IF($R58&gt;='配置项'!$G$8,"需关注","不合格"))))</f>
        <v/>
      </c>
      <c r="T58" s="25" t="n"/>
      <c r="U58" s="25" t="n"/>
      <c r="V58" s="28" t="n"/>
      <c r="W58" s="28" t="n"/>
      <c r="X58" s="25" t="n"/>
      <c r="Y58" s="25" t="n"/>
    </row>
    <row r="59" ht="24" customHeight="1">
      <c r="A59" s="25">
        <f>IF($B59="","","SQ-"&amp;TEXT(ROW()-4,"0000"))</f>
        <v/>
      </c>
      <c r="B59" s="141" t="n"/>
      <c r="C59" s="25" t="n"/>
      <c r="D59" s="25" t="n"/>
      <c r="E59" s="25" t="n"/>
      <c r="F59" s="25" t="n"/>
      <c r="G59" s="25" t="n"/>
      <c r="H59" s="25" t="n"/>
      <c r="I59" s="25" t="n"/>
      <c r="J59" s="25" t="n"/>
      <c r="K59" s="139" t="n"/>
      <c r="L59" s="139" t="n"/>
      <c r="M59" s="139" t="n"/>
      <c r="N59" s="139" t="n"/>
      <c r="O59" s="139" t="n"/>
      <c r="P59" s="139" t="n"/>
      <c r="Q59" s="139" t="n"/>
      <c r="R59" s="142">
        <f>IF(COUNT($K59:$Q59)&lt;7,"",ROUND(($K59*'配置项'!$C$6+$L59*'配置项'!$C$7+$M59*'配置项'!$C$8+$N59*'配置项'!$C$9+$O59*'配置项'!$C$10+$P59*'配置项'!$C$11+$Q59*'配置项'!$C$12)*20,1))</f>
        <v/>
      </c>
      <c r="S59" s="25">
        <f>IF($R59="","",IF($R59&gt;='配置项'!$G$6,"优秀",IF($R59&gt;='配置项'!$G$7,"良好",IF($R59&gt;='配置项'!$G$8,"需关注","不合格"))))</f>
        <v/>
      </c>
      <c r="T59" s="25" t="n"/>
      <c r="U59" s="25" t="n"/>
      <c r="V59" s="28" t="n"/>
      <c r="W59" s="28" t="n"/>
      <c r="X59" s="25" t="n"/>
      <c r="Y59" s="25" t="n"/>
    </row>
    <row r="60" ht="24" customHeight="1">
      <c r="A60" s="25">
        <f>IF($B60="","","SQ-"&amp;TEXT(ROW()-4,"0000"))</f>
        <v/>
      </c>
      <c r="B60" s="141" t="n"/>
      <c r="C60" s="25" t="n"/>
      <c r="D60" s="25" t="n"/>
      <c r="E60" s="25" t="n"/>
      <c r="F60" s="25" t="n"/>
      <c r="G60" s="25" t="n"/>
      <c r="H60" s="25" t="n"/>
      <c r="I60" s="25" t="n"/>
      <c r="J60" s="25" t="n"/>
      <c r="K60" s="139" t="n"/>
      <c r="L60" s="139" t="n"/>
      <c r="M60" s="139" t="n"/>
      <c r="N60" s="139" t="n"/>
      <c r="O60" s="139" t="n"/>
      <c r="P60" s="139" t="n"/>
      <c r="Q60" s="139" t="n"/>
      <c r="R60" s="142">
        <f>IF(COUNT($K60:$Q60)&lt;7,"",ROUND(($K60*'配置项'!$C$6+$L60*'配置项'!$C$7+$M60*'配置项'!$C$8+$N60*'配置项'!$C$9+$O60*'配置项'!$C$10+$P60*'配置项'!$C$11+$Q60*'配置项'!$C$12)*20,1))</f>
        <v/>
      </c>
      <c r="S60" s="25">
        <f>IF($R60="","",IF($R60&gt;='配置项'!$G$6,"优秀",IF($R60&gt;='配置项'!$G$7,"良好",IF($R60&gt;='配置项'!$G$8,"需关注","不合格"))))</f>
        <v/>
      </c>
      <c r="T60" s="25" t="n"/>
      <c r="U60" s="25" t="n"/>
      <c r="V60" s="28" t="n"/>
      <c r="W60" s="28" t="n"/>
      <c r="X60" s="25" t="n"/>
      <c r="Y60" s="25" t="n"/>
    </row>
    <row r="61" ht="24" customHeight="1">
      <c r="A61" s="25">
        <f>IF($B61="","","SQ-"&amp;TEXT(ROW()-4,"0000"))</f>
        <v/>
      </c>
      <c r="B61" s="141" t="n"/>
      <c r="C61" s="25" t="n"/>
      <c r="D61" s="25" t="n"/>
      <c r="E61" s="25" t="n"/>
      <c r="F61" s="25" t="n"/>
      <c r="G61" s="25" t="n"/>
      <c r="H61" s="25" t="n"/>
      <c r="I61" s="25" t="n"/>
      <c r="J61" s="25" t="n"/>
      <c r="K61" s="139" t="n"/>
      <c r="L61" s="139" t="n"/>
      <c r="M61" s="139" t="n"/>
      <c r="N61" s="139" t="n"/>
      <c r="O61" s="139" t="n"/>
      <c r="P61" s="139" t="n"/>
      <c r="Q61" s="139" t="n"/>
      <c r="R61" s="142">
        <f>IF(COUNT($K61:$Q61)&lt;7,"",ROUND(($K61*'配置项'!$C$6+$L61*'配置项'!$C$7+$M61*'配置项'!$C$8+$N61*'配置项'!$C$9+$O61*'配置项'!$C$10+$P61*'配置项'!$C$11+$Q61*'配置项'!$C$12)*20,1))</f>
        <v/>
      </c>
      <c r="S61" s="25">
        <f>IF($R61="","",IF($R61&gt;='配置项'!$G$6,"优秀",IF($R61&gt;='配置项'!$G$7,"良好",IF($R61&gt;='配置项'!$G$8,"需关注","不合格"))))</f>
        <v/>
      </c>
      <c r="T61" s="25" t="n"/>
      <c r="U61" s="25" t="n"/>
      <c r="V61" s="28" t="n"/>
      <c r="W61" s="28" t="n"/>
      <c r="X61" s="25" t="n"/>
      <c r="Y61" s="25" t="n"/>
    </row>
    <row r="62" ht="24" customHeight="1">
      <c r="A62" s="25">
        <f>IF($B62="","","SQ-"&amp;TEXT(ROW()-4,"0000"))</f>
        <v/>
      </c>
      <c r="B62" s="141" t="n"/>
      <c r="C62" s="25" t="n"/>
      <c r="D62" s="25" t="n"/>
      <c r="E62" s="25" t="n"/>
      <c r="F62" s="25" t="n"/>
      <c r="G62" s="25" t="n"/>
      <c r="H62" s="25" t="n"/>
      <c r="I62" s="25" t="n"/>
      <c r="J62" s="25" t="n"/>
      <c r="K62" s="139" t="n"/>
      <c r="L62" s="139" t="n"/>
      <c r="M62" s="139" t="n"/>
      <c r="N62" s="139" t="n"/>
      <c r="O62" s="139" t="n"/>
      <c r="P62" s="139" t="n"/>
      <c r="Q62" s="139" t="n"/>
      <c r="R62" s="142">
        <f>IF(COUNT($K62:$Q62)&lt;7,"",ROUND(($K62*'配置项'!$C$6+$L62*'配置项'!$C$7+$M62*'配置项'!$C$8+$N62*'配置项'!$C$9+$O62*'配置项'!$C$10+$P62*'配置项'!$C$11+$Q62*'配置项'!$C$12)*20,1))</f>
        <v/>
      </c>
      <c r="S62" s="25">
        <f>IF($R62="","",IF($R62&gt;='配置项'!$G$6,"优秀",IF($R62&gt;='配置项'!$G$7,"良好",IF($R62&gt;='配置项'!$G$8,"需关注","不合格"))))</f>
        <v/>
      </c>
      <c r="T62" s="25" t="n"/>
      <c r="U62" s="25" t="n"/>
      <c r="V62" s="28" t="n"/>
      <c r="W62" s="28" t="n"/>
      <c r="X62" s="25" t="n"/>
      <c r="Y62" s="25" t="n"/>
    </row>
    <row r="63" ht="24" customHeight="1">
      <c r="A63" s="25">
        <f>IF($B63="","","SQ-"&amp;TEXT(ROW()-4,"0000"))</f>
        <v/>
      </c>
      <c r="B63" s="141" t="n"/>
      <c r="C63" s="25" t="n"/>
      <c r="D63" s="25" t="n"/>
      <c r="E63" s="25" t="n"/>
      <c r="F63" s="25" t="n"/>
      <c r="G63" s="25" t="n"/>
      <c r="H63" s="25" t="n"/>
      <c r="I63" s="25" t="n"/>
      <c r="J63" s="25" t="n"/>
      <c r="K63" s="139" t="n"/>
      <c r="L63" s="139" t="n"/>
      <c r="M63" s="139" t="n"/>
      <c r="N63" s="139" t="n"/>
      <c r="O63" s="139" t="n"/>
      <c r="P63" s="139" t="n"/>
      <c r="Q63" s="139" t="n"/>
      <c r="R63" s="142">
        <f>IF(COUNT($K63:$Q63)&lt;7,"",ROUND(($K63*'配置项'!$C$6+$L63*'配置项'!$C$7+$M63*'配置项'!$C$8+$N63*'配置项'!$C$9+$O63*'配置项'!$C$10+$P63*'配置项'!$C$11+$Q63*'配置项'!$C$12)*20,1))</f>
        <v/>
      </c>
      <c r="S63" s="25">
        <f>IF($R63="","",IF($R63&gt;='配置项'!$G$6,"优秀",IF($R63&gt;='配置项'!$G$7,"良好",IF($R63&gt;='配置项'!$G$8,"需关注","不合格"))))</f>
        <v/>
      </c>
      <c r="T63" s="25" t="n"/>
      <c r="U63" s="25" t="n"/>
      <c r="V63" s="28" t="n"/>
      <c r="W63" s="28" t="n"/>
      <c r="X63" s="25" t="n"/>
      <c r="Y63" s="25" t="n"/>
    </row>
    <row r="64" ht="24" customHeight="1">
      <c r="A64" s="25">
        <f>IF($B64="","","SQ-"&amp;TEXT(ROW()-4,"0000"))</f>
        <v/>
      </c>
      <c r="B64" s="141" t="n"/>
      <c r="C64" s="25" t="n"/>
      <c r="D64" s="25" t="n"/>
      <c r="E64" s="25" t="n"/>
      <c r="F64" s="25" t="n"/>
      <c r="G64" s="25" t="n"/>
      <c r="H64" s="25" t="n"/>
      <c r="I64" s="25" t="n"/>
      <c r="J64" s="25" t="n"/>
      <c r="K64" s="139" t="n"/>
      <c r="L64" s="139" t="n"/>
      <c r="M64" s="139" t="n"/>
      <c r="N64" s="139" t="n"/>
      <c r="O64" s="139" t="n"/>
      <c r="P64" s="139" t="n"/>
      <c r="Q64" s="139" t="n"/>
      <c r="R64" s="142">
        <f>IF(COUNT($K64:$Q64)&lt;7,"",ROUND(($K64*'配置项'!$C$6+$L64*'配置项'!$C$7+$M64*'配置项'!$C$8+$N64*'配置项'!$C$9+$O64*'配置项'!$C$10+$P64*'配置项'!$C$11+$Q64*'配置项'!$C$12)*20,1))</f>
        <v/>
      </c>
      <c r="S64" s="25">
        <f>IF($R64="","",IF($R64&gt;='配置项'!$G$6,"优秀",IF($R64&gt;='配置项'!$G$7,"良好",IF($R64&gt;='配置项'!$G$8,"需关注","不合格"))))</f>
        <v/>
      </c>
      <c r="T64" s="25" t="n"/>
      <c r="U64" s="25" t="n"/>
      <c r="V64" s="28" t="n"/>
      <c r="W64" s="28" t="n"/>
      <c r="X64" s="25" t="n"/>
      <c r="Y64" s="25" t="n"/>
    </row>
    <row r="65" ht="24" customHeight="1">
      <c r="A65" s="25">
        <f>IF($B65="","","SQ-"&amp;TEXT(ROW()-4,"0000"))</f>
        <v/>
      </c>
      <c r="B65" s="141" t="n"/>
      <c r="C65" s="25" t="n"/>
      <c r="D65" s="25" t="n"/>
      <c r="E65" s="25" t="n"/>
      <c r="F65" s="25" t="n"/>
      <c r="G65" s="25" t="n"/>
      <c r="H65" s="25" t="n"/>
      <c r="I65" s="25" t="n"/>
      <c r="J65" s="25" t="n"/>
      <c r="K65" s="139" t="n"/>
      <c r="L65" s="139" t="n"/>
      <c r="M65" s="139" t="n"/>
      <c r="N65" s="139" t="n"/>
      <c r="O65" s="139" t="n"/>
      <c r="P65" s="139" t="n"/>
      <c r="Q65" s="139" t="n"/>
      <c r="R65" s="142">
        <f>IF(COUNT($K65:$Q65)&lt;7,"",ROUND(($K65*'配置项'!$C$6+$L65*'配置项'!$C$7+$M65*'配置项'!$C$8+$N65*'配置项'!$C$9+$O65*'配置项'!$C$10+$P65*'配置项'!$C$11+$Q65*'配置项'!$C$12)*20,1))</f>
        <v/>
      </c>
      <c r="S65" s="25">
        <f>IF($R65="","",IF($R65&gt;='配置项'!$G$6,"优秀",IF($R65&gt;='配置项'!$G$7,"良好",IF($R65&gt;='配置项'!$G$8,"需关注","不合格"))))</f>
        <v/>
      </c>
      <c r="T65" s="25" t="n"/>
      <c r="U65" s="25" t="n"/>
      <c r="V65" s="28" t="n"/>
      <c r="W65" s="28" t="n"/>
      <c r="X65" s="25" t="n"/>
      <c r="Y65" s="25" t="n"/>
    </row>
    <row r="66" ht="24" customHeight="1">
      <c r="A66" s="25">
        <f>IF($B66="","","SQ-"&amp;TEXT(ROW()-4,"0000"))</f>
        <v/>
      </c>
      <c r="B66" s="141" t="n"/>
      <c r="C66" s="25" t="n"/>
      <c r="D66" s="25" t="n"/>
      <c r="E66" s="25" t="n"/>
      <c r="F66" s="25" t="n"/>
      <c r="G66" s="25" t="n"/>
      <c r="H66" s="25" t="n"/>
      <c r="I66" s="25" t="n"/>
      <c r="J66" s="25" t="n"/>
      <c r="K66" s="139" t="n"/>
      <c r="L66" s="139" t="n"/>
      <c r="M66" s="139" t="n"/>
      <c r="N66" s="139" t="n"/>
      <c r="O66" s="139" t="n"/>
      <c r="P66" s="139" t="n"/>
      <c r="Q66" s="139" t="n"/>
      <c r="R66" s="142">
        <f>IF(COUNT($K66:$Q66)&lt;7,"",ROUND(($K66*'配置项'!$C$6+$L66*'配置项'!$C$7+$M66*'配置项'!$C$8+$N66*'配置项'!$C$9+$O66*'配置项'!$C$10+$P66*'配置项'!$C$11+$Q66*'配置项'!$C$12)*20,1))</f>
        <v/>
      </c>
      <c r="S66" s="25">
        <f>IF($R66="","",IF($R66&gt;='配置项'!$G$6,"优秀",IF($R66&gt;='配置项'!$G$7,"良好",IF($R66&gt;='配置项'!$G$8,"需关注","不合格"))))</f>
        <v/>
      </c>
      <c r="T66" s="25" t="n"/>
      <c r="U66" s="25" t="n"/>
      <c r="V66" s="28" t="n"/>
      <c r="W66" s="28" t="n"/>
      <c r="X66" s="25" t="n"/>
      <c r="Y66" s="25" t="n"/>
    </row>
    <row r="67" ht="24" customHeight="1">
      <c r="A67" s="25">
        <f>IF($B67="","","SQ-"&amp;TEXT(ROW()-4,"0000"))</f>
        <v/>
      </c>
      <c r="B67" s="141" t="n"/>
      <c r="C67" s="25" t="n"/>
      <c r="D67" s="25" t="n"/>
      <c r="E67" s="25" t="n"/>
      <c r="F67" s="25" t="n"/>
      <c r="G67" s="25" t="n"/>
      <c r="H67" s="25" t="n"/>
      <c r="I67" s="25" t="n"/>
      <c r="J67" s="25" t="n"/>
      <c r="K67" s="139" t="n"/>
      <c r="L67" s="139" t="n"/>
      <c r="M67" s="139" t="n"/>
      <c r="N67" s="139" t="n"/>
      <c r="O67" s="139" t="n"/>
      <c r="P67" s="139" t="n"/>
      <c r="Q67" s="139" t="n"/>
      <c r="R67" s="142">
        <f>IF(COUNT($K67:$Q67)&lt;7,"",ROUND(($K67*'配置项'!$C$6+$L67*'配置项'!$C$7+$M67*'配置项'!$C$8+$N67*'配置项'!$C$9+$O67*'配置项'!$C$10+$P67*'配置项'!$C$11+$Q67*'配置项'!$C$12)*20,1))</f>
        <v/>
      </c>
      <c r="S67" s="25">
        <f>IF($R67="","",IF($R67&gt;='配置项'!$G$6,"优秀",IF($R67&gt;='配置项'!$G$7,"良好",IF($R67&gt;='配置项'!$G$8,"需关注","不合格"))))</f>
        <v/>
      </c>
      <c r="T67" s="25" t="n"/>
      <c r="U67" s="25" t="n"/>
      <c r="V67" s="28" t="n"/>
      <c r="W67" s="28" t="n"/>
      <c r="X67" s="25" t="n"/>
      <c r="Y67" s="25" t="n"/>
    </row>
    <row r="68" ht="24" customHeight="1">
      <c r="A68" s="25">
        <f>IF($B68="","","SQ-"&amp;TEXT(ROW()-4,"0000"))</f>
        <v/>
      </c>
      <c r="B68" s="141" t="n"/>
      <c r="C68" s="25" t="n"/>
      <c r="D68" s="25" t="n"/>
      <c r="E68" s="25" t="n"/>
      <c r="F68" s="25" t="n"/>
      <c r="G68" s="25" t="n"/>
      <c r="H68" s="25" t="n"/>
      <c r="I68" s="25" t="n"/>
      <c r="J68" s="25" t="n"/>
      <c r="K68" s="139" t="n"/>
      <c r="L68" s="139" t="n"/>
      <c r="M68" s="139" t="n"/>
      <c r="N68" s="139" t="n"/>
      <c r="O68" s="139" t="n"/>
      <c r="P68" s="139" t="n"/>
      <c r="Q68" s="139" t="n"/>
      <c r="R68" s="142">
        <f>IF(COUNT($K68:$Q68)&lt;7,"",ROUND(($K68*'配置项'!$C$6+$L68*'配置项'!$C$7+$M68*'配置项'!$C$8+$N68*'配置项'!$C$9+$O68*'配置项'!$C$10+$P68*'配置项'!$C$11+$Q68*'配置项'!$C$12)*20,1))</f>
        <v/>
      </c>
      <c r="S68" s="25">
        <f>IF($R68="","",IF($R68&gt;='配置项'!$G$6,"优秀",IF($R68&gt;='配置项'!$G$7,"良好",IF($R68&gt;='配置项'!$G$8,"需关注","不合格"))))</f>
        <v/>
      </c>
      <c r="T68" s="25" t="n"/>
      <c r="U68" s="25" t="n"/>
      <c r="V68" s="28" t="n"/>
      <c r="W68" s="28" t="n"/>
      <c r="X68" s="25" t="n"/>
      <c r="Y68" s="25" t="n"/>
    </row>
    <row r="69" ht="24" customHeight="1">
      <c r="A69" s="25">
        <f>IF($B69="","","SQ-"&amp;TEXT(ROW()-4,"0000"))</f>
        <v/>
      </c>
      <c r="B69" s="141" t="n"/>
      <c r="C69" s="25" t="n"/>
      <c r="D69" s="25" t="n"/>
      <c r="E69" s="25" t="n"/>
      <c r="F69" s="25" t="n"/>
      <c r="G69" s="25" t="n"/>
      <c r="H69" s="25" t="n"/>
      <c r="I69" s="25" t="n"/>
      <c r="J69" s="25" t="n"/>
      <c r="K69" s="139" t="n"/>
      <c r="L69" s="139" t="n"/>
      <c r="M69" s="139" t="n"/>
      <c r="N69" s="139" t="n"/>
      <c r="O69" s="139" t="n"/>
      <c r="P69" s="139" t="n"/>
      <c r="Q69" s="139" t="n"/>
      <c r="R69" s="142">
        <f>IF(COUNT($K69:$Q69)&lt;7,"",ROUND(($K69*'配置项'!$C$6+$L69*'配置项'!$C$7+$M69*'配置项'!$C$8+$N69*'配置项'!$C$9+$O69*'配置项'!$C$10+$P69*'配置项'!$C$11+$Q69*'配置项'!$C$12)*20,1))</f>
        <v/>
      </c>
      <c r="S69" s="25">
        <f>IF($R69="","",IF($R69&gt;='配置项'!$G$6,"优秀",IF($R69&gt;='配置项'!$G$7,"良好",IF($R69&gt;='配置项'!$G$8,"需关注","不合格"))))</f>
        <v/>
      </c>
      <c r="T69" s="25" t="n"/>
      <c r="U69" s="25" t="n"/>
      <c r="V69" s="28" t="n"/>
      <c r="W69" s="28" t="n"/>
      <c r="X69" s="25" t="n"/>
      <c r="Y69" s="25" t="n"/>
    </row>
    <row r="70" ht="24" customHeight="1">
      <c r="A70" s="25">
        <f>IF($B70="","","SQ-"&amp;TEXT(ROW()-4,"0000"))</f>
        <v/>
      </c>
      <c r="B70" s="141" t="n"/>
      <c r="C70" s="25" t="n"/>
      <c r="D70" s="25" t="n"/>
      <c r="E70" s="25" t="n"/>
      <c r="F70" s="25" t="n"/>
      <c r="G70" s="25" t="n"/>
      <c r="H70" s="25" t="n"/>
      <c r="I70" s="25" t="n"/>
      <c r="J70" s="25" t="n"/>
      <c r="K70" s="139" t="n"/>
      <c r="L70" s="139" t="n"/>
      <c r="M70" s="139" t="n"/>
      <c r="N70" s="139" t="n"/>
      <c r="O70" s="139" t="n"/>
      <c r="P70" s="139" t="n"/>
      <c r="Q70" s="139" t="n"/>
      <c r="R70" s="142">
        <f>IF(COUNT($K70:$Q70)&lt;7,"",ROUND(($K70*'配置项'!$C$6+$L70*'配置项'!$C$7+$M70*'配置项'!$C$8+$N70*'配置项'!$C$9+$O70*'配置项'!$C$10+$P70*'配置项'!$C$11+$Q70*'配置项'!$C$12)*20,1))</f>
        <v/>
      </c>
      <c r="S70" s="25">
        <f>IF($R70="","",IF($R70&gt;='配置项'!$G$6,"优秀",IF($R70&gt;='配置项'!$G$7,"良好",IF($R70&gt;='配置项'!$G$8,"需关注","不合格"))))</f>
        <v/>
      </c>
      <c r="T70" s="25" t="n"/>
      <c r="U70" s="25" t="n"/>
      <c r="V70" s="28" t="n"/>
      <c r="W70" s="28" t="n"/>
      <c r="X70" s="25" t="n"/>
      <c r="Y70" s="25" t="n"/>
    </row>
    <row r="71" ht="24" customHeight="1">
      <c r="A71" s="25">
        <f>IF($B71="","","SQ-"&amp;TEXT(ROW()-4,"0000"))</f>
        <v/>
      </c>
      <c r="B71" s="141" t="n"/>
      <c r="C71" s="25" t="n"/>
      <c r="D71" s="25" t="n"/>
      <c r="E71" s="25" t="n"/>
      <c r="F71" s="25" t="n"/>
      <c r="G71" s="25" t="n"/>
      <c r="H71" s="25" t="n"/>
      <c r="I71" s="25" t="n"/>
      <c r="J71" s="25" t="n"/>
      <c r="K71" s="139" t="n"/>
      <c r="L71" s="139" t="n"/>
      <c r="M71" s="139" t="n"/>
      <c r="N71" s="139" t="n"/>
      <c r="O71" s="139" t="n"/>
      <c r="P71" s="139" t="n"/>
      <c r="Q71" s="139" t="n"/>
      <c r="R71" s="142">
        <f>IF(COUNT($K71:$Q71)&lt;7,"",ROUND(($K71*'配置项'!$C$6+$L71*'配置项'!$C$7+$M71*'配置项'!$C$8+$N71*'配置项'!$C$9+$O71*'配置项'!$C$10+$P71*'配置项'!$C$11+$Q71*'配置项'!$C$12)*20,1))</f>
        <v/>
      </c>
      <c r="S71" s="25">
        <f>IF($R71="","",IF($R71&gt;='配置项'!$G$6,"优秀",IF($R71&gt;='配置项'!$G$7,"良好",IF($R71&gt;='配置项'!$G$8,"需关注","不合格"))))</f>
        <v/>
      </c>
      <c r="T71" s="25" t="n"/>
      <c r="U71" s="25" t="n"/>
      <c r="V71" s="28" t="n"/>
      <c r="W71" s="28" t="n"/>
      <c r="X71" s="25" t="n"/>
      <c r="Y71" s="25" t="n"/>
    </row>
    <row r="72" ht="24" customHeight="1">
      <c r="A72" s="25">
        <f>IF($B72="","","SQ-"&amp;TEXT(ROW()-4,"0000"))</f>
        <v/>
      </c>
      <c r="B72" s="141" t="n"/>
      <c r="C72" s="25" t="n"/>
      <c r="D72" s="25" t="n"/>
      <c r="E72" s="25" t="n"/>
      <c r="F72" s="25" t="n"/>
      <c r="G72" s="25" t="n"/>
      <c r="H72" s="25" t="n"/>
      <c r="I72" s="25" t="n"/>
      <c r="J72" s="25" t="n"/>
      <c r="K72" s="139" t="n"/>
      <c r="L72" s="139" t="n"/>
      <c r="M72" s="139" t="n"/>
      <c r="N72" s="139" t="n"/>
      <c r="O72" s="139" t="n"/>
      <c r="P72" s="139" t="n"/>
      <c r="Q72" s="139" t="n"/>
      <c r="R72" s="142">
        <f>IF(COUNT($K72:$Q72)&lt;7,"",ROUND(($K72*'配置项'!$C$6+$L72*'配置项'!$C$7+$M72*'配置项'!$C$8+$N72*'配置项'!$C$9+$O72*'配置项'!$C$10+$P72*'配置项'!$C$11+$Q72*'配置项'!$C$12)*20,1))</f>
        <v/>
      </c>
      <c r="S72" s="25">
        <f>IF($R72="","",IF($R72&gt;='配置项'!$G$6,"优秀",IF($R72&gt;='配置项'!$G$7,"良好",IF($R72&gt;='配置项'!$G$8,"需关注","不合格"))))</f>
        <v/>
      </c>
      <c r="T72" s="25" t="n"/>
      <c r="U72" s="25" t="n"/>
      <c r="V72" s="28" t="n"/>
      <c r="W72" s="28" t="n"/>
      <c r="X72" s="25" t="n"/>
      <c r="Y72" s="25" t="n"/>
    </row>
    <row r="73" ht="24" customHeight="1">
      <c r="A73" s="25">
        <f>IF($B73="","","SQ-"&amp;TEXT(ROW()-4,"0000"))</f>
        <v/>
      </c>
      <c r="B73" s="141" t="n"/>
      <c r="C73" s="25" t="n"/>
      <c r="D73" s="25" t="n"/>
      <c r="E73" s="25" t="n"/>
      <c r="F73" s="25" t="n"/>
      <c r="G73" s="25" t="n"/>
      <c r="H73" s="25" t="n"/>
      <c r="I73" s="25" t="n"/>
      <c r="J73" s="25" t="n"/>
      <c r="K73" s="139" t="n"/>
      <c r="L73" s="139" t="n"/>
      <c r="M73" s="139" t="n"/>
      <c r="N73" s="139" t="n"/>
      <c r="O73" s="139" t="n"/>
      <c r="P73" s="139" t="n"/>
      <c r="Q73" s="139" t="n"/>
      <c r="R73" s="142">
        <f>IF(COUNT($K73:$Q73)&lt;7,"",ROUND(($K73*'配置项'!$C$6+$L73*'配置项'!$C$7+$M73*'配置项'!$C$8+$N73*'配置项'!$C$9+$O73*'配置项'!$C$10+$P73*'配置项'!$C$11+$Q73*'配置项'!$C$12)*20,1))</f>
        <v/>
      </c>
      <c r="S73" s="25">
        <f>IF($R73="","",IF($R73&gt;='配置项'!$G$6,"优秀",IF($R73&gt;='配置项'!$G$7,"良好",IF($R73&gt;='配置项'!$G$8,"需关注","不合格"))))</f>
        <v/>
      </c>
      <c r="T73" s="25" t="n"/>
      <c r="U73" s="25" t="n"/>
      <c r="V73" s="28" t="n"/>
      <c r="W73" s="28" t="n"/>
      <c r="X73" s="25" t="n"/>
      <c r="Y73" s="25" t="n"/>
    </row>
    <row r="74" ht="24" customHeight="1">
      <c r="A74" s="25">
        <f>IF($B74="","","SQ-"&amp;TEXT(ROW()-4,"0000"))</f>
        <v/>
      </c>
      <c r="B74" s="141" t="n"/>
      <c r="C74" s="25" t="n"/>
      <c r="D74" s="25" t="n"/>
      <c r="E74" s="25" t="n"/>
      <c r="F74" s="25" t="n"/>
      <c r="G74" s="25" t="n"/>
      <c r="H74" s="25" t="n"/>
      <c r="I74" s="25" t="n"/>
      <c r="J74" s="25" t="n"/>
      <c r="K74" s="139" t="n"/>
      <c r="L74" s="139" t="n"/>
      <c r="M74" s="139" t="n"/>
      <c r="N74" s="139" t="n"/>
      <c r="O74" s="139" t="n"/>
      <c r="P74" s="139" t="n"/>
      <c r="Q74" s="139" t="n"/>
      <c r="R74" s="142">
        <f>IF(COUNT($K74:$Q74)&lt;7,"",ROUND(($K74*'配置项'!$C$6+$L74*'配置项'!$C$7+$M74*'配置项'!$C$8+$N74*'配置项'!$C$9+$O74*'配置项'!$C$10+$P74*'配置项'!$C$11+$Q74*'配置项'!$C$12)*20,1))</f>
        <v/>
      </c>
      <c r="S74" s="25">
        <f>IF($R74="","",IF($R74&gt;='配置项'!$G$6,"优秀",IF($R74&gt;='配置项'!$G$7,"良好",IF($R74&gt;='配置项'!$G$8,"需关注","不合格"))))</f>
        <v/>
      </c>
      <c r="T74" s="25" t="n"/>
      <c r="U74" s="25" t="n"/>
      <c r="V74" s="28" t="n"/>
      <c r="W74" s="28" t="n"/>
      <c r="X74" s="25" t="n"/>
      <c r="Y74" s="25" t="n"/>
    </row>
    <row r="75" ht="24" customHeight="1">
      <c r="A75" s="25">
        <f>IF($B75="","","SQ-"&amp;TEXT(ROW()-4,"0000"))</f>
        <v/>
      </c>
      <c r="B75" s="141" t="n"/>
      <c r="C75" s="25" t="n"/>
      <c r="D75" s="25" t="n"/>
      <c r="E75" s="25" t="n"/>
      <c r="F75" s="25" t="n"/>
      <c r="G75" s="25" t="n"/>
      <c r="H75" s="25" t="n"/>
      <c r="I75" s="25" t="n"/>
      <c r="J75" s="25" t="n"/>
      <c r="K75" s="139" t="n"/>
      <c r="L75" s="139" t="n"/>
      <c r="M75" s="139" t="n"/>
      <c r="N75" s="139" t="n"/>
      <c r="O75" s="139" t="n"/>
      <c r="P75" s="139" t="n"/>
      <c r="Q75" s="139" t="n"/>
      <c r="R75" s="142">
        <f>IF(COUNT($K75:$Q75)&lt;7,"",ROUND(($K75*'配置项'!$C$6+$L75*'配置项'!$C$7+$M75*'配置项'!$C$8+$N75*'配置项'!$C$9+$O75*'配置项'!$C$10+$P75*'配置项'!$C$11+$Q75*'配置项'!$C$12)*20,1))</f>
        <v/>
      </c>
      <c r="S75" s="25">
        <f>IF($R75="","",IF($R75&gt;='配置项'!$G$6,"优秀",IF($R75&gt;='配置项'!$G$7,"良好",IF($R75&gt;='配置项'!$G$8,"需关注","不合格"))))</f>
        <v/>
      </c>
      <c r="T75" s="25" t="n"/>
      <c r="U75" s="25" t="n"/>
      <c r="V75" s="28" t="n"/>
      <c r="W75" s="28" t="n"/>
      <c r="X75" s="25" t="n"/>
      <c r="Y75" s="25" t="n"/>
    </row>
    <row r="76" ht="24" customHeight="1">
      <c r="A76" s="25">
        <f>IF($B76="","","SQ-"&amp;TEXT(ROW()-4,"0000"))</f>
        <v/>
      </c>
      <c r="B76" s="141" t="n"/>
      <c r="C76" s="25" t="n"/>
      <c r="D76" s="25" t="n"/>
      <c r="E76" s="25" t="n"/>
      <c r="F76" s="25" t="n"/>
      <c r="G76" s="25" t="n"/>
      <c r="H76" s="25" t="n"/>
      <c r="I76" s="25" t="n"/>
      <c r="J76" s="25" t="n"/>
      <c r="K76" s="139" t="n"/>
      <c r="L76" s="139" t="n"/>
      <c r="M76" s="139" t="n"/>
      <c r="N76" s="139" t="n"/>
      <c r="O76" s="139" t="n"/>
      <c r="P76" s="139" t="n"/>
      <c r="Q76" s="139" t="n"/>
      <c r="R76" s="142">
        <f>IF(COUNT($K76:$Q76)&lt;7,"",ROUND(($K76*'配置项'!$C$6+$L76*'配置项'!$C$7+$M76*'配置项'!$C$8+$N76*'配置项'!$C$9+$O76*'配置项'!$C$10+$P76*'配置项'!$C$11+$Q76*'配置项'!$C$12)*20,1))</f>
        <v/>
      </c>
      <c r="S76" s="25">
        <f>IF($R76="","",IF($R76&gt;='配置项'!$G$6,"优秀",IF($R76&gt;='配置项'!$G$7,"良好",IF($R76&gt;='配置项'!$G$8,"需关注","不合格"))))</f>
        <v/>
      </c>
      <c r="T76" s="25" t="n"/>
      <c r="U76" s="25" t="n"/>
      <c r="V76" s="28" t="n"/>
      <c r="W76" s="28" t="n"/>
      <c r="X76" s="25" t="n"/>
      <c r="Y76" s="25" t="n"/>
    </row>
    <row r="77" ht="24" customHeight="1">
      <c r="A77" s="25">
        <f>IF($B77="","","SQ-"&amp;TEXT(ROW()-4,"0000"))</f>
        <v/>
      </c>
      <c r="B77" s="141" t="n"/>
      <c r="C77" s="25" t="n"/>
      <c r="D77" s="25" t="n"/>
      <c r="E77" s="25" t="n"/>
      <c r="F77" s="25" t="n"/>
      <c r="G77" s="25" t="n"/>
      <c r="H77" s="25" t="n"/>
      <c r="I77" s="25" t="n"/>
      <c r="J77" s="25" t="n"/>
      <c r="K77" s="139" t="n"/>
      <c r="L77" s="139" t="n"/>
      <c r="M77" s="139" t="n"/>
      <c r="N77" s="139" t="n"/>
      <c r="O77" s="139" t="n"/>
      <c r="P77" s="139" t="n"/>
      <c r="Q77" s="139" t="n"/>
      <c r="R77" s="142">
        <f>IF(COUNT($K77:$Q77)&lt;7,"",ROUND(($K77*'配置项'!$C$6+$L77*'配置项'!$C$7+$M77*'配置项'!$C$8+$N77*'配置项'!$C$9+$O77*'配置项'!$C$10+$P77*'配置项'!$C$11+$Q77*'配置项'!$C$12)*20,1))</f>
        <v/>
      </c>
      <c r="S77" s="25">
        <f>IF($R77="","",IF($R77&gt;='配置项'!$G$6,"优秀",IF($R77&gt;='配置项'!$G$7,"良好",IF($R77&gt;='配置项'!$G$8,"需关注","不合格"))))</f>
        <v/>
      </c>
      <c r="T77" s="25" t="n"/>
      <c r="U77" s="25" t="n"/>
      <c r="V77" s="28" t="n"/>
      <c r="W77" s="28" t="n"/>
      <c r="X77" s="25" t="n"/>
      <c r="Y77" s="25" t="n"/>
    </row>
    <row r="78" ht="24" customHeight="1">
      <c r="A78" s="25">
        <f>IF($B78="","","SQ-"&amp;TEXT(ROW()-4,"0000"))</f>
        <v/>
      </c>
      <c r="B78" s="141" t="n"/>
      <c r="C78" s="25" t="n"/>
      <c r="D78" s="25" t="n"/>
      <c r="E78" s="25" t="n"/>
      <c r="F78" s="25" t="n"/>
      <c r="G78" s="25" t="n"/>
      <c r="H78" s="25" t="n"/>
      <c r="I78" s="25" t="n"/>
      <c r="J78" s="25" t="n"/>
      <c r="K78" s="139" t="n"/>
      <c r="L78" s="139" t="n"/>
      <c r="M78" s="139" t="n"/>
      <c r="N78" s="139" t="n"/>
      <c r="O78" s="139" t="n"/>
      <c r="P78" s="139" t="n"/>
      <c r="Q78" s="139" t="n"/>
      <c r="R78" s="142">
        <f>IF(COUNT($K78:$Q78)&lt;7,"",ROUND(($K78*'配置项'!$C$6+$L78*'配置项'!$C$7+$M78*'配置项'!$C$8+$N78*'配置项'!$C$9+$O78*'配置项'!$C$10+$P78*'配置项'!$C$11+$Q78*'配置项'!$C$12)*20,1))</f>
        <v/>
      </c>
      <c r="S78" s="25">
        <f>IF($R78="","",IF($R78&gt;='配置项'!$G$6,"优秀",IF($R78&gt;='配置项'!$G$7,"良好",IF($R78&gt;='配置项'!$G$8,"需关注","不合格"))))</f>
        <v/>
      </c>
      <c r="T78" s="25" t="n"/>
      <c r="U78" s="25" t="n"/>
      <c r="V78" s="28" t="n"/>
      <c r="W78" s="28" t="n"/>
      <c r="X78" s="25" t="n"/>
      <c r="Y78" s="25" t="n"/>
    </row>
    <row r="79" ht="24" customHeight="1">
      <c r="A79" s="25">
        <f>IF($B79="","","SQ-"&amp;TEXT(ROW()-4,"0000"))</f>
        <v/>
      </c>
      <c r="B79" s="141" t="n"/>
      <c r="C79" s="25" t="n"/>
      <c r="D79" s="25" t="n"/>
      <c r="E79" s="25" t="n"/>
      <c r="F79" s="25" t="n"/>
      <c r="G79" s="25" t="n"/>
      <c r="H79" s="25" t="n"/>
      <c r="I79" s="25" t="n"/>
      <c r="J79" s="25" t="n"/>
      <c r="K79" s="139" t="n"/>
      <c r="L79" s="139" t="n"/>
      <c r="M79" s="139" t="n"/>
      <c r="N79" s="139" t="n"/>
      <c r="O79" s="139" t="n"/>
      <c r="P79" s="139" t="n"/>
      <c r="Q79" s="139" t="n"/>
      <c r="R79" s="142">
        <f>IF(COUNT($K79:$Q79)&lt;7,"",ROUND(($K79*'配置项'!$C$6+$L79*'配置项'!$C$7+$M79*'配置项'!$C$8+$N79*'配置项'!$C$9+$O79*'配置项'!$C$10+$P79*'配置项'!$C$11+$Q79*'配置项'!$C$12)*20,1))</f>
        <v/>
      </c>
      <c r="S79" s="25">
        <f>IF($R79="","",IF($R79&gt;='配置项'!$G$6,"优秀",IF($R79&gt;='配置项'!$G$7,"良好",IF($R79&gt;='配置项'!$G$8,"需关注","不合格"))))</f>
        <v/>
      </c>
      <c r="T79" s="25" t="n"/>
      <c r="U79" s="25" t="n"/>
      <c r="V79" s="28" t="n"/>
      <c r="W79" s="28" t="n"/>
      <c r="X79" s="25" t="n"/>
      <c r="Y79" s="25" t="n"/>
    </row>
    <row r="80" ht="24" customHeight="1">
      <c r="A80" s="25">
        <f>IF($B80="","","SQ-"&amp;TEXT(ROW()-4,"0000"))</f>
        <v/>
      </c>
      <c r="B80" s="141" t="n"/>
      <c r="C80" s="25" t="n"/>
      <c r="D80" s="25" t="n"/>
      <c r="E80" s="25" t="n"/>
      <c r="F80" s="25" t="n"/>
      <c r="G80" s="25" t="n"/>
      <c r="H80" s="25" t="n"/>
      <c r="I80" s="25" t="n"/>
      <c r="J80" s="25" t="n"/>
      <c r="K80" s="139" t="n"/>
      <c r="L80" s="139" t="n"/>
      <c r="M80" s="139" t="n"/>
      <c r="N80" s="139" t="n"/>
      <c r="O80" s="139" t="n"/>
      <c r="P80" s="139" t="n"/>
      <c r="Q80" s="139" t="n"/>
      <c r="R80" s="142">
        <f>IF(COUNT($K80:$Q80)&lt;7,"",ROUND(($K80*'配置项'!$C$6+$L80*'配置项'!$C$7+$M80*'配置项'!$C$8+$N80*'配置项'!$C$9+$O80*'配置项'!$C$10+$P80*'配置项'!$C$11+$Q80*'配置项'!$C$12)*20,1))</f>
        <v/>
      </c>
      <c r="S80" s="25">
        <f>IF($R80="","",IF($R80&gt;='配置项'!$G$6,"优秀",IF($R80&gt;='配置项'!$G$7,"良好",IF($R80&gt;='配置项'!$G$8,"需关注","不合格"))))</f>
        <v/>
      </c>
      <c r="T80" s="25" t="n"/>
      <c r="U80" s="25" t="n"/>
      <c r="V80" s="28" t="n"/>
      <c r="W80" s="28" t="n"/>
      <c r="X80" s="25" t="n"/>
      <c r="Y80" s="25" t="n"/>
    </row>
    <row r="81" ht="24" customHeight="1">
      <c r="A81" s="25">
        <f>IF($B81="","","SQ-"&amp;TEXT(ROW()-4,"0000"))</f>
        <v/>
      </c>
      <c r="B81" s="141" t="n"/>
      <c r="C81" s="25" t="n"/>
      <c r="D81" s="25" t="n"/>
      <c r="E81" s="25" t="n"/>
      <c r="F81" s="25" t="n"/>
      <c r="G81" s="25" t="n"/>
      <c r="H81" s="25" t="n"/>
      <c r="I81" s="25" t="n"/>
      <c r="J81" s="25" t="n"/>
      <c r="K81" s="139" t="n"/>
      <c r="L81" s="139" t="n"/>
      <c r="M81" s="139" t="n"/>
      <c r="N81" s="139" t="n"/>
      <c r="O81" s="139" t="n"/>
      <c r="P81" s="139" t="n"/>
      <c r="Q81" s="139" t="n"/>
      <c r="R81" s="142">
        <f>IF(COUNT($K81:$Q81)&lt;7,"",ROUND(($K81*'配置项'!$C$6+$L81*'配置项'!$C$7+$M81*'配置项'!$C$8+$N81*'配置项'!$C$9+$O81*'配置项'!$C$10+$P81*'配置项'!$C$11+$Q81*'配置项'!$C$12)*20,1))</f>
        <v/>
      </c>
      <c r="S81" s="25">
        <f>IF($R81="","",IF($R81&gt;='配置项'!$G$6,"优秀",IF($R81&gt;='配置项'!$G$7,"良好",IF($R81&gt;='配置项'!$G$8,"需关注","不合格"))))</f>
        <v/>
      </c>
      <c r="T81" s="25" t="n"/>
      <c r="U81" s="25" t="n"/>
      <c r="V81" s="28" t="n"/>
      <c r="W81" s="28" t="n"/>
      <c r="X81" s="25" t="n"/>
      <c r="Y81" s="25" t="n"/>
    </row>
    <row r="82" ht="24" customHeight="1">
      <c r="A82" s="25">
        <f>IF($B82="","","SQ-"&amp;TEXT(ROW()-4,"0000"))</f>
        <v/>
      </c>
      <c r="B82" s="141" t="n"/>
      <c r="C82" s="25" t="n"/>
      <c r="D82" s="25" t="n"/>
      <c r="E82" s="25" t="n"/>
      <c r="F82" s="25" t="n"/>
      <c r="G82" s="25" t="n"/>
      <c r="H82" s="25" t="n"/>
      <c r="I82" s="25" t="n"/>
      <c r="J82" s="25" t="n"/>
      <c r="K82" s="139" t="n"/>
      <c r="L82" s="139" t="n"/>
      <c r="M82" s="139" t="n"/>
      <c r="N82" s="139" t="n"/>
      <c r="O82" s="139" t="n"/>
      <c r="P82" s="139" t="n"/>
      <c r="Q82" s="139" t="n"/>
      <c r="R82" s="142">
        <f>IF(COUNT($K82:$Q82)&lt;7,"",ROUND(($K82*'配置项'!$C$6+$L82*'配置项'!$C$7+$M82*'配置项'!$C$8+$N82*'配置项'!$C$9+$O82*'配置项'!$C$10+$P82*'配置项'!$C$11+$Q82*'配置项'!$C$12)*20,1))</f>
        <v/>
      </c>
      <c r="S82" s="25">
        <f>IF($R82="","",IF($R82&gt;='配置项'!$G$6,"优秀",IF($R82&gt;='配置项'!$G$7,"良好",IF($R82&gt;='配置项'!$G$8,"需关注","不合格"))))</f>
        <v/>
      </c>
      <c r="T82" s="25" t="n"/>
      <c r="U82" s="25" t="n"/>
      <c r="V82" s="28" t="n"/>
      <c r="W82" s="28" t="n"/>
      <c r="X82" s="25" t="n"/>
      <c r="Y82" s="25" t="n"/>
    </row>
    <row r="83" ht="24" customHeight="1">
      <c r="A83" s="25">
        <f>IF($B83="","","SQ-"&amp;TEXT(ROW()-4,"0000"))</f>
        <v/>
      </c>
      <c r="B83" s="141" t="n"/>
      <c r="C83" s="25" t="n"/>
      <c r="D83" s="25" t="n"/>
      <c r="E83" s="25" t="n"/>
      <c r="F83" s="25" t="n"/>
      <c r="G83" s="25" t="n"/>
      <c r="H83" s="25" t="n"/>
      <c r="I83" s="25" t="n"/>
      <c r="J83" s="25" t="n"/>
      <c r="K83" s="139" t="n"/>
      <c r="L83" s="139" t="n"/>
      <c r="M83" s="139" t="n"/>
      <c r="N83" s="139" t="n"/>
      <c r="O83" s="139" t="n"/>
      <c r="P83" s="139" t="n"/>
      <c r="Q83" s="139" t="n"/>
      <c r="R83" s="142">
        <f>IF(COUNT($K83:$Q83)&lt;7,"",ROUND(($K83*'配置项'!$C$6+$L83*'配置项'!$C$7+$M83*'配置项'!$C$8+$N83*'配置项'!$C$9+$O83*'配置项'!$C$10+$P83*'配置项'!$C$11+$Q83*'配置项'!$C$12)*20,1))</f>
        <v/>
      </c>
      <c r="S83" s="25">
        <f>IF($R83="","",IF($R83&gt;='配置项'!$G$6,"优秀",IF($R83&gt;='配置项'!$G$7,"良好",IF($R83&gt;='配置项'!$G$8,"需关注","不合格"))))</f>
        <v/>
      </c>
      <c r="T83" s="25" t="n"/>
      <c r="U83" s="25" t="n"/>
      <c r="V83" s="28" t="n"/>
      <c r="W83" s="28" t="n"/>
      <c r="X83" s="25" t="n"/>
      <c r="Y83" s="25" t="n"/>
    </row>
    <row r="84" ht="24" customHeight="1">
      <c r="A84" s="25">
        <f>IF($B84="","","SQ-"&amp;TEXT(ROW()-4,"0000"))</f>
        <v/>
      </c>
      <c r="B84" s="141" t="n"/>
      <c r="C84" s="25" t="n"/>
      <c r="D84" s="25" t="n"/>
      <c r="E84" s="25" t="n"/>
      <c r="F84" s="25" t="n"/>
      <c r="G84" s="25" t="n"/>
      <c r="H84" s="25" t="n"/>
      <c r="I84" s="25" t="n"/>
      <c r="J84" s="25" t="n"/>
      <c r="K84" s="139" t="n"/>
      <c r="L84" s="139" t="n"/>
      <c r="M84" s="139" t="n"/>
      <c r="N84" s="139" t="n"/>
      <c r="O84" s="139" t="n"/>
      <c r="P84" s="139" t="n"/>
      <c r="Q84" s="139" t="n"/>
      <c r="R84" s="142">
        <f>IF(COUNT($K84:$Q84)&lt;7,"",ROUND(($K84*'配置项'!$C$6+$L84*'配置项'!$C$7+$M84*'配置项'!$C$8+$N84*'配置项'!$C$9+$O84*'配置项'!$C$10+$P84*'配置项'!$C$11+$Q84*'配置项'!$C$12)*20,1))</f>
        <v/>
      </c>
      <c r="S84" s="25">
        <f>IF($R84="","",IF($R84&gt;='配置项'!$G$6,"优秀",IF($R84&gt;='配置项'!$G$7,"良好",IF($R84&gt;='配置项'!$G$8,"需关注","不合格"))))</f>
        <v/>
      </c>
      <c r="T84" s="25" t="n"/>
      <c r="U84" s="25" t="n"/>
      <c r="V84" s="28" t="n"/>
      <c r="W84" s="28" t="n"/>
      <c r="X84" s="25" t="n"/>
      <c r="Y84" s="25" t="n"/>
    </row>
    <row r="85" ht="24" customHeight="1">
      <c r="A85" s="25">
        <f>IF($B85="","","SQ-"&amp;TEXT(ROW()-4,"0000"))</f>
        <v/>
      </c>
      <c r="B85" s="141" t="n"/>
      <c r="C85" s="25" t="n"/>
      <c r="D85" s="25" t="n"/>
      <c r="E85" s="25" t="n"/>
      <c r="F85" s="25" t="n"/>
      <c r="G85" s="25" t="n"/>
      <c r="H85" s="25" t="n"/>
      <c r="I85" s="25" t="n"/>
      <c r="J85" s="25" t="n"/>
      <c r="K85" s="139" t="n"/>
      <c r="L85" s="139" t="n"/>
      <c r="M85" s="139" t="n"/>
      <c r="N85" s="139" t="n"/>
      <c r="O85" s="139" t="n"/>
      <c r="P85" s="139" t="n"/>
      <c r="Q85" s="139" t="n"/>
      <c r="R85" s="142">
        <f>IF(COUNT($K85:$Q85)&lt;7,"",ROUND(($K85*'配置项'!$C$6+$L85*'配置项'!$C$7+$M85*'配置项'!$C$8+$N85*'配置项'!$C$9+$O85*'配置项'!$C$10+$P85*'配置项'!$C$11+$Q85*'配置项'!$C$12)*20,1))</f>
        <v/>
      </c>
      <c r="S85" s="25">
        <f>IF($R85="","",IF($R85&gt;='配置项'!$G$6,"优秀",IF($R85&gt;='配置项'!$G$7,"良好",IF($R85&gt;='配置项'!$G$8,"需关注","不合格"))))</f>
        <v/>
      </c>
      <c r="T85" s="25" t="n"/>
      <c r="U85" s="25" t="n"/>
      <c r="V85" s="28" t="n"/>
      <c r="W85" s="28" t="n"/>
      <c r="X85" s="25" t="n"/>
      <c r="Y85" s="25" t="n"/>
    </row>
    <row r="86" ht="24" customHeight="1">
      <c r="A86" s="25">
        <f>IF($B86="","","SQ-"&amp;TEXT(ROW()-4,"0000"))</f>
        <v/>
      </c>
      <c r="B86" s="141" t="n"/>
      <c r="C86" s="25" t="n"/>
      <c r="D86" s="25" t="n"/>
      <c r="E86" s="25" t="n"/>
      <c r="F86" s="25" t="n"/>
      <c r="G86" s="25" t="n"/>
      <c r="H86" s="25" t="n"/>
      <c r="I86" s="25" t="n"/>
      <c r="J86" s="25" t="n"/>
      <c r="K86" s="139" t="n"/>
      <c r="L86" s="139" t="n"/>
      <c r="M86" s="139" t="n"/>
      <c r="N86" s="139" t="n"/>
      <c r="O86" s="139" t="n"/>
      <c r="P86" s="139" t="n"/>
      <c r="Q86" s="139" t="n"/>
      <c r="R86" s="142">
        <f>IF(COUNT($K86:$Q86)&lt;7,"",ROUND(($K86*'配置项'!$C$6+$L86*'配置项'!$C$7+$M86*'配置项'!$C$8+$N86*'配置项'!$C$9+$O86*'配置项'!$C$10+$P86*'配置项'!$C$11+$Q86*'配置项'!$C$12)*20,1))</f>
        <v/>
      </c>
      <c r="S86" s="25">
        <f>IF($R86="","",IF($R86&gt;='配置项'!$G$6,"优秀",IF($R86&gt;='配置项'!$G$7,"良好",IF($R86&gt;='配置项'!$G$8,"需关注","不合格"))))</f>
        <v/>
      </c>
      <c r="T86" s="25" t="n"/>
      <c r="U86" s="25" t="n"/>
      <c r="V86" s="28" t="n"/>
      <c r="W86" s="28" t="n"/>
      <c r="X86" s="25" t="n"/>
      <c r="Y86" s="25" t="n"/>
    </row>
    <row r="87" ht="24" customHeight="1">
      <c r="A87" s="25">
        <f>IF($B87="","","SQ-"&amp;TEXT(ROW()-4,"0000"))</f>
        <v/>
      </c>
      <c r="B87" s="141" t="n"/>
      <c r="C87" s="25" t="n"/>
      <c r="D87" s="25" t="n"/>
      <c r="E87" s="25" t="n"/>
      <c r="F87" s="25" t="n"/>
      <c r="G87" s="25" t="n"/>
      <c r="H87" s="25" t="n"/>
      <c r="I87" s="25" t="n"/>
      <c r="J87" s="25" t="n"/>
      <c r="K87" s="139" t="n"/>
      <c r="L87" s="139" t="n"/>
      <c r="M87" s="139" t="n"/>
      <c r="N87" s="139" t="n"/>
      <c r="O87" s="139" t="n"/>
      <c r="P87" s="139" t="n"/>
      <c r="Q87" s="139" t="n"/>
      <c r="R87" s="142">
        <f>IF(COUNT($K87:$Q87)&lt;7,"",ROUND(($K87*'配置项'!$C$6+$L87*'配置项'!$C$7+$M87*'配置项'!$C$8+$N87*'配置项'!$C$9+$O87*'配置项'!$C$10+$P87*'配置项'!$C$11+$Q87*'配置项'!$C$12)*20,1))</f>
        <v/>
      </c>
      <c r="S87" s="25">
        <f>IF($R87="","",IF($R87&gt;='配置项'!$G$6,"优秀",IF($R87&gt;='配置项'!$G$7,"良好",IF($R87&gt;='配置项'!$G$8,"需关注","不合格"))))</f>
        <v/>
      </c>
      <c r="T87" s="25" t="n"/>
      <c r="U87" s="25" t="n"/>
      <c r="V87" s="28" t="n"/>
      <c r="W87" s="28" t="n"/>
      <c r="X87" s="25" t="n"/>
      <c r="Y87" s="25" t="n"/>
    </row>
    <row r="88" ht="24" customHeight="1">
      <c r="A88" s="25">
        <f>IF($B88="","","SQ-"&amp;TEXT(ROW()-4,"0000"))</f>
        <v/>
      </c>
      <c r="B88" s="141" t="n"/>
      <c r="C88" s="25" t="n"/>
      <c r="D88" s="25" t="n"/>
      <c r="E88" s="25" t="n"/>
      <c r="F88" s="25" t="n"/>
      <c r="G88" s="25" t="n"/>
      <c r="H88" s="25" t="n"/>
      <c r="I88" s="25" t="n"/>
      <c r="J88" s="25" t="n"/>
      <c r="K88" s="139" t="n"/>
      <c r="L88" s="139" t="n"/>
      <c r="M88" s="139" t="n"/>
      <c r="N88" s="139" t="n"/>
      <c r="O88" s="139" t="n"/>
      <c r="P88" s="139" t="n"/>
      <c r="Q88" s="139" t="n"/>
      <c r="R88" s="142">
        <f>IF(COUNT($K88:$Q88)&lt;7,"",ROUND(($K88*'配置项'!$C$6+$L88*'配置项'!$C$7+$M88*'配置项'!$C$8+$N88*'配置项'!$C$9+$O88*'配置项'!$C$10+$P88*'配置项'!$C$11+$Q88*'配置项'!$C$12)*20,1))</f>
        <v/>
      </c>
      <c r="S88" s="25">
        <f>IF($R88="","",IF($R88&gt;='配置项'!$G$6,"优秀",IF($R88&gt;='配置项'!$G$7,"良好",IF($R88&gt;='配置项'!$G$8,"需关注","不合格"))))</f>
        <v/>
      </c>
      <c r="T88" s="25" t="n"/>
      <c r="U88" s="25" t="n"/>
      <c r="V88" s="28" t="n"/>
      <c r="W88" s="28" t="n"/>
      <c r="X88" s="25" t="n"/>
      <c r="Y88" s="25" t="n"/>
    </row>
    <row r="89" ht="24" customHeight="1">
      <c r="A89" s="25">
        <f>IF($B89="","","SQ-"&amp;TEXT(ROW()-4,"0000"))</f>
        <v/>
      </c>
      <c r="B89" s="141" t="n"/>
      <c r="C89" s="25" t="n"/>
      <c r="D89" s="25" t="n"/>
      <c r="E89" s="25" t="n"/>
      <c r="F89" s="25" t="n"/>
      <c r="G89" s="25" t="n"/>
      <c r="H89" s="25" t="n"/>
      <c r="I89" s="25" t="n"/>
      <c r="J89" s="25" t="n"/>
      <c r="K89" s="139" t="n"/>
      <c r="L89" s="139" t="n"/>
      <c r="M89" s="139" t="n"/>
      <c r="N89" s="139" t="n"/>
      <c r="O89" s="139" t="n"/>
      <c r="P89" s="139" t="n"/>
      <c r="Q89" s="139" t="n"/>
      <c r="R89" s="142">
        <f>IF(COUNT($K89:$Q89)&lt;7,"",ROUND(($K89*'配置项'!$C$6+$L89*'配置项'!$C$7+$M89*'配置项'!$C$8+$N89*'配置项'!$C$9+$O89*'配置项'!$C$10+$P89*'配置项'!$C$11+$Q89*'配置项'!$C$12)*20,1))</f>
        <v/>
      </c>
      <c r="S89" s="25">
        <f>IF($R89="","",IF($R89&gt;='配置项'!$G$6,"优秀",IF($R89&gt;='配置项'!$G$7,"良好",IF($R89&gt;='配置项'!$G$8,"需关注","不合格"))))</f>
        <v/>
      </c>
      <c r="T89" s="25" t="n"/>
      <c r="U89" s="25" t="n"/>
      <c r="V89" s="28" t="n"/>
      <c r="W89" s="28" t="n"/>
      <c r="X89" s="25" t="n"/>
      <c r="Y89" s="25" t="n"/>
    </row>
    <row r="90" ht="24" customHeight="1">
      <c r="A90" s="25">
        <f>IF($B90="","","SQ-"&amp;TEXT(ROW()-4,"0000"))</f>
        <v/>
      </c>
      <c r="B90" s="141" t="n"/>
      <c r="C90" s="25" t="n"/>
      <c r="D90" s="25" t="n"/>
      <c r="E90" s="25" t="n"/>
      <c r="F90" s="25" t="n"/>
      <c r="G90" s="25" t="n"/>
      <c r="H90" s="25" t="n"/>
      <c r="I90" s="25" t="n"/>
      <c r="J90" s="25" t="n"/>
      <c r="K90" s="139" t="n"/>
      <c r="L90" s="139" t="n"/>
      <c r="M90" s="139" t="n"/>
      <c r="N90" s="139" t="n"/>
      <c r="O90" s="139" t="n"/>
      <c r="P90" s="139" t="n"/>
      <c r="Q90" s="139" t="n"/>
      <c r="R90" s="142">
        <f>IF(COUNT($K90:$Q90)&lt;7,"",ROUND(($K90*'配置项'!$C$6+$L90*'配置项'!$C$7+$M90*'配置项'!$C$8+$N90*'配置项'!$C$9+$O90*'配置项'!$C$10+$P90*'配置项'!$C$11+$Q90*'配置项'!$C$12)*20,1))</f>
        <v/>
      </c>
      <c r="S90" s="25">
        <f>IF($R90="","",IF($R90&gt;='配置项'!$G$6,"优秀",IF($R90&gt;='配置项'!$G$7,"良好",IF($R90&gt;='配置项'!$G$8,"需关注","不合格"))))</f>
        <v/>
      </c>
      <c r="T90" s="25" t="n"/>
      <c r="U90" s="25" t="n"/>
      <c r="V90" s="28" t="n"/>
      <c r="W90" s="28" t="n"/>
      <c r="X90" s="25" t="n"/>
      <c r="Y90" s="25" t="n"/>
    </row>
    <row r="91" ht="24" customHeight="1">
      <c r="A91" s="25">
        <f>IF($B91="","","SQ-"&amp;TEXT(ROW()-4,"0000"))</f>
        <v/>
      </c>
      <c r="B91" s="141" t="n"/>
      <c r="C91" s="25" t="n"/>
      <c r="D91" s="25" t="n"/>
      <c r="E91" s="25" t="n"/>
      <c r="F91" s="25" t="n"/>
      <c r="G91" s="25" t="n"/>
      <c r="H91" s="25" t="n"/>
      <c r="I91" s="25" t="n"/>
      <c r="J91" s="25" t="n"/>
      <c r="K91" s="139" t="n"/>
      <c r="L91" s="139" t="n"/>
      <c r="M91" s="139" t="n"/>
      <c r="N91" s="139" t="n"/>
      <c r="O91" s="139" t="n"/>
      <c r="P91" s="139" t="n"/>
      <c r="Q91" s="139" t="n"/>
      <c r="R91" s="142">
        <f>IF(COUNT($K91:$Q91)&lt;7,"",ROUND(($K91*'配置项'!$C$6+$L91*'配置项'!$C$7+$M91*'配置项'!$C$8+$N91*'配置项'!$C$9+$O91*'配置项'!$C$10+$P91*'配置项'!$C$11+$Q91*'配置项'!$C$12)*20,1))</f>
        <v/>
      </c>
      <c r="S91" s="25">
        <f>IF($R91="","",IF($R91&gt;='配置项'!$G$6,"优秀",IF($R91&gt;='配置项'!$G$7,"良好",IF($R91&gt;='配置项'!$G$8,"需关注","不合格"))))</f>
        <v/>
      </c>
      <c r="T91" s="25" t="n"/>
      <c r="U91" s="25" t="n"/>
      <c r="V91" s="28" t="n"/>
      <c r="W91" s="28" t="n"/>
      <c r="X91" s="25" t="n"/>
      <c r="Y91" s="25" t="n"/>
    </row>
    <row r="92" ht="24" customHeight="1">
      <c r="A92" s="25">
        <f>IF($B92="","","SQ-"&amp;TEXT(ROW()-4,"0000"))</f>
        <v/>
      </c>
      <c r="B92" s="141" t="n"/>
      <c r="C92" s="25" t="n"/>
      <c r="D92" s="25" t="n"/>
      <c r="E92" s="25" t="n"/>
      <c r="F92" s="25" t="n"/>
      <c r="G92" s="25" t="n"/>
      <c r="H92" s="25" t="n"/>
      <c r="I92" s="25" t="n"/>
      <c r="J92" s="25" t="n"/>
      <c r="K92" s="139" t="n"/>
      <c r="L92" s="139" t="n"/>
      <c r="M92" s="139" t="n"/>
      <c r="N92" s="139" t="n"/>
      <c r="O92" s="139" t="n"/>
      <c r="P92" s="139" t="n"/>
      <c r="Q92" s="139" t="n"/>
      <c r="R92" s="142">
        <f>IF(COUNT($K92:$Q92)&lt;7,"",ROUND(($K92*'配置项'!$C$6+$L92*'配置项'!$C$7+$M92*'配置项'!$C$8+$N92*'配置项'!$C$9+$O92*'配置项'!$C$10+$P92*'配置项'!$C$11+$Q92*'配置项'!$C$12)*20,1))</f>
        <v/>
      </c>
      <c r="S92" s="25">
        <f>IF($R92="","",IF($R92&gt;='配置项'!$G$6,"优秀",IF($R92&gt;='配置项'!$G$7,"良好",IF($R92&gt;='配置项'!$G$8,"需关注","不合格"))))</f>
        <v/>
      </c>
      <c r="T92" s="25" t="n"/>
      <c r="U92" s="25" t="n"/>
      <c r="V92" s="28" t="n"/>
      <c r="W92" s="28" t="n"/>
      <c r="X92" s="25" t="n"/>
      <c r="Y92" s="25" t="n"/>
    </row>
    <row r="93" ht="24" customHeight="1">
      <c r="A93" s="25">
        <f>IF($B93="","","SQ-"&amp;TEXT(ROW()-4,"0000"))</f>
        <v/>
      </c>
      <c r="B93" s="141" t="n"/>
      <c r="C93" s="25" t="n"/>
      <c r="D93" s="25" t="n"/>
      <c r="E93" s="25" t="n"/>
      <c r="F93" s="25" t="n"/>
      <c r="G93" s="25" t="n"/>
      <c r="H93" s="25" t="n"/>
      <c r="I93" s="25" t="n"/>
      <c r="J93" s="25" t="n"/>
      <c r="K93" s="139" t="n"/>
      <c r="L93" s="139" t="n"/>
      <c r="M93" s="139" t="n"/>
      <c r="N93" s="139" t="n"/>
      <c r="O93" s="139" t="n"/>
      <c r="P93" s="139" t="n"/>
      <c r="Q93" s="139" t="n"/>
      <c r="R93" s="142">
        <f>IF(COUNT($K93:$Q93)&lt;7,"",ROUND(($K93*'配置项'!$C$6+$L93*'配置项'!$C$7+$M93*'配置项'!$C$8+$N93*'配置项'!$C$9+$O93*'配置项'!$C$10+$P93*'配置项'!$C$11+$Q93*'配置项'!$C$12)*20,1))</f>
        <v/>
      </c>
      <c r="S93" s="25">
        <f>IF($R93="","",IF($R93&gt;='配置项'!$G$6,"优秀",IF($R93&gt;='配置项'!$G$7,"良好",IF($R93&gt;='配置项'!$G$8,"需关注","不合格"))))</f>
        <v/>
      </c>
      <c r="T93" s="25" t="n"/>
      <c r="U93" s="25" t="n"/>
      <c r="V93" s="28" t="n"/>
      <c r="W93" s="28" t="n"/>
      <c r="X93" s="25" t="n"/>
      <c r="Y93" s="25" t="n"/>
    </row>
    <row r="94" ht="24" customHeight="1">
      <c r="A94" s="25">
        <f>IF($B94="","","SQ-"&amp;TEXT(ROW()-4,"0000"))</f>
        <v/>
      </c>
      <c r="B94" s="141" t="n"/>
      <c r="C94" s="25" t="n"/>
      <c r="D94" s="25" t="n"/>
      <c r="E94" s="25" t="n"/>
      <c r="F94" s="25" t="n"/>
      <c r="G94" s="25" t="n"/>
      <c r="H94" s="25" t="n"/>
      <c r="I94" s="25" t="n"/>
      <c r="J94" s="25" t="n"/>
      <c r="K94" s="139" t="n"/>
      <c r="L94" s="139" t="n"/>
      <c r="M94" s="139" t="n"/>
      <c r="N94" s="139" t="n"/>
      <c r="O94" s="139" t="n"/>
      <c r="P94" s="139" t="n"/>
      <c r="Q94" s="139" t="n"/>
      <c r="R94" s="142">
        <f>IF(COUNT($K94:$Q94)&lt;7,"",ROUND(($K94*'配置项'!$C$6+$L94*'配置项'!$C$7+$M94*'配置项'!$C$8+$N94*'配置项'!$C$9+$O94*'配置项'!$C$10+$P94*'配置项'!$C$11+$Q94*'配置项'!$C$12)*20,1))</f>
        <v/>
      </c>
      <c r="S94" s="25">
        <f>IF($R94="","",IF($R94&gt;='配置项'!$G$6,"优秀",IF($R94&gt;='配置项'!$G$7,"良好",IF($R94&gt;='配置项'!$G$8,"需关注","不合格"))))</f>
        <v/>
      </c>
      <c r="T94" s="25" t="n"/>
      <c r="U94" s="25" t="n"/>
      <c r="V94" s="28" t="n"/>
      <c r="W94" s="28" t="n"/>
      <c r="X94" s="25" t="n"/>
      <c r="Y94" s="25" t="n"/>
    </row>
    <row r="95" ht="24" customHeight="1">
      <c r="A95" s="25">
        <f>IF($B95="","","SQ-"&amp;TEXT(ROW()-4,"0000"))</f>
        <v/>
      </c>
      <c r="B95" s="141" t="n"/>
      <c r="C95" s="25" t="n"/>
      <c r="D95" s="25" t="n"/>
      <c r="E95" s="25" t="n"/>
      <c r="F95" s="25" t="n"/>
      <c r="G95" s="25" t="n"/>
      <c r="H95" s="25" t="n"/>
      <c r="I95" s="25" t="n"/>
      <c r="J95" s="25" t="n"/>
      <c r="K95" s="139" t="n"/>
      <c r="L95" s="139" t="n"/>
      <c r="M95" s="139" t="n"/>
      <c r="N95" s="139" t="n"/>
      <c r="O95" s="139" t="n"/>
      <c r="P95" s="139" t="n"/>
      <c r="Q95" s="139" t="n"/>
      <c r="R95" s="142">
        <f>IF(COUNT($K95:$Q95)&lt;7,"",ROUND(($K95*'配置项'!$C$6+$L95*'配置项'!$C$7+$M95*'配置项'!$C$8+$N95*'配置项'!$C$9+$O95*'配置项'!$C$10+$P95*'配置项'!$C$11+$Q95*'配置项'!$C$12)*20,1))</f>
        <v/>
      </c>
      <c r="S95" s="25">
        <f>IF($R95="","",IF($R95&gt;='配置项'!$G$6,"优秀",IF($R95&gt;='配置项'!$G$7,"良好",IF($R95&gt;='配置项'!$G$8,"需关注","不合格"))))</f>
        <v/>
      </c>
      <c r="T95" s="25" t="n"/>
      <c r="U95" s="25" t="n"/>
      <c r="V95" s="28" t="n"/>
      <c r="W95" s="28" t="n"/>
      <c r="X95" s="25" t="n"/>
      <c r="Y95" s="25" t="n"/>
    </row>
    <row r="96" ht="24" customHeight="1">
      <c r="A96" s="25">
        <f>IF($B96="","","SQ-"&amp;TEXT(ROW()-4,"0000"))</f>
        <v/>
      </c>
      <c r="B96" s="141" t="n"/>
      <c r="C96" s="25" t="n"/>
      <c r="D96" s="25" t="n"/>
      <c r="E96" s="25" t="n"/>
      <c r="F96" s="25" t="n"/>
      <c r="G96" s="25" t="n"/>
      <c r="H96" s="25" t="n"/>
      <c r="I96" s="25" t="n"/>
      <c r="J96" s="25" t="n"/>
      <c r="K96" s="139" t="n"/>
      <c r="L96" s="139" t="n"/>
      <c r="M96" s="139" t="n"/>
      <c r="N96" s="139" t="n"/>
      <c r="O96" s="139" t="n"/>
      <c r="P96" s="139" t="n"/>
      <c r="Q96" s="139" t="n"/>
      <c r="R96" s="142">
        <f>IF(COUNT($K96:$Q96)&lt;7,"",ROUND(($K96*'配置项'!$C$6+$L96*'配置项'!$C$7+$M96*'配置项'!$C$8+$N96*'配置项'!$C$9+$O96*'配置项'!$C$10+$P96*'配置项'!$C$11+$Q96*'配置项'!$C$12)*20,1))</f>
        <v/>
      </c>
      <c r="S96" s="25">
        <f>IF($R96="","",IF($R96&gt;='配置项'!$G$6,"优秀",IF($R96&gt;='配置项'!$G$7,"良好",IF($R96&gt;='配置项'!$G$8,"需关注","不合格"))))</f>
        <v/>
      </c>
      <c r="T96" s="25" t="n"/>
      <c r="U96" s="25" t="n"/>
      <c r="V96" s="28" t="n"/>
      <c r="W96" s="28" t="n"/>
      <c r="X96" s="25" t="n"/>
      <c r="Y96" s="25" t="n"/>
    </row>
    <row r="97" ht="24" customHeight="1">
      <c r="A97" s="25">
        <f>IF($B97="","","SQ-"&amp;TEXT(ROW()-4,"0000"))</f>
        <v/>
      </c>
      <c r="B97" s="141" t="n"/>
      <c r="C97" s="25" t="n"/>
      <c r="D97" s="25" t="n"/>
      <c r="E97" s="25" t="n"/>
      <c r="F97" s="25" t="n"/>
      <c r="G97" s="25" t="n"/>
      <c r="H97" s="25" t="n"/>
      <c r="I97" s="25" t="n"/>
      <c r="J97" s="25" t="n"/>
      <c r="K97" s="139" t="n"/>
      <c r="L97" s="139" t="n"/>
      <c r="M97" s="139" t="n"/>
      <c r="N97" s="139" t="n"/>
      <c r="O97" s="139" t="n"/>
      <c r="P97" s="139" t="n"/>
      <c r="Q97" s="139" t="n"/>
      <c r="R97" s="142">
        <f>IF(COUNT($K97:$Q97)&lt;7,"",ROUND(($K97*'配置项'!$C$6+$L97*'配置项'!$C$7+$M97*'配置项'!$C$8+$N97*'配置项'!$C$9+$O97*'配置项'!$C$10+$P97*'配置项'!$C$11+$Q97*'配置项'!$C$12)*20,1))</f>
        <v/>
      </c>
      <c r="S97" s="25">
        <f>IF($R97="","",IF($R97&gt;='配置项'!$G$6,"优秀",IF($R97&gt;='配置项'!$G$7,"良好",IF($R97&gt;='配置项'!$G$8,"需关注","不合格"))))</f>
        <v/>
      </c>
      <c r="T97" s="25" t="n"/>
      <c r="U97" s="25" t="n"/>
      <c r="V97" s="28" t="n"/>
      <c r="W97" s="28" t="n"/>
      <c r="X97" s="25" t="n"/>
      <c r="Y97" s="25" t="n"/>
    </row>
    <row r="98" ht="24" customHeight="1">
      <c r="A98" s="25">
        <f>IF($B98="","","SQ-"&amp;TEXT(ROW()-4,"0000"))</f>
        <v/>
      </c>
      <c r="B98" s="141" t="n"/>
      <c r="C98" s="25" t="n"/>
      <c r="D98" s="25" t="n"/>
      <c r="E98" s="25" t="n"/>
      <c r="F98" s="25" t="n"/>
      <c r="G98" s="25" t="n"/>
      <c r="H98" s="25" t="n"/>
      <c r="I98" s="25" t="n"/>
      <c r="J98" s="25" t="n"/>
      <c r="K98" s="139" t="n"/>
      <c r="L98" s="139" t="n"/>
      <c r="M98" s="139" t="n"/>
      <c r="N98" s="139" t="n"/>
      <c r="O98" s="139" t="n"/>
      <c r="P98" s="139" t="n"/>
      <c r="Q98" s="139" t="n"/>
      <c r="R98" s="142">
        <f>IF(COUNT($K98:$Q98)&lt;7,"",ROUND(($K98*'配置项'!$C$6+$L98*'配置项'!$C$7+$M98*'配置项'!$C$8+$N98*'配置项'!$C$9+$O98*'配置项'!$C$10+$P98*'配置项'!$C$11+$Q98*'配置项'!$C$12)*20,1))</f>
        <v/>
      </c>
      <c r="S98" s="25">
        <f>IF($R98="","",IF($R98&gt;='配置项'!$G$6,"优秀",IF($R98&gt;='配置项'!$G$7,"良好",IF($R98&gt;='配置项'!$G$8,"需关注","不合格"))))</f>
        <v/>
      </c>
      <c r="T98" s="25" t="n"/>
      <c r="U98" s="25" t="n"/>
      <c r="V98" s="28" t="n"/>
      <c r="W98" s="28" t="n"/>
      <c r="X98" s="25" t="n"/>
      <c r="Y98" s="25" t="n"/>
    </row>
    <row r="99" ht="24" customHeight="1">
      <c r="A99" s="25">
        <f>IF($B99="","","SQ-"&amp;TEXT(ROW()-4,"0000"))</f>
        <v/>
      </c>
      <c r="B99" s="141" t="n"/>
      <c r="C99" s="25" t="n"/>
      <c r="D99" s="25" t="n"/>
      <c r="E99" s="25" t="n"/>
      <c r="F99" s="25" t="n"/>
      <c r="G99" s="25" t="n"/>
      <c r="H99" s="25" t="n"/>
      <c r="I99" s="25" t="n"/>
      <c r="J99" s="25" t="n"/>
      <c r="K99" s="139" t="n"/>
      <c r="L99" s="139" t="n"/>
      <c r="M99" s="139" t="n"/>
      <c r="N99" s="139" t="n"/>
      <c r="O99" s="139" t="n"/>
      <c r="P99" s="139" t="n"/>
      <c r="Q99" s="139" t="n"/>
      <c r="R99" s="142">
        <f>IF(COUNT($K99:$Q99)&lt;7,"",ROUND(($K99*'配置项'!$C$6+$L99*'配置项'!$C$7+$M99*'配置项'!$C$8+$N99*'配置项'!$C$9+$O99*'配置项'!$C$10+$P99*'配置项'!$C$11+$Q99*'配置项'!$C$12)*20,1))</f>
        <v/>
      </c>
      <c r="S99" s="25">
        <f>IF($R99="","",IF($R99&gt;='配置项'!$G$6,"优秀",IF($R99&gt;='配置项'!$G$7,"良好",IF($R99&gt;='配置项'!$G$8,"需关注","不合格"))))</f>
        <v/>
      </c>
      <c r="T99" s="25" t="n"/>
      <c r="U99" s="25" t="n"/>
      <c r="V99" s="28" t="n"/>
      <c r="W99" s="28" t="n"/>
      <c r="X99" s="25" t="n"/>
      <c r="Y99" s="25" t="n"/>
    </row>
    <row r="100" ht="24" customHeight="1">
      <c r="A100" s="25">
        <f>IF($B100="","","SQ-"&amp;TEXT(ROW()-4,"0000"))</f>
        <v/>
      </c>
      <c r="B100" s="141" t="n"/>
      <c r="C100" s="25" t="n"/>
      <c r="D100" s="25" t="n"/>
      <c r="E100" s="25" t="n"/>
      <c r="F100" s="25" t="n"/>
      <c r="G100" s="25" t="n"/>
      <c r="H100" s="25" t="n"/>
      <c r="I100" s="25" t="n"/>
      <c r="J100" s="25" t="n"/>
      <c r="K100" s="139" t="n"/>
      <c r="L100" s="139" t="n"/>
      <c r="M100" s="139" t="n"/>
      <c r="N100" s="139" t="n"/>
      <c r="O100" s="139" t="n"/>
      <c r="P100" s="139" t="n"/>
      <c r="Q100" s="139" t="n"/>
      <c r="R100" s="142">
        <f>IF(COUNT($K100:$Q100)&lt;7,"",ROUND(($K100*'配置项'!$C$6+$L100*'配置项'!$C$7+$M100*'配置项'!$C$8+$N100*'配置项'!$C$9+$O100*'配置项'!$C$10+$P100*'配置项'!$C$11+$Q100*'配置项'!$C$12)*20,1))</f>
        <v/>
      </c>
      <c r="S100" s="25">
        <f>IF($R100="","",IF($R100&gt;='配置项'!$G$6,"优秀",IF($R100&gt;='配置项'!$G$7,"良好",IF($R100&gt;='配置项'!$G$8,"需关注","不合格"))))</f>
        <v/>
      </c>
      <c r="T100" s="25" t="n"/>
      <c r="U100" s="25" t="n"/>
      <c r="V100" s="28" t="n"/>
      <c r="W100" s="28" t="n"/>
      <c r="X100" s="25" t="n"/>
      <c r="Y100" s="25" t="n"/>
    </row>
    <row r="101" ht="24" customHeight="1">
      <c r="A101" s="25">
        <f>IF($B101="","","SQ-"&amp;TEXT(ROW()-4,"0000"))</f>
        <v/>
      </c>
      <c r="B101" s="141" t="n"/>
      <c r="C101" s="25" t="n"/>
      <c r="D101" s="25" t="n"/>
      <c r="E101" s="25" t="n"/>
      <c r="F101" s="25" t="n"/>
      <c r="G101" s="25" t="n"/>
      <c r="H101" s="25" t="n"/>
      <c r="I101" s="25" t="n"/>
      <c r="J101" s="25" t="n"/>
      <c r="K101" s="139" t="n"/>
      <c r="L101" s="139" t="n"/>
      <c r="M101" s="139" t="n"/>
      <c r="N101" s="139" t="n"/>
      <c r="O101" s="139" t="n"/>
      <c r="P101" s="139" t="n"/>
      <c r="Q101" s="139" t="n"/>
      <c r="R101" s="142">
        <f>IF(COUNT($K101:$Q101)&lt;7,"",ROUND(($K101*'配置项'!$C$6+$L101*'配置项'!$C$7+$M101*'配置项'!$C$8+$N101*'配置项'!$C$9+$O101*'配置项'!$C$10+$P101*'配置项'!$C$11+$Q101*'配置项'!$C$12)*20,1))</f>
        <v/>
      </c>
      <c r="S101" s="25">
        <f>IF($R101="","",IF($R101&gt;='配置项'!$G$6,"优秀",IF($R101&gt;='配置项'!$G$7,"良好",IF($R101&gt;='配置项'!$G$8,"需关注","不合格"))))</f>
        <v/>
      </c>
      <c r="T101" s="25" t="n"/>
      <c r="U101" s="25" t="n"/>
      <c r="V101" s="28" t="n"/>
      <c r="W101" s="28" t="n"/>
      <c r="X101" s="25" t="n"/>
      <c r="Y101" s="25" t="n"/>
    </row>
    <row r="102" ht="24" customHeight="1">
      <c r="A102" s="25">
        <f>IF($B102="","","SQ-"&amp;TEXT(ROW()-4,"0000"))</f>
        <v/>
      </c>
      <c r="B102" s="141" t="n"/>
      <c r="C102" s="25" t="n"/>
      <c r="D102" s="25" t="n"/>
      <c r="E102" s="25" t="n"/>
      <c r="F102" s="25" t="n"/>
      <c r="G102" s="25" t="n"/>
      <c r="H102" s="25" t="n"/>
      <c r="I102" s="25" t="n"/>
      <c r="J102" s="25" t="n"/>
      <c r="K102" s="139" t="n"/>
      <c r="L102" s="139" t="n"/>
      <c r="M102" s="139" t="n"/>
      <c r="N102" s="139" t="n"/>
      <c r="O102" s="139" t="n"/>
      <c r="P102" s="139" t="n"/>
      <c r="Q102" s="139" t="n"/>
      <c r="R102" s="142">
        <f>IF(COUNT($K102:$Q102)&lt;7,"",ROUND(($K102*'配置项'!$C$6+$L102*'配置项'!$C$7+$M102*'配置项'!$C$8+$N102*'配置项'!$C$9+$O102*'配置项'!$C$10+$P102*'配置项'!$C$11+$Q102*'配置项'!$C$12)*20,1))</f>
        <v/>
      </c>
      <c r="S102" s="25">
        <f>IF($R102="","",IF($R102&gt;='配置项'!$G$6,"优秀",IF($R102&gt;='配置项'!$G$7,"良好",IF($R102&gt;='配置项'!$G$8,"需关注","不合格"))))</f>
        <v/>
      </c>
      <c r="T102" s="25" t="n"/>
      <c r="U102" s="25" t="n"/>
      <c r="V102" s="28" t="n"/>
      <c r="W102" s="28" t="n"/>
      <c r="X102" s="25" t="n"/>
      <c r="Y102" s="25" t="n"/>
    </row>
    <row r="103" ht="24" customHeight="1">
      <c r="A103" s="25">
        <f>IF($B103="","","SQ-"&amp;TEXT(ROW()-4,"0000"))</f>
        <v/>
      </c>
      <c r="B103" s="141" t="n"/>
      <c r="C103" s="25" t="n"/>
      <c r="D103" s="25" t="n"/>
      <c r="E103" s="25" t="n"/>
      <c r="F103" s="25" t="n"/>
      <c r="G103" s="25" t="n"/>
      <c r="H103" s="25" t="n"/>
      <c r="I103" s="25" t="n"/>
      <c r="J103" s="25" t="n"/>
      <c r="K103" s="139" t="n"/>
      <c r="L103" s="139" t="n"/>
      <c r="M103" s="139" t="n"/>
      <c r="N103" s="139" t="n"/>
      <c r="O103" s="139" t="n"/>
      <c r="P103" s="139" t="n"/>
      <c r="Q103" s="139" t="n"/>
      <c r="R103" s="142">
        <f>IF(COUNT($K103:$Q103)&lt;7,"",ROUND(($K103*'配置项'!$C$6+$L103*'配置项'!$C$7+$M103*'配置项'!$C$8+$N103*'配置项'!$C$9+$O103*'配置项'!$C$10+$P103*'配置项'!$C$11+$Q103*'配置项'!$C$12)*20,1))</f>
        <v/>
      </c>
      <c r="S103" s="25">
        <f>IF($R103="","",IF($R103&gt;='配置项'!$G$6,"优秀",IF($R103&gt;='配置项'!$G$7,"良好",IF($R103&gt;='配置项'!$G$8,"需关注","不合格"))))</f>
        <v/>
      </c>
      <c r="T103" s="25" t="n"/>
      <c r="U103" s="25" t="n"/>
      <c r="V103" s="28" t="n"/>
      <c r="W103" s="28" t="n"/>
      <c r="X103" s="25" t="n"/>
      <c r="Y103" s="25" t="n"/>
    </row>
    <row r="104" ht="24" customHeight="1">
      <c r="A104" s="25">
        <f>IF($B104="","","SQ-"&amp;TEXT(ROW()-4,"0000"))</f>
        <v/>
      </c>
      <c r="B104" s="141" t="n"/>
      <c r="C104" s="25" t="n"/>
      <c r="D104" s="25" t="n"/>
      <c r="E104" s="25" t="n"/>
      <c r="F104" s="25" t="n"/>
      <c r="G104" s="25" t="n"/>
      <c r="H104" s="25" t="n"/>
      <c r="I104" s="25" t="n"/>
      <c r="J104" s="25" t="n"/>
      <c r="K104" s="139" t="n"/>
      <c r="L104" s="139" t="n"/>
      <c r="M104" s="139" t="n"/>
      <c r="N104" s="139" t="n"/>
      <c r="O104" s="139" t="n"/>
      <c r="P104" s="139" t="n"/>
      <c r="Q104" s="139" t="n"/>
      <c r="R104" s="142">
        <f>IF(COUNT($K104:$Q104)&lt;7,"",ROUND(($K104*'配置项'!$C$6+$L104*'配置项'!$C$7+$M104*'配置项'!$C$8+$N104*'配置项'!$C$9+$O104*'配置项'!$C$10+$P104*'配置项'!$C$11+$Q104*'配置项'!$C$12)*20,1))</f>
        <v/>
      </c>
      <c r="S104" s="25">
        <f>IF($R104="","",IF($R104&gt;='配置项'!$G$6,"优秀",IF($R104&gt;='配置项'!$G$7,"良好",IF($R104&gt;='配置项'!$G$8,"需关注","不合格"))))</f>
        <v/>
      </c>
      <c r="T104" s="25" t="n"/>
      <c r="U104" s="25" t="n"/>
      <c r="V104" s="28" t="n"/>
      <c r="W104" s="28" t="n"/>
      <c r="X104" s="25" t="n"/>
      <c r="Y104" s="25" t="n"/>
    </row>
    <row r="105" ht="24" customHeight="1">
      <c r="A105" s="25">
        <f>IF($B105="","","SQ-"&amp;TEXT(ROW()-4,"0000"))</f>
        <v/>
      </c>
      <c r="B105" s="141" t="n"/>
      <c r="C105" s="25" t="n"/>
      <c r="D105" s="25" t="n"/>
      <c r="E105" s="25" t="n"/>
      <c r="F105" s="25" t="n"/>
      <c r="G105" s="25" t="n"/>
      <c r="H105" s="25" t="n"/>
      <c r="I105" s="25" t="n"/>
      <c r="J105" s="25" t="n"/>
      <c r="K105" s="139" t="n"/>
      <c r="L105" s="139" t="n"/>
      <c r="M105" s="139" t="n"/>
      <c r="N105" s="139" t="n"/>
      <c r="O105" s="139" t="n"/>
      <c r="P105" s="139" t="n"/>
      <c r="Q105" s="139" t="n"/>
      <c r="R105" s="142">
        <f>IF(COUNT($K105:$Q105)&lt;7,"",ROUND(($K105*'配置项'!$C$6+$L105*'配置项'!$C$7+$M105*'配置项'!$C$8+$N105*'配置项'!$C$9+$O105*'配置项'!$C$10+$P105*'配置项'!$C$11+$Q105*'配置项'!$C$12)*20,1))</f>
        <v/>
      </c>
      <c r="S105" s="25">
        <f>IF($R105="","",IF($R105&gt;='配置项'!$G$6,"优秀",IF($R105&gt;='配置项'!$G$7,"良好",IF($R105&gt;='配置项'!$G$8,"需关注","不合格"))))</f>
        <v/>
      </c>
      <c r="T105" s="25" t="n"/>
      <c r="U105" s="25" t="n"/>
      <c r="V105" s="28" t="n"/>
      <c r="W105" s="28" t="n"/>
      <c r="X105" s="25" t="n"/>
      <c r="Y105" s="25" t="n"/>
    </row>
    <row r="106" ht="24" customHeight="1">
      <c r="A106" s="25">
        <f>IF($B106="","","SQ-"&amp;TEXT(ROW()-4,"0000"))</f>
        <v/>
      </c>
      <c r="B106" s="141" t="n"/>
      <c r="C106" s="25" t="n"/>
      <c r="D106" s="25" t="n"/>
      <c r="E106" s="25" t="n"/>
      <c r="F106" s="25" t="n"/>
      <c r="G106" s="25" t="n"/>
      <c r="H106" s="25" t="n"/>
      <c r="I106" s="25" t="n"/>
      <c r="J106" s="25" t="n"/>
      <c r="K106" s="139" t="n"/>
      <c r="L106" s="139" t="n"/>
      <c r="M106" s="139" t="n"/>
      <c r="N106" s="139" t="n"/>
      <c r="O106" s="139" t="n"/>
      <c r="P106" s="139" t="n"/>
      <c r="Q106" s="139" t="n"/>
      <c r="R106" s="142">
        <f>IF(COUNT($K106:$Q106)&lt;7,"",ROUND(($K106*'配置项'!$C$6+$L106*'配置项'!$C$7+$M106*'配置项'!$C$8+$N106*'配置项'!$C$9+$O106*'配置项'!$C$10+$P106*'配置项'!$C$11+$Q106*'配置项'!$C$12)*20,1))</f>
        <v/>
      </c>
      <c r="S106" s="25">
        <f>IF($R106="","",IF($R106&gt;='配置项'!$G$6,"优秀",IF($R106&gt;='配置项'!$G$7,"良好",IF($R106&gt;='配置项'!$G$8,"需关注","不合格"))))</f>
        <v/>
      </c>
      <c r="T106" s="25" t="n"/>
      <c r="U106" s="25" t="n"/>
      <c r="V106" s="28" t="n"/>
      <c r="W106" s="28" t="n"/>
      <c r="X106" s="25" t="n"/>
      <c r="Y106" s="25" t="n"/>
    </row>
    <row r="107" ht="24" customHeight="1">
      <c r="A107" s="25">
        <f>IF($B107="","","SQ-"&amp;TEXT(ROW()-4,"0000"))</f>
        <v/>
      </c>
      <c r="B107" s="141" t="n"/>
      <c r="C107" s="25" t="n"/>
      <c r="D107" s="25" t="n"/>
      <c r="E107" s="25" t="n"/>
      <c r="F107" s="25" t="n"/>
      <c r="G107" s="25" t="n"/>
      <c r="H107" s="25" t="n"/>
      <c r="I107" s="25" t="n"/>
      <c r="J107" s="25" t="n"/>
      <c r="K107" s="139" t="n"/>
      <c r="L107" s="139" t="n"/>
      <c r="M107" s="139" t="n"/>
      <c r="N107" s="139" t="n"/>
      <c r="O107" s="139" t="n"/>
      <c r="P107" s="139" t="n"/>
      <c r="Q107" s="139" t="n"/>
      <c r="R107" s="142">
        <f>IF(COUNT($K107:$Q107)&lt;7,"",ROUND(($K107*'配置项'!$C$6+$L107*'配置项'!$C$7+$M107*'配置项'!$C$8+$N107*'配置项'!$C$9+$O107*'配置项'!$C$10+$P107*'配置项'!$C$11+$Q107*'配置项'!$C$12)*20,1))</f>
        <v/>
      </c>
      <c r="S107" s="25">
        <f>IF($R107="","",IF($R107&gt;='配置项'!$G$6,"优秀",IF($R107&gt;='配置项'!$G$7,"良好",IF($R107&gt;='配置项'!$G$8,"需关注","不合格"))))</f>
        <v/>
      </c>
      <c r="T107" s="25" t="n"/>
      <c r="U107" s="25" t="n"/>
      <c r="V107" s="28" t="n"/>
      <c r="W107" s="28" t="n"/>
      <c r="X107" s="25" t="n"/>
      <c r="Y107" s="25" t="n"/>
    </row>
    <row r="108" ht="24" customHeight="1">
      <c r="A108" s="25">
        <f>IF($B108="","","SQ-"&amp;TEXT(ROW()-4,"0000"))</f>
        <v/>
      </c>
      <c r="B108" s="141" t="n"/>
      <c r="C108" s="25" t="n"/>
      <c r="D108" s="25" t="n"/>
      <c r="E108" s="25" t="n"/>
      <c r="F108" s="25" t="n"/>
      <c r="G108" s="25" t="n"/>
      <c r="H108" s="25" t="n"/>
      <c r="I108" s="25" t="n"/>
      <c r="J108" s="25" t="n"/>
      <c r="K108" s="139" t="n"/>
      <c r="L108" s="139" t="n"/>
      <c r="M108" s="139" t="n"/>
      <c r="N108" s="139" t="n"/>
      <c r="O108" s="139" t="n"/>
      <c r="P108" s="139" t="n"/>
      <c r="Q108" s="139" t="n"/>
      <c r="R108" s="142">
        <f>IF(COUNT($K108:$Q108)&lt;7,"",ROUND(($K108*'配置项'!$C$6+$L108*'配置项'!$C$7+$M108*'配置项'!$C$8+$N108*'配置项'!$C$9+$O108*'配置项'!$C$10+$P108*'配置项'!$C$11+$Q108*'配置项'!$C$12)*20,1))</f>
        <v/>
      </c>
      <c r="S108" s="25">
        <f>IF($R108="","",IF($R108&gt;='配置项'!$G$6,"优秀",IF($R108&gt;='配置项'!$G$7,"良好",IF($R108&gt;='配置项'!$G$8,"需关注","不合格"))))</f>
        <v/>
      </c>
      <c r="T108" s="25" t="n"/>
      <c r="U108" s="25" t="n"/>
      <c r="V108" s="28" t="n"/>
      <c r="W108" s="28" t="n"/>
      <c r="X108" s="25" t="n"/>
      <c r="Y108" s="25" t="n"/>
    </row>
    <row r="109" ht="24" customHeight="1">
      <c r="A109" s="25">
        <f>IF($B109="","","SQ-"&amp;TEXT(ROW()-4,"0000"))</f>
        <v/>
      </c>
      <c r="B109" s="141" t="n"/>
      <c r="C109" s="25" t="n"/>
      <c r="D109" s="25" t="n"/>
      <c r="E109" s="25" t="n"/>
      <c r="F109" s="25" t="n"/>
      <c r="G109" s="25" t="n"/>
      <c r="H109" s="25" t="n"/>
      <c r="I109" s="25" t="n"/>
      <c r="J109" s="25" t="n"/>
      <c r="K109" s="139" t="n"/>
      <c r="L109" s="139" t="n"/>
      <c r="M109" s="139" t="n"/>
      <c r="N109" s="139" t="n"/>
      <c r="O109" s="139" t="n"/>
      <c r="P109" s="139" t="n"/>
      <c r="Q109" s="139" t="n"/>
      <c r="R109" s="142">
        <f>IF(COUNT($K109:$Q109)&lt;7,"",ROUND(($K109*'配置项'!$C$6+$L109*'配置项'!$C$7+$M109*'配置项'!$C$8+$N109*'配置项'!$C$9+$O109*'配置项'!$C$10+$P109*'配置项'!$C$11+$Q109*'配置项'!$C$12)*20,1))</f>
        <v/>
      </c>
      <c r="S109" s="25">
        <f>IF($R109="","",IF($R109&gt;='配置项'!$G$6,"优秀",IF($R109&gt;='配置项'!$G$7,"良好",IF($R109&gt;='配置项'!$G$8,"需关注","不合格"))))</f>
        <v/>
      </c>
      <c r="T109" s="25" t="n"/>
      <c r="U109" s="25" t="n"/>
      <c r="V109" s="28" t="n"/>
      <c r="W109" s="28" t="n"/>
      <c r="X109" s="25" t="n"/>
      <c r="Y109" s="25" t="n"/>
    </row>
    <row r="110" ht="24" customHeight="1">
      <c r="A110" s="25">
        <f>IF($B110="","","SQ-"&amp;TEXT(ROW()-4,"0000"))</f>
        <v/>
      </c>
      <c r="B110" s="141" t="n"/>
      <c r="C110" s="25" t="n"/>
      <c r="D110" s="25" t="n"/>
      <c r="E110" s="25" t="n"/>
      <c r="F110" s="25" t="n"/>
      <c r="G110" s="25" t="n"/>
      <c r="H110" s="25" t="n"/>
      <c r="I110" s="25" t="n"/>
      <c r="J110" s="25" t="n"/>
      <c r="K110" s="139" t="n"/>
      <c r="L110" s="139" t="n"/>
      <c r="M110" s="139" t="n"/>
      <c r="N110" s="139" t="n"/>
      <c r="O110" s="139" t="n"/>
      <c r="P110" s="139" t="n"/>
      <c r="Q110" s="139" t="n"/>
      <c r="R110" s="142">
        <f>IF(COUNT($K110:$Q110)&lt;7,"",ROUND(($K110*'配置项'!$C$6+$L110*'配置项'!$C$7+$M110*'配置项'!$C$8+$N110*'配置项'!$C$9+$O110*'配置项'!$C$10+$P110*'配置项'!$C$11+$Q110*'配置项'!$C$12)*20,1))</f>
        <v/>
      </c>
      <c r="S110" s="25">
        <f>IF($R110="","",IF($R110&gt;='配置项'!$G$6,"优秀",IF($R110&gt;='配置项'!$G$7,"良好",IF($R110&gt;='配置项'!$G$8,"需关注","不合格"))))</f>
        <v/>
      </c>
      <c r="T110" s="25" t="n"/>
      <c r="U110" s="25" t="n"/>
      <c r="V110" s="28" t="n"/>
      <c r="W110" s="28" t="n"/>
      <c r="X110" s="25" t="n"/>
      <c r="Y110" s="25" t="n"/>
    </row>
    <row r="111" ht="24" customHeight="1">
      <c r="A111" s="25">
        <f>IF($B111="","","SQ-"&amp;TEXT(ROW()-4,"0000"))</f>
        <v/>
      </c>
      <c r="B111" s="141" t="n"/>
      <c r="C111" s="25" t="n"/>
      <c r="D111" s="25" t="n"/>
      <c r="E111" s="25" t="n"/>
      <c r="F111" s="25" t="n"/>
      <c r="G111" s="25" t="n"/>
      <c r="H111" s="25" t="n"/>
      <c r="I111" s="25" t="n"/>
      <c r="J111" s="25" t="n"/>
      <c r="K111" s="139" t="n"/>
      <c r="L111" s="139" t="n"/>
      <c r="M111" s="139" t="n"/>
      <c r="N111" s="139" t="n"/>
      <c r="O111" s="139" t="n"/>
      <c r="P111" s="139" t="n"/>
      <c r="Q111" s="139" t="n"/>
      <c r="R111" s="142">
        <f>IF(COUNT($K111:$Q111)&lt;7,"",ROUND(($K111*'配置项'!$C$6+$L111*'配置项'!$C$7+$M111*'配置项'!$C$8+$N111*'配置项'!$C$9+$O111*'配置项'!$C$10+$P111*'配置项'!$C$11+$Q111*'配置项'!$C$12)*20,1))</f>
        <v/>
      </c>
      <c r="S111" s="25">
        <f>IF($R111="","",IF($R111&gt;='配置项'!$G$6,"优秀",IF($R111&gt;='配置项'!$G$7,"良好",IF($R111&gt;='配置项'!$G$8,"需关注","不合格"))))</f>
        <v/>
      </c>
      <c r="T111" s="25" t="n"/>
      <c r="U111" s="25" t="n"/>
      <c r="V111" s="28" t="n"/>
      <c r="W111" s="28" t="n"/>
      <c r="X111" s="25" t="n"/>
      <c r="Y111" s="25" t="n"/>
    </row>
    <row r="112" ht="24" customHeight="1">
      <c r="A112" s="25">
        <f>IF($B112="","","SQ-"&amp;TEXT(ROW()-4,"0000"))</f>
        <v/>
      </c>
      <c r="B112" s="141" t="n"/>
      <c r="C112" s="25" t="n"/>
      <c r="D112" s="25" t="n"/>
      <c r="E112" s="25" t="n"/>
      <c r="F112" s="25" t="n"/>
      <c r="G112" s="25" t="n"/>
      <c r="H112" s="25" t="n"/>
      <c r="I112" s="25" t="n"/>
      <c r="J112" s="25" t="n"/>
      <c r="K112" s="139" t="n"/>
      <c r="L112" s="139" t="n"/>
      <c r="M112" s="139" t="n"/>
      <c r="N112" s="139" t="n"/>
      <c r="O112" s="139" t="n"/>
      <c r="P112" s="139" t="n"/>
      <c r="Q112" s="139" t="n"/>
      <c r="R112" s="142">
        <f>IF(COUNT($K112:$Q112)&lt;7,"",ROUND(($K112*'配置项'!$C$6+$L112*'配置项'!$C$7+$M112*'配置项'!$C$8+$N112*'配置项'!$C$9+$O112*'配置项'!$C$10+$P112*'配置项'!$C$11+$Q112*'配置项'!$C$12)*20,1))</f>
        <v/>
      </c>
      <c r="S112" s="25">
        <f>IF($R112="","",IF($R112&gt;='配置项'!$G$6,"优秀",IF($R112&gt;='配置项'!$G$7,"良好",IF($R112&gt;='配置项'!$G$8,"需关注","不合格"))))</f>
        <v/>
      </c>
      <c r="T112" s="25" t="n"/>
      <c r="U112" s="25" t="n"/>
      <c r="V112" s="28" t="n"/>
      <c r="W112" s="28" t="n"/>
      <c r="X112" s="25" t="n"/>
      <c r="Y112" s="25" t="n"/>
    </row>
    <row r="113" ht="24" customHeight="1">
      <c r="A113" s="25">
        <f>IF($B113="","","SQ-"&amp;TEXT(ROW()-4,"0000"))</f>
        <v/>
      </c>
      <c r="B113" s="141" t="n"/>
      <c r="C113" s="25" t="n"/>
      <c r="D113" s="25" t="n"/>
      <c r="E113" s="25" t="n"/>
      <c r="F113" s="25" t="n"/>
      <c r="G113" s="25" t="n"/>
      <c r="H113" s="25" t="n"/>
      <c r="I113" s="25" t="n"/>
      <c r="J113" s="25" t="n"/>
      <c r="K113" s="139" t="n"/>
      <c r="L113" s="139" t="n"/>
      <c r="M113" s="139" t="n"/>
      <c r="N113" s="139" t="n"/>
      <c r="O113" s="139" t="n"/>
      <c r="P113" s="139" t="n"/>
      <c r="Q113" s="139" t="n"/>
      <c r="R113" s="142">
        <f>IF(COUNT($K113:$Q113)&lt;7,"",ROUND(($K113*'配置项'!$C$6+$L113*'配置项'!$C$7+$M113*'配置项'!$C$8+$N113*'配置项'!$C$9+$O113*'配置项'!$C$10+$P113*'配置项'!$C$11+$Q113*'配置项'!$C$12)*20,1))</f>
        <v/>
      </c>
      <c r="S113" s="25">
        <f>IF($R113="","",IF($R113&gt;='配置项'!$G$6,"优秀",IF($R113&gt;='配置项'!$G$7,"良好",IF($R113&gt;='配置项'!$G$8,"需关注","不合格"))))</f>
        <v/>
      </c>
      <c r="T113" s="25" t="n"/>
      <c r="U113" s="25" t="n"/>
      <c r="V113" s="28" t="n"/>
      <c r="W113" s="28" t="n"/>
      <c r="X113" s="25" t="n"/>
      <c r="Y113" s="25" t="n"/>
    </row>
    <row r="114" ht="24" customHeight="1">
      <c r="A114" s="25">
        <f>IF($B114="","","SQ-"&amp;TEXT(ROW()-4,"0000"))</f>
        <v/>
      </c>
      <c r="B114" s="141" t="n"/>
      <c r="C114" s="25" t="n"/>
      <c r="D114" s="25" t="n"/>
      <c r="E114" s="25" t="n"/>
      <c r="F114" s="25" t="n"/>
      <c r="G114" s="25" t="n"/>
      <c r="H114" s="25" t="n"/>
      <c r="I114" s="25" t="n"/>
      <c r="J114" s="25" t="n"/>
      <c r="K114" s="139" t="n"/>
      <c r="L114" s="139" t="n"/>
      <c r="M114" s="139" t="n"/>
      <c r="N114" s="139" t="n"/>
      <c r="O114" s="139" t="n"/>
      <c r="P114" s="139" t="n"/>
      <c r="Q114" s="139" t="n"/>
      <c r="R114" s="142">
        <f>IF(COUNT($K114:$Q114)&lt;7,"",ROUND(($K114*'配置项'!$C$6+$L114*'配置项'!$C$7+$M114*'配置项'!$C$8+$N114*'配置项'!$C$9+$O114*'配置项'!$C$10+$P114*'配置项'!$C$11+$Q114*'配置项'!$C$12)*20,1))</f>
        <v/>
      </c>
      <c r="S114" s="25">
        <f>IF($R114="","",IF($R114&gt;='配置项'!$G$6,"优秀",IF($R114&gt;='配置项'!$G$7,"良好",IF($R114&gt;='配置项'!$G$8,"需关注","不合格"))))</f>
        <v/>
      </c>
      <c r="T114" s="25" t="n"/>
      <c r="U114" s="25" t="n"/>
      <c r="V114" s="28" t="n"/>
      <c r="W114" s="28" t="n"/>
      <c r="X114" s="25" t="n"/>
      <c r="Y114" s="25" t="n"/>
    </row>
    <row r="115" ht="24" customHeight="1">
      <c r="A115" s="25">
        <f>IF($B115="","","SQ-"&amp;TEXT(ROW()-4,"0000"))</f>
        <v/>
      </c>
      <c r="B115" s="141" t="n"/>
      <c r="C115" s="25" t="n"/>
      <c r="D115" s="25" t="n"/>
      <c r="E115" s="25" t="n"/>
      <c r="F115" s="25" t="n"/>
      <c r="G115" s="25" t="n"/>
      <c r="H115" s="25" t="n"/>
      <c r="I115" s="25" t="n"/>
      <c r="J115" s="25" t="n"/>
      <c r="K115" s="139" t="n"/>
      <c r="L115" s="139" t="n"/>
      <c r="M115" s="139" t="n"/>
      <c r="N115" s="139" t="n"/>
      <c r="O115" s="139" t="n"/>
      <c r="P115" s="139" t="n"/>
      <c r="Q115" s="139" t="n"/>
      <c r="R115" s="142">
        <f>IF(COUNT($K115:$Q115)&lt;7,"",ROUND(($K115*'配置项'!$C$6+$L115*'配置项'!$C$7+$M115*'配置项'!$C$8+$N115*'配置项'!$C$9+$O115*'配置项'!$C$10+$P115*'配置项'!$C$11+$Q115*'配置项'!$C$12)*20,1))</f>
        <v/>
      </c>
      <c r="S115" s="25">
        <f>IF($R115="","",IF($R115&gt;='配置项'!$G$6,"优秀",IF($R115&gt;='配置项'!$G$7,"良好",IF($R115&gt;='配置项'!$G$8,"需关注","不合格"))))</f>
        <v/>
      </c>
      <c r="T115" s="25" t="n"/>
      <c r="U115" s="25" t="n"/>
      <c r="V115" s="28" t="n"/>
      <c r="W115" s="28" t="n"/>
      <c r="X115" s="25" t="n"/>
      <c r="Y115" s="25" t="n"/>
    </row>
    <row r="116" ht="24" customHeight="1">
      <c r="A116" s="25">
        <f>IF($B116="","","SQ-"&amp;TEXT(ROW()-4,"0000"))</f>
        <v/>
      </c>
      <c r="B116" s="141" t="n"/>
      <c r="C116" s="25" t="n"/>
      <c r="D116" s="25" t="n"/>
      <c r="E116" s="25" t="n"/>
      <c r="F116" s="25" t="n"/>
      <c r="G116" s="25" t="n"/>
      <c r="H116" s="25" t="n"/>
      <c r="I116" s="25" t="n"/>
      <c r="J116" s="25" t="n"/>
      <c r="K116" s="139" t="n"/>
      <c r="L116" s="139" t="n"/>
      <c r="M116" s="139" t="n"/>
      <c r="N116" s="139" t="n"/>
      <c r="O116" s="139" t="n"/>
      <c r="P116" s="139" t="n"/>
      <c r="Q116" s="139" t="n"/>
      <c r="R116" s="142">
        <f>IF(COUNT($K116:$Q116)&lt;7,"",ROUND(($K116*'配置项'!$C$6+$L116*'配置项'!$C$7+$M116*'配置项'!$C$8+$N116*'配置项'!$C$9+$O116*'配置项'!$C$10+$P116*'配置项'!$C$11+$Q116*'配置项'!$C$12)*20,1))</f>
        <v/>
      </c>
      <c r="S116" s="25">
        <f>IF($R116="","",IF($R116&gt;='配置项'!$G$6,"优秀",IF($R116&gt;='配置项'!$G$7,"良好",IF($R116&gt;='配置项'!$G$8,"需关注","不合格"))))</f>
        <v/>
      </c>
      <c r="T116" s="25" t="n"/>
      <c r="U116" s="25" t="n"/>
      <c r="V116" s="28" t="n"/>
      <c r="W116" s="28" t="n"/>
      <c r="X116" s="25" t="n"/>
      <c r="Y116" s="25" t="n"/>
    </row>
    <row r="117" ht="24" customHeight="1">
      <c r="A117" s="25">
        <f>IF($B117="","","SQ-"&amp;TEXT(ROW()-4,"0000"))</f>
        <v/>
      </c>
      <c r="B117" s="141" t="n"/>
      <c r="C117" s="25" t="n"/>
      <c r="D117" s="25" t="n"/>
      <c r="E117" s="25" t="n"/>
      <c r="F117" s="25" t="n"/>
      <c r="G117" s="25" t="n"/>
      <c r="H117" s="25" t="n"/>
      <c r="I117" s="25" t="n"/>
      <c r="J117" s="25" t="n"/>
      <c r="K117" s="139" t="n"/>
      <c r="L117" s="139" t="n"/>
      <c r="M117" s="139" t="n"/>
      <c r="N117" s="139" t="n"/>
      <c r="O117" s="139" t="n"/>
      <c r="P117" s="139" t="n"/>
      <c r="Q117" s="139" t="n"/>
      <c r="R117" s="142">
        <f>IF(COUNT($K117:$Q117)&lt;7,"",ROUND(($K117*'配置项'!$C$6+$L117*'配置项'!$C$7+$M117*'配置项'!$C$8+$N117*'配置项'!$C$9+$O117*'配置项'!$C$10+$P117*'配置项'!$C$11+$Q117*'配置项'!$C$12)*20,1))</f>
        <v/>
      </c>
      <c r="S117" s="25">
        <f>IF($R117="","",IF($R117&gt;='配置项'!$G$6,"优秀",IF($R117&gt;='配置项'!$G$7,"良好",IF($R117&gt;='配置项'!$G$8,"需关注","不合格"))))</f>
        <v/>
      </c>
      <c r="T117" s="25" t="n"/>
      <c r="U117" s="25" t="n"/>
      <c r="V117" s="28" t="n"/>
      <c r="W117" s="28" t="n"/>
      <c r="X117" s="25" t="n"/>
      <c r="Y117" s="25" t="n"/>
    </row>
    <row r="118" ht="24" customHeight="1">
      <c r="A118" s="25">
        <f>IF($B118="","","SQ-"&amp;TEXT(ROW()-4,"0000"))</f>
        <v/>
      </c>
      <c r="B118" s="141" t="n"/>
      <c r="C118" s="25" t="n"/>
      <c r="D118" s="25" t="n"/>
      <c r="E118" s="25" t="n"/>
      <c r="F118" s="25" t="n"/>
      <c r="G118" s="25" t="n"/>
      <c r="H118" s="25" t="n"/>
      <c r="I118" s="25" t="n"/>
      <c r="J118" s="25" t="n"/>
      <c r="K118" s="139" t="n"/>
      <c r="L118" s="139" t="n"/>
      <c r="M118" s="139" t="n"/>
      <c r="N118" s="139" t="n"/>
      <c r="O118" s="139" t="n"/>
      <c r="P118" s="139" t="n"/>
      <c r="Q118" s="139" t="n"/>
      <c r="R118" s="142">
        <f>IF(COUNT($K118:$Q118)&lt;7,"",ROUND(($K118*'配置项'!$C$6+$L118*'配置项'!$C$7+$M118*'配置项'!$C$8+$N118*'配置项'!$C$9+$O118*'配置项'!$C$10+$P118*'配置项'!$C$11+$Q118*'配置项'!$C$12)*20,1))</f>
        <v/>
      </c>
      <c r="S118" s="25">
        <f>IF($R118="","",IF($R118&gt;='配置项'!$G$6,"优秀",IF($R118&gt;='配置项'!$G$7,"良好",IF($R118&gt;='配置项'!$G$8,"需关注","不合格"))))</f>
        <v/>
      </c>
      <c r="T118" s="25" t="n"/>
      <c r="U118" s="25" t="n"/>
      <c r="V118" s="28" t="n"/>
      <c r="W118" s="28" t="n"/>
      <c r="X118" s="25" t="n"/>
      <c r="Y118" s="25" t="n"/>
    </row>
    <row r="119" ht="24" customHeight="1">
      <c r="A119" s="25">
        <f>IF($B119="","","SQ-"&amp;TEXT(ROW()-4,"0000"))</f>
        <v/>
      </c>
      <c r="B119" s="141" t="n"/>
      <c r="C119" s="25" t="n"/>
      <c r="D119" s="25" t="n"/>
      <c r="E119" s="25" t="n"/>
      <c r="F119" s="25" t="n"/>
      <c r="G119" s="25" t="n"/>
      <c r="H119" s="25" t="n"/>
      <c r="I119" s="25" t="n"/>
      <c r="J119" s="25" t="n"/>
      <c r="K119" s="139" t="n"/>
      <c r="L119" s="139" t="n"/>
      <c r="M119" s="139" t="n"/>
      <c r="N119" s="139" t="n"/>
      <c r="O119" s="139" t="n"/>
      <c r="P119" s="139" t="n"/>
      <c r="Q119" s="139" t="n"/>
      <c r="R119" s="142">
        <f>IF(COUNT($K119:$Q119)&lt;7,"",ROUND(($K119*'配置项'!$C$6+$L119*'配置项'!$C$7+$M119*'配置项'!$C$8+$N119*'配置项'!$C$9+$O119*'配置项'!$C$10+$P119*'配置项'!$C$11+$Q119*'配置项'!$C$12)*20,1))</f>
        <v/>
      </c>
      <c r="S119" s="25">
        <f>IF($R119="","",IF($R119&gt;='配置项'!$G$6,"优秀",IF($R119&gt;='配置项'!$G$7,"良好",IF($R119&gt;='配置项'!$G$8,"需关注","不合格"))))</f>
        <v/>
      </c>
      <c r="T119" s="25" t="n"/>
      <c r="U119" s="25" t="n"/>
      <c r="V119" s="28" t="n"/>
      <c r="W119" s="28" t="n"/>
      <c r="X119" s="25" t="n"/>
      <c r="Y119" s="25" t="n"/>
    </row>
    <row r="120" ht="24" customHeight="1">
      <c r="A120" s="25">
        <f>IF($B120="","","SQ-"&amp;TEXT(ROW()-4,"0000"))</f>
        <v/>
      </c>
      <c r="B120" s="141" t="n"/>
      <c r="C120" s="25" t="n"/>
      <c r="D120" s="25" t="n"/>
      <c r="E120" s="25" t="n"/>
      <c r="F120" s="25" t="n"/>
      <c r="G120" s="25" t="n"/>
      <c r="H120" s="25" t="n"/>
      <c r="I120" s="25" t="n"/>
      <c r="J120" s="25" t="n"/>
      <c r="K120" s="139" t="n"/>
      <c r="L120" s="139" t="n"/>
      <c r="M120" s="139" t="n"/>
      <c r="N120" s="139" t="n"/>
      <c r="O120" s="139" t="n"/>
      <c r="P120" s="139" t="n"/>
      <c r="Q120" s="139" t="n"/>
      <c r="R120" s="142">
        <f>IF(COUNT($K120:$Q120)&lt;7,"",ROUND(($K120*'配置项'!$C$6+$L120*'配置项'!$C$7+$M120*'配置项'!$C$8+$N120*'配置项'!$C$9+$O120*'配置项'!$C$10+$P120*'配置项'!$C$11+$Q120*'配置项'!$C$12)*20,1))</f>
        <v/>
      </c>
      <c r="S120" s="25">
        <f>IF($R120="","",IF($R120&gt;='配置项'!$G$6,"优秀",IF($R120&gt;='配置项'!$G$7,"良好",IF($R120&gt;='配置项'!$G$8,"需关注","不合格"))))</f>
        <v/>
      </c>
      <c r="T120" s="25" t="n"/>
      <c r="U120" s="25" t="n"/>
      <c r="V120" s="28" t="n"/>
      <c r="W120" s="28" t="n"/>
      <c r="X120" s="25" t="n"/>
      <c r="Y120" s="25" t="n"/>
    </row>
    <row r="121" ht="24" customHeight="1">
      <c r="A121" s="25">
        <f>IF($B121="","","SQ-"&amp;TEXT(ROW()-4,"0000"))</f>
        <v/>
      </c>
      <c r="B121" s="141" t="n"/>
      <c r="C121" s="25" t="n"/>
      <c r="D121" s="25" t="n"/>
      <c r="E121" s="25" t="n"/>
      <c r="F121" s="25" t="n"/>
      <c r="G121" s="25" t="n"/>
      <c r="H121" s="25" t="n"/>
      <c r="I121" s="25" t="n"/>
      <c r="J121" s="25" t="n"/>
      <c r="K121" s="139" t="n"/>
      <c r="L121" s="139" t="n"/>
      <c r="M121" s="139" t="n"/>
      <c r="N121" s="139" t="n"/>
      <c r="O121" s="139" t="n"/>
      <c r="P121" s="139" t="n"/>
      <c r="Q121" s="139" t="n"/>
      <c r="R121" s="142">
        <f>IF(COUNT($K121:$Q121)&lt;7,"",ROUND(($K121*'配置项'!$C$6+$L121*'配置项'!$C$7+$M121*'配置项'!$C$8+$N121*'配置项'!$C$9+$O121*'配置项'!$C$10+$P121*'配置项'!$C$11+$Q121*'配置项'!$C$12)*20,1))</f>
        <v/>
      </c>
      <c r="S121" s="25">
        <f>IF($R121="","",IF($R121&gt;='配置项'!$G$6,"优秀",IF($R121&gt;='配置项'!$G$7,"良好",IF($R121&gt;='配置项'!$G$8,"需关注","不合格"))))</f>
        <v/>
      </c>
      <c r="T121" s="25" t="n"/>
      <c r="U121" s="25" t="n"/>
      <c r="V121" s="28" t="n"/>
      <c r="W121" s="28" t="n"/>
      <c r="X121" s="25" t="n"/>
      <c r="Y121" s="25" t="n"/>
    </row>
    <row r="122" ht="24" customHeight="1">
      <c r="A122" s="25">
        <f>IF($B122="","","SQ-"&amp;TEXT(ROW()-4,"0000"))</f>
        <v/>
      </c>
      <c r="B122" s="141" t="n"/>
      <c r="C122" s="25" t="n"/>
      <c r="D122" s="25" t="n"/>
      <c r="E122" s="25" t="n"/>
      <c r="F122" s="25" t="n"/>
      <c r="G122" s="25" t="n"/>
      <c r="H122" s="25" t="n"/>
      <c r="I122" s="25" t="n"/>
      <c r="J122" s="25" t="n"/>
      <c r="K122" s="139" t="n"/>
      <c r="L122" s="139" t="n"/>
      <c r="M122" s="139" t="n"/>
      <c r="N122" s="139" t="n"/>
      <c r="O122" s="139" t="n"/>
      <c r="P122" s="139" t="n"/>
      <c r="Q122" s="139" t="n"/>
      <c r="R122" s="142">
        <f>IF(COUNT($K122:$Q122)&lt;7,"",ROUND(($K122*'配置项'!$C$6+$L122*'配置项'!$C$7+$M122*'配置项'!$C$8+$N122*'配置项'!$C$9+$O122*'配置项'!$C$10+$P122*'配置项'!$C$11+$Q122*'配置项'!$C$12)*20,1))</f>
        <v/>
      </c>
      <c r="S122" s="25">
        <f>IF($R122="","",IF($R122&gt;='配置项'!$G$6,"优秀",IF($R122&gt;='配置项'!$G$7,"良好",IF($R122&gt;='配置项'!$G$8,"需关注","不合格"))))</f>
        <v/>
      </c>
      <c r="T122" s="25" t="n"/>
      <c r="U122" s="25" t="n"/>
      <c r="V122" s="28" t="n"/>
      <c r="W122" s="28" t="n"/>
      <c r="X122" s="25" t="n"/>
      <c r="Y122" s="25" t="n"/>
    </row>
    <row r="123" ht="24" customHeight="1">
      <c r="A123" s="25">
        <f>IF($B123="","","SQ-"&amp;TEXT(ROW()-4,"0000"))</f>
        <v/>
      </c>
      <c r="B123" s="141" t="n"/>
      <c r="C123" s="25" t="n"/>
      <c r="D123" s="25" t="n"/>
      <c r="E123" s="25" t="n"/>
      <c r="F123" s="25" t="n"/>
      <c r="G123" s="25" t="n"/>
      <c r="H123" s="25" t="n"/>
      <c r="I123" s="25" t="n"/>
      <c r="J123" s="25" t="n"/>
      <c r="K123" s="139" t="n"/>
      <c r="L123" s="139" t="n"/>
      <c r="M123" s="139" t="n"/>
      <c r="N123" s="139" t="n"/>
      <c r="O123" s="139" t="n"/>
      <c r="P123" s="139" t="n"/>
      <c r="Q123" s="139" t="n"/>
      <c r="R123" s="142">
        <f>IF(COUNT($K123:$Q123)&lt;7,"",ROUND(($K123*'配置项'!$C$6+$L123*'配置项'!$C$7+$M123*'配置项'!$C$8+$N123*'配置项'!$C$9+$O123*'配置项'!$C$10+$P123*'配置项'!$C$11+$Q123*'配置项'!$C$12)*20,1))</f>
        <v/>
      </c>
      <c r="S123" s="25">
        <f>IF($R123="","",IF($R123&gt;='配置项'!$G$6,"优秀",IF($R123&gt;='配置项'!$G$7,"良好",IF($R123&gt;='配置项'!$G$8,"需关注","不合格"))))</f>
        <v/>
      </c>
      <c r="T123" s="25" t="n"/>
      <c r="U123" s="25" t="n"/>
      <c r="V123" s="28" t="n"/>
      <c r="W123" s="28" t="n"/>
      <c r="X123" s="25" t="n"/>
      <c r="Y123" s="25" t="n"/>
    </row>
    <row r="124" ht="24" customHeight="1">
      <c r="A124" s="25">
        <f>IF($B124="","","SQ-"&amp;TEXT(ROW()-4,"0000"))</f>
        <v/>
      </c>
      <c r="B124" s="141" t="n"/>
      <c r="C124" s="25" t="n"/>
      <c r="D124" s="25" t="n"/>
      <c r="E124" s="25" t="n"/>
      <c r="F124" s="25" t="n"/>
      <c r="G124" s="25" t="n"/>
      <c r="H124" s="25" t="n"/>
      <c r="I124" s="25" t="n"/>
      <c r="J124" s="25" t="n"/>
      <c r="K124" s="139" t="n"/>
      <c r="L124" s="139" t="n"/>
      <c r="M124" s="139" t="n"/>
      <c r="N124" s="139" t="n"/>
      <c r="O124" s="139" t="n"/>
      <c r="P124" s="139" t="n"/>
      <c r="Q124" s="139" t="n"/>
      <c r="R124" s="142">
        <f>IF(COUNT($K124:$Q124)&lt;7,"",ROUND(($K124*'配置项'!$C$6+$L124*'配置项'!$C$7+$M124*'配置项'!$C$8+$N124*'配置项'!$C$9+$O124*'配置项'!$C$10+$P124*'配置项'!$C$11+$Q124*'配置项'!$C$12)*20,1))</f>
        <v/>
      </c>
      <c r="S124" s="25">
        <f>IF($R124="","",IF($R124&gt;='配置项'!$G$6,"优秀",IF($R124&gt;='配置项'!$G$7,"良好",IF($R124&gt;='配置项'!$G$8,"需关注","不合格"))))</f>
        <v/>
      </c>
      <c r="T124" s="25" t="n"/>
      <c r="U124" s="25" t="n"/>
      <c r="V124" s="28" t="n"/>
      <c r="W124" s="28" t="n"/>
      <c r="X124" s="25" t="n"/>
      <c r="Y124" s="25" t="n"/>
    </row>
    <row r="125" ht="24" customHeight="1">
      <c r="A125" s="25">
        <f>IF($B125="","","SQ-"&amp;TEXT(ROW()-4,"0000"))</f>
        <v/>
      </c>
      <c r="B125" s="141" t="n"/>
      <c r="C125" s="25" t="n"/>
      <c r="D125" s="25" t="n"/>
      <c r="E125" s="25" t="n"/>
      <c r="F125" s="25" t="n"/>
      <c r="G125" s="25" t="n"/>
      <c r="H125" s="25" t="n"/>
      <c r="I125" s="25" t="n"/>
      <c r="J125" s="25" t="n"/>
      <c r="K125" s="139" t="n"/>
      <c r="L125" s="139" t="n"/>
      <c r="M125" s="139" t="n"/>
      <c r="N125" s="139" t="n"/>
      <c r="O125" s="139" t="n"/>
      <c r="P125" s="139" t="n"/>
      <c r="Q125" s="139" t="n"/>
      <c r="R125" s="142">
        <f>IF(COUNT($K125:$Q125)&lt;7,"",ROUND(($K125*'配置项'!$C$6+$L125*'配置项'!$C$7+$M125*'配置项'!$C$8+$N125*'配置项'!$C$9+$O125*'配置项'!$C$10+$P125*'配置项'!$C$11+$Q125*'配置项'!$C$12)*20,1))</f>
        <v/>
      </c>
      <c r="S125" s="25">
        <f>IF($R125="","",IF($R125&gt;='配置项'!$G$6,"优秀",IF($R125&gt;='配置项'!$G$7,"良好",IF($R125&gt;='配置项'!$G$8,"需关注","不合格"))))</f>
        <v/>
      </c>
      <c r="T125" s="25" t="n"/>
      <c r="U125" s="25" t="n"/>
      <c r="V125" s="28" t="n"/>
      <c r="W125" s="28" t="n"/>
      <c r="X125" s="25" t="n"/>
      <c r="Y125" s="25" t="n"/>
    </row>
    <row r="126" ht="24" customHeight="1">
      <c r="A126" s="25">
        <f>IF($B126="","","SQ-"&amp;TEXT(ROW()-4,"0000"))</f>
        <v/>
      </c>
      <c r="B126" s="141" t="n"/>
      <c r="C126" s="25" t="n"/>
      <c r="D126" s="25" t="n"/>
      <c r="E126" s="25" t="n"/>
      <c r="F126" s="25" t="n"/>
      <c r="G126" s="25" t="n"/>
      <c r="H126" s="25" t="n"/>
      <c r="I126" s="25" t="n"/>
      <c r="J126" s="25" t="n"/>
      <c r="K126" s="139" t="n"/>
      <c r="L126" s="139" t="n"/>
      <c r="M126" s="139" t="n"/>
      <c r="N126" s="139" t="n"/>
      <c r="O126" s="139" t="n"/>
      <c r="P126" s="139" t="n"/>
      <c r="Q126" s="139" t="n"/>
      <c r="R126" s="142">
        <f>IF(COUNT($K126:$Q126)&lt;7,"",ROUND(($K126*'配置项'!$C$6+$L126*'配置项'!$C$7+$M126*'配置项'!$C$8+$N126*'配置项'!$C$9+$O126*'配置项'!$C$10+$P126*'配置项'!$C$11+$Q126*'配置项'!$C$12)*20,1))</f>
        <v/>
      </c>
      <c r="S126" s="25">
        <f>IF($R126="","",IF($R126&gt;='配置项'!$G$6,"优秀",IF($R126&gt;='配置项'!$G$7,"良好",IF($R126&gt;='配置项'!$G$8,"需关注","不合格"))))</f>
        <v/>
      </c>
      <c r="T126" s="25" t="n"/>
      <c r="U126" s="25" t="n"/>
      <c r="V126" s="28" t="n"/>
      <c r="W126" s="28" t="n"/>
      <c r="X126" s="25" t="n"/>
      <c r="Y126" s="25" t="n"/>
    </row>
    <row r="127" ht="24" customHeight="1">
      <c r="A127" s="25">
        <f>IF($B127="","","SQ-"&amp;TEXT(ROW()-4,"0000"))</f>
        <v/>
      </c>
      <c r="B127" s="141" t="n"/>
      <c r="C127" s="25" t="n"/>
      <c r="D127" s="25" t="n"/>
      <c r="E127" s="25" t="n"/>
      <c r="F127" s="25" t="n"/>
      <c r="G127" s="25" t="n"/>
      <c r="H127" s="25" t="n"/>
      <c r="I127" s="25" t="n"/>
      <c r="J127" s="25" t="n"/>
      <c r="K127" s="139" t="n"/>
      <c r="L127" s="139" t="n"/>
      <c r="M127" s="139" t="n"/>
      <c r="N127" s="139" t="n"/>
      <c r="O127" s="139" t="n"/>
      <c r="P127" s="139" t="n"/>
      <c r="Q127" s="139" t="n"/>
      <c r="R127" s="142">
        <f>IF(COUNT($K127:$Q127)&lt;7,"",ROUND(($K127*'配置项'!$C$6+$L127*'配置项'!$C$7+$M127*'配置项'!$C$8+$N127*'配置项'!$C$9+$O127*'配置项'!$C$10+$P127*'配置项'!$C$11+$Q127*'配置项'!$C$12)*20,1))</f>
        <v/>
      </c>
      <c r="S127" s="25">
        <f>IF($R127="","",IF($R127&gt;='配置项'!$G$6,"优秀",IF($R127&gt;='配置项'!$G$7,"良好",IF($R127&gt;='配置项'!$G$8,"需关注","不合格"))))</f>
        <v/>
      </c>
      <c r="T127" s="25" t="n"/>
      <c r="U127" s="25" t="n"/>
      <c r="V127" s="28" t="n"/>
      <c r="W127" s="28" t="n"/>
      <c r="X127" s="25" t="n"/>
      <c r="Y127" s="25" t="n"/>
    </row>
    <row r="128" ht="24" customHeight="1">
      <c r="A128" s="25">
        <f>IF($B128="","","SQ-"&amp;TEXT(ROW()-4,"0000"))</f>
        <v/>
      </c>
      <c r="B128" s="141" t="n"/>
      <c r="C128" s="25" t="n"/>
      <c r="D128" s="25" t="n"/>
      <c r="E128" s="25" t="n"/>
      <c r="F128" s="25" t="n"/>
      <c r="G128" s="25" t="n"/>
      <c r="H128" s="25" t="n"/>
      <c r="I128" s="25" t="n"/>
      <c r="J128" s="25" t="n"/>
      <c r="K128" s="139" t="n"/>
      <c r="L128" s="139" t="n"/>
      <c r="M128" s="139" t="n"/>
      <c r="N128" s="139" t="n"/>
      <c r="O128" s="139" t="n"/>
      <c r="P128" s="139" t="n"/>
      <c r="Q128" s="139" t="n"/>
      <c r="R128" s="142">
        <f>IF(COUNT($K128:$Q128)&lt;7,"",ROUND(($K128*'配置项'!$C$6+$L128*'配置项'!$C$7+$M128*'配置项'!$C$8+$N128*'配置项'!$C$9+$O128*'配置项'!$C$10+$P128*'配置项'!$C$11+$Q128*'配置项'!$C$12)*20,1))</f>
        <v/>
      </c>
      <c r="S128" s="25">
        <f>IF($R128="","",IF($R128&gt;='配置项'!$G$6,"优秀",IF($R128&gt;='配置项'!$G$7,"良好",IF($R128&gt;='配置项'!$G$8,"需关注","不合格"))))</f>
        <v/>
      </c>
      <c r="T128" s="25" t="n"/>
      <c r="U128" s="25" t="n"/>
      <c r="V128" s="28" t="n"/>
      <c r="W128" s="28" t="n"/>
      <c r="X128" s="25" t="n"/>
      <c r="Y128" s="25" t="n"/>
    </row>
    <row r="129" ht="24" customHeight="1">
      <c r="A129" s="25">
        <f>IF($B129="","","SQ-"&amp;TEXT(ROW()-4,"0000"))</f>
        <v/>
      </c>
      <c r="B129" s="141" t="n"/>
      <c r="C129" s="25" t="n"/>
      <c r="D129" s="25" t="n"/>
      <c r="E129" s="25" t="n"/>
      <c r="F129" s="25" t="n"/>
      <c r="G129" s="25" t="n"/>
      <c r="H129" s="25" t="n"/>
      <c r="I129" s="25" t="n"/>
      <c r="J129" s="25" t="n"/>
      <c r="K129" s="139" t="n"/>
      <c r="L129" s="139" t="n"/>
      <c r="M129" s="139" t="n"/>
      <c r="N129" s="139" t="n"/>
      <c r="O129" s="139" t="n"/>
      <c r="P129" s="139" t="n"/>
      <c r="Q129" s="139" t="n"/>
      <c r="R129" s="142">
        <f>IF(COUNT($K129:$Q129)&lt;7,"",ROUND(($K129*'配置项'!$C$6+$L129*'配置项'!$C$7+$M129*'配置项'!$C$8+$N129*'配置项'!$C$9+$O129*'配置项'!$C$10+$P129*'配置项'!$C$11+$Q129*'配置项'!$C$12)*20,1))</f>
        <v/>
      </c>
      <c r="S129" s="25">
        <f>IF($R129="","",IF($R129&gt;='配置项'!$G$6,"优秀",IF($R129&gt;='配置项'!$G$7,"良好",IF($R129&gt;='配置项'!$G$8,"需关注","不合格"))))</f>
        <v/>
      </c>
      <c r="T129" s="25" t="n"/>
      <c r="U129" s="25" t="n"/>
      <c r="V129" s="28" t="n"/>
      <c r="W129" s="28" t="n"/>
      <c r="X129" s="25" t="n"/>
      <c r="Y129" s="25" t="n"/>
    </row>
    <row r="130" ht="24" customHeight="1">
      <c r="A130" s="25">
        <f>IF($B130="","","SQ-"&amp;TEXT(ROW()-4,"0000"))</f>
        <v/>
      </c>
      <c r="B130" s="141" t="n"/>
      <c r="C130" s="25" t="n"/>
      <c r="D130" s="25" t="n"/>
      <c r="E130" s="25" t="n"/>
      <c r="F130" s="25" t="n"/>
      <c r="G130" s="25" t="n"/>
      <c r="H130" s="25" t="n"/>
      <c r="I130" s="25" t="n"/>
      <c r="J130" s="25" t="n"/>
      <c r="K130" s="139" t="n"/>
      <c r="L130" s="139" t="n"/>
      <c r="M130" s="139" t="n"/>
      <c r="N130" s="139" t="n"/>
      <c r="O130" s="139" t="n"/>
      <c r="P130" s="139" t="n"/>
      <c r="Q130" s="139" t="n"/>
      <c r="R130" s="142">
        <f>IF(COUNT($K130:$Q130)&lt;7,"",ROUND(($K130*'配置项'!$C$6+$L130*'配置项'!$C$7+$M130*'配置项'!$C$8+$N130*'配置项'!$C$9+$O130*'配置项'!$C$10+$P130*'配置项'!$C$11+$Q130*'配置项'!$C$12)*20,1))</f>
        <v/>
      </c>
      <c r="S130" s="25">
        <f>IF($R130="","",IF($R130&gt;='配置项'!$G$6,"优秀",IF($R130&gt;='配置项'!$G$7,"良好",IF($R130&gt;='配置项'!$G$8,"需关注","不合格"))))</f>
        <v/>
      </c>
      <c r="T130" s="25" t="n"/>
      <c r="U130" s="25" t="n"/>
      <c r="V130" s="28" t="n"/>
      <c r="W130" s="28" t="n"/>
      <c r="X130" s="25" t="n"/>
      <c r="Y130" s="25" t="n"/>
    </row>
    <row r="131" ht="24" customHeight="1">
      <c r="A131" s="25">
        <f>IF($B131="","","SQ-"&amp;TEXT(ROW()-4,"0000"))</f>
        <v/>
      </c>
      <c r="B131" s="141" t="n"/>
      <c r="C131" s="25" t="n"/>
      <c r="D131" s="25" t="n"/>
      <c r="E131" s="25" t="n"/>
      <c r="F131" s="25" t="n"/>
      <c r="G131" s="25" t="n"/>
      <c r="H131" s="25" t="n"/>
      <c r="I131" s="25" t="n"/>
      <c r="J131" s="25" t="n"/>
      <c r="K131" s="139" t="n"/>
      <c r="L131" s="139" t="n"/>
      <c r="M131" s="139" t="n"/>
      <c r="N131" s="139" t="n"/>
      <c r="O131" s="139" t="n"/>
      <c r="P131" s="139" t="n"/>
      <c r="Q131" s="139" t="n"/>
      <c r="R131" s="142">
        <f>IF(COUNT($K131:$Q131)&lt;7,"",ROUND(($K131*'配置项'!$C$6+$L131*'配置项'!$C$7+$M131*'配置项'!$C$8+$N131*'配置项'!$C$9+$O131*'配置项'!$C$10+$P131*'配置项'!$C$11+$Q131*'配置项'!$C$12)*20,1))</f>
        <v/>
      </c>
      <c r="S131" s="25">
        <f>IF($R131="","",IF($R131&gt;='配置项'!$G$6,"优秀",IF($R131&gt;='配置项'!$G$7,"良好",IF($R131&gt;='配置项'!$G$8,"需关注","不合格"))))</f>
        <v/>
      </c>
      <c r="T131" s="25" t="n"/>
      <c r="U131" s="25" t="n"/>
      <c r="V131" s="28" t="n"/>
      <c r="W131" s="28" t="n"/>
      <c r="X131" s="25" t="n"/>
      <c r="Y131" s="25" t="n"/>
    </row>
    <row r="132" ht="24" customHeight="1">
      <c r="A132" s="25">
        <f>IF($B132="","","SQ-"&amp;TEXT(ROW()-4,"0000"))</f>
        <v/>
      </c>
      <c r="B132" s="141" t="n"/>
      <c r="C132" s="25" t="n"/>
      <c r="D132" s="25" t="n"/>
      <c r="E132" s="25" t="n"/>
      <c r="F132" s="25" t="n"/>
      <c r="G132" s="25" t="n"/>
      <c r="H132" s="25" t="n"/>
      <c r="I132" s="25" t="n"/>
      <c r="J132" s="25" t="n"/>
      <c r="K132" s="139" t="n"/>
      <c r="L132" s="139" t="n"/>
      <c r="M132" s="139" t="n"/>
      <c r="N132" s="139" t="n"/>
      <c r="O132" s="139" t="n"/>
      <c r="P132" s="139" t="n"/>
      <c r="Q132" s="139" t="n"/>
      <c r="R132" s="142">
        <f>IF(COUNT($K132:$Q132)&lt;7,"",ROUND(($K132*'配置项'!$C$6+$L132*'配置项'!$C$7+$M132*'配置项'!$C$8+$N132*'配置项'!$C$9+$O132*'配置项'!$C$10+$P132*'配置项'!$C$11+$Q132*'配置项'!$C$12)*20,1))</f>
        <v/>
      </c>
      <c r="S132" s="25">
        <f>IF($R132="","",IF($R132&gt;='配置项'!$G$6,"优秀",IF($R132&gt;='配置项'!$G$7,"良好",IF($R132&gt;='配置项'!$G$8,"需关注","不合格"))))</f>
        <v/>
      </c>
      <c r="T132" s="25" t="n"/>
      <c r="U132" s="25" t="n"/>
      <c r="V132" s="28" t="n"/>
      <c r="W132" s="28" t="n"/>
      <c r="X132" s="25" t="n"/>
      <c r="Y132" s="25" t="n"/>
    </row>
    <row r="133" ht="24" customHeight="1">
      <c r="A133" s="25">
        <f>IF($B133="","","SQ-"&amp;TEXT(ROW()-4,"0000"))</f>
        <v/>
      </c>
      <c r="B133" s="141" t="n"/>
      <c r="C133" s="25" t="n"/>
      <c r="D133" s="25" t="n"/>
      <c r="E133" s="25" t="n"/>
      <c r="F133" s="25" t="n"/>
      <c r="G133" s="25" t="n"/>
      <c r="H133" s="25" t="n"/>
      <c r="I133" s="25" t="n"/>
      <c r="J133" s="25" t="n"/>
      <c r="K133" s="139" t="n"/>
      <c r="L133" s="139" t="n"/>
      <c r="M133" s="139" t="n"/>
      <c r="N133" s="139" t="n"/>
      <c r="O133" s="139" t="n"/>
      <c r="P133" s="139" t="n"/>
      <c r="Q133" s="139" t="n"/>
      <c r="R133" s="142">
        <f>IF(COUNT($K133:$Q133)&lt;7,"",ROUND(($K133*'配置项'!$C$6+$L133*'配置项'!$C$7+$M133*'配置项'!$C$8+$N133*'配置项'!$C$9+$O133*'配置项'!$C$10+$P133*'配置项'!$C$11+$Q133*'配置项'!$C$12)*20,1))</f>
        <v/>
      </c>
      <c r="S133" s="25">
        <f>IF($R133="","",IF($R133&gt;='配置项'!$G$6,"优秀",IF($R133&gt;='配置项'!$G$7,"良好",IF($R133&gt;='配置项'!$G$8,"需关注","不合格"))))</f>
        <v/>
      </c>
      <c r="T133" s="25" t="n"/>
      <c r="U133" s="25" t="n"/>
      <c r="V133" s="28" t="n"/>
      <c r="W133" s="28" t="n"/>
      <c r="X133" s="25" t="n"/>
      <c r="Y133" s="25" t="n"/>
    </row>
    <row r="134" ht="24" customHeight="1">
      <c r="A134" s="25">
        <f>IF($B134="","","SQ-"&amp;TEXT(ROW()-4,"0000"))</f>
        <v/>
      </c>
      <c r="B134" s="141" t="n"/>
      <c r="C134" s="25" t="n"/>
      <c r="D134" s="25" t="n"/>
      <c r="E134" s="25" t="n"/>
      <c r="F134" s="25" t="n"/>
      <c r="G134" s="25" t="n"/>
      <c r="H134" s="25" t="n"/>
      <c r="I134" s="25" t="n"/>
      <c r="J134" s="25" t="n"/>
      <c r="K134" s="139" t="n"/>
      <c r="L134" s="139" t="n"/>
      <c r="M134" s="139" t="n"/>
      <c r="N134" s="139" t="n"/>
      <c r="O134" s="139" t="n"/>
      <c r="P134" s="139" t="n"/>
      <c r="Q134" s="139" t="n"/>
      <c r="R134" s="142">
        <f>IF(COUNT($K134:$Q134)&lt;7,"",ROUND(($K134*'配置项'!$C$6+$L134*'配置项'!$C$7+$M134*'配置项'!$C$8+$N134*'配置项'!$C$9+$O134*'配置项'!$C$10+$P134*'配置项'!$C$11+$Q134*'配置项'!$C$12)*20,1))</f>
        <v/>
      </c>
      <c r="S134" s="25">
        <f>IF($R134="","",IF($R134&gt;='配置项'!$G$6,"优秀",IF($R134&gt;='配置项'!$G$7,"良好",IF($R134&gt;='配置项'!$G$8,"需关注","不合格"))))</f>
        <v/>
      </c>
      <c r="T134" s="25" t="n"/>
      <c r="U134" s="25" t="n"/>
      <c r="V134" s="28" t="n"/>
      <c r="W134" s="28" t="n"/>
      <c r="X134" s="25" t="n"/>
      <c r="Y134" s="25" t="n"/>
    </row>
    <row r="135" ht="24" customHeight="1">
      <c r="A135" s="25">
        <f>IF($B135="","","SQ-"&amp;TEXT(ROW()-4,"0000"))</f>
        <v/>
      </c>
      <c r="B135" s="141" t="n"/>
      <c r="C135" s="25" t="n"/>
      <c r="D135" s="25" t="n"/>
      <c r="E135" s="25" t="n"/>
      <c r="F135" s="25" t="n"/>
      <c r="G135" s="25" t="n"/>
      <c r="H135" s="25" t="n"/>
      <c r="I135" s="25" t="n"/>
      <c r="J135" s="25" t="n"/>
      <c r="K135" s="139" t="n"/>
      <c r="L135" s="139" t="n"/>
      <c r="M135" s="139" t="n"/>
      <c r="N135" s="139" t="n"/>
      <c r="O135" s="139" t="n"/>
      <c r="P135" s="139" t="n"/>
      <c r="Q135" s="139" t="n"/>
      <c r="R135" s="142">
        <f>IF(COUNT($K135:$Q135)&lt;7,"",ROUND(($K135*'配置项'!$C$6+$L135*'配置项'!$C$7+$M135*'配置项'!$C$8+$N135*'配置项'!$C$9+$O135*'配置项'!$C$10+$P135*'配置项'!$C$11+$Q135*'配置项'!$C$12)*20,1))</f>
        <v/>
      </c>
      <c r="S135" s="25">
        <f>IF($R135="","",IF($R135&gt;='配置项'!$G$6,"优秀",IF($R135&gt;='配置项'!$G$7,"良好",IF($R135&gt;='配置项'!$G$8,"需关注","不合格"))))</f>
        <v/>
      </c>
      <c r="T135" s="25" t="n"/>
      <c r="U135" s="25" t="n"/>
      <c r="V135" s="28" t="n"/>
      <c r="W135" s="28" t="n"/>
      <c r="X135" s="25" t="n"/>
      <c r="Y135" s="25" t="n"/>
    </row>
    <row r="136" ht="24" customHeight="1">
      <c r="A136" s="25">
        <f>IF($B136="","","SQ-"&amp;TEXT(ROW()-4,"0000"))</f>
        <v/>
      </c>
      <c r="B136" s="141" t="n"/>
      <c r="C136" s="25" t="n"/>
      <c r="D136" s="25" t="n"/>
      <c r="E136" s="25" t="n"/>
      <c r="F136" s="25" t="n"/>
      <c r="G136" s="25" t="n"/>
      <c r="H136" s="25" t="n"/>
      <c r="I136" s="25" t="n"/>
      <c r="J136" s="25" t="n"/>
      <c r="K136" s="139" t="n"/>
      <c r="L136" s="139" t="n"/>
      <c r="M136" s="139" t="n"/>
      <c r="N136" s="139" t="n"/>
      <c r="O136" s="139" t="n"/>
      <c r="P136" s="139" t="n"/>
      <c r="Q136" s="139" t="n"/>
      <c r="R136" s="142">
        <f>IF(COUNT($K136:$Q136)&lt;7,"",ROUND(($K136*'配置项'!$C$6+$L136*'配置项'!$C$7+$M136*'配置项'!$C$8+$N136*'配置项'!$C$9+$O136*'配置项'!$C$10+$P136*'配置项'!$C$11+$Q136*'配置项'!$C$12)*20,1))</f>
        <v/>
      </c>
      <c r="S136" s="25">
        <f>IF($R136="","",IF($R136&gt;='配置项'!$G$6,"优秀",IF($R136&gt;='配置项'!$G$7,"良好",IF($R136&gt;='配置项'!$G$8,"需关注","不合格"))))</f>
        <v/>
      </c>
      <c r="T136" s="25" t="n"/>
      <c r="U136" s="25" t="n"/>
      <c r="V136" s="28" t="n"/>
      <c r="W136" s="28" t="n"/>
      <c r="X136" s="25" t="n"/>
      <c r="Y136" s="25" t="n"/>
    </row>
    <row r="137" ht="24" customHeight="1">
      <c r="A137" s="25">
        <f>IF($B137="","","SQ-"&amp;TEXT(ROW()-4,"0000"))</f>
        <v/>
      </c>
      <c r="B137" s="141" t="n"/>
      <c r="C137" s="25" t="n"/>
      <c r="D137" s="25" t="n"/>
      <c r="E137" s="25" t="n"/>
      <c r="F137" s="25" t="n"/>
      <c r="G137" s="25" t="n"/>
      <c r="H137" s="25" t="n"/>
      <c r="I137" s="25" t="n"/>
      <c r="J137" s="25" t="n"/>
      <c r="K137" s="139" t="n"/>
      <c r="L137" s="139" t="n"/>
      <c r="M137" s="139" t="n"/>
      <c r="N137" s="139" t="n"/>
      <c r="O137" s="139" t="n"/>
      <c r="P137" s="139" t="n"/>
      <c r="Q137" s="139" t="n"/>
      <c r="R137" s="142">
        <f>IF(COUNT($K137:$Q137)&lt;7,"",ROUND(($K137*'配置项'!$C$6+$L137*'配置项'!$C$7+$M137*'配置项'!$C$8+$N137*'配置项'!$C$9+$O137*'配置项'!$C$10+$P137*'配置项'!$C$11+$Q137*'配置项'!$C$12)*20,1))</f>
        <v/>
      </c>
      <c r="S137" s="25">
        <f>IF($R137="","",IF($R137&gt;='配置项'!$G$6,"优秀",IF($R137&gt;='配置项'!$G$7,"良好",IF($R137&gt;='配置项'!$G$8,"需关注","不合格"))))</f>
        <v/>
      </c>
      <c r="T137" s="25" t="n"/>
      <c r="U137" s="25" t="n"/>
      <c r="V137" s="28" t="n"/>
      <c r="W137" s="28" t="n"/>
      <c r="X137" s="25" t="n"/>
      <c r="Y137" s="25" t="n"/>
    </row>
    <row r="138" ht="24" customHeight="1">
      <c r="A138" s="25">
        <f>IF($B138="","","SQ-"&amp;TEXT(ROW()-4,"0000"))</f>
        <v/>
      </c>
      <c r="B138" s="141" t="n"/>
      <c r="C138" s="25" t="n"/>
      <c r="D138" s="25" t="n"/>
      <c r="E138" s="25" t="n"/>
      <c r="F138" s="25" t="n"/>
      <c r="G138" s="25" t="n"/>
      <c r="H138" s="25" t="n"/>
      <c r="I138" s="25" t="n"/>
      <c r="J138" s="25" t="n"/>
      <c r="K138" s="139" t="n"/>
      <c r="L138" s="139" t="n"/>
      <c r="M138" s="139" t="n"/>
      <c r="N138" s="139" t="n"/>
      <c r="O138" s="139" t="n"/>
      <c r="P138" s="139" t="n"/>
      <c r="Q138" s="139" t="n"/>
      <c r="R138" s="142">
        <f>IF(COUNT($K138:$Q138)&lt;7,"",ROUND(($K138*'配置项'!$C$6+$L138*'配置项'!$C$7+$M138*'配置项'!$C$8+$N138*'配置项'!$C$9+$O138*'配置项'!$C$10+$P138*'配置项'!$C$11+$Q138*'配置项'!$C$12)*20,1))</f>
        <v/>
      </c>
      <c r="S138" s="25">
        <f>IF($R138="","",IF($R138&gt;='配置项'!$G$6,"优秀",IF($R138&gt;='配置项'!$G$7,"良好",IF($R138&gt;='配置项'!$G$8,"需关注","不合格"))))</f>
        <v/>
      </c>
      <c r="T138" s="25" t="n"/>
      <c r="U138" s="25" t="n"/>
      <c r="V138" s="28" t="n"/>
      <c r="W138" s="28" t="n"/>
      <c r="X138" s="25" t="n"/>
      <c r="Y138" s="25" t="n"/>
    </row>
    <row r="139" ht="24" customHeight="1">
      <c r="A139" s="25">
        <f>IF($B139="","","SQ-"&amp;TEXT(ROW()-4,"0000"))</f>
        <v/>
      </c>
      <c r="B139" s="141" t="n"/>
      <c r="C139" s="25" t="n"/>
      <c r="D139" s="25" t="n"/>
      <c r="E139" s="25" t="n"/>
      <c r="F139" s="25" t="n"/>
      <c r="G139" s="25" t="n"/>
      <c r="H139" s="25" t="n"/>
      <c r="I139" s="25" t="n"/>
      <c r="J139" s="25" t="n"/>
      <c r="K139" s="139" t="n"/>
      <c r="L139" s="139" t="n"/>
      <c r="M139" s="139" t="n"/>
      <c r="N139" s="139" t="n"/>
      <c r="O139" s="139" t="n"/>
      <c r="P139" s="139" t="n"/>
      <c r="Q139" s="139" t="n"/>
      <c r="R139" s="142">
        <f>IF(COUNT($K139:$Q139)&lt;7,"",ROUND(($K139*'配置项'!$C$6+$L139*'配置项'!$C$7+$M139*'配置项'!$C$8+$N139*'配置项'!$C$9+$O139*'配置项'!$C$10+$P139*'配置项'!$C$11+$Q139*'配置项'!$C$12)*20,1))</f>
        <v/>
      </c>
      <c r="S139" s="25">
        <f>IF($R139="","",IF($R139&gt;='配置项'!$G$6,"优秀",IF($R139&gt;='配置项'!$G$7,"良好",IF($R139&gt;='配置项'!$G$8,"需关注","不合格"))))</f>
        <v/>
      </c>
      <c r="T139" s="25" t="n"/>
      <c r="U139" s="25" t="n"/>
      <c r="V139" s="28" t="n"/>
      <c r="W139" s="28" t="n"/>
      <c r="X139" s="25" t="n"/>
      <c r="Y139" s="25" t="n"/>
    </row>
    <row r="140" ht="24" customHeight="1">
      <c r="A140" s="25">
        <f>IF($B140="","","SQ-"&amp;TEXT(ROW()-4,"0000"))</f>
        <v/>
      </c>
      <c r="B140" s="141" t="n"/>
      <c r="C140" s="25" t="n"/>
      <c r="D140" s="25" t="n"/>
      <c r="E140" s="25" t="n"/>
      <c r="F140" s="25" t="n"/>
      <c r="G140" s="25" t="n"/>
      <c r="H140" s="25" t="n"/>
      <c r="I140" s="25" t="n"/>
      <c r="J140" s="25" t="n"/>
      <c r="K140" s="139" t="n"/>
      <c r="L140" s="139" t="n"/>
      <c r="M140" s="139" t="n"/>
      <c r="N140" s="139" t="n"/>
      <c r="O140" s="139" t="n"/>
      <c r="P140" s="139" t="n"/>
      <c r="Q140" s="139" t="n"/>
      <c r="R140" s="142">
        <f>IF(COUNT($K140:$Q140)&lt;7,"",ROUND(($K140*'配置项'!$C$6+$L140*'配置项'!$C$7+$M140*'配置项'!$C$8+$N140*'配置项'!$C$9+$O140*'配置项'!$C$10+$P140*'配置项'!$C$11+$Q140*'配置项'!$C$12)*20,1))</f>
        <v/>
      </c>
      <c r="S140" s="25">
        <f>IF($R140="","",IF($R140&gt;='配置项'!$G$6,"优秀",IF($R140&gt;='配置项'!$G$7,"良好",IF($R140&gt;='配置项'!$G$8,"需关注","不合格"))))</f>
        <v/>
      </c>
      <c r="T140" s="25" t="n"/>
      <c r="U140" s="25" t="n"/>
      <c r="V140" s="28" t="n"/>
      <c r="W140" s="28" t="n"/>
      <c r="X140" s="25" t="n"/>
      <c r="Y140" s="25" t="n"/>
    </row>
    <row r="141" ht="24" customHeight="1">
      <c r="A141" s="25">
        <f>IF($B141="","","SQ-"&amp;TEXT(ROW()-4,"0000"))</f>
        <v/>
      </c>
      <c r="B141" s="141" t="n"/>
      <c r="C141" s="25" t="n"/>
      <c r="D141" s="25" t="n"/>
      <c r="E141" s="25" t="n"/>
      <c r="F141" s="25" t="n"/>
      <c r="G141" s="25" t="n"/>
      <c r="H141" s="25" t="n"/>
      <c r="I141" s="25" t="n"/>
      <c r="J141" s="25" t="n"/>
      <c r="K141" s="139" t="n"/>
      <c r="L141" s="139" t="n"/>
      <c r="M141" s="139" t="n"/>
      <c r="N141" s="139" t="n"/>
      <c r="O141" s="139" t="n"/>
      <c r="P141" s="139" t="n"/>
      <c r="Q141" s="139" t="n"/>
      <c r="R141" s="142">
        <f>IF(COUNT($K141:$Q141)&lt;7,"",ROUND(($K141*'配置项'!$C$6+$L141*'配置项'!$C$7+$M141*'配置项'!$C$8+$N141*'配置项'!$C$9+$O141*'配置项'!$C$10+$P141*'配置项'!$C$11+$Q141*'配置项'!$C$12)*20,1))</f>
        <v/>
      </c>
      <c r="S141" s="25">
        <f>IF($R141="","",IF($R141&gt;='配置项'!$G$6,"优秀",IF($R141&gt;='配置项'!$G$7,"良好",IF($R141&gt;='配置项'!$G$8,"需关注","不合格"))))</f>
        <v/>
      </c>
      <c r="T141" s="25" t="n"/>
      <c r="U141" s="25" t="n"/>
      <c r="V141" s="28" t="n"/>
      <c r="W141" s="28" t="n"/>
      <c r="X141" s="25" t="n"/>
      <c r="Y141" s="25" t="n"/>
    </row>
    <row r="142" ht="24" customHeight="1">
      <c r="A142" s="25">
        <f>IF($B142="","","SQ-"&amp;TEXT(ROW()-4,"0000"))</f>
        <v/>
      </c>
      <c r="B142" s="141" t="n"/>
      <c r="C142" s="25" t="n"/>
      <c r="D142" s="25" t="n"/>
      <c r="E142" s="25" t="n"/>
      <c r="F142" s="25" t="n"/>
      <c r="G142" s="25" t="n"/>
      <c r="H142" s="25" t="n"/>
      <c r="I142" s="25" t="n"/>
      <c r="J142" s="25" t="n"/>
      <c r="K142" s="139" t="n"/>
      <c r="L142" s="139" t="n"/>
      <c r="M142" s="139" t="n"/>
      <c r="N142" s="139" t="n"/>
      <c r="O142" s="139" t="n"/>
      <c r="P142" s="139" t="n"/>
      <c r="Q142" s="139" t="n"/>
      <c r="R142" s="142">
        <f>IF(COUNT($K142:$Q142)&lt;7,"",ROUND(($K142*'配置项'!$C$6+$L142*'配置项'!$C$7+$M142*'配置项'!$C$8+$N142*'配置项'!$C$9+$O142*'配置项'!$C$10+$P142*'配置项'!$C$11+$Q142*'配置项'!$C$12)*20,1))</f>
        <v/>
      </c>
      <c r="S142" s="25">
        <f>IF($R142="","",IF($R142&gt;='配置项'!$G$6,"优秀",IF($R142&gt;='配置项'!$G$7,"良好",IF($R142&gt;='配置项'!$G$8,"需关注","不合格"))))</f>
        <v/>
      </c>
      <c r="T142" s="25" t="n"/>
      <c r="U142" s="25" t="n"/>
      <c r="V142" s="28" t="n"/>
      <c r="W142" s="28" t="n"/>
      <c r="X142" s="25" t="n"/>
      <c r="Y142" s="25" t="n"/>
    </row>
    <row r="143" ht="24" customHeight="1">
      <c r="A143" s="25">
        <f>IF($B143="","","SQ-"&amp;TEXT(ROW()-4,"0000"))</f>
        <v/>
      </c>
      <c r="B143" s="141" t="n"/>
      <c r="C143" s="25" t="n"/>
      <c r="D143" s="25" t="n"/>
      <c r="E143" s="25" t="n"/>
      <c r="F143" s="25" t="n"/>
      <c r="G143" s="25" t="n"/>
      <c r="H143" s="25" t="n"/>
      <c r="I143" s="25" t="n"/>
      <c r="J143" s="25" t="n"/>
      <c r="K143" s="139" t="n"/>
      <c r="L143" s="139" t="n"/>
      <c r="M143" s="139" t="n"/>
      <c r="N143" s="139" t="n"/>
      <c r="O143" s="139" t="n"/>
      <c r="P143" s="139" t="n"/>
      <c r="Q143" s="139" t="n"/>
      <c r="R143" s="142">
        <f>IF(COUNT($K143:$Q143)&lt;7,"",ROUND(($K143*'配置项'!$C$6+$L143*'配置项'!$C$7+$M143*'配置项'!$C$8+$N143*'配置项'!$C$9+$O143*'配置项'!$C$10+$P143*'配置项'!$C$11+$Q143*'配置项'!$C$12)*20,1))</f>
        <v/>
      </c>
      <c r="S143" s="25">
        <f>IF($R143="","",IF($R143&gt;='配置项'!$G$6,"优秀",IF($R143&gt;='配置项'!$G$7,"良好",IF($R143&gt;='配置项'!$G$8,"需关注","不合格"))))</f>
        <v/>
      </c>
      <c r="T143" s="25" t="n"/>
      <c r="U143" s="25" t="n"/>
      <c r="V143" s="28" t="n"/>
      <c r="W143" s="28" t="n"/>
      <c r="X143" s="25" t="n"/>
      <c r="Y143" s="25" t="n"/>
    </row>
    <row r="144" ht="24" customHeight="1">
      <c r="A144" s="25">
        <f>IF($B144="","","SQ-"&amp;TEXT(ROW()-4,"0000"))</f>
        <v/>
      </c>
      <c r="B144" s="141" t="n"/>
      <c r="C144" s="25" t="n"/>
      <c r="D144" s="25" t="n"/>
      <c r="E144" s="25" t="n"/>
      <c r="F144" s="25" t="n"/>
      <c r="G144" s="25" t="n"/>
      <c r="H144" s="25" t="n"/>
      <c r="I144" s="25" t="n"/>
      <c r="J144" s="25" t="n"/>
      <c r="K144" s="139" t="n"/>
      <c r="L144" s="139" t="n"/>
      <c r="M144" s="139" t="n"/>
      <c r="N144" s="139" t="n"/>
      <c r="O144" s="139" t="n"/>
      <c r="P144" s="139" t="n"/>
      <c r="Q144" s="139" t="n"/>
      <c r="R144" s="142">
        <f>IF(COUNT($K144:$Q144)&lt;7,"",ROUND(($K144*'配置项'!$C$6+$L144*'配置项'!$C$7+$M144*'配置项'!$C$8+$N144*'配置项'!$C$9+$O144*'配置项'!$C$10+$P144*'配置项'!$C$11+$Q144*'配置项'!$C$12)*20,1))</f>
        <v/>
      </c>
      <c r="S144" s="25">
        <f>IF($R144="","",IF($R144&gt;='配置项'!$G$6,"优秀",IF($R144&gt;='配置项'!$G$7,"良好",IF($R144&gt;='配置项'!$G$8,"需关注","不合格"))))</f>
        <v/>
      </c>
      <c r="T144" s="25" t="n"/>
      <c r="U144" s="25" t="n"/>
      <c r="V144" s="28" t="n"/>
      <c r="W144" s="28" t="n"/>
      <c r="X144" s="25" t="n"/>
      <c r="Y144" s="25" t="n"/>
    </row>
    <row r="145" ht="24" customHeight="1">
      <c r="A145" s="25">
        <f>IF($B145="","","SQ-"&amp;TEXT(ROW()-4,"0000"))</f>
        <v/>
      </c>
      <c r="B145" s="141" t="n"/>
      <c r="C145" s="25" t="n"/>
      <c r="D145" s="25" t="n"/>
      <c r="E145" s="25" t="n"/>
      <c r="F145" s="25" t="n"/>
      <c r="G145" s="25" t="n"/>
      <c r="H145" s="25" t="n"/>
      <c r="I145" s="25" t="n"/>
      <c r="J145" s="25" t="n"/>
      <c r="K145" s="139" t="n"/>
      <c r="L145" s="139" t="n"/>
      <c r="M145" s="139" t="n"/>
      <c r="N145" s="139" t="n"/>
      <c r="O145" s="139" t="n"/>
      <c r="P145" s="139" t="n"/>
      <c r="Q145" s="139" t="n"/>
      <c r="R145" s="142">
        <f>IF(COUNT($K145:$Q145)&lt;7,"",ROUND(($K145*'配置项'!$C$6+$L145*'配置项'!$C$7+$M145*'配置项'!$C$8+$N145*'配置项'!$C$9+$O145*'配置项'!$C$10+$P145*'配置项'!$C$11+$Q145*'配置项'!$C$12)*20,1))</f>
        <v/>
      </c>
      <c r="S145" s="25">
        <f>IF($R145="","",IF($R145&gt;='配置项'!$G$6,"优秀",IF($R145&gt;='配置项'!$G$7,"良好",IF($R145&gt;='配置项'!$G$8,"需关注","不合格"))))</f>
        <v/>
      </c>
      <c r="T145" s="25" t="n"/>
      <c r="U145" s="25" t="n"/>
      <c r="V145" s="28" t="n"/>
      <c r="W145" s="28" t="n"/>
      <c r="X145" s="25" t="n"/>
      <c r="Y145" s="25" t="n"/>
    </row>
    <row r="146" ht="24" customHeight="1">
      <c r="A146" s="25">
        <f>IF($B146="","","SQ-"&amp;TEXT(ROW()-4,"0000"))</f>
        <v/>
      </c>
      <c r="B146" s="141" t="n"/>
      <c r="C146" s="25" t="n"/>
      <c r="D146" s="25" t="n"/>
      <c r="E146" s="25" t="n"/>
      <c r="F146" s="25" t="n"/>
      <c r="G146" s="25" t="n"/>
      <c r="H146" s="25" t="n"/>
      <c r="I146" s="25" t="n"/>
      <c r="J146" s="25" t="n"/>
      <c r="K146" s="139" t="n"/>
      <c r="L146" s="139" t="n"/>
      <c r="M146" s="139" t="n"/>
      <c r="N146" s="139" t="n"/>
      <c r="O146" s="139" t="n"/>
      <c r="P146" s="139" t="n"/>
      <c r="Q146" s="139" t="n"/>
      <c r="R146" s="142">
        <f>IF(COUNT($K146:$Q146)&lt;7,"",ROUND(($K146*'配置项'!$C$6+$L146*'配置项'!$C$7+$M146*'配置项'!$C$8+$N146*'配置项'!$C$9+$O146*'配置项'!$C$10+$P146*'配置项'!$C$11+$Q146*'配置项'!$C$12)*20,1))</f>
        <v/>
      </c>
      <c r="S146" s="25">
        <f>IF($R146="","",IF($R146&gt;='配置项'!$G$6,"优秀",IF($R146&gt;='配置项'!$G$7,"良好",IF($R146&gt;='配置项'!$G$8,"需关注","不合格"))))</f>
        <v/>
      </c>
      <c r="T146" s="25" t="n"/>
      <c r="U146" s="25" t="n"/>
      <c r="V146" s="28" t="n"/>
      <c r="W146" s="28" t="n"/>
      <c r="X146" s="25" t="n"/>
      <c r="Y146" s="25" t="n"/>
    </row>
    <row r="147" ht="24" customHeight="1">
      <c r="A147" s="25">
        <f>IF($B147="","","SQ-"&amp;TEXT(ROW()-4,"0000"))</f>
        <v/>
      </c>
      <c r="B147" s="141" t="n"/>
      <c r="C147" s="25" t="n"/>
      <c r="D147" s="25" t="n"/>
      <c r="E147" s="25" t="n"/>
      <c r="F147" s="25" t="n"/>
      <c r="G147" s="25" t="n"/>
      <c r="H147" s="25" t="n"/>
      <c r="I147" s="25" t="n"/>
      <c r="J147" s="25" t="n"/>
      <c r="K147" s="139" t="n"/>
      <c r="L147" s="139" t="n"/>
      <c r="M147" s="139" t="n"/>
      <c r="N147" s="139" t="n"/>
      <c r="O147" s="139" t="n"/>
      <c r="P147" s="139" t="n"/>
      <c r="Q147" s="139" t="n"/>
      <c r="R147" s="142">
        <f>IF(COUNT($K147:$Q147)&lt;7,"",ROUND(($K147*'配置项'!$C$6+$L147*'配置项'!$C$7+$M147*'配置项'!$C$8+$N147*'配置项'!$C$9+$O147*'配置项'!$C$10+$P147*'配置项'!$C$11+$Q147*'配置项'!$C$12)*20,1))</f>
        <v/>
      </c>
      <c r="S147" s="25">
        <f>IF($R147="","",IF($R147&gt;='配置项'!$G$6,"优秀",IF($R147&gt;='配置项'!$G$7,"良好",IF($R147&gt;='配置项'!$G$8,"需关注","不合格"))))</f>
        <v/>
      </c>
      <c r="T147" s="25" t="n"/>
      <c r="U147" s="25" t="n"/>
      <c r="V147" s="28" t="n"/>
      <c r="W147" s="28" t="n"/>
      <c r="X147" s="25" t="n"/>
      <c r="Y147" s="25" t="n"/>
    </row>
    <row r="148" ht="24" customHeight="1">
      <c r="A148" s="25">
        <f>IF($B148="","","SQ-"&amp;TEXT(ROW()-4,"0000"))</f>
        <v/>
      </c>
      <c r="B148" s="141" t="n"/>
      <c r="C148" s="25" t="n"/>
      <c r="D148" s="25" t="n"/>
      <c r="E148" s="25" t="n"/>
      <c r="F148" s="25" t="n"/>
      <c r="G148" s="25" t="n"/>
      <c r="H148" s="25" t="n"/>
      <c r="I148" s="25" t="n"/>
      <c r="J148" s="25" t="n"/>
      <c r="K148" s="139" t="n"/>
      <c r="L148" s="139" t="n"/>
      <c r="M148" s="139" t="n"/>
      <c r="N148" s="139" t="n"/>
      <c r="O148" s="139" t="n"/>
      <c r="P148" s="139" t="n"/>
      <c r="Q148" s="139" t="n"/>
      <c r="R148" s="142">
        <f>IF(COUNT($K148:$Q148)&lt;7,"",ROUND(($K148*'配置项'!$C$6+$L148*'配置项'!$C$7+$M148*'配置项'!$C$8+$N148*'配置项'!$C$9+$O148*'配置项'!$C$10+$P148*'配置项'!$C$11+$Q148*'配置项'!$C$12)*20,1))</f>
        <v/>
      </c>
      <c r="S148" s="25">
        <f>IF($R148="","",IF($R148&gt;='配置项'!$G$6,"优秀",IF($R148&gt;='配置项'!$G$7,"良好",IF($R148&gt;='配置项'!$G$8,"需关注","不合格"))))</f>
        <v/>
      </c>
      <c r="T148" s="25" t="n"/>
      <c r="U148" s="25" t="n"/>
      <c r="V148" s="28" t="n"/>
      <c r="W148" s="28" t="n"/>
      <c r="X148" s="25" t="n"/>
      <c r="Y148" s="25" t="n"/>
    </row>
    <row r="149" ht="24" customHeight="1">
      <c r="A149" s="25">
        <f>IF($B149="","","SQ-"&amp;TEXT(ROW()-4,"0000"))</f>
        <v/>
      </c>
      <c r="B149" s="141" t="n"/>
      <c r="C149" s="25" t="n"/>
      <c r="D149" s="25" t="n"/>
      <c r="E149" s="25" t="n"/>
      <c r="F149" s="25" t="n"/>
      <c r="G149" s="25" t="n"/>
      <c r="H149" s="25" t="n"/>
      <c r="I149" s="25" t="n"/>
      <c r="J149" s="25" t="n"/>
      <c r="K149" s="139" t="n"/>
      <c r="L149" s="139" t="n"/>
      <c r="M149" s="139" t="n"/>
      <c r="N149" s="139" t="n"/>
      <c r="O149" s="139" t="n"/>
      <c r="P149" s="139" t="n"/>
      <c r="Q149" s="139" t="n"/>
      <c r="R149" s="142">
        <f>IF(COUNT($K149:$Q149)&lt;7,"",ROUND(($K149*'配置项'!$C$6+$L149*'配置项'!$C$7+$M149*'配置项'!$C$8+$N149*'配置项'!$C$9+$O149*'配置项'!$C$10+$P149*'配置项'!$C$11+$Q149*'配置项'!$C$12)*20,1))</f>
        <v/>
      </c>
      <c r="S149" s="25">
        <f>IF($R149="","",IF($R149&gt;='配置项'!$G$6,"优秀",IF($R149&gt;='配置项'!$G$7,"良好",IF($R149&gt;='配置项'!$G$8,"需关注","不合格"))))</f>
        <v/>
      </c>
      <c r="T149" s="25" t="n"/>
      <c r="U149" s="25" t="n"/>
      <c r="V149" s="28" t="n"/>
      <c r="W149" s="28" t="n"/>
      <c r="X149" s="25" t="n"/>
      <c r="Y149" s="25" t="n"/>
    </row>
    <row r="150" ht="24" customHeight="1">
      <c r="A150" s="25">
        <f>IF($B150="","","SQ-"&amp;TEXT(ROW()-4,"0000"))</f>
        <v/>
      </c>
      <c r="B150" s="141" t="n"/>
      <c r="C150" s="25" t="n"/>
      <c r="D150" s="25" t="n"/>
      <c r="E150" s="25" t="n"/>
      <c r="F150" s="25" t="n"/>
      <c r="G150" s="25" t="n"/>
      <c r="H150" s="25" t="n"/>
      <c r="I150" s="25" t="n"/>
      <c r="J150" s="25" t="n"/>
      <c r="K150" s="139" t="n"/>
      <c r="L150" s="139" t="n"/>
      <c r="M150" s="139" t="n"/>
      <c r="N150" s="139" t="n"/>
      <c r="O150" s="139" t="n"/>
      <c r="P150" s="139" t="n"/>
      <c r="Q150" s="139" t="n"/>
      <c r="R150" s="142">
        <f>IF(COUNT($K150:$Q150)&lt;7,"",ROUND(($K150*'配置项'!$C$6+$L150*'配置项'!$C$7+$M150*'配置项'!$C$8+$N150*'配置项'!$C$9+$O150*'配置项'!$C$10+$P150*'配置项'!$C$11+$Q150*'配置项'!$C$12)*20,1))</f>
        <v/>
      </c>
      <c r="S150" s="25">
        <f>IF($R150="","",IF($R150&gt;='配置项'!$G$6,"优秀",IF($R150&gt;='配置项'!$G$7,"良好",IF($R150&gt;='配置项'!$G$8,"需关注","不合格"))))</f>
        <v/>
      </c>
      <c r="T150" s="25" t="n"/>
      <c r="U150" s="25" t="n"/>
      <c r="V150" s="28" t="n"/>
      <c r="W150" s="28" t="n"/>
      <c r="X150" s="25" t="n"/>
      <c r="Y150" s="25" t="n"/>
    </row>
    <row r="151" ht="24" customHeight="1">
      <c r="A151" s="25">
        <f>IF($B151="","","SQ-"&amp;TEXT(ROW()-4,"0000"))</f>
        <v/>
      </c>
      <c r="B151" s="141" t="n"/>
      <c r="C151" s="25" t="n"/>
      <c r="D151" s="25" t="n"/>
      <c r="E151" s="25" t="n"/>
      <c r="F151" s="25" t="n"/>
      <c r="G151" s="25" t="n"/>
      <c r="H151" s="25" t="n"/>
      <c r="I151" s="25" t="n"/>
      <c r="J151" s="25" t="n"/>
      <c r="K151" s="139" t="n"/>
      <c r="L151" s="139" t="n"/>
      <c r="M151" s="139" t="n"/>
      <c r="N151" s="139" t="n"/>
      <c r="O151" s="139" t="n"/>
      <c r="P151" s="139" t="n"/>
      <c r="Q151" s="139" t="n"/>
      <c r="R151" s="142">
        <f>IF(COUNT($K151:$Q151)&lt;7,"",ROUND(($K151*'配置项'!$C$6+$L151*'配置项'!$C$7+$M151*'配置项'!$C$8+$N151*'配置项'!$C$9+$O151*'配置项'!$C$10+$P151*'配置项'!$C$11+$Q151*'配置项'!$C$12)*20,1))</f>
        <v/>
      </c>
      <c r="S151" s="25">
        <f>IF($R151="","",IF($R151&gt;='配置项'!$G$6,"优秀",IF($R151&gt;='配置项'!$G$7,"良好",IF($R151&gt;='配置项'!$G$8,"需关注","不合格"))))</f>
        <v/>
      </c>
      <c r="T151" s="25" t="n"/>
      <c r="U151" s="25" t="n"/>
      <c r="V151" s="28" t="n"/>
      <c r="W151" s="28" t="n"/>
      <c r="X151" s="25" t="n"/>
      <c r="Y151" s="25" t="n"/>
    </row>
    <row r="152" ht="24" customHeight="1">
      <c r="A152" s="25">
        <f>IF($B152="","","SQ-"&amp;TEXT(ROW()-4,"0000"))</f>
        <v/>
      </c>
      <c r="B152" s="141" t="n"/>
      <c r="C152" s="25" t="n"/>
      <c r="D152" s="25" t="n"/>
      <c r="E152" s="25" t="n"/>
      <c r="F152" s="25" t="n"/>
      <c r="G152" s="25" t="n"/>
      <c r="H152" s="25" t="n"/>
      <c r="I152" s="25" t="n"/>
      <c r="J152" s="25" t="n"/>
      <c r="K152" s="139" t="n"/>
      <c r="L152" s="139" t="n"/>
      <c r="M152" s="139" t="n"/>
      <c r="N152" s="139" t="n"/>
      <c r="O152" s="139" t="n"/>
      <c r="P152" s="139" t="n"/>
      <c r="Q152" s="139" t="n"/>
      <c r="R152" s="142">
        <f>IF(COUNT($K152:$Q152)&lt;7,"",ROUND(($K152*'配置项'!$C$6+$L152*'配置项'!$C$7+$M152*'配置项'!$C$8+$N152*'配置项'!$C$9+$O152*'配置项'!$C$10+$P152*'配置项'!$C$11+$Q152*'配置项'!$C$12)*20,1))</f>
        <v/>
      </c>
      <c r="S152" s="25">
        <f>IF($R152="","",IF($R152&gt;='配置项'!$G$6,"优秀",IF($R152&gt;='配置项'!$G$7,"良好",IF($R152&gt;='配置项'!$G$8,"需关注","不合格"))))</f>
        <v/>
      </c>
      <c r="T152" s="25" t="n"/>
      <c r="U152" s="25" t="n"/>
      <c r="V152" s="28" t="n"/>
      <c r="W152" s="28" t="n"/>
      <c r="X152" s="25" t="n"/>
      <c r="Y152" s="25" t="n"/>
    </row>
    <row r="153" ht="24" customHeight="1">
      <c r="A153" s="25">
        <f>IF($B153="","","SQ-"&amp;TEXT(ROW()-4,"0000"))</f>
        <v/>
      </c>
      <c r="B153" s="141" t="n"/>
      <c r="C153" s="25" t="n"/>
      <c r="D153" s="25" t="n"/>
      <c r="E153" s="25" t="n"/>
      <c r="F153" s="25" t="n"/>
      <c r="G153" s="25" t="n"/>
      <c r="H153" s="25" t="n"/>
      <c r="I153" s="25" t="n"/>
      <c r="J153" s="25" t="n"/>
      <c r="K153" s="139" t="n"/>
      <c r="L153" s="139" t="n"/>
      <c r="M153" s="139" t="n"/>
      <c r="N153" s="139" t="n"/>
      <c r="O153" s="139" t="n"/>
      <c r="P153" s="139" t="n"/>
      <c r="Q153" s="139" t="n"/>
      <c r="R153" s="142">
        <f>IF(COUNT($K153:$Q153)&lt;7,"",ROUND(($K153*'配置项'!$C$6+$L153*'配置项'!$C$7+$M153*'配置项'!$C$8+$N153*'配置项'!$C$9+$O153*'配置项'!$C$10+$P153*'配置项'!$C$11+$Q153*'配置项'!$C$12)*20,1))</f>
        <v/>
      </c>
      <c r="S153" s="25">
        <f>IF($R153="","",IF($R153&gt;='配置项'!$G$6,"优秀",IF($R153&gt;='配置项'!$G$7,"良好",IF($R153&gt;='配置项'!$G$8,"需关注","不合格"))))</f>
        <v/>
      </c>
      <c r="T153" s="25" t="n"/>
      <c r="U153" s="25" t="n"/>
      <c r="V153" s="28" t="n"/>
      <c r="W153" s="28" t="n"/>
      <c r="X153" s="25" t="n"/>
      <c r="Y153" s="25" t="n"/>
    </row>
    <row r="154" ht="24" customHeight="1">
      <c r="A154" s="25">
        <f>IF($B154="","","SQ-"&amp;TEXT(ROW()-4,"0000"))</f>
        <v/>
      </c>
      <c r="B154" s="141" t="n"/>
      <c r="C154" s="25" t="n"/>
      <c r="D154" s="25" t="n"/>
      <c r="E154" s="25" t="n"/>
      <c r="F154" s="25" t="n"/>
      <c r="G154" s="25" t="n"/>
      <c r="H154" s="25" t="n"/>
      <c r="I154" s="25" t="n"/>
      <c r="J154" s="25" t="n"/>
      <c r="K154" s="139" t="n"/>
      <c r="L154" s="139" t="n"/>
      <c r="M154" s="139" t="n"/>
      <c r="N154" s="139" t="n"/>
      <c r="O154" s="139" t="n"/>
      <c r="P154" s="139" t="n"/>
      <c r="Q154" s="139" t="n"/>
      <c r="R154" s="142">
        <f>IF(COUNT($K154:$Q154)&lt;7,"",ROUND(($K154*'配置项'!$C$6+$L154*'配置项'!$C$7+$M154*'配置项'!$C$8+$N154*'配置项'!$C$9+$O154*'配置项'!$C$10+$P154*'配置项'!$C$11+$Q154*'配置项'!$C$12)*20,1))</f>
        <v/>
      </c>
      <c r="S154" s="25">
        <f>IF($R154="","",IF($R154&gt;='配置项'!$G$6,"优秀",IF($R154&gt;='配置项'!$G$7,"良好",IF($R154&gt;='配置项'!$G$8,"需关注","不合格"))))</f>
        <v/>
      </c>
      <c r="T154" s="25" t="n"/>
      <c r="U154" s="25" t="n"/>
      <c r="V154" s="28" t="n"/>
      <c r="W154" s="28" t="n"/>
      <c r="X154" s="25" t="n"/>
      <c r="Y154" s="25" t="n"/>
    </row>
    <row r="155" ht="24" customHeight="1">
      <c r="A155" s="25">
        <f>IF($B155="","","SQ-"&amp;TEXT(ROW()-4,"0000"))</f>
        <v/>
      </c>
      <c r="B155" s="141" t="n"/>
      <c r="C155" s="25" t="n"/>
      <c r="D155" s="25" t="n"/>
      <c r="E155" s="25" t="n"/>
      <c r="F155" s="25" t="n"/>
      <c r="G155" s="25" t="n"/>
      <c r="H155" s="25" t="n"/>
      <c r="I155" s="25" t="n"/>
      <c r="J155" s="25" t="n"/>
      <c r="K155" s="139" t="n"/>
      <c r="L155" s="139" t="n"/>
      <c r="M155" s="139" t="n"/>
      <c r="N155" s="139" t="n"/>
      <c r="O155" s="139" t="n"/>
      <c r="P155" s="139" t="n"/>
      <c r="Q155" s="139" t="n"/>
      <c r="R155" s="142">
        <f>IF(COUNT($K155:$Q155)&lt;7,"",ROUND(($K155*'配置项'!$C$6+$L155*'配置项'!$C$7+$M155*'配置项'!$C$8+$N155*'配置项'!$C$9+$O155*'配置项'!$C$10+$P155*'配置项'!$C$11+$Q155*'配置项'!$C$12)*20,1))</f>
        <v/>
      </c>
      <c r="S155" s="25">
        <f>IF($R155="","",IF($R155&gt;='配置项'!$G$6,"优秀",IF($R155&gt;='配置项'!$G$7,"良好",IF($R155&gt;='配置项'!$G$8,"需关注","不合格"))))</f>
        <v/>
      </c>
      <c r="T155" s="25" t="n"/>
      <c r="U155" s="25" t="n"/>
      <c r="V155" s="28" t="n"/>
      <c r="W155" s="28" t="n"/>
      <c r="X155" s="25" t="n"/>
      <c r="Y155" s="25" t="n"/>
    </row>
    <row r="156" ht="24" customHeight="1">
      <c r="A156" s="25">
        <f>IF($B156="","","SQ-"&amp;TEXT(ROW()-4,"0000"))</f>
        <v/>
      </c>
      <c r="B156" s="141" t="n"/>
      <c r="C156" s="25" t="n"/>
      <c r="D156" s="25" t="n"/>
      <c r="E156" s="25" t="n"/>
      <c r="F156" s="25" t="n"/>
      <c r="G156" s="25" t="n"/>
      <c r="H156" s="25" t="n"/>
      <c r="I156" s="25" t="n"/>
      <c r="J156" s="25" t="n"/>
      <c r="K156" s="139" t="n"/>
      <c r="L156" s="139" t="n"/>
      <c r="M156" s="139" t="n"/>
      <c r="N156" s="139" t="n"/>
      <c r="O156" s="139" t="n"/>
      <c r="P156" s="139" t="n"/>
      <c r="Q156" s="139" t="n"/>
      <c r="R156" s="142">
        <f>IF(COUNT($K156:$Q156)&lt;7,"",ROUND(($K156*'配置项'!$C$6+$L156*'配置项'!$C$7+$M156*'配置项'!$C$8+$N156*'配置项'!$C$9+$O156*'配置项'!$C$10+$P156*'配置项'!$C$11+$Q156*'配置项'!$C$12)*20,1))</f>
        <v/>
      </c>
      <c r="S156" s="25">
        <f>IF($R156="","",IF($R156&gt;='配置项'!$G$6,"优秀",IF($R156&gt;='配置项'!$G$7,"良好",IF($R156&gt;='配置项'!$G$8,"需关注","不合格"))))</f>
        <v/>
      </c>
      <c r="T156" s="25" t="n"/>
      <c r="U156" s="25" t="n"/>
      <c r="V156" s="28" t="n"/>
      <c r="W156" s="28" t="n"/>
      <c r="X156" s="25" t="n"/>
      <c r="Y156" s="25" t="n"/>
    </row>
    <row r="157" ht="24" customHeight="1">
      <c r="A157" s="25">
        <f>IF($B157="","","SQ-"&amp;TEXT(ROW()-4,"0000"))</f>
        <v/>
      </c>
      <c r="B157" s="141" t="n"/>
      <c r="C157" s="25" t="n"/>
      <c r="D157" s="25" t="n"/>
      <c r="E157" s="25" t="n"/>
      <c r="F157" s="25" t="n"/>
      <c r="G157" s="25" t="n"/>
      <c r="H157" s="25" t="n"/>
      <c r="I157" s="25" t="n"/>
      <c r="J157" s="25" t="n"/>
      <c r="K157" s="139" t="n"/>
      <c r="L157" s="139" t="n"/>
      <c r="M157" s="139" t="n"/>
      <c r="N157" s="139" t="n"/>
      <c r="O157" s="139" t="n"/>
      <c r="P157" s="139" t="n"/>
      <c r="Q157" s="139" t="n"/>
      <c r="R157" s="142">
        <f>IF(COUNT($K157:$Q157)&lt;7,"",ROUND(($K157*'配置项'!$C$6+$L157*'配置项'!$C$7+$M157*'配置项'!$C$8+$N157*'配置项'!$C$9+$O157*'配置项'!$C$10+$P157*'配置项'!$C$11+$Q157*'配置项'!$C$12)*20,1))</f>
        <v/>
      </c>
      <c r="S157" s="25">
        <f>IF($R157="","",IF($R157&gt;='配置项'!$G$6,"优秀",IF($R157&gt;='配置项'!$G$7,"良好",IF($R157&gt;='配置项'!$G$8,"需关注","不合格"))))</f>
        <v/>
      </c>
      <c r="T157" s="25" t="n"/>
      <c r="U157" s="25" t="n"/>
      <c r="V157" s="28" t="n"/>
      <c r="W157" s="28" t="n"/>
      <c r="X157" s="25" t="n"/>
      <c r="Y157" s="25" t="n"/>
    </row>
    <row r="158" ht="24" customHeight="1">
      <c r="A158" s="25">
        <f>IF($B158="","","SQ-"&amp;TEXT(ROW()-4,"0000"))</f>
        <v/>
      </c>
      <c r="B158" s="141" t="n"/>
      <c r="C158" s="25" t="n"/>
      <c r="D158" s="25" t="n"/>
      <c r="E158" s="25" t="n"/>
      <c r="F158" s="25" t="n"/>
      <c r="G158" s="25" t="n"/>
      <c r="H158" s="25" t="n"/>
      <c r="I158" s="25" t="n"/>
      <c r="J158" s="25" t="n"/>
      <c r="K158" s="139" t="n"/>
      <c r="L158" s="139" t="n"/>
      <c r="M158" s="139" t="n"/>
      <c r="N158" s="139" t="n"/>
      <c r="O158" s="139" t="n"/>
      <c r="P158" s="139" t="n"/>
      <c r="Q158" s="139" t="n"/>
      <c r="R158" s="142">
        <f>IF(COUNT($K158:$Q158)&lt;7,"",ROUND(($K158*'配置项'!$C$6+$L158*'配置项'!$C$7+$M158*'配置项'!$C$8+$N158*'配置项'!$C$9+$O158*'配置项'!$C$10+$P158*'配置项'!$C$11+$Q158*'配置项'!$C$12)*20,1))</f>
        <v/>
      </c>
      <c r="S158" s="25">
        <f>IF($R158="","",IF($R158&gt;='配置项'!$G$6,"优秀",IF($R158&gt;='配置项'!$G$7,"良好",IF($R158&gt;='配置项'!$G$8,"需关注","不合格"))))</f>
        <v/>
      </c>
      <c r="T158" s="25" t="n"/>
      <c r="U158" s="25" t="n"/>
      <c r="V158" s="28" t="n"/>
      <c r="W158" s="28" t="n"/>
      <c r="X158" s="25" t="n"/>
      <c r="Y158" s="25" t="n"/>
    </row>
    <row r="159" ht="24" customHeight="1">
      <c r="A159" s="25">
        <f>IF($B159="","","SQ-"&amp;TEXT(ROW()-4,"0000"))</f>
        <v/>
      </c>
      <c r="B159" s="141" t="n"/>
      <c r="C159" s="25" t="n"/>
      <c r="D159" s="25" t="n"/>
      <c r="E159" s="25" t="n"/>
      <c r="F159" s="25" t="n"/>
      <c r="G159" s="25" t="n"/>
      <c r="H159" s="25" t="n"/>
      <c r="I159" s="25" t="n"/>
      <c r="J159" s="25" t="n"/>
      <c r="K159" s="139" t="n"/>
      <c r="L159" s="139" t="n"/>
      <c r="M159" s="139" t="n"/>
      <c r="N159" s="139" t="n"/>
      <c r="O159" s="139" t="n"/>
      <c r="P159" s="139" t="n"/>
      <c r="Q159" s="139" t="n"/>
      <c r="R159" s="142">
        <f>IF(COUNT($K159:$Q159)&lt;7,"",ROUND(($K159*'配置项'!$C$6+$L159*'配置项'!$C$7+$M159*'配置项'!$C$8+$N159*'配置项'!$C$9+$O159*'配置项'!$C$10+$P159*'配置项'!$C$11+$Q159*'配置项'!$C$12)*20,1))</f>
        <v/>
      </c>
      <c r="S159" s="25">
        <f>IF($R159="","",IF($R159&gt;='配置项'!$G$6,"优秀",IF($R159&gt;='配置项'!$G$7,"良好",IF($R159&gt;='配置项'!$G$8,"需关注","不合格"))))</f>
        <v/>
      </c>
      <c r="T159" s="25" t="n"/>
      <c r="U159" s="25" t="n"/>
      <c r="V159" s="28" t="n"/>
      <c r="W159" s="28" t="n"/>
      <c r="X159" s="25" t="n"/>
      <c r="Y159" s="25" t="n"/>
    </row>
    <row r="160" ht="24" customHeight="1">
      <c r="A160" s="25">
        <f>IF($B160="","","SQ-"&amp;TEXT(ROW()-4,"0000"))</f>
        <v/>
      </c>
      <c r="B160" s="141" t="n"/>
      <c r="C160" s="25" t="n"/>
      <c r="D160" s="25" t="n"/>
      <c r="E160" s="25" t="n"/>
      <c r="F160" s="25" t="n"/>
      <c r="G160" s="25" t="n"/>
      <c r="H160" s="25" t="n"/>
      <c r="I160" s="25" t="n"/>
      <c r="J160" s="25" t="n"/>
      <c r="K160" s="139" t="n"/>
      <c r="L160" s="139" t="n"/>
      <c r="M160" s="139" t="n"/>
      <c r="N160" s="139" t="n"/>
      <c r="O160" s="139" t="n"/>
      <c r="P160" s="139" t="n"/>
      <c r="Q160" s="139" t="n"/>
      <c r="R160" s="142">
        <f>IF(COUNT($K160:$Q160)&lt;7,"",ROUND(($K160*'配置项'!$C$6+$L160*'配置项'!$C$7+$M160*'配置项'!$C$8+$N160*'配置项'!$C$9+$O160*'配置项'!$C$10+$P160*'配置项'!$C$11+$Q160*'配置项'!$C$12)*20,1))</f>
        <v/>
      </c>
      <c r="S160" s="25">
        <f>IF($R160="","",IF($R160&gt;='配置项'!$G$6,"优秀",IF($R160&gt;='配置项'!$G$7,"良好",IF($R160&gt;='配置项'!$G$8,"需关注","不合格"))))</f>
        <v/>
      </c>
      <c r="T160" s="25" t="n"/>
      <c r="U160" s="25" t="n"/>
      <c r="V160" s="28" t="n"/>
      <c r="W160" s="28" t="n"/>
      <c r="X160" s="25" t="n"/>
      <c r="Y160" s="25" t="n"/>
    </row>
    <row r="161" ht="24" customHeight="1">
      <c r="A161" s="25">
        <f>IF($B161="","","SQ-"&amp;TEXT(ROW()-4,"0000"))</f>
        <v/>
      </c>
      <c r="B161" s="141" t="n"/>
      <c r="C161" s="25" t="n"/>
      <c r="D161" s="25" t="n"/>
      <c r="E161" s="25" t="n"/>
      <c r="F161" s="25" t="n"/>
      <c r="G161" s="25" t="n"/>
      <c r="H161" s="25" t="n"/>
      <c r="I161" s="25" t="n"/>
      <c r="J161" s="25" t="n"/>
      <c r="K161" s="139" t="n"/>
      <c r="L161" s="139" t="n"/>
      <c r="M161" s="139" t="n"/>
      <c r="N161" s="139" t="n"/>
      <c r="O161" s="139" t="n"/>
      <c r="P161" s="139" t="n"/>
      <c r="Q161" s="139" t="n"/>
      <c r="R161" s="142">
        <f>IF(COUNT($K161:$Q161)&lt;7,"",ROUND(($K161*'配置项'!$C$6+$L161*'配置项'!$C$7+$M161*'配置项'!$C$8+$N161*'配置项'!$C$9+$O161*'配置项'!$C$10+$P161*'配置项'!$C$11+$Q161*'配置项'!$C$12)*20,1))</f>
        <v/>
      </c>
      <c r="S161" s="25">
        <f>IF($R161="","",IF($R161&gt;='配置项'!$G$6,"优秀",IF($R161&gt;='配置项'!$G$7,"良好",IF($R161&gt;='配置项'!$G$8,"需关注","不合格"))))</f>
        <v/>
      </c>
      <c r="T161" s="25" t="n"/>
      <c r="U161" s="25" t="n"/>
      <c r="V161" s="28" t="n"/>
      <c r="W161" s="28" t="n"/>
      <c r="X161" s="25" t="n"/>
      <c r="Y161" s="25" t="n"/>
    </row>
    <row r="162" ht="24" customHeight="1">
      <c r="A162" s="25">
        <f>IF($B162="","","SQ-"&amp;TEXT(ROW()-4,"0000"))</f>
        <v/>
      </c>
      <c r="B162" s="141" t="n"/>
      <c r="C162" s="25" t="n"/>
      <c r="D162" s="25" t="n"/>
      <c r="E162" s="25" t="n"/>
      <c r="F162" s="25" t="n"/>
      <c r="G162" s="25" t="n"/>
      <c r="H162" s="25" t="n"/>
      <c r="I162" s="25" t="n"/>
      <c r="J162" s="25" t="n"/>
      <c r="K162" s="139" t="n"/>
      <c r="L162" s="139" t="n"/>
      <c r="M162" s="139" t="n"/>
      <c r="N162" s="139" t="n"/>
      <c r="O162" s="139" t="n"/>
      <c r="P162" s="139" t="n"/>
      <c r="Q162" s="139" t="n"/>
      <c r="R162" s="142">
        <f>IF(COUNT($K162:$Q162)&lt;7,"",ROUND(($K162*'配置项'!$C$6+$L162*'配置项'!$C$7+$M162*'配置项'!$C$8+$N162*'配置项'!$C$9+$O162*'配置项'!$C$10+$P162*'配置项'!$C$11+$Q162*'配置项'!$C$12)*20,1))</f>
        <v/>
      </c>
      <c r="S162" s="25">
        <f>IF($R162="","",IF($R162&gt;='配置项'!$G$6,"优秀",IF($R162&gt;='配置项'!$G$7,"良好",IF($R162&gt;='配置项'!$G$8,"需关注","不合格"))))</f>
        <v/>
      </c>
      <c r="T162" s="25" t="n"/>
      <c r="U162" s="25" t="n"/>
      <c r="V162" s="28" t="n"/>
      <c r="W162" s="28" t="n"/>
      <c r="X162" s="25" t="n"/>
      <c r="Y162" s="25" t="n"/>
    </row>
    <row r="163" ht="24" customHeight="1">
      <c r="A163" s="25">
        <f>IF($B163="","","SQ-"&amp;TEXT(ROW()-4,"0000"))</f>
        <v/>
      </c>
      <c r="B163" s="141" t="n"/>
      <c r="C163" s="25" t="n"/>
      <c r="D163" s="25" t="n"/>
      <c r="E163" s="25" t="n"/>
      <c r="F163" s="25" t="n"/>
      <c r="G163" s="25" t="n"/>
      <c r="H163" s="25" t="n"/>
      <c r="I163" s="25" t="n"/>
      <c r="J163" s="25" t="n"/>
      <c r="K163" s="139" t="n"/>
      <c r="L163" s="139" t="n"/>
      <c r="M163" s="139" t="n"/>
      <c r="N163" s="139" t="n"/>
      <c r="O163" s="139" t="n"/>
      <c r="P163" s="139" t="n"/>
      <c r="Q163" s="139" t="n"/>
      <c r="R163" s="142">
        <f>IF(COUNT($K163:$Q163)&lt;7,"",ROUND(($K163*'配置项'!$C$6+$L163*'配置项'!$C$7+$M163*'配置项'!$C$8+$N163*'配置项'!$C$9+$O163*'配置项'!$C$10+$P163*'配置项'!$C$11+$Q163*'配置项'!$C$12)*20,1))</f>
        <v/>
      </c>
      <c r="S163" s="25">
        <f>IF($R163="","",IF($R163&gt;='配置项'!$G$6,"优秀",IF($R163&gt;='配置项'!$G$7,"良好",IF($R163&gt;='配置项'!$G$8,"需关注","不合格"))))</f>
        <v/>
      </c>
      <c r="T163" s="25" t="n"/>
      <c r="U163" s="25" t="n"/>
      <c r="V163" s="28" t="n"/>
      <c r="W163" s="28" t="n"/>
      <c r="X163" s="25" t="n"/>
      <c r="Y163" s="25" t="n"/>
    </row>
    <row r="164" ht="24" customHeight="1">
      <c r="A164" s="25">
        <f>IF($B164="","","SQ-"&amp;TEXT(ROW()-4,"0000"))</f>
        <v/>
      </c>
      <c r="B164" s="141" t="n"/>
      <c r="C164" s="25" t="n"/>
      <c r="D164" s="25" t="n"/>
      <c r="E164" s="25" t="n"/>
      <c r="F164" s="25" t="n"/>
      <c r="G164" s="25" t="n"/>
      <c r="H164" s="25" t="n"/>
      <c r="I164" s="25" t="n"/>
      <c r="J164" s="25" t="n"/>
      <c r="K164" s="139" t="n"/>
      <c r="L164" s="139" t="n"/>
      <c r="M164" s="139" t="n"/>
      <c r="N164" s="139" t="n"/>
      <c r="O164" s="139" t="n"/>
      <c r="P164" s="139" t="n"/>
      <c r="Q164" s="139" t="n"/>
      <c r="R164" s="142">
        <f>IF(COUNT($K164:$Q164)&lt;7,"",ROUND(($K164*'配置项'!$C$6+$L164*'配置项'!$C$7+$M164*'配置项'!$C$8+$N164*'配置项'!$C$9+$O164*'配置项'!$C$10+$P164*'配置项'!$C$11+$Q164*'配置项'!$C$12)*20,1))</f>
        <v/>
      </c>
      <c r="S164" s="25">
        <f>IF($R164="","",IF($R164&gt;='配置项'!$G$6,"优秀",IF($R164&gt;='配置项'!$G$7,"良好",IF($R164&gt;='配置项'!$G$8,"需关注","不合格"))))</f>
        <v/>
      </c>
      <c r="T164" s="25" t="n"/>
      <c r="U164" s="25" t="n"/>
      <c r="V164" s="28" t="n"/>
      <c r="W164" s="28" t="n"/>
      <c r="X164" s="25" t="n"/>
      <c r="Y164" s="25" t="n"/>
    </row>
    <row r="165" ht="24" customHeight="1">
      <c r="A165" s="25">
        <f>IF($B165="","","SQ-"&amp;TEXT(ROW()-4,"0000"))</f>
        <v/>
      </c>
      <c r="B165" s="141" t="n"/>
      <c r="C165" s="25" t="n"/>
      <c r="D165" s="25" t="n"/>
      <c r="E165" s="25" t="n"/>
      <c r="F165" s="25" t="n"/>
      <c r="G165" s="25" t="n"/>
      <c r="H165" s="25" t="n"/>
      <c r="I165" s="25" t="n"/>
      <c r="J165" s="25" t="n"/>
      <c r="K165" s="139" t="n"/>
      <c r="L165" s="139" t="n"/>
      <c r="M165" s="139" t="n"/>
      <c r="N165" s="139" t="n"/>
      <c r="O165" s="139" t="n"/>
      <c r="P165" s="139" t="n"/>
      <c r="Q165" s="139" t="n"/>
      <c r="R165" s="142">
        <f>IF(COUNT($K165:$Q165)&lt;7,"",ROUND(($K165*'配置项'!$C$6+$L165*'配置项'!$C$7+$M165*'配置项'!$C$8+$N165*'配置项'!$C$9+$O165*'配置项'!$C$10+$P165*'配置项'!$C$11+$Q165*'配置项'!$C$12)*20,1))</f>
        <v/>
      </c>
      <c r="S165" s="25">
        <f>IF($R165="","",IF($R165&gt;='配置项'!$G$6,"优秀",IF($R165&gt;='配置项'!$G$7,"良好",IF($R165&gt;='配置项'!$G$8,"需关注","不合格"))))</f>
        <v/>
      </c>
      <c r="T165" s="25" t="n"/>
      <c r="U165" s="25" t="n"/>
      <c r="V165" s="28" t="n"/>
      <c r="W165" s="28" t="n"/>
      <c r="X165" s="25" t="n"/>
      <c r="Y165" s="25" t="n"/>
    </row>
    <row r="166" ht="24" customHeight="1">
      <c r="A166" s="25">
        <f>IF($B166="","","SQ-"&amp;TEXT(ROW()-4,"0000"))</f>
        <v/>
      </c>
      <c r="B166" s="141" t="n"/>
      <c r="C166" s="25" t="n"/>
      <c r="D166" s="25" t="n"/>
      <c r="E166" s="25" t="n"/>
      <c r="F166" s="25" t="n"/>
      <c r="G166" s="25" t="n"/>
      <c r="H166" s="25" t="n"/>
      <c r="I166" s="25" t="n"/>
      <c r="J166" s="25" t="n"/>
      <c r="K166" s="139" t="n"/>
      <c r="L166" s="139" t="n"/>
      <c r="M166" s="139" t="n"/>
      <c r="N166" s="139" t="n"/>
      <c r="O166" s="139" t="n"/>
      <c r="P166" s="139" t="n"/>
      <c r="Q166" s="139" t="n"/>
      <c r="R166" s="142">
        <f>IF(COUNT($K166:$Q166)&lt;7,"",ROUND(($K166*'配置项'!$C$6+$L166*'配置项'!$C$7+$M166*'配置项'!$C$8+$N166*'配置项'!$C$9+$O166*'配置项'!$C$10+$P166*'配置项'!$C$11+$Q166*'配置项'!$C$12)*20,1))</f>
        <v/>
      </c>
      <c r="S166" s="25">
        <f>IF($R166="","",IF($R166&gt;='配置项'!$G$6,"优秀",IF($R166&gt;='配置项'!$G$7,"良好",IF($R166&gt;='配置项'!$G$8,"需关注","不合格"))))</f>
        <v/>
      </c>
      <c r="T166" s="25" t="n"/>
      <c r="U166" s="25" t="n"/>
      <c r="V166" s="28" t="n"/>
      <c r="W166" s="28" t="n"/>
      <c r="X166" s="25" t="n"/>
      <c r="Y166" s="25" t="n"/>
    </row>
    <row r="167" ht="24" customHeight="1">
      <c r="A167" s="25">
        <f>IF($B167="","","SQ-"&amp;TEXT(ROW()-4,"0000"))</f>
        <v/>
      </c>
      <c r="B167" s="141" t="n"/>
      <c r="C167" s="25" t="n"/>
      <c r="D167" s="25" t="n"/>
      <c r="E167" s="25" t="n"/>
      <c r="F167" s="25" t="n"/>
      <c r="G167" s="25" t="n"/>
      <c r="H167" s="25" t="n"/>
      <c r="I167" s="25" t="n"/>
      <c r="J167" s="25" t="n"/>
      <c r="K167" s="139" t="n"/>
      <c r="L167" s="139" t="n"/>
      <c r="M167" s="139" t="n"/>
      <c r="N167" s="139" t="n"/>
      <c r="O167" s="139" t="n"/>
      <c r="P167" s="139" t="n"/>
      <c r="Q167" s="139" t="n"/>
      <c r="R167" s="142">
        <f>IF(COUNT($K167:$Q167)&lt;7,"",ROUND(($K167*'配置项'!$C$6+$L167*'配置项'!$C$7+$M167*'配置项'!$C$8+$N167*'配置项'!$C$9+$O167*'配置项'!$C$10+$P167*'配置项'!$C$11+$Q167*'配置项'!$C$12)*20,1))</f>
        <v/>
      </c>
      <c r="S167" s="25">
        <f>IF($R167="","",IF($R167&gt;='配置项'!$G$6,"优秀",IF($R167&gt;='配置项'!$G$7,"良好",IF($R167&gt;='配置项'!$G$8,"需关注","不合格"))))</f>
        <v/>
      </c>
      <c r="T167" s="25" t="n"/>
      <c r="U167" s="25" t="n"/>
      <c r="V167" s="28" t="n"/>
      <c r="W167" s="28" t="n"/>
      <c r="X167" s="25" t="n"/>
      <c r="Y167" s="25" t="n"/>
    </row>
    <row r="168" ht="24" customHeight="1">
      <c r="A168" s="25">
        <f>IF($B168="","","SQ-"&amp;TEXT(ROW()-4,"0000"))</f>
        <v/>
      </c>
      <c r="B168" s="141" t="n"/>
      <c r="C168" s="25" t="n"/>
      <c r="D168" s="25" t="n"/>
      <c r="E168" s="25" t="n"/>
      <c r="F168" s="25" t="n"/>
      <c r="G168" s="25" t="n"/>
      <c r="H168" s="25" t="n"/>
      <c r="I168" s="25" t="n"/>
      <c r="J168" s="25" t="n"/>
      <c r="K168" s="139" t="n"/>
      <c r="L168" s="139" t="n"/>
      <c r="M168" s="139" t="n"/>
      <c r="N168" s="139" t="n"/>
      <c r="O168" s="139" t="n"/>
      <c r="P168" s="139" t="n"/>
      <c r="Q168" s="139" t="n"/>
      <c r="R168" s="142">
        <f>IF(COUNT($K168:$Q168)&lt;7,"",ROUND(($K168*'配置项'!$C$6+$L168*'配置项'!$C$7+$M168*'配置项'!$C$8+$N168*'配置项'!$C$9+$O168*'配置项'!$C$10+$P168*'配置项'!$C$11+$Q168*'配置项'!$C$12)*20,1))</f>
        <v/>
      </c>
      <c r="S168" s="25">
        <f>IF($R168="","",IF($R168&gt;='配置项'!$G$6,"优秀",IF($R168&gt;='配置项'!$G$7,"良好",IF($R168&gt;='配置项'!$G$8,"需关注","不合格"))))</f>
        <v/>
      </c>
      <c r="T168" s="25" t="n"/>
      <c r="U168" s="25" t="n"/>
      <c r="V168" s="28" t="n"/>
      <c r="W168" s="28" t="n"/>
      <c r="X168" s="25" t="n"/>
      <c r="Y168" s="25" t="n"/>
    </row>
    <row r="169" ht="24" customHeight="1">
      <c r="A169" s="25">
        <f>IF($B169="","","SQ-"&amp;TEXT(ROW()-4,"0000"))</f>
        <v/>
      </c>
      <c r="B169" s="141" t="n"/>
      <c r="C169" s="25" t="n"/>
      <c r="D169" s="25" t="n"/>
      <c r="E169" s="25" t="n"/>
      <c r="F169" s="25" t="n"/>
      <c r="G169" s="25" t="n"/>
      <c r="H169" s="25" t="n"/>
      <c r="I169" s="25" t="n"/>
      <c r="J169" s="25" t="n"/>
      <c r="K169" s="139" t="n"/>
      <c r="L169" s="139" t="n"/>
      <c r="M169" s="139" t="n"/>
      <c r="N169" s="139" t="n"/>
      <c r="O169" s="139" t="n"/>
      <c r="P169" s="139" t="n"/>
      <c r="Q169" s="139" t="n"/>
      <c r="R169" s="142">
        <f>IF(COUNT($K169:$Q169)&lt;7,"",ROUND(($K169*'配置项'!$C$6+$L169*'配置项'!$C$7+$M169*'配置项'!$C$8+$N169*'配置项'!$C$9+$O169*'配置项'!$C$10+$P169*'配置项'!$C$11+$Q169*'配置项'!$C$12)*20,1))</f>
        <v/>
      </c>
      <c r="S169" s="25">
        <f>IF($R169="","",IF($R169&gt;='配置项'!$G$6,"优秀",IF($R169&gt;='配置项'!$G$7,"良好",IF($R169&gt;='配置项'!$G$8,"需关注","不合格"))))</f>
        <v/>
      </c>
      <c r="T169" s="25" t="n"/>
      <c r="U169" s="25" t="n"/>
      <c r="V169" s="28" t="n"/>
      <c r="W169" s="28" t="n"/>
      <c r="X169" s="25" t="n"/>
      <c r="Y169" s="25" t="n"/>
    </row>
    <row r="170" ht="24" customHeight="1">
      <c r="A170" s="25">
        <f>IF($B170="","","SQ-"&amp;TEXT(ROW()-4,"0000"))</f>
        <v/>
      </c>
      <c r="B170" s="141" t="n"/>
      <c r="C170" s="25" t="n"/>
      <c r="D170" s="25" t="n"/>
      <c r="E170" s="25" t="n"/>
      <c r="F170" s="25" t="n"/>
      <c r="G170" s="25" t="n"/>
      <c r="H170" s="25" t="n"/>
      <c r="I170" s="25" t="n"/>
      <c r="J170" s="25" t="n"/>
      <c r="K170" s="139" t="n"/>
      <c r="L170" s="139" t="n"/>
      <c r="M170" s="139" t="n"/>
      <c r="N170" s="139" t="n"/>
      <c r="O170" s="139" t="n"/>
      <c r="P170" s="139" t="n"/>
      <c r="Q170" s="139" t="n"/>
      <c r="R170" s="142">
        <f>IF(COUNT($K170:$Q170)&lt;7,"",ROUND(($K170*'配置项'!$C$6+$L170*'配置项'!$C$7+$M170*'配置项'!$C$8+$N170*'配置项'!$C$9+$O170*'配置项'!$C$10+$P170*'配置项'!$C$11+$Q170*'配置项'!$C$12)*20,1))</f>
        <v/>
      </c>
      <c r="S170" s="25">
        <f>IF($R170="","",IF($R170&gt;='配置项'!$G$6,"优秀",IF($R170&gt;='配置项'!$G$7,"良好",IF($R170&gt;='配置项'!$G$8,"需关注","不合格"))))</f>
        <v/>
      </c>
      <c r="T170" s="25" t="n"/>
      <c r="U170" s="25" t="n"/>
      <c r="V170" s="28" t="n"/>
      <c r="W170" s="28" t="n"/>
      <c r="X170" s="25" t="n"/>
      <c r="Y170" s="25" t="n"/>
    </row>
    <row r="171" ht="24" customHeight="1">
      <c r="A171" s="25">
        <f>IF($B171="","","SQ-"&amp;TEXT(ROW()-4,"0000"))</f>
        <v/>
      </c>
      <c r="B171" s="141" t="n"/>
      <c r="C171" s="25" t="n"/>
      <c r="D171" s="25" t="n"/>
      <c r="E171" s="25" t="n"/>
      <c r="F171" s="25" t="n"/>
      <c r="G171" s="25" t="n"/>
      <c r="H171" s="25" t="n"/>
      <c r="I171" s="25" t="n"/>
      <c r="J171" s="25" t="n"/>
      <c r="K171" s="139" t="n"/>
      <c r="L171" s="139" t="n"/>
      <c r="M171" s="139" t="n"/>
      <c r="N171" s="139" t="n"/>
      <c r="O171" s="139" t="n"/>
      <c r="P171" s="139" t="n"/>
      <c r="Q171" s="139" t="n"/>
      <c r="R171" s="142">
        <f>IF(COUNT($K171:$Q171)&lt;7,"",ROUND(($K171*'配置项'!$C$6+$L171*'配置项'!$C$7+$M171*'配置项'!$C$8+$N171*'配置项'!$C$9+$O171*'配置项'!$C$10+$P171*'配置项'!$C$11+$Q171*'配置项'!$C$12)*20,1))</f>
        <v/>
      </c>
      <c r="S171" s="25">
        <f>IF($R171="","",IF($R171&gt;='配置项'!$G$6,"优秀",IF($R171&gt;='配置项'!$G$7,"良好",IF($R171&gt;='配置项'!$G$8,"需关注","不合格"))))</f>
        <v/>
      </c>
      <c r="T171" s="25" t="n"/>
      <c r="U171" s="25" t="n"/>
      <c r="V171" s="28" t="n"/>
      <c r="W171" s="28" t="n"/>
      <c r="X171" s="25" t="n"/>
      <c r="Y171" s="25" t="n"/>
    </row>
    <row r="172" ht="24" customHeight="1">
      <c r="A172" s="25">
        <f>IF($B172="","","SQ-"&amp;TEXT(ROW()-4,"0000"))</f>
        <v/>
      </c>
      <c r="B172" s="141" t="n"/>
      <c r="C172" s="25" t="n"/>
      <c r="D172" s="25" t="n"/>
      <c r="E172" s="25" t="n"/>
      <c r="F172" s="25" t="n"/>
      <c r="G172" s="25" t="n"/>
      <c r="H172" s="25" t="n"/>
      <c r="I172" s="25" t="n"/>
      <c r="J172" s="25" t="n"/>
      <c r="K172" s="139" t="n"/>
      <c r="L172" s="139" t="n"/>
      <c r="M172" s="139" t="n"/>
      <c r="N172" s="139" t="n"/>
      <c r="O172" s="139" t="n"/>
      <c r="P172" s="139" t="n"/>
      <c r="Q172" s="139" t="n"/>
      <c r="R172" s="142">
        <f>IF(COUNT($K172:$Q172)&lt;7,"",ROUND(($K172*'配置项'!$C$6+$L172*'配置项'!$C$7+$M172*'配置项'!$C$8+$N172*'配置项'!$C$9+$O172*'配置项'!$C$10+$P172*'配置项'!$C$11+$Q172*'配置项'!$C$12)*20,1))</f>
        <v/>
      </c>
      <c r="S172" s="25">
        <f>IF($R172="","",IF($R172&gt;='配置项'!$G$6,"优秀",IF($R172&gt;='配置项'!$G$7,"良好",IF($R172&gt;='配置项'!$G$8,"需关注","不合格"))))</f>
        <v/>
      </c>
      <c r="T172" s="25" t="n"/>
      <c r="U172" s="25" t="n"/>
      <c r="V172" s="28" t="n"/>
      <c r="W172" s="28" t="n"/>
      <c r="X172" s="25" t="n"/>
      <c r="Y172" s="25" t="n"/>
    </row>
    <row r="173" ht="24" customHeight="1">
      <c r="A173" s="25">
        <f>IF($B173="","","SQ-"&amp;TEXT(ROW()-4,"0000"))</f>
        <v/>
      </c>
      <c r="B173" s="141" t="n"/>
      <c r="C173" s="25" t="n"/>
      <c r="D173" s="25" t="n"/>
      <c r="E173" s="25" t="n"/>
      <c r="F173" s="25" t="n"/>
      <c r="G173" s="25" t="n"/>
      <c r="H173" s="25" t="n"/>
      <c r="I173" s="25" t="n"/>
      <c r="J173" s="25" t="n"/>
      <c r="K173" s="139" t="n"/>
      <c r="L173" s="139" t="n"/>
      <c r="M173" s="139" t="n"/>
      <c r="N173" s="139" t="n"/>
      <c r="O173" s="139" t="n"/>
      <c r="P173" s="139" t="n"/>
      <c r="Q173" s="139" t="n"/>
      <c r="R173" s="142">
        <f>IF(COUNT($K173:$Q173)&lt;7,"",ROUND(($K173*'配置项'!$C$6+$L173*'配置项'!$C$7+$M173*'配置项'!$C$8+$N173*'配置项'!$C$9+$O173*'配置项'!$C$10+$P173*'配置项'!$C$11+$Q173*'配置项'!$C$12)*20,1))</f>
        <v/>
      </c>
      <c r="S173" s="25">
        <f>IF($R173="","",IF($R173&gt;='配置项'!$G$6,"优秀",IF($R173&gt;='配置项'!$G$7,"良好",IF($R173&gt;='配置项'!$G$8,"需关注","不合格"))))</f>
        <v/>
      </c>
      <c r="T173" s="25" t="n"/>
      <c r="U173" s="25" t="n"/>
      <c r="V173" s="28" t="n"/>
      <c r="W173" s="28" t="n"/>
      <c r="X173" s="25" t="n"/>
      <c r="Y173" s="25" t="n"/>
    </row>
    <row r="174" ht="24" customHeight="1">
      <c r="A174" s="25">
        <f>IF($B174="","","SQ-"&amp;TEXT(ROW()-4,"0000"))</f>
        <v/>
      </c>
      <c r="B174" s="141" t="n"/>
      <c r="C174" s="25" t="n"/>
      <c r="D174" s="25" t="n"/>
      <c r="E174" s="25" t="n"/>
      <c r="F174" s="25" t="n"/>
      <c r="G174" s="25" t="n"/>
      <c r="H174" s="25" t="n"/>
      <c r="I174" s="25" t="n"/>
      <c r="J174" s="25" t="n"/>
      <c r="K174" s="139" t="n"/>
      <c r="L174" s="139" t="n"/>
      <c r="M174" s="139" t="n"/>
      <c r="N174" s="139" t="n"/>
      <c r="O174" s="139" t="n"/>
      <c r="P174" s="139" t="n"/>
      <c r="Q174" s="139" t="n"/>
      <c r="R174" s="142">
        <f>IF(COUNT($K174:$Q174)&lt;7,"",ROUND(($K174*'配置项'!$C$6+$L174*'配置项'!$C$7+$M174*'配置项'!$C$8+$N174*'配置项'!$C$9+$O174*'配置项'!$C$10+$P174*'配置项'!$C$11+$Q174*'配置项'!$C$12)*20,1))</f>
        <v/>
      </c>
      <c r="S174" s="25">
        <f>IF($R174="","",IF($R174&gt;='配置项'!$G$6,"优秀",IF($R174&gt;='配置项'!$G$7,"良好",IF($R174&gt;='配置项'!$G$8,"需关注","不合格"))))</f>
        <v/>
      </c>
      <c r="T174" s="25" t="n"/>
      <c r="U174" s="25" t="n"/>
      <c r="V174" s="28" t="n"/>
      <c r="W174" s="28" t="n"/>
      <c r="X174" s="25" t="n"/>
      <c r="Y174" s="25" t="n"/>
    </row>
    <row r="175" ht="24" customHeight="1">
      <c r="A175" s="25">
        <f>IF($B175="","","SQ-"&amp;TEXT(ROW()-4,"0000"))</f>
        <v/>
      </c>
      <c r="B175" s="141" t="n"/>
      <c r="C175" s="25" t="n"/>
      <c r="D175" s="25" t="n"/>
      <c r="E175" s="25" t="n"/>
      <c r="F175" s="25" t="n"/>
      <c r="G175" s="25" t="n"/>
      <c r="H175" s="25" t="n"/>
      <c r="I175" s="25" t="n"/>
      <c r="J175" s="25" t="n"/>
      <c r="K175" s="139" t="n"/>
      <c r="L175" s="139" t="n"/>
      <c r="M175" s="139" t="n"/>
      <c r="N175" s="139" t="n"/>
      <c r="O175" s="139" t="n"/>
      <c r="P175" s="139" t="n"/>
      <c r="Q175" s="139" t="n"/>
      <c r="R175" s="142">
        <f>IF(COUNT($K175:$Q175)&lt;7,"",ROUND(($K175*'配置项'!$C$6+$L175*'配置项'!$C$7+$M175*'配置项'!$C$8+$N175*'配置项'!$C$9+$O175*'配置项'!$C$10+$P175*'配置项'!$C$11+$Q175*'配置项'!$C$12)*20,1))</f>
        <v/>
      </c>
      <c r="S175" s="25">
        <f>IF($R175="","",IF($R175&gt;='配置项'!$G$6,"优秀",IF($R175&gt;='配置项'!$G$7,"良好",IF($R175&gt;='配置项'!$G$8,"需关注","不合格"))))</f>
        <v/>
      </c>
      <c r="T175" s="25" t="n"/>
      <c r="U175" s="25" t="n"/>
      <c r="V175" s="28" t="n"/>
      <c r="W175" s="28" t="n"/>
      <c r="X175" s="25" t="n"/>
      <c r="Y175" s="25" t="n"/>
    </row>
    <row r="176" ht="24" customHeight="1">
      <c r="A176" s="25">
        <f>IF($B176="","","SQ-"&amp;TEXT(ROW()-4,"0000"))</f>
        <v/>
      </c>
      <c r="B176" s="141" t="n"/>
      <c r="C176" s="25" t="n"/>
      <c r="D176" s="25" t="n"/>
      <c r="E176" s="25" t="n"/>
      <c r="F176" s="25" t="n"/>
      <c r="G176" s="25" t="n"/>
      <c r="H176" s="25" t="n"/>
      <c r="I176" s="25" t="n"/>
      <c r="J176" s="25" t="n"/>
      <c r="K176" s="139" t="n"/>
      <c r="L176" s="139" t="n"/>
      <c r="M176" s="139" t="n"/>
      <c r="N176" s="139" t="n"/>
      <c r="O176" s="139" t="n"/>
      <c r="P176" s="139" t="n"/>
      <c r="Q176" s="139" t="n"/>
      <c r="R176" s="142">
        <f>IF(COUNT($K176:$Q176)&lt;7,"",ROUND(($K176*'配置项'!$C$6+$L176*'配置项'!$C$7+$M176*'配置项'!$C$8+$N176*'配置项'!$C$9+$O176*'配置项'!$C$10+$P176*'配置项'!$C$11+$Q176*'配置项'!$C$12)*20,1))</f>
        <v/>
      </c>
      <c r="S176" s="25">
        <f>IF($R176="","",IF($R176&gt;='配置项'!$G$6,"优秀",IF($R176&gt;='配置项'!$G$7,"良好",IF($R176&gt;='配置项'!$G$8,"需关注","不合格"))))</f>
        <v/>
      </c>
      <c r="T176" s="25" t="n"/>
      <c r="U176" s="25" t="n"/>
      <c r="V176" s="28" t="n"/>
      <c r="W176" s="28" t="n"/>
      <c r="X176" s="25" t="n"/>
      <c r="Y176" s="25" t="n"/>
    </row>
    <row r="177" ht="24" customHeight="1">
      <c r="A177" s="25">
        <f>IF($B177="","","SQ-"&amp;TEXT(ROW()-4,"0000"))</f>
        <v/>
      </c>
      <c r="B177" s="141" t="n"/>
      <c r="C177" s="25" t="n"/>
      <c r="D177" s="25" t="n"/>
      <c r="E177" s="25" t="n"/>
      <c r="F177" s="25" t="n"/>
      <c r="G177" s="25" t="n"/>
      <c r="H177" s="25" t="n"/>
      <c r="I177" s="25" t="n"/>
      <c r="J177" s="25" t="n"/>
      <c r="K177" s="139" t="n"/>
      <c r="L177" s="139" t="n"/>
      <c r="M177" s="139" t="n"/>
      <c r="N177" s="139" t="n"/>
      <c r="O177" s="139" t="n"/>
      <c r="P177" s="139" t="n"/>
      <c r="Q177" s="139" t="n"/>
      <c r="R177" s="142">
        <f>IF(COUNT($K177:$Q177)&lt;7,"",ROUND(($K177*'配置项'!$C$6+$L177*'配置项'!$C$7+$M177*'配置项'!$C$8+$N177*'配置项'!$C$9+$O177*'配置项'!$C$10+$P177*'配置项'!$C$11+$Q177*'配置项'!$C$12)*20,1))</f>
        <v/>
      </c>
      <c r="S177" s="25">
        <f>IF($R177="","",IF($R177&gt;='配置项'!$G$6,"优秀",IF($R177&gt;='配置项'!$G$7,"良好",IF($R177&gt;='配置项'!$G$8,"需关注","不合格"))))</f>
        <v/>
      </c>
      <c r="T177" s="25" t="n"/>
      <c r="U177" s="25" t="n"/>
      <c r="V177" s="28" t="n"/>
      <c r="W177" s="28" t="n"/>
      <c r="X177" s="25" t="n"/>
      <c r="Y177" s="25" t="n"/>
    </row>
    <row r="178" ht="24" customHeight="1">
      <c r="A178" s="25">
        <f>IF($B178="","","SQ-"&amp;TEXT(ROW()-4,"0000"))</f>
        <v/>
      </c>
      <c r="B178" s="141" t="n"/>
      <c r="C178" s="25" t="n"/>
      <c r="D178" s="25" t="n"/>
      <c r="E178" s="25" t="n"/>
      <c r="F178" s="25" t="n"/>
      <c r="G178" s="25" t="n"/>
      <c r="H178" s="25" t="n"/>
      <c r="I178" s="25" t="n"/>
      <c r="J178" s="25" t="n"/>
      <c r="K178" s="139" t="n"/>
      <c r="L178" s="139" t="n"/>
      <c r="M178" s="139" t="n"/>
      <c r="N178" s="139" t="n"/>
      <c r="O178" s="139" t="n"/>
      <c r="P178" s="139" t="n"/>
      <c r="Q178" s="139" t="n"/>
      <c r="R178" s="142">
        <f>IF(COUNT($K178:$Q178)&lt;7,"",ROUND(($K178*'配置项'!$C$6+$L178*'配置项'!$C$7+$M178*'配置项'!$C$8+$N178*'配置项'!$C$9+$O178*'配置项'!$C$10+$P178*'配置项'!$C$11+$Q178*'配置项'!$C$12)*20,1))</f>
        <v/>
      </c>
      <c r="S178" s="25">
        <f>IF($R178="","",IF($R178&gt;='配置项'!$G$6,"优秀",IF($R178&gt;='配置项'!$G$7,"良好",IF($R178&gt;='配置项'!$G$8,"需关注","不合格"))))</f>
        <v/>
      </c>
      <c r="T178" s="25" t="n"/>
      <c r="U178" s="25" t="n"/>
      <c r="V178" s="28" t="n"/>
      <c r="W178" s="28" t="n"/>
      <c r="X178" s="25" t="n"/>
      <c r="Y178" s="25" t="n"/>
    </row>
    <row r="179" ht="24" customHeight="1">
      <c r="A179" s="25">
        <f>IF($B179="","","SQ-"&amp;TEXT(ROW()-4,"0000"))</f>
        <v/>
      </c>
      <c r="B179" s="141" t="n"/>
      <c r="C179" s="25" t="n"/>
      <c r="D179" s="25" t="n"/>
      <c r="E179" s="25" t="n"/>
      <c r="F179" s="25" t="n"/>
      <c r="G179" s="25" t="n"/>
      <c r="H179" s="25" t="n"/>
      <c r="I179" s="25" t="n"/>
      <c r="J179" s="25" t="n"/>
      <c r="K179" s="139" t="n"/>
      <c r="L179" s="139" t="n"/>
      <c r="M179" s="139" t="n"/>
      <c r="N179" s="139" t="n"/>
      <c r="O179" s="139" t="n"/>
      <c r="P179" s="139" t="n"/>
      <c r="Q179" s="139" t="n"/>
      <c r="R179" s="142">
        <f>IF(COUNT($K179:$Q179)&lt;7,"",ROUND(($K179*'配置项'!$C$6+$L179*'配置项'!$C$7+$M179*'配置项'!$C$8+$N179*'配置项'!$C$9+$O179*'配置项'!$C$10+$P179*'配置项'!$C$11+$Q179*'配置项'!$C$12)*20,1))</f>
        <v/>
      </c>
      <c r="S179" s="25">
        <f>IF($R179="","",IF($R179&gt;='配置项'!$G$6,"优秀",IF($R179&gt;='配置项'!$G$7,"良好",IF($R179&gt;='配置项'!$G$8,"需关注","不合格"))))</f>
        <v/>
      </c>
      <c r="T179" s="25" t="n"/>
      <c r="U179" s="25" t="n"/>
      <c r="V179" s="28" t="n"/>
      <c r="W179" s="28" t="n"/>
      <c r="X179" s="25" t="n"/>
      <c r="Y179" s="25" t="n"/>
    </row>
    <row r="180" ht="24" customHeight="1">
      <c r="A180" s="25">
        <f>IF($B180="","","SQ-"&amp;TEXT(ROW()-4,"0000"))</f>
        <v/>
      </c>
      <c r="B180" s="141" t="n"/>
      <c r="C180" s="25" t="n"/>
      <c r="D180" s="25" t="n"/>
      <c r="E180" s="25" t="n"/>
      <c r="F180" s="25" t="n"/>
      <c r="G180" s="25" t="n"/>
      <c r="H180" s="25" t="n"/>
      <c r="I180" s="25" t="n"/>
      <c r="J180" s="25" t="n"/>
      <c r="K180" s="139" t="n"/>
      <c r="L180" s="139" t="n"/>
      <c r="M180" s="139" t="n"/>
      <c r="N180" s="139" t="n"/>
      <c r="O180" s="139" t="n"/>
      <c r="P180" s="139" t="n"/>
      <c r="Q180" s="139" t="n"/>
      <c r="R180" s="142">
        <f>IF(COUNT($K180:$Q180)&lt;7,"",ROUND(($K180*'配置项'!$C$6+$L180*'配置项'!$C$7+$M180*'配置项'!$C$8+$N180*'配置项'!$C$9+$O180*'配置项'!$C$10+$P180*'配置项'!$C$11+$Q180*'配置项'!$C$12)*20,1))</f>
        <v/>
      </c>
      <c r="S180" s="25">
        <f>IF($R180="","",IF($R180&gt;='配置项'!$G$6,"优秀",IF($R180&gt;='配置项'!$G$7,"良好",IF($R180&gt;='配置项'!$G$8,"需关注","不合格"))))</f>
        <v/>
      </c>
      <c r="T180" s="25" t="n"/>
      <c r="U180" s="25" t="n"/>
      <c r="V180" s="28" t="n"/>
      <c r="W180" s="28" t="n"/>
      <c r="X180" s="25" t="n"/>
      <c r="Y180" s="25" t="n"/>
    </row>
    <row r="181" ht="24" customHeight="1">
      <c r="A181" s="25">
        <f>IF($B181="","","SQ-"&amp;TEXT(ROW()-4,"0000"))</f>
        <v/>
      </c>
      <c r="B181" s="141" t="n"/>
      <c r="C181" s="25" t="n"/>
      <c r="D181" s="25" t="n"/>
      <c r="E181" s="25" t="n"/>
      <c r="F181" s="25" t="n"/>
      <c r="G181" s="25" t="n"/>
      <c r="H181" s="25" t="n"/>
      <c r="I181" s="25" t="n"/>
      <c r="J181" s="25" t="n"/>
      <c r="K181" s="139" t="n"/>
      <c r="L181" s="139" t="n"/>
      <c r="M181" s="139" t="n"/>
      <c r="N181" s="139" t="n"/>
      <c r="O181" s="139" t="n"/>
      <c r="P181" s="139" t="n"/>
      <c r="Q181" s="139" t="n"/>
      <c r="R181" s="142">
        <f>IF(COUNT($K181:$Q181)&lt;7,"",ROUND(($K181*'配置项'!$C$6+$L181*'配置项'!$C$7+$M181*'配置项'!$C$8+$N181*'配置项'!$C$9+$O181*'配置项'!$C$10+$P181*'配置项'!$C$11+$Q181*'配置项'!$C$12)*20,1))</f>
        <v/>
      </c>
      <c r="S181" s="25">
        <f>IF($R181="","",IF($R181&gt;='配置项'!$G$6,"优秀",IF($R181&gt;='配置项'!$G$7,"良好",IF($R181&gt;='配置项'!$G$8,"需关注","不合格"))))</f>
        <v/>
      </c>
      <c r="T181" s="25" t="n"/>
      <c r="U181" s="25" t="n"/>
      <c r="V181" s="28" t="n"/>
      <c r="W181" s="28" t="n"/>
      <c r="X181" s="25" t="n"/>
      <c r="Y181" s="25" t="n"/>
    </row>
    <row r="182" ht="24" customHeight="1">
      <c r="A182" s="25">
        <f>IF($B182="","","SQ-"&amp;TEXT(ROW()-4,"0000"))</f>
        <v/>
      </c>
      <c r="B182" s="141" t="n"/>
      <c r="C182" s="25" t="n"/>
      <c r="D182" s="25" t="n"/>
      <c r="E182" s="25" t="n"/>
      <c r="F182" s="25" t="n"/>
      <c r="G182" s="25" t="n"/>
      <c r="H182" s="25" t="n"/>
      <c r="I182" s="25" t="n"/>
      <c r="J182" s="25" t="n"/>
      <c r="K182" s="139" t="n"/>
      <c r="L182" s="139" t="n"/>
      <c r="M182" s="139" t="n"/>
      <c r="N182" s="139" t="n"/>
      <c r="O182" s="139" t="n"/>
      <c r="P182" s="139" t="n"/>
      <c r="Q182" s="139" t="n"/>
      <c r="R182" s="142">
        <f>IF(COUNT($K182:$Q182)&lt;7,"",ROUND(($K182*'配置项'!$C$6+$L182*'配置项'!$C$7+$M182*'配置项'!$C$8+$N182*'配置项'!$C$9+$O182*'配置项'!$C$10+$P182*'配置项'!$C$11+$Q182*'配置项'!$C$12)*20,1))</f>
        <v/>
      </c>
      <c r="S182" s="25">
        <f>IF($R182="","",IF($R182&gt;='配置项'!$G$6,"优秀",IF($R182&gt;='配置项'!$G$7,"良好",IF($R182&gt;='配置项'!$G$8,"需关注","不合格"))))</f>
        <v/>
      </c>
      <c r="T182" s="25" t="n"/>
      <c r="U182" s="25" t="n"/>
      <c r="V182" s="28" t="n"/>
      <c r="W182" s="28" t="n"/>
      <c r="X182" s="25" t="n"/>
      <c r="Y182" s="25" t="n"/>
    </row>
    <row r="183" ht="24" customHeight="1">
      <c r="A183" s="25">
        <f>IF($B183="","","SQ-"&amp;TEXT(ROW()-4,"0000"))</f>
        <v/>
      </c>
      <c r="B183" s="141" t="n"/>
      <c r="C183" s="25" t="n"/>
      <c r="D183" s="25" t="n"/>
      <c r="E183" s="25" t="n"/>
      <c r="F183" s="25" t="n"/>
      <c r="G183" s="25" t="n"/>
      <c r="H183" s="25" t="n"/>
      <c r="I183" s="25" t="n"/>
      <c r="J183" s="25" t="n"/>
      <c r="K183" s="139" t="n"/>
      <c r="L183" s="139" t="n"/>
      <c r="M183" s="139" t="n"/>
      <c r="N183" s="139" t="n"/>
      <c r="O183" s="139" t="n"/>
      <c r="P183" s="139" t="n"/>
      <c r="Q183" s="139" t="n"/>
      <c r="R183" s="142">
        <f>IF(COUNT($K183:$Q183)&lt;7,"",ROUND(($K183*'配置项'!$C$6+$L183*'配置项'!$C$7+$M183*'配置项'!$C$8+$N183*'配置项'!$C$9+$O183*'配置项'!$C$10+$P183*'配置项'!$C$11+$Q183*'配置项'!$C$12)*20,1))</f>
        <v/>
      </c>
      <c r="S183" s="25">
        <f>IF($R183="","",IF($R183&gt;='配置项'!$G$6,"优秀",IF($R183&gt;='配置项'!$G$7,"良好",IF($R183&gt;='配置项'!$G$8,"需关注","不合格"))))</f>
        <v/>
      </c>
      <c r="T183" s="25" t="n"/>
      <c r="U183" s="25" t="n"/>
      <c r="V183" s="28" t="n"/>
      <c r="W183" s="28" t="n"/>
      <c r="X183" s="25" t="n"/>
      <c r="Y183" s="25" t="n"/>
    </row>
    <row r="184" ht="24" customHeight="1">
      <c r="A184" s="25">
        <f>IF($B184="","","SQ-"&amp;TEXT(ROW()-4,"0000"))</f>
        <v/>
      </c>
      <c r="B184" s="141" t="n"/>
      <c r="C184" s="25" t="n"/>
      <c r="D184" s="25" t="n"/>
      <c r="E184" s="25" t="n"/>
      <c r="F184" s="25" t="n"/>
      <c r="G184" s="25" t="n"/>
      <c r="H184" s="25" t="n"/>
      <c r="I184" s="25" t="n"/>
      <c r="J184" s="25" t="n"/>
      <c r="K184" s="139" t="n"/>
      <c r="L184" s="139" t="n"/>
      <c r="M184" s="139" t="n"/>
      <c r="N184" s="139" t="n"/>
      <c r="O184" s="139" t="n"/>
      <c r="P184" s="139" t="n"/>
      <c r="Q184" s="139" t="n"/>
      <c r="R184" s="142">
        <f>IF(COUNT($K184:$Q184)&lt;7,"",ROUND(($K184*'配置项'!$C$6+$L184*'配置项'!$C$7+$M184*'配置项'!$C$8+$N184*'配置项'!$C$9+$O184*'配置项'!$C$10+$P184*'配置项'!$C$11+$Q184*'配置项'!$C$12)*20,1))</f>
        <v/>
      </c>
      <c r="S184" s="25">
        <f>IF($R184="","",IF($R184&gt;='配置项'!$G$6,"优秀",IF($R184&gt;='配置项'!$G$7,"良好",IF($R184&gt;='配置项'!$G$8,"需关注","不合格"))))</f>
        <v/>
      </c>
      <c r="T184" s="25" t="n"/>
      <c r="U184" s="25" t="n"/>
      <c r="V184" s="28" t="n"/>
      <c r="W184" s="28" t="n"/>
      <c r="X184" s="25" t="n"/>
      <c r="Y184" s="25" t="n"/>
    </row>
    <row r="185" ht="24" customHeight="1">
      <c r="A185" s="25">
        <f>IF($B185="","","SQ-"&amp;TEXT(ROW()-4,"0000"))</f>
        <v/>
      </c>
      <c r="B185" s="141" t="n"/>
      <c r="C185" s="25" t="n"/>
      <c r="D185" s="25" t="n"/>
      <c r="E185" s="25" t="n"/>
      <c r="F185" s="25" t="n"/>
      <c r="G185" s="25" t="n"/>
      <c r="H185" s="25" t="n"/>
      <c r="I185" s="25" t="n"/>
      <c r="J185" s="25" t="n"/>
      <c r="K185" s="139" t="n"/>
      <c r="L185" s="139" t="n"/>
      <c r="M185" s="139" t="n"/>
      <c r="N185" s="139" t="n"/>
      <c r="O185" s="139" t="n"/>
      <c r="P185" s="139" t="n"/>
      <c r="Q185" s="139" t="n"/>
      <c r="R185" s="142">
        <f>IF(COUNT($K185:$Q185)&lt;7,"",ROUND(($K185*'配置项'!$C$6+$L185*'配置项'!$C$7+$M185*'配置项'!$C$8+$N185*'配置项'!$C$9+$O185*'配置项'!$C$10+$P185*'配置项'!$C$11+$Q185*'配置项'!$C$12)*20,1))</f>
        <v/>
      </c>
      <c r="S185" s="25">
        <f>IF($R185="","",IF($R185&gt;='配置项'!$G$6,"优秀",IF($R185&gt;='配置项'!$G$7,"良好",IF($R185&gt;='配置项'!$G$8,"需关注","不合格"))))</f>
        <v/>
      </c>
      <c r="T185" s="25" t="n"/>
      <c r="U185" s="25" t="n"/>
      <c r="V185" s="28" t="n"/>
      <c r="W185" s="28" t="n"/>
      <c r="X185" s="25" t="n"/>
      <c r="Y185" s="25" t="n"/>
    </row>
    <row r="186" ht="24" customHeight="1">
      <c r="A186" s="25">
        <f>IF($B186="","","SQ-"&amp;TEXT(ROW()-4,"0000"))</f>
        <v/>
      </c>
      <c r="B186" s="141" t="n"/>
      <c r="C186" s="25" t="n"/>
      <c r="D186" s="25" t="n"/>
      <c r="E186" s="25" t="n"/>
      <c r="F186" s="25" t="n"/>
      <c r="G186" s="25" t="n"/>
      <c r="H186" s="25" t="n"/>
      <c r="I186" s="25" t="n"/>
      <c r="J186" s="25" t="n"/>
      <c r="K186" s="139" t="n"/>
      <c r="L186" s="139" t="n"/>
      <c r="M186" s="139" t="n"/>
      <c r="N186" s="139" t="n"/>
      <c r="O186" s="139" t="n"/>
      <c r="P186" s="139" t="n"/>
      <c r="Q186" s="139" t="n"/>
      <c r="R186" s="142">
        <f>IF(COUNT($K186:$Q186)&lt;7,"",ROUND(($K186*'配置项'!$C$6+$L186*'配置项'!$C$7+$M186*'配置项'!$C$8+$N186*'配置项'!$C$9+$O186*'配置项'!$C$10+$P186*'配置项'!$C$11+$Q186*'配置项'!$C$12)*20,1))</f>
        <v/>
      </c>
      <c r="S186" s="25">
        <f>IF($R186="","",IF($R186&gt;='配置项'!$G$6,"优秀",IF($R186&gt;='配置项'!$G$7,"良好",IF($R186&gt;='配置项'!$G$8,"需关注","不合格"))))</f>
        <v/>
      </c>
      <c r="T186" s="25" t="n"/>
      <c r="U186" s="25" t="n"/>
      <c r="V186" s="28" t="n"/>
      <c r="W186" s="28" t="n"/>
      <c r="X186" s="25" t="n"/>
      <c r="Y186" s="25" t="n"/>
    </row>
    <row r="187" ht="24" customHeight="1">
      <c r="A187" s="25">
        <f>IF($B187="","","SQ-"&amp;TEXT(ROW()-4,"0000"))</f>
        <v/>
      </c>
      <c r="B187" s="141" t="n"/>
      <c r="C187" s="25" t="n"/>
      <c r="D187" s="25" t="n"/>
      <c r="E187" s="25" t="n"/>
      <c r="F187" s="25" t="n"/>
      <c r="G187" s="25" t="n"/>
      <c r="H187" s="25" t="n"/>
      <c r="I187" s="25" t="n"/>
      <c r="J187" s="25" t="n"/>
      <c r="K187" s="139" t="n"/>
      <c r="L187" s="139" t="n"/>
      <c r="M187" s="139" t="n"/>
      <c r="N187" s="139" t="n"/>
      <c r="O187" s="139" t="n"/>
      <c r="P187" s="139" t="n"/>
      <c r="Q187" s="139" t="n"/>
      <c r="R187" s="142">
        <f>IF(COUNT($K187:$Q187)&lt;7,"",ROUND(($K187*'配置项'!$C$6+$L187*'配置项'!$C$7+$M187*'配置项'!$C$8+$N187*'配置项'!$C$9+$O187*'配置项'!$C$10+$P187*'配置项'!$C$11+$Q187*'配置项'!$C$12)*20,1))</f>
        <v/>
      </c>
      <c r="S187" s="25">
        <f>IF($R187="","",IF($R187&gt;='配置项'!$G$6,"优秀",IF($R187&gt;='配置项'!$G$7,"良好",IF($R187&gt;='配置项'!$G$8,"需关注","不合格"))))</f>
        <v/>
      </c>
      <c r="T187" s="25" t="n"/>
      <c r="U187" s="25" t="n"/>
      <c r="V187" s="28" t="n"/>
      <c r="W187" s="28" t="n"/>
      <c r="X187" s="25" t="n"/>
      <c r="Y187" s="25" t="n"/>
    </row>
    <row r="188" ht="24" customHeight="1">
      <c r="A188" s="25">
        <f>IF($B188="","","SQ-"&amp;TEXT(ROW()-4,"0000"))</f>
        <v/>
      </c>
      <c r="B188" s="141" t="n"/>
      <c r="C188" s="25" t="n"/>
      <c r="D188" s="25" t="n"/>
      <c r="E188" s="25" t="n"/>
      <c r="F188" s="25" t="n"/>
      <c r="G188" s="25" t="n"/>
      <c r="H188" s="25" t="n"/>
      <c r="I188" s="25" t="n"/>
      <c r="J188" s="25" t="n"/>
      <c r="K188" s="139" t="n"/>
      <c r="L188" s="139" t="n"/>
      <c r="M188" s="139" t="n"/>
      <c r="N188" s="139" t="n"/>
      <c r="O188" s="139" t="n"/>
      <c r="P188" s="139" t="n"/>
      <c r="Q188" s="139" t="n"/>
      <c r="R188" s="142">
        <f>IF(COUNT($K188:$Q188)&lt;7,"",ROUND(($K188*'配置项'!$C$6+$L188*'配置项'!$C$7+$M188*'配置项'!$C$8+$N188*'配置项'!$C$9+$O188*'配置项'!$C$10+$P188*'配置项'!$C$11+$Q188*'配置项'!$C$12)*20,1))</f>
        <v/>
      </c>
      <c r="S188" s="25">
        <f>IF($R188="","",IF($R188&gt;='配置项'!$G$6,"优秀",IF($R188&gt;='配置项'!$G$7,"良好",IF($R188&gt;='配置项'!$G$8,"需关注","不合格"))))</f>
        <v/>
      </c>
      <c r="T188" s="25" t="n"/>
      <c r="U188" s="25" t="n"/>
      <c r="V188" s="28" t="n"/>
      <c r="W188" s="28" t="n"/>
      <c r="X188" s="25" t="n"/>
      <c r="Y188" s="25" t="n"/>
    </row>
    <row r="189" ht="24" customHeight="1">
      <c r="A189" s="25">
        <f>IF($B189="","","SQ-"&amp;TEXT(ROW()-4,"0000"))</f>
        <v/>
      </c>
      <c r="B189" s="141" t="n"/>
      <c r="C189" s="25" t="n"/>
      <c r="D189" s="25" t="n"/>
      <c r="E189" s="25" t="n"/>
      <c r="F189" s="25" t="n"/>
      <c r="G189" s="25" t="n"/>
      <c r="H189" s="25" t="n"/>
      <c r="I189" s="25" t="n"/>
      <c r="J189" s="25" t="n"/>
      <c r="K189" s="139" t="n"/>
      <c r="L189" s="139" t="n"/>
      <c r="M189" s="139" t="n"/>
      <c r="N189" s="139" t="n"/>
      <c r="O189" s="139" t="n"/>
      <c r="P189" s="139" t="n"/>
      <c r="Q189" s="139" t="n"/>
      <c r="R189" s="142">
        <f>IF(COUNT($K189:$Q189)&lt;7,"",ROUND(($K189*'配置项'!$C$6+$L189*'配置项'!$C$7+$M189*'配置项'!$C$8+$N189*'配置项'!$C$9+$O189*'配置项'!$C$10+$P189*'配置项'!$C$11+$Q189*'配置项'!$C$12)*20,1))</f>
        <v/>
      </c>
      <c r="S189" s="25">
        <f>IF($R189="","",IF($R189&gt;='配置项'!$G$6,"优秀",IF($R189&gt;='配置项'!$G$7,"良好",IF($R189&gt;='配置项'!$G$8,"需关注","不合格"))))</f>
        <v/>
      </c>
      <c r="T189" s="25" t="n"/>
      <c r="U189" s="25" t="n"/>
      <c r="V189" s="28" t="n"/>
      <c r="W189" s="28" t="n"/>
      <c r="X189" s="25" t="n"/>
      <c r="Y189" s="25" t="n"/>
    </row>
    <row r="190" ht="24" customHeight="1">
      <c r="A190" s="25">
        <f>IF($B190="","","SQ-"&amp;TEXT(ROW()-4,"0000"))</f>
        <v/>
      </c>
      <c r="B190" s="141" t="n"/>
      <c r="C190" s="25" t="n"/>
      <c r="D190" s="25" t="n"/>
      <c r="E190" s="25" t="n"/>
      <c r="F190" s="25" t="n"/>
      <c r="G190" s="25" t="n"/>
      <c r="H190" s="25" t="n"/>
      <c r="I190" s="25" t="n"/>
      <c r="J190" s="25" t="n"/>
      <c r="K190" s="139" t="n"/>
      <c r="L190" s="139" t="n"/>
      <c r="M190" s="139" t="n"/>
      <c r="N190" s="139" t="n"/>
      <c r="O190" s="139" t="n"/>
      <c r="P190" s="139" t="n"/>
      <c r="Q190" s="139" t="n"/>
      <c r="R190" s="142">
        <f>IF(COUNT($K190:$Q190)&lt;7,"",ROUND(($K190*'配置项'!$C$6+$L190*'配置项'!$C$7+$M190*'配置项'!$C$8+$N190*'配置项'!$C$9+$O190*'配置项'!$C$10+$P190*'配置项'!$C$11+$Q190*'配置项'!$C$12)*20,1))</f>
        <v/>
      </c>
      <c r="S190" s="25">
        <f>IF($R190="","",IF($R190&gt;='配置项'!$G$6,"优秀",IF($R190&gt;='配置项'!$G$7,"良好",IF($R190&gt;='配置项'!$G$8,"需关注","不合格"))))</f>
        <v/>
      </c>
      <c r="T190" s="25" t="n"/>
      <c r="U190" s="25" t="n"/>
      <c r="V190" s="28" t="n"/>
      <c r="W190" s="28" t="n"/>
      <c r="X190" s="25" t="n"/>
      <c r="Y190" s="25" t="n"/>
    </row>
    <row r="191" ht="24" customHeight="1">
      <c r="A191" s="25">
        <f>IF($B191="","","SQ-"&amp;TEXT(ROW()-4,"0000"))</f>
        <v/>
      </c>
      <c r="B191" s="141" t="n"/>
      <c r="C191" s="25" t="n"/>
      <c r="D191" s="25" t="n"/>
      <c r="E191" s="25" t="n"/>
      <c r="F191" s="25" t="n"/>
      <c r="G191" s="25" t="n"/>
      <c r="H191" s="25" t="n"/>
      <c r="I191" s="25" t="n"/>
      <c r="J191" s="25" t="n"/>
      <c r="K191" s="139" t="n"/>
      <c r="L191" s="139" t="n"/>
      <c r="M191" s="139" t="n"/>
      <c r="N191" s="139" t="n"/>
      <c r="O191" s="139" t="n"/>
      <c r="P191" s="139" t="n"/>
      <c r="Q191" s="139" t="n"/>
      <c r="R191" s="142">
        <f>IF(COUNT($K191:$Q191)&lt;7,"",ROUND(($K191*'配置项'!$C$6+$L191*'配置项'!$C$7+$M191*'配置项'!$C$8+$N191*'配置项'!$C$9+$O191*'配置项'!$C$10+$P191*'配置项'!$C$11+$Q191*'配置项'!$C$12)*20,1))</f>
        <v/>
      </c>
      <c r="S191" s="25">
        <f>IF($R191="","",IF($R191&gt;='配置项'!$G$6,"优秀",IF($R191&gt;='配置项'!$G$7,"良好",IF($R191&gt;='配置项'!$G$8,"需关注","不合格"))))</f>
        <v/>
      </c>
      <c r="T191" s="25" t="n"/>
      <c r="U191" s="25" t="n"/>
      <c r="V191" s="28" t="n"/>
      <c r="W191" s="28" t="n"/>
      <c r="X191" s="25" t="n"/>
      <c r="Y191" s="25" t="n"/>
    </row>
    <row r="192" ht="24" customHeight="1">
      <c r="A192" s="25">
        <f>IF($B192="","","SQ-"&amp;TEXT(ROW()-4,"0000"))</f>
        <v/>
      </c>
      <c r="B192" s="141" t="n"/>
      <c r="C192" s="25" t="n"/>
      <c r="D192" s="25" t="n"/>
      <c r="E192" s="25" t="n"/>
      <c r="F192" s="25" t="n"/>
      <c r="G192" s="25" t="n"/>
      <c r="H192" s="25" t="n"/>
      <c r="I192" s="25" t="n"/>
      <c r="J192" s="25" t="n"/>
      <c r="K192" s="139" t="n"/>
      <c r="L192" s="139" t="n"/>
      <c r="M192" s="139" t="n"/>
      <c r="N192" s="139" t="n"/>
      <c r="O192" s="139" t="n"/>
      <c r="P192" s="139" t="n"/>
      <c r="Q192" s="139" t="n"/>
      <c r="R192" s="142">
        <f>IF(COUNT($K192:$Q192)&lt;7,"",ROUND(($K192*'配置项'!$C$6+$L192*'配置项'!$C$7+$M192*'配置项'!$C$8+$N192*'配置项'!$C$9+$O192*'配置项'!$C$10+$P192*'配置项'!$C$11+$Q192*'配置项'!$C$12)*20,1))</f>
        <v/>
      </c>
      <c r="S192" s="25">
        <f>IF($R192="","",IF($R192&gt;='配置项'!$G$6,"优秀",IF($R192&gt;='配置项'!$G$7,"良好",IF($R192&gt;='配置项'!$G$8,"需关注","不合格"))))</f>
        <v/>
      </c>
      <c r="T192" s="25" t="n"/>
      <c r="U192" s="25" t="n"/>
      <c r="V192" s="28" t="n"/>
      <c r="W192" s="28" t="n"/>
      <c r="X192" s="25" t="n"/>
      <c r="Y192" s="25" t="n"/>
    </row>
    <row r="193" ht="24" customHeight="1">
      <c r="A193" s="25">
        <f>IF($B193="","","SQ-"&amp;TEXT(ROW()-4,"0000"))</f>
        <v/>
      </c>
      <c r="B193" s="141" t="n"/>
      <c r="C193" s="25" t="n"/>
      <c r="D193" s="25" t="n"/>
      <c r="E193" s="25" t="n"/>
      <c r="F193" s="25" t="n"/>
      <c r="G193" s="25" t="n"/>
      <c r="H193" s="25" t="n"/>
      <c r="I193" s="25" t="n"/>
      <c r="J193" s="25" t="n"/>
      <c r="K193" s="139" t="n"/>
      <c r="L193" s="139" t="n"/>
      <c r="M193" s="139" t="n"/>
      <c r="N193" s="139" t="n"/>
      <c r="O193" s="139" t="n"/>
      <c r="P193" s="139" t="n"/>
      <c r="Q193" s="139" t="n"/>
      <c r="R193" s="142">
        <f>IF(COUNT($K193:$Q193)&lt;7,"",ROUND(($K193*'配置项'!$C$6+$L193*'配置项'!$C$7+$M193*'配置项'!$C$8+$N193*'配置项'!$C$9+$O193*'配置项'!$C$10+$P193*'配置项'!$C$11+$Q193*'配置项'!$C$12)*20,1))</f>
        <v/>
      </c>
      <c r="S193" s="25">
        <f>IF($R193="","",IF($R193&gt;='配置项'!$G$6,"优秀",IF($R193&gt;='配置项'!$G$7,"良好",IF($R193&gt;='配置项'!$G$8,"需关注","不合格"))))</f>
        <v/>
      </c>
      <c r="T193" s="25" t="n"/>
      <c r="U193" s="25" t="n"/>
      <c r="V193" s="28" t="n"/>
      <c r="W193" s="28" t="n"/>
      <c r="X193" s="25" t="n"/>
      <c r="Y193" s="25" t="n"/>
    </row>
    <row r="194" ht="24" customHeight="1">
      <c r="A194" s="25">
        <f>IF($B194="","","SQ-"&amp;TEXT(ROW()-4,"0000"))</f>
        <v/>
      </c>
      <c r="B194" s="141" t="n"/>
      <c r="C194" s="25" t="n"/>
      <c r="D194" s="25" t="n"/>
      <c r="E194" s="25" t="n"/>
      <c r="F194" s="25" t="n"/>
      <c r="G194" s="25" t="n"/>
      <c r="H194" s="25" t="n"/>
      <c r="I194" s="25" t="n"/>
      <c r="J194" s="25" t="n"/>
      <c r="K194" s="139" t="n"/>
      <c r="L194" s="139" t="n"/>
      <c r="M194" s="139" t="n"/>
      <c r="N194" s="139" t="n"/>
      <c r="O194" s="139" t="n"/>
      <c r="P194" s="139" t="n"/>
      <c r="Q194" s="139" t="n"/>
      <c r="R194" s="142">
        <f>IF(COUNT($K194:$Q194)&lt;7,"",ROUND(($K194*'配置项'!$C$6+$L194*'配置项'!$C$7+$M194*'配置项'!$C$8+$N194*'配置项'!$C$9+$O194*'配置项'!$C$10+$P194*'配置项'!$C$11+$Q194*'配置项'!$C$12)*20,1))</f>
        <v/>
      </c>
      <c r="S194" s="25">
        <f>IF($R194="","",IF($R194&gt;='配置项'!$G$6,"优秀",IF($R194&gt;='配置项'!$G$7,"良好",IF($R194&gt;='配置项'!$G$8,"需关注","不合格"))))</f>
        <v/>
      </c>
      <c r="T194" s="25" t="n"/>
      <c r="U194" s="25" t="n"/>
      <c r="V194" s="28" t="n"/>
      <c r="W194" s="28" t="n"/>
      <c r="X194" s="25" t="n"/>
      <c r="Y194" s="25" t="n"/>
    </row>
    <row r="195" ht="24" customHeight="1">
      <c r="A195" s="25">
        <f>IF($B195="","","SQ-"&amp;TEXT(ROW()-4,"0000"))</f>
        <v/>
      </c>
      <c r="B195" s="141" t="n"/>
      <c r="C195" s="25" t="n"/>
      <c r="D195" s="25" t="n"/>
      <c r="E195" s="25" t="n"/>
      <c r="F195" s="25" t="n"/>
      <c r="G195" s="25" t="n"/>
      <c r="H195" s="25" t="n"/>
      <c r="I195" s="25" t="n"/>
      <c r="J195" s="25" t="n"/>
      <c r="K195" s="139" t="n"/>
      <c r="L195" s="139" t="n"/>
      <c r="M195" s="139" t="n"/>
      <c r="N195" s="139" t="n"/>
      <c r="O195" s="139" t="n"/>
      <c r="P195" s="139" t="n"/>
      <c r="Q195" s="139" t="n"/>
      <c r="R195" s="142">
        <f>IF(COUNT($K195:$Q195)&lt;7,"",ROUND(($K195*'配置项'!$C$6+$L195*'配置项'!$C$7+$M195*'配置项'!$C$8+$N195*'配置项'!$C$9+$O195*'配置项'!$C$10+$P195*'配置项'!$C$11+$Q195*'配置项'!$C$12)*20,1))</f>
        <v/>
      </c>
      <c r="S195" s="25">
        <f>IF($R195="","",IF($R195&gt;='配置项'!$G$6,"优秀",IF($R195&gt;='配置项'!$G$7,"良好",IF($R195&gt;='配置项'!$G$8,"需关注","不合格"))))</f>
        <v/>
      </c>
      <c r="T195" s="25" t="n"/>
      <c r="U195" s="25" t="n"/>
      <c r="V195" s="28" t="n"/>
      <c r="W195" s="28" t="n"/>
      <c r="X195" s="25" t="n"/>
      <c r="Y195" s="25" t="n"/>
    </row>
    <row r="196" ht="24" customHeight="1">
      <c r="A196" s="25">
        <f>IF($B196="","","SQ-"&amp;TEXT(ROW()-4,"0000"))</f>
        <v/>
      </c>
      <c r="B196" s="141" t="n"/>
      <c r="C196" s="25" t="n"/>
      <c r="D196" s="25" t="n"/>
      <c r="E196" s="25" t="n"/>
      <c r="F196" s="25" t="n"/>
      <c r="G196" s="25" t="n"/>
      <c r="H196" s="25" t="n"/>
      <c r="I196" s="25" t="n"/>
      <c r="J196" s="25" t="n"/>
      <c r="K196" s="139" t="n"/>
      <c r="L196" s="139" t="n"/>
      <c r="M196" s="139" t="n"/>
      <c r="N196" s="139" t="n"/>
      <c r="O196" s="139" t="n"/>
      <c r="P196" s="139" t="n"/>
      <c r="Q196" s="139" t="n"/>
      <c r="R196" s="142">
        <f>IF(COUNT($K196:$Q196)&lt;7,"",ROUND(($K196*'配置项'!$C$6+$L196*'配置项'!$C$7+$M196*'配置项'!$C$8+$N196*'配置项'!$C$9+$O196*'配置项'!$C$10+$P196*'配置项'!$C$11+$Q196*'配置项'!$C$12)*20,1))</f>
        <v/>
      </c>
      <c r="S196" s="25">
        <f>IF($R196="","",IF($R196&gt;='配置项'!$G$6,"优秀",IF($R196&gt;='配置项'!$G$7,"良好",IF($R196&gt;='配置项'!$G$8,"需关注","不合格"))))</f>
        <v/>
      </c>
      <c r="T196" s="25" t="n"/>
      <c r="U196" s="25" t="n"/>
      <c r="V196" s="28" t="n"/>
      <c r="W196" s="28" t="n"/>
      <c r="X196" s="25" t="n"/>
      <c r="Y196" s="25" t="n"/>
    </row>
    <row r="197" ht="24" customHeight="1">
      <c r="A197" s="25">
        <f>IF($B197="","","SQ-"&amp;TEXT(ROW()-4,"0000"))</f>
        <v/>
      </c>
      <c r="B197" s="141" t="n"/>
      <c r="C197" s="25" t="n"/>
      <c r="D197" s="25" t="n"/>
      <c r="E197" s="25" t="n"/>
      <c r="F197" s="25" t="n"/>
      <c r="G197" s="25" t="n"/>
      <c r="H197" s="25" t="n"/>
      <c r="I197" s="25" t="n"/>
      <c r="J197" s="25" t="n"/>
      <c r="K197" s="139" t="n"/>
      <c r="L197" s="139" t="n"/>
      <c r="M197" s="139" t="n"/>
      <c r="N197" s="139" t="n"/>
      <c r="O197" s="139" t="n"/>
      <c r="P197" s="139" t="n"/>
      <c r="Q197" s="139" t="n"/>
      <c r="R197" s="142">
        <f>IF(COUNT($K197:$Q197)&lt;7,"",ROUND(($K197*'配置项'!$C$6+$L197*'配置项'!$C$7+$M197*'配置项'!$C$8+$N197*'配置项'!$C$9+$O197*'配置项'!$C$10+$P197*'配置项'!$C$11+$Q197*'配置项'!$C$12)*20,1))</f>
        <v/>
      </c>
      <c r="S197" s="25">
        <f>IF($R197="","",IF($R197&gt;='配置项'!$G$6,"优秀",IF($R197&gt;='配置项'!$G$7,"良好",IF($R197&gt;='配置项'!$G$8,"需关注","不合格"))))</f>
        <v/>
      </c>
      <c r="T197" s="25" t="n"/>
      <c r="U197" s="25" t="n"/>
      <c r="V197" s="28" t="n"/>
      <c r="W197" s="28" t="n"/>
      <c r="X197" s="25" t="n"/>
      <c r="Y197" s="25" t="n"/>
    </row>
    <row r="198" ht="24" customHeight="1">
      <c r="A198" s="25">
        <f>IF($B198="","","SQ-"&amp;TEXT(ROW()-4,"0000"))</f>
        <v/>
      </c>
      <c r="B198" s="141" t="n"/>
      <c r="C198" s="25" t="n"/>
      <c r="D198" s="25" t="n"/>
      <c r="E198" s="25" t="n"/>
      <c r="F198" s="25" t="n"/>
      <c r="G198" s="25" t="n"/>
      <c r="H198" s="25" t="n"/>
      <c r="I198" s="25" t="n"/>
      <c r="J198" s="25" t="n"/>
      <c r="K198" s="139" t="n"/>
      <c r="L198" s="139" t="n"/>
      <c r="M198" s="139" t="n"/>
      <c r="N198" s="139" t="n"/>
      <c r="O198" s="139" t="n"/>
      <c r="P198" s="139" t="n"/>
      <c r="Q198" s="139" t="n"/>
      <c r="R198" s="142">
        <f>IF(COUNT($K198:$Q198)&lt;7,"",ROUND(($K198*'配置项'!$C$6+$L198*'配置项'!$C$7+$M198*'配置项'!$C$8+$N198*'配置项'!$C$9+$O198*'配置项'!$C$10+$P198*'配置项'!$C$11+$Q198*'配置项'!$C$12)*20,1))</f>
        <v/>
      </c>
      <c r="S198" s="25">
        <f>IF($R198="","",IF($R198&gt;='配置项'!$G$6,"优秀",IF($R198&gt;='配置项'!$G$7,"良好",IF($R198&gt;='配置项'!$G$8,"需关注","不合格"))))</f>
        <v/>
      </c>
      <c r="T198" s="25" t="n"/>
      <c r="U198" s="25" t="n"/>
      <c r="V198" s="28" t="n"/>
      <c r="W198" s="28" t="n"/>
      <c r="X198" s="25" t="n"/>
      <c r="Y198" s="25" t="n"/>
    </row>
    <row r="199" ht="24" customHeight="1">
      <c r="A199" s="25">
        <f>IF($B199="","","SQ-"&amp;TEXT(ROW()-4,"0000"))</f>
        <v/>
      </c>
      <c r="B199" s="141" t="n"/>
      <c r="C199" s="25" t="n"/>
      <c r="D199" s="25" t="n"/>
      <c r="E199" s="25" t="n"/>
      <c r="F199" s="25" t="n"/>
      <c r="G199" s="25" t="n"/>
      <c r="H199" s="25" t="n"/>
      <c r="I199" s="25" t="n"/>
      <c r="J199" s="25" t="n"/>
      <c r="K199" s="139" t="n"/>
      <c r="L199" s="139" t="n"/>
      <c r="M199" s="139" t="n"/>
      <c r="N199" s="139" t="n"/>
      <c r="O199" s="139" t="n"/>
      <c r="P199" s="139" t="n"/>
      <c r="Q199" s="139" t="n"/>
      <c r="R199" s="142">
        <f>IF(COUNT($K199:$Q199)&lt;7,"",ROUND(($K199*'配置项'!$C$6+$L199*'配置项'!$C$7+$M199*'配置项'!$C$8+$N199*'配置项'!$C$9+$O199*'配置项'!$C$10+$P199*'配置项'!$C$11+$Q199*'配置项'!$C$12)*20,1))</f>
        <v/>
      </c>
      <c r="S199" s="25">
        <f>IF($R199="","",IF($R199&gt;='配置项'!$G$6,"优秀",IF($R199&gt;='配置项'!$G$7,"良好",IF($R199&gt;='配置项'!$G$8,"需关注","不合格"))))</f>
        <v/>
      </c>
      <c r="T199" s="25" t="n"/>
      <c r="U199" s="25" t="n"/>
      <c r="V199" s="28" t="n"/>
      <c r="W199" s="28" t="n"/>
      <c r="X199" s="25" t="n"/>
      <c r="Y199" s="25" t="n"/>
    </row>
    <row r="200" ht="24" customHeight="1">
      <c r="A200" s="25">
        <f>IF($B200="","","SQ-"&amp;TEXT(ROW()-4,"0000"))</f>
        <v/>
      </c>
      <c r="B200" s="141" t="n"/>
      <c r="C200" s="25" t="n"/>
      <c r="D200" s="25" t="n"/>
      <c r="E200" s="25" t="n"/>
      <c r="F200" s="25" t="n"/>
      <c r="G200" s="25" t="n"/>
      <c r="H200" s="25" t="n"/>
      <c r="I200" s="25" t="n"/>
      <c r="J200" s="25" t="n"/>
      <c r="K200" s="139" t="n"/>
      <c r="L200" s="139" t="n"/>
      <c r="M200" s="139" t="n"/>
      <c r="N200" s="139" t="n"/>
      <c r="O200" s="139" t="n"/>
      <c r="P200" s="139" t="n"/>
      <c r="Q200" s="139" t="n"/>
      <c r="R200" s="142">
        <f>IF(COUNT($K200:$Q200)&lt;7,"",ROUND(($K200*'配置项'!$C$6+$L200*'配置项'!$C$7+$M200*'配置项'!$C$8+$N200*'配置项'!$C$9+$O200*'配置项'!$C$10+$P200*'配置项'!$C$11+$Q200*'配置项'!$C$12)*20,1))</f>
        <v/>
      </c>
      <c r="S200" s="25">
        <f>IF($R200="","",IF($R200&gt;='配置项'!$G$6,"优秀",IF($R200&gt;='配置项'!$G$7,"良好",IF($R200&gt;='配置项'!$G$8,"需关注","不合格"))))</f>
        <v/>
      </c>
      <c r="T200" s="25" t="n"/>
      <c r="U200" s="25" t="n"/>
      <c r="V200" s="28" t="n"/>
      <c r="W200" s="28" t="n"/>
      <c r="X200" s="25" t="n"/>
      <c r="Y200" s="25" t="n"/>
    </row>
    <row r="201" ht="24" customHeight="1">
      <c r="A201" s="25">
        <f>IF($B201="","","SQ-"&amp;TEXT(ROW()-4,"0000"))</f>
        <v/>
      </c>
      <c r="B201" s="141" t="n"/>
      <c r="C201" s="25" t="n"/>
      <c r="D201" s="25" t="n"/>
      <c r="E201" s="25" t="n"/>
      <c r="F201" s="25" t="n"/>
      <c r="G201" s="25" t="n"/>
      <c r="H201" s="25" t="n"/>
      <c r="I201" s="25" t="n"/>
      <c r="J201" s="25" t="n"/>
      <c r="K201" s="139" t="n"/>
      <c r="L201" s="139" t="n"/>
      <c r="M201" s="139" t="n"/>
      <c r="N201" s="139" t="n"/>
      <c r="O201" s="139" t="n"/>
      <c r="P201" s="139" t="n"/>
      <c r="Q201" s="139" t="n"/>
      <c r="R201" s="142">
        <f>IF(COUNT($K201:$Q201)&lt;7,"",ROUND(($K201*'配置项'!$C$6+$L201*'配置项'!$C$7+$M201*'配置项'!$C$8+$N201*'配置项'!$C$9+$O201*'配置项'!$C$10+$P201*'配置项'!$C$11+$Q201*'配置项'!$C$12)*20,1))</f>
        <v/>
      </c>
      <c r="S201" s="25">
        <f>IF($R201="","",IF($R201&gt;='配置项'!$G$6,"优秀",IF($R201&gt;='配置项'!$G$7,"良好",IF($R201&gt;='配置项'!$G$8,"需关注","不合格"))))</f>
        <v/>
      </c>
      <c r="T201" s="25" t="n"/>
      <c r="U201" s="25" t="n"/>
      <c r="V201" s="28" t="n"/>
      <c r="W201" s="28" t="n"/>
      <c r="X201" s="25" t="n"/>
      <c r="Y201" s="25" t="n"/>
    </row>
    <row r="202" ht="24" customHeight="1">
      <c r="A202" s="25">
        <f>IF($B202="","","SQ-"&amp;TEXT(ROW()-4,"0000"))</f>
        <v/>
      </c>
      <c r="B202" s="141" t="n"/>
      <c r="C202" s="25" t="n"/>
      <c r="D202" s="25" t="n"/>
      <c r="E202" s="25" t="n"/>
      <c r="F202" s="25" t="n"/>
      <c r="G202" s="25" t="n"/>
      <c r="H202" s="25" t="n"/>
      <c r="I202" s="25" t="n"/>
      <c r="J202" s="25" t="n"/>
      <c r="K202" s="139" t="n"/>
      <c r="L202" s="139" t="n"/>
      <c r="M202" s="139" t="n"/>
      <c r="N202" s="139" t="n"/>
      <c r="O202" s="139" t="n"/>
      <c r="P202" s="139" t="n"/>
      <c r="Q202" s="139" t="n"/>
      <c r="R202" s="142">
        <f>IF(COUNT($K202:$Q202)&lt;7,"",ROUND(($K202*'配置项'!$C$6+$L202*'配置项'!$C$7+$M202*'配置项'!$C$8+$N202*'配置项'!$C$9+$O202*'配置项'!$C$10+$P202*'配置项'!$C$11+$Q202*'配置项'!$C$12)*20,1))</f>
        <v/>
      </c>
      <c r="S202" s="25">
        <f>IF($R202="","",IF($R202&gt;='配置项'!$G$6,"优秀",IF($R202&gt;='配置项'!$G$7,"良好",IF($R202&gt;='配置项'!$G$8,"需关注","不合格"))))</f>
        <v/>
      </c>
      <c r="T202" s="25" t="n"/>
      <c r="U202" s="25" t="n"/>
      <c r="V202" s="28" t="n"/>
      <c r="W202" s="28" t="n"/>
      <c r="X202" s="25" t="n"/>
      <c r="Y202" s="25" t="n"/>
    </row>
    <row r="203" ht="24" customHeight="1">
      <c r="A203" s="25">
        <f>IF($B203="","","SQ-"&amp;TEXT(ROW()-4,"0000"))</f>
        <v/>
      </c>
      <c r="B203" s="141" t="n"/>
      <c r="C203" s="25" t="n"/>
      <c r="D203" s="25" t="n"/>
      <c r="E203" s="25" t="n"/>
      <c r="F203" s="25" t="n"/>
      <c r="G203" s="25" t="n"/>
      <c r="H203" s="25" t="n"/>
      <c r="I203" s="25" t="n"/>
      <c r="J203" s="25" t="n"/>
      <c r="K203" s="139" t="n"/>
      <c r="L203" s="139" t="n"/>
      <c r="M203" s="139" t="n"/>
      <c r="N203" s="139" t="n"/>
      <c r="O203" s="139" t="n"/>
      <c r="P203" s="139" t="n"/>
      <c r="Q203" s="139" t="n"/>
      <c r="R203" s="142">
        <f>IF(COUNT($K203:$Q203)&lt;7,"",ROUND(($K203*'配置项'!$C$6+$L203*'配置项'!$C$7+$M203*'配置项'!$C$8+$N203*'配置项'!$C$9+$O203*'配置项'!$C$10+$P203*'配置项'!$C$11+$Q203*'配置项'!$C$12)*20,1))</f>
        <v/>
      </c>
      <c r="S203" s="25">
        <f>IF($R203="","",IF($R203&gt;='配置项'!$G$6,"优秀",IF($R203&gt;='配置项'!$G$7,"良好",IF($R203&gt;='配置项'!$G$8,"需关注","不合格"))))</f>
        <v/>
      </c>
      <c r="T203" s="25" t="n"/>
      <c r="U203" s="25" t="n"/>
      <c r="V203" s="28" t="n"/>
      <c r="W203" s="28" t="n"/>
      <c r="X203" s="25" t="n"/>
      <c r="Y203" s="25" t="n"/>
    </row>
    <row r="204" ht="24" customHeight="1">
      <c r="A204" s="25">
        <f>IF($B204="","","SQ-"&amp;TEXT(ROW()-4,"0000"))</f>
        <v/>
      </c>
      <c r="B204" s="141" t="n"/>
      <c r="C204" s="25" t="n"/>
      <c r="D204" s="25" t="n"/>
      <c r="E204" s="25" t="n"/>
      <c r="F204" s="25" t="n"/>
      <c r="G204" s="25" t="n"/>
      <c r="H204" s="25" t="n"/>
      <c r="I204" s="25" t="n"/>
      <c r="J204" s="25" t="n"/>
      <c r="K204" s="139" t="n"/>
      <c r="L204" s="139" t="n"/>
      <c r="M204" s="139" t="n"/>
      <c r="N204" s="139" t="n"/>
      <c r="O204" s="139" t="n"/>
      <c r="P204" s="139" t="n"/>
      <c r="Q204" s="139" t="n"/>
      <c r="R204" s="142">
        <f>IF(COUNT($K204:$Q204)&lt;7,"",ROUND(($K204*'配置项'!$C$6+$L204*'配置项'!$C$7+$M204*'配置项'!$C$8+$N204*'配置项'!$C$9+$O204*'配置项'!$C$10+$P204*'配置项'!$C$11+$Q204*'配置项'!$C$12)*20,1))</f>
        <v/>
      </c>
      <c r="S204" s="25">
        <f>IF($R204="","",IF($R204&gt;='配置项'!$G$6,"优秀",IF($R204&gt;='配置项'!$G$7,"良好",IF($R204&gt;='配置项'!$G$8,"需关注","不合格"))))</f>
        <v/>
      </c>
      <c r="T204" s="25" t="n"/>
      <c r="U204" s="25" t="n"/>
      <c r="V204" s="28" t="n"/>
      <c r="W204" s="28" t="n"/>
      <c r="X204" s="25" t="n"/>
      <c r="Y204" s="25" t="n"/>
    </row>
    <row r="205" ht="24" customHeight="1">
      <c r="A205" s="25">
        <f>IF($B205="","","SQ-"&amp;TEXT(ROW()-4,"0000"))</f>
        <v/>
      </c>
      <c r="B205" s="141" t="n"/>
      <c r="C205" s="25" t="n"/>
      <c r="D205" s="25" t="n"/>
      <c r="E205" s="25" t="n"/>
      <c r="F205" s="25" t="n"/>
      <c r="G205" s="25" t="n"/>
      <c r="H205" s="25" t="n"/>
      <c r="I205" s="25" t="n"/>
      <c r="J205" s="25" t="n"/>
      <c r="K205" s="139" t="n"/>
      <c r="L205" s="139" t="n"/>
      <c r="M205" s="139" t="n"/>
      <c r="N205" s="139" t="n"/>
      <c r="O205" s="139" t="n"/>
      <c r="P205" s="139" t="n"/>
      <c r="Q205" s="139" t="n"/>
      <c r="R205" s="142">
        <f>IF(COUNT($K205:$Q205)&lt;7,"",ROUND(($K205*'配置项'!$C$6+$L205*'配置项'!$C$7+$M205*'配置项'!$C$8+$N205*'配置项'!$C$9+$O205*'配置项'!$C$10+$P205*'配置项'!$C$11+$Q205*'配置项'!$C$12)*20,1))</f>
        <v/>
      </c>
      <c r="S205" s="25">
        <f>IF($R205="","",IF($R205&gt;='配置项'!$G$6,"优秀",IF($R205&gt;='配置项'!$G$7,"良好",IF($R205&gt;='配置项'!$G$8,"需关注","不合格"))))</f>
        <v/>
      </c>
      <c r="T205" s="25" t="n"/>
      <c r="U205" s="25" t="n"/>
      <c r="V205" s="28" t="n"/>
      <c r="W205" s="28" t="n"/>
      <c r="X205" s="25" t="n"/>
      <c r="Y205" s="25" t="n"/>
    </row>
    <row r="206" ht="24" customHeight="1">
      <c r="A206" s="25">
        <f>IF($B206="","","SQ-"&amp;TEXT(ROW()-4,"0000"))</f>
        <v/>
      </c>
      <c r="B206" s="141" t="n"/>
      <c r="C206" s="25" t="n"/>
      <c r="D206" s="25" t="n"/>
      <c r="E206" s="25" t="n"/>
      <c r="F206" s="25" t="n"/>
      <c r="G206" s="25" t="n"/>
      <c r="H206" s="25" t="n"/>
      <c r="I206" s="25" t="n"/>
      <c r="J206" s="25" t="n"/>
      <c r="K206" s="139" t="n"/>
      <c r="L206" s="139" t="n"/>
      <c r="M206" s="139" t="n"/>
      <c r="N206" s="139" t="n"/>
      <c r="O206" s="139" t="n"/>
      <c r="P206" s="139" t="n"/>
      <c r="Q206" s="139" t="n"/>
      <c r="R206" s="142">
        <f>IF(COUNT($K206:$Q206)&lt;7,"",ROUND(($K206*'配置项'!$C$6+$L206*'配置项'!$C$7+$M206*'配置项'!$C$8+$N206*'配置项'!$C$9+$O206*'配置项'!$C$10+$P206*'配置项'!$C$11+$Q206*'配置项'!$C$12)*20,1))</f>
        <v/>
      </c>
      <c r="S206" s="25">
        <f>IF($R206="","",IF($R206&gt;='配置项'!$G$6,"优秀",IF($R206&gt;='配置项'!$G$7,"良好",IF($R206&gt;='配置项'!$G$8,"需关注","不合格"))))</f>
        <v/>
      </c>
      <c r="T206" s="25" t="n"/>
      <c r="U206" s="25" t="n"/>
      <c r="V206" s="28" t="n"/>
      <c r="W206" s="28" t="n"/>
      <c r="X206" s="25" t="n"/>
      <c r="Y206" s="25" t="n"/>
    </row>
    <row r="207" ht="24" customHeight="1">
      <c r="A207" s="25">
        <f>IF($B207="","","SQ-"&amp;TEXT(ROW()-4,"0000"))</f>
        <v/>
      </c>
      <c r="B207" s="141" t="n"/>
      <c r="C207" s="25" t="n"/>
      <c r="D207" s="25" t="n"/>
      <c r="E207" s="25" t="n"/>
      <c r="F207" s="25" t="n"/>
      <c r="G207" s="25" t="n"/>
      <c r="H207" s="25" t="n"/>
      <c r="I207" s="25" t="n"/>
      <c r="J207" s="25" t="n"/>
      <c r="K207" s="139" t="n"/>
      <c r="L207" s="139" t="n"/>
      <c r="M207" s="139" t="n"/>
      <c r="N207" s="139" t="n"/>
      <c r="O207" s="139" t="n"/>
      <c r="P207" s="139" t="n"/>
      <c r="Q207" s="139" t="n"/>
      <c r="R207" s="142">
        <f>IF(COUNT($K207:$Q207)&lt;7,"",ROUND(($K207*'配置项'!$C$6+$L207*'配置项'!$C$7+$M207*'配置项'!$C$8+$N207*'配置项'!$C$9+$O207*'配置项'!$C$10+$P207*'配置项'!$C$11+$Q207*'配置项'!$C$12)*20,1))</f>
        <v/>
      </c>
      <c r="S207" s="25">
        <f>IF($R207="","",IF($R207&gt;='配置项'!$G$6,"优秀",IF($R207&gt;='配置项'!$G$7,"良好",IF($R207&gt;='配置项'!$G$8,"需关注","不合格"))))</f>
        <v/>
      </c>
      <c r="T207" s="25" t="n"/>
      <c r="U207" s="25" t="n"/>
      <c r="V207" s="28" t="n"/>
      <c r="W207" s="28" t="n"/>
      <c r="X207" s="25" t="n"/>
      <c r="Y207" s="25" t="n"/>
    </row>
    <row r="208" ht="24" customHeight="1">
      <c r="A208" s="25">
        <f>IF($B208="","","SQ-"&amp;TEXT(ROW()-4,"0000"))</f>
        <v/>
      </c>
      <c r="B208" s="141" t="n"/>
      <c r="C208" s="25" t="n"/>
      <c r="D208" s="25" t="n"/>
      <c r="E208" s="25" t="n"/>
      <c r="F208" s="25" t="n"/>
      <c r="G208" s="25" t="n"/>
      <c r="H208" s="25" t="n"/>
      <c r="I208" s="25" t="n"/>
      <c r="J208" s="25" t="n"/>
      <c r="K208" s="139" t="n"/>
      <c r="L208" s="139" t="n"/>
      <c r="M208" s="139" t="n"/>
      <c r="N208" s="139" t="n"/>
      <c r="O208" s="139" t="n"/>
      <c r="P208" s="139" t="n"/>
      <c r="Q208" s="139" t="n"/>
      <c r="R208" s="142">
        <f>IF(COUNT($K208:$Q208)&lt;7,"",ROUND(($K208*'配置项'!$C$6+$L208*'配置项'!$C$7+$M208*'配置项'!$C$8+$N208*'配置项'!$C$9+$O208*'配置项'!$C$10+$P208*'配置项'!$C$11+$Q208*'配置项'!$C$12)*20,1))</f>
        <v/>
      </c>
      <c r="S208" s="25">
        <f>IF($R208="","",IF($R208&gt;='配置项'!$G$6,"优秀",IF($R208&gt;='配置项'!$G$7,"良好",IF($R208&gt;='配置项'!$G$8,"需关注","不合格"))))</f>
        <v/>
      </c>
      <c r="T208" s="25" t="n"/>
      <c r="U208" s="25" t="n"/>
      <c r="V208" s="28" t="n"/>
      <c r="W208" s="28" t="n"/>
      <c r="X208" s="25" t="n"/>
      <c r="Y208" s="25" t="n"/>
    </row>
    <row r="209" ht="24" customHeight="1">
      <c r="A209" s="25">
        <f>IF($B209="","","SQ-"&amp;TEXT(ROW()-4,"0000"))</f>
        <v/>
      </c>
      <c r="B209" s="141" t="n"/>
      <c r="C209" s="25" t="n"/>
      <c r="D209" s="25" t="n"/>
      <c r="E209" s="25" t="n"/>
      <c r="F209" s="25" t="n"/>
      <c r="G209" s="25" t="n"/>
      <c r="H209" s="25" t="n"/>
      <c r="I209" s="25" t="n"/>
      <c r="J209" s="25" t="n"/>
      <c r="K209" s="139" t="n"/>
      <c r="L209" s="139" t="n"/>
      <c r="M209" s="139" t="n"/>
      <c r="N209" s="139" t="n"/>
      <c r="O209" s="139" t="n"/>
      <c r="P209" s="139" t="n"/>
      <c r="Q209" s="139" t="n"/>
      <c r="R209" s="142">
        <f>IF(COUNT($K209:$Q209)&lt;7,"",ROUND(($K209*'配置项'!$C$6+$L209*'配置项'!$C$7+$M209*'配置项'!$C$8+$N209*'配置项'!$C$9+$O209*'配置项'!$C$10+$P209*'配置项'!$C$11+$Q209*'配置项'!$C$12)*20,1))</f>
        <v/>
      </c>
      <c r="S209" s="25">
        <f>IF($R209="","",IF($R209&gt;='配置项'!$G$6,"优秀",IF($R209&gt;='配置项'!$G$7,"良好",IF($R209&gt;='配置项'!$G$8,"需关注","不合格"))))</f>
        <v/>
      </c>
      <c r="T209" s="25" t="n"/>
      <c r="U209" s="25" t="n"/>
      <c r="V209" s="28" t="n"/>
      <c r="W209" s="28" t="n"/>
      <c r="X209" s="25" t="n"/>
      <c r="Y209" s="25" t="n"/>
    </row>
    <row r="210" ht="24" customHeight="1">
      <c r="A210" s="25">
        <f>IF($B210="","","SQ-"&amp;TEXT(ROW()-4,"0000"))</f>
        <v/>
      </c>
      <c r="B210" s="141" t="n"/>
      <c r="C210" s="25" t="n"/>
      <c r="D210" s="25" t="n"/>
      <c r="E210" s="25" t="n"/>
      <c r="F210" s="25" t="n"/>
      <c r="G210" s="25" t="n"/>
      <c r="H210" s="25" t="n"/>
      <c r="I210" s="25" t="n"/>
      <c r="J210" s="25" t="n"/>
      <c r="K210" s="139" t="n"/>
      <c r="L210" s="139" t="n"/>
      <c r="M210" s="139" t="n"/>
      <c r="N210" s="139" t="n"/>
      <c r="O210" s="139" t="n"/>
      <c r="P210" s="139" t="n"/>
      <c r="Q210" s="139" t="n"/>
      <c r="R210" s="142">
        <f>IF(COUNT($K210:$Q210)&lt;7,"",ROUND(($K210*'配置项'!$C$6+$L210*'配置项'!$C$7+$M210*'配置项'!$C$8+$N210*'配置项'!$C$9+$O210*'配置项'!$C$10+$P210*'配置项'!$C$11+$Q210*'配置项'!$C$12)*20,1))</f>
        <v/>
      </c>
      <c r="S210" s="25">
        <f>IF($R210="","",IF($R210&gt;='配置项'!$G$6,"优秀",IF($R210&gt;='配置项'!$G$7,"良好",IF($R210&gt;='配置项'!$G$8,"需关注","不合格"))))</f>
        <v/>
      </c>
      <c r="T210" s="25" t="n"/>
      <c r="U210" s="25" t="n"/>
      <c r="V210" s="28" t="n"/>
      <c r="W210" s="28" t="n"/>
      <c r="X210" s="25" t="n"/>
      <c r="Y210" s="25" t="n"/>
    </row>
    <row r="211" ht="24" customHeight="1">
      <c r="A211" s="25">
        <f>IF($B211="","","SQ-"&amp;TEXT(ROW()-4,"0000"))</f>
        <v/>
      </c>
      <c r="B211" s="141" t="n"/>
      <c r="C211" s="25" t="n"/>
      <c r="D211" s="25" t="n"/>
      <c r="E211" s="25" t="n"/>
      <c r="F211" s="25" t="n"/>
      <c r="G211" s="25" t="n"/>
      <c r="H211" s="25" t="n"/>
      <c r="I211" s="25" t="n"/>
      <c r="J211" s="25" t="n"/>
      <c r="K211" s="139" t="n"/>
      <c r="L211" s="139" t="n"/>
      <c r="M211" s="139" t="n"/>
      <c r="N211" s="139" t="n"/>
      <c r="O211" s="139" t="n"/>
      <c r="P211" s="139" t="n"/>
      <c r="Q211" s="139" t="n"/>
      <c r="R211" s="142">
        <f>IF(COUNT($K211:$Q211)&lt;7,"",ROUND(($K211*'配置项'!$C$6+$L211*'配置项'!$C$7+$M211*'配置项'!$C$8+$N211*'配置项'!$C$9+$O211*'配置项'!$C$10+$P211*'配置项'!$C$11+$Q211*'配置项'!$C$12)*20,1))</f>
        <v/>
      </c>
      <c r="S211" s="25">
        <f>IF($R211="","",IF($R211&gt;='配置项'!$G$6,"优秀",IF($R211&gt;='配置项'!$G$7,"良好",IF($R211&gt;='配置项'!$G$8,"需关注","不合格"))))</f>
        <v/>
      </c>
      <c r="T211" s="25" t="n"/>
      <c r="U211" s="25" t="n"/>
      <c r="V211" s="28" t="n"/>
      <c r="W211" s="28" t="n"/>
      <c r="X211" s="25" t="n"/>
      <c r="Y211" s="25" t="n"/>
    </row>
    <row r="212" ht="24" customHeight="1">
      <c r="A212" s="25">
        <f>IF($B212="","","SQ-"&amp;TEXT(ROW()-4,"0000"))</f>
        <v/>
      </c>
      <c r="B212" s="141" t="n"/>
      <c r="C212" s="25" t="n"/>
      <c r="D212" s="25" t="n"/>
      <c r="E212" s="25" t="n"/>
      <c r="F212" s="25" t="n"/>
      <c r="G212" s="25" t="n"/>
      <c r="H212" s="25" t="n"/>
      <c r="I212" s="25" t="n"/>
      <c r="J212" s="25" t="n"/>
      <c r="K212" s="139" t="n"/>
      <c r="L212" s="139" t="n"/>
      <c r="M212" s="139" t="n"/>
      <c r="N212" s="139" t="n"/>
      <c r="O212" s="139" t="n"/>
      <c r="P212" s="139" t="n"/>
      <c r="Q212" s="139" t="n"/>
      <c r="R212" s="142">
        <f>IF(COUNT($K212:$Q212)&lt;7,"",ROUND(($K212*'配置项'!$C$6+$L212*'配置项'!$C$7+$M212*'配置项'!$C$8+$N212*'配置项'!$C$9+$O212*'配置项'!$C$10+$P212*'配置项'!$C$11+$Q212*'配置项'!$C$12)*20,1))</f>
        <v/>
      </c>
      <c r="S212" s="25">
        <f>IF($R212="","",IF($R212&gt;='配置项'!$G$6,"优秀",IF($R212&gt;='配置项'!$G$7,"良好",IF($R212&gt;='配置项'!$G$8,"需关注","不合格"))))</f>
        <v/>
      </c>
      <c r="T212" s="25" t="n"/>
      <c r="U212" s="25" t="n"/>
      <c r="V212" s="28" t="n"/>
      <c r="W212" s="28" t="n"/>
      <c r="X212" s="25" t="n"/>
      <c r="Y212" s="25" t="n"/>
    </row>
    <row r="213" ht="24" customHeight="1">
      <c r="A213" s="25">
        <f>IF($B213="","","SQ-"&amp;TEXT(ROW()-4,"0000"))</f>
        <v/>
      </c>
      <c r="B213" s="141" t="n"/>
      <c r="C213" s="25" t="n"/>
      <c r="D213" s="25" t="n"/>
      <c r="E213" s="25" t="n"/>
      <c r="F213" s="25" t="n"/>
      <c r="G213" s="25" t="n"/>
      <c r="H213" s="25" t="n"/>
      <c r="I213" s="25" t="n"/>
      <c r="J213" s="25" t="n"/>
      <c r="K213" s="139" t="n"/>
      <c r="L213" s="139" t="n"/>
      <c r="M213" s="139" t="n"/>
      <c r="N213" s="139" t="n"/>
      <c r="O213" s="139" t="n"/>
      <c r="P213" s="139" t="n"/>
      <c r="Q213" s="139" t="n"/>
      <c r="R213" s="142">
        <f>IF(COUNT($K213:$Q213)&lt;7,"",ROUND(($K213*'配置项'!$C$6+$L213*'配置项'!$C$7+$M213*'配置项'!$C$8+$N213*'配置项'!$C$9+$O213*'配置项'!$C$10+$P213*'配置项'!$C$11+$Q213*'配置项'!$C$12)*20,1))</f>
        <v/>
      </c>
      <c r="S213" s="25">
        <f>IF($R213="","",IF($R213&gt;='配置项'!$G$6,"优秀",IF($R213&gt;='配置项'!$G$7,"良好",IF($R213&gt;='配置项'!$G$8,"需关注","不合格"))))</f>
        <v/>
      </c>
      <c r="T213" s="25" t="n"/>
      <c r="U213" s="25" t="n"/>
      <c r="V213" s="28" t="n"/>
      <c r="W213" s="28" t="n"/>
      <c r="X213" s="25" t="n"/>
      <c r="Y213" s="25" t="n"/>
    </row>
    <row r="214" ht="24" customHeight="1">
      <c r="A214" s="25">
        <f>IF($B214="","","SQ-"&amp;TEXT(ROW()-4,"0000"))</f>
        <v/>
      </c>
      <c r="B214" s="141" t="n"/>
      <c r="C214" s="25" t="n"/>
      <c r="D214" s="25" t="n"/>
      <c r="E214" s="25" t="n"/>
      <c r="F214" s="25" t="n"/>
      <c r="G214" s="25" t="n"/>
      <c r="H214" s="25" t="n"/>
      <c r="I214" s="25" t="n"/>
      <c r="J214" s="25" t="n"/>
      <c r="K214" s="139" t="n"/>
      <c r="L214" s="139" t="n"/>
      <c r="M214" s="139" t="n"/>
      <c r="N214" s="139" t="n"/>
      <c r="O214" s="139" t="n"/>
      <c r="P214" s="139" t="n"/>
      <c r="Q214" s="139" t="n"/>
      <c r="R214" s="142">
        <f>IF(COUNT($K214:$Q214)&lt;7,"",ROUND(($K214*'配置项'!$C$6+$L214*'配置项'!$C$7+$M214*'配置项'!$C$8+$N214*'配置项'!$C$9+$O214*'配置项'!$C$10+$P214*'配置项'!$C$11+$Q214*'配置项'!$C$12)*20,1))</f>
        <v/>
      </c>
      <c r="S214" s="25">
        <f>IF($R214="","",IF($R214&gt;='配置项'!$G$6,"优秀",IF($R214&gt;='配置项'!$G$7,"良好",IF($R214&gt;='配置项'!$G$8,"需关注","不合格"))))</f>
        <v/>
      </c>
      <c r="T214" s="25" t="n"/>
      <c r="U214" s="25" t="n"/>
      <c r="V214" s="28" t="n"/>
      <c r="W214" s="28" t="n"/>
      <c r="X214" s="25" t="n"/>
      <c r="Y214" s="25" t="n"/>
    </row>
    <row r="215" ht="24" customHeight="1">
      <c r="A215" s="25">
        <f>IF($B215="","","SQ-"&amp;TEXT(ROW()-4,"0000"))</f>
        <v/>
      </c>
      <c r="B215" s="141" t="n"/>
      <c r="C215" s="25" t="n"/>
      <c r="D215" s="25" t="n"/>
      <c r="E215" s="25" t="n"/>
      <c r="F215" s="25" t="n"/>
      <c r="G215" s="25" t="n"/>
      <c r="H215" s="25" t="n"/>
      <c r="I215" s="25" t="n"/>
      <c r="J215" s="25" t="n"/>
      <c r="K215" s="139" t="n"/>
      <c r="L215" s="139" t="n"/>
      <c r="M215" s="139" t="n"/>
      <c r="N215" s="139" t="n"/>
      <c r="O215" s="139" t="n"/>
      <c r="P215" s="139" t="n"/>
      <c r="Q215" s="139" t="n"/>
      <c r="R215" s="142">
        <f>IF(COUNT($K215:$Q215)&lt;7,"",ROUND(($K215*'配置项'!$C$6+$L215*'配置项'!$C$7+$M215*'配置项'!$C$8+$N215*'配置项'!$C$9+$O215*'配置项'!$C$10+$P215*'配置项'!$C$11+$Q215*'配置项'!$C$12)*20,1))</f>
        <v/>
      </c>
      <c r="S215" s="25">
        <f>IF($R215="","",IF($R215&gt;='配置项'!$G$6,"优秀",IF($R215&gt;='配置项'!$G$7,"良好",IF($R215&gt;='配置项'!$G$8,"需关注","不合格"))))</f>
        <v/>
      </c>
      <c r="T215" s="25" t="n"/>
      <c r="U215" s="25" t="n"/>
      <c r="V215" s="28" t="n"/>
      <c r="W215" s="28" t="n"/>
      <c r="X215" s="25" t="n"/>
      <c r="Y215" s="25" t="n"/>
    </row>
    <row r="216" ht="24" customHeight="1">
      <c r="A216" s="25">
        <f>IF($B216="","","SQ-"&amp;TEXT(ROW()-4,"0000"))</f>
        <v/>
      </c>
      <c r="B216" s="141" t="n"/>
      <c r="C216" s="25" t="n"/>
      <c r="D216" s="25" t="n"/>
      <c r="E216" s="25" t="n"/>
      <c r="F216" s="25" t="n"/>
      <c r="G216" s="25" t="n"/>
      <c r="H216" s="25" t="n"/>
      <c r="I216" s="25" t="n"/>
      <c r="J216" s="25" t="n"/>
      <c r="K216" s="139" t="n"/>
      <c r="L216" s="139" t="n"/>
      <c r="M216" s="139" t="n"/>
      <c r="N216" s="139" t="n"/>
      <c r="O216" s="139" t="n"/>
      <c r="P216" s="139" t="n"/>
      <c r="Q216" s="139" t="n"/>
      <c r="R216" s="142">
        <f>IF(COUNT($K216:$Q216)&lt;7,"",ROUND(($K216*'配置项'!$C$6+$L216*'配置项'!$C$7+$M216*'配置项'!$C$8+$N216*'配置项'!$C$9+$O216*'配置项'!$C$10+$P216*'配置项'!$C$11+$Q216*'配置项'!$C$12)*20,1))</f>
        <v/>
      </c>
      <c r="S216" s="25">
        <f>IF($R216="","",IF($R216&gt;='配置项'!$G$6,"优秀",IF($R216&gt;='配置项'!$G$7,"良好",IF($R216&gt;='配置项'!$G$8,"需关注","不合格"))))</f>
        <v/>
      </c>
      <c r="T216" s="25" t="n"/>
      <c r="U216" s="25" t="n"/>
      <c r="V216" s="28" t="n"/>
      <c r="W216" s="28" t="n"/>
      <c r="X216" s="25" t="n"/>
      <c r="Y216" s="25" t="n"/>
    </row>
    <row r="217" ht="24" customHeight="1">
      <c r="A217" s="25">
        <f>IF($B217="","","SQ-"&amp;TEXT(ROW()-4,"0000"))</f>
        <v/>
      </c>
      <c r="B217" s="141" t="n"/>
      <c r="C217" s="25" t="n"/>
      <c r="D217" s="25" t="n"/>
      <c r="E217" s="25" t="n"/>
      <c r="F217" s="25" t="n"/>
      <c r="G217" s="25" t="n"/>
      <c r="H217" s="25" t="n"/>
      <c r="I217" s="25" t="n"/>
      <c r="J217" s="25" t="n"/>
      <c r="K217" s="139" t="n"/>
      <c r="L217" s="139" t="n"/>
      <c r="M217" s="139" t="n"/>
      <c r="N217" s="139" t="n"/>
      <c r="O217" s="139" t="n"/>
      <c r="P217" s="139" t="n"/>
      <c r="Q217" s="139" t="n"/>
      <c r="R217" s="142">
        <f>IF(COUNT($K217:$Q217)&lt;7,"",ROUND(($K217*'配置项'!$C$6+$L217*'配置项'!$C$7+$M217*'配置项'!$C$8+$N217*'配置项'!$C$9+$O217*'配置项'!$C$10+$P217*'配置项'!$C$11+$Q217*'配置项'!$C$12)*20,1))</f>
        <v/>
      </c>
      <c r="S217" s="25">
        <f>IF($R217="","",IF($R217&gt;='配置项'!$G$6,"优秀",IF($R217&gt;='配置项'!$G$7,"良好",IF($R217&gt;='配置项'!$G$8,"需关注","不合格"))))</f>
        <v/>
      </c>
      <c r="T217" s="25" t="n"/>
      <c r="U217" s="25" t="n"/>
      <c r="V217" s="28" t="n"/>
      <c r="W217" s="28" t="n"/>
      <c r="X217" s="25" t="n"/>
      <c r="Y217" s="25" t="n"/>
    </row>
    <row r="218" ht="24" customHeight="1">
      <c r="A218" s="25">
        <f>IF($B218="","","SQ-"&amp;TEXT(ROW()-4,"0000"))</f>
        <v/>
      </c>
      <c r="B218" s="141" t="n"/>
      <c r="C218" s="25" t="n"/>
      <c r="D218" s="25" t="n"/>
      <c r="E218" s="25" t="n"/>
      <c r="F218" s="25" t="n"/>
      <c r="G218" s="25" t="n"/>
      <c r="H218" s="25" t="n"/>
      <c r="I218" s="25" t="n"/>
      <c r="J218" s="25" t="n"/>
      <c r="K218" s="139" t="n"/>
      <c r="L218" s="139" t="n"/>
      <c r="M218" s="139" t="n"/>
      <c r="N218" s="139" t="n"/>
      <c r="O218" s="139" t="n"/>
      <c r="P218" s="139" t="n"/>
      <c r="Q218" s="139" t="n"/>
      <c r="R218" s="142">
        <f>IF(COUNT($K218:$Q218)&lt;7,"",ROUND(($K218*'配置项'!$C$6+$L218*'配置项'!$C$7+$M218*'配置项'!$C$8+$N218*'配置项'!$C$9+$O218*'配置项'!$C$10+$P218*'配置项'!$C$11+$Q218*'配置项'!$C$12)*20,1))</f>
        <v/>
      </c>
      <c r="S218" s="25">
        <f>IF($R218="","",IF($R218&gt;='配置项'!$G$6,"优秀",IF($R218&gt;='配置项'!$G$7,"良好",IF($R218&gt;='配置项'!$G$8,"需关注","不合格"))))</f>
        <v/>
      </c>
      <c r="T218" s="25" t="n"/>
      <c r="U218" s="25" t="n"/>
      <c r="V218" s="28" t="n"/>
      <c r="W218" s="28" t="n"/>
      <c r="X218" s="25" t="n"/>
      <c r="Y218" s="25" t="n"/>
    </row>
    <row r="219" ht="24" customHeight="1">
      <c r="A219" s="25">
        <f>IF($B219="","","SQ-"&amp;TEXT(ROW()-4,"0000"))</f>
        <v/>
      </c>
      <c r="B219" s="141" t="n"/>
      <c r="C219" s="25" t="n"/>
      <c r="D219" s="25" t="n"/>
      <c r="E219" s="25" t="n"/>
      <c r="F219" s="25" t="n"/>
      <c r="G219" s="25" t="n"/>
      <c r="H219" s="25" t="n"/>
      <c r="I219" s="25" t="n"/>
      <c r="J219" s="25" t="n"/>
      <c r="K219" s="139" t="n"/>
      <c r="L219" s="139" t="n"/>
      <c r="M219" s="139" t="n"/>
      <c r="N219" s="139" t="n"/>
      <c r="O219" s="139" t="n"/>
      <c r="P219" s="139" t="n"/>
      <c r="Q219" s="139" t="n"/>
      <c r="R219" s="142">
        <f>IF(COUNT($K219:$Q219)&lt;7,"",ROUND(($K219*'配置项'!$C$6+$L219*'配置项'!$C$7+$M219*'配置项'!$C$8+$N219*'配置项'!$C$9+$O219*'配置项'!$C$10+$P219*'配置项'!$C$11+$Q219*'配置项'!$C$12)*20,1))</f>
        <v/>
      </c>
      <c r="S219" s="25">
        <f>IF($R219="","",IF($R219&gt;='配置项'!$G$6,"优秀",IF($R219&gt;='配置项'!$G$7,"良好",IF($R219&gt;='配置项'!$G$8,"需关注","不合格"))))</f>
        <v/>
      </c>
      <c r="T219" s="25" t="n"/>
      <c r="U219" s="25" t="n"/>
      <c r="V219" s="28" t="n"/>
      <c r="W219" s="28" t="n"/>
      <c r="X219" s="25" t="n"/>
      <c r="Y219" s="25" t="n"/>
    </row>
    <row r="220" ht="24" customHeight="1">
      <c r="A220" s="25">
        <f>IF($B220="","","SQ-"&amp;TEXT(ROW()-4,"0000"))</f>
        <v/>
      </c>
      <c r="B220" s="141" t="n"/>
      <c r="C220" s="25" t="n"/>
      <c r="D220" s="25" t="n"/>
      <c r="E220" s="25" t="n"/>
      <c r="F220" s="25" t="n"/>
      <c r="G220" s="25" t="n"/>
      <c r="H220" s="25" t="n"/>
      <c r="I220" s="25" t="n"/>
      <c r="J220" s="25" t="n"/>
      <c r="K220" s="139" t="n"/>
      <c r="L220" s="139" t="n"/>
      <c r="M220" s="139" t="n"/>
      <c r="N220" s="139" t="n"/>
      <c r="O220" s="139" t="n"/>
      <c r="P220" s="139" t="n"/>
      <c r="Q220" s="139" t="n"/>
      <c r="R220" s="142">
        <f>IF(COUNT($K220:$Q220)&lt;7,"",ROUND(($K220*'配置项'!$C$6+$L220*'配置项'!$C$7+$M220*'配置项'!$C$8+$N220*'配置项'!$C$9+$O220*'配置项'!$C$10+$P220*'配置项'!$C$11+$Q220*'配置项'!$C$12)*20,1))</f>
        <v/>
      </c>
      <c r="S220" s="25">
        <f>IF($R220="","",IF($R220&gt;='配置项'!$G$6,"优秀",IF($R220&gt;='配置项'!$G$7,"良好",IF($R220&gt;='配置项'!$G$8,"需关注","不合格"))))</f>
        <v/>
      </c>
      <c r="T220" s="25" t="n"/>
      <c r="U220" s="25" t="n"/>
      <c r="V220" s="28" t="n"/>
      <c r="W220" s="28" t="n"/>
      <c r="X220" s="25" t="n"/>
      <c r="Y220" s="25" t="n"/>
    </row>
    <row r="221" ht="24" customHeight="1">
      <c r="A221" s="25">
        <f>IF($B221="","","SQ-"&amp;TEXT(ROW()-4,"0000"))</f>
        <v/>
      </c>
      <c r="B221" s="141" t="n"/>
      <c r="C221" s="25" t="n"/>
      <c r="D221" s="25" t="n"/>
      <c r="E221" s="25" t="n"/>
      <c r="F221" s="25" t="n"/>
      <c r="G221" s="25" t="n"/>
      <c r="H221" s="25" t="n"/>
      <c r="I221" s="25" t="n"/>
      <c r="J221" s="25" t="n"/>
      <c r="K221" s="139" t="n"/>
      <c r="L221" s="139" t="n"/>
      <c r="M221" s="139" t="n"/>
      <c r="N221" s="139" t="n"/>
      <c r="O221" s="139" t="n"/>
      <c r="P221" s="139" t="n"/>
      <c r="Q221" s="139" t="n"/>
      <c r="R221" s="142">
        <f>IF(COUNT($K221:$Q221)&lt;7,"",ROUND(($K221*'配置项'!$C$6+$L221*'配置项'!$C$7+$M221*'配置项'!$C$8+$N221*'配置项'!$C$9+$O221*'配置项'!$C$10+$P221*'配置项'!$C$11+$Q221*'配置项'!$C$12)*20,1))</f>
        <v/>
      </c>
      <c r="S221" s="25">
        <f>IF($R221="","",IF($R221&gt;='配置项'!$G$6,"优秀",IF($R221&gt;='配置项'!$G$7,"良好",IF($R221&gt;='配置项'!$G$8,"需关注","不合格"))))</f>
        <v/>
      </c>
      <c r="T221" s="25" t="n"/>
      <c r="U221" s="25" t="n"/>
      <c r="V221" s="28" t="n"/>
      <c r="W221" s="28" t="n"/>
      <c r="X221" s="25" t="n"/>
      <c r="Y221" s="25" t="n"/>
    </row>
    <row r="222" ht="24" customHeight="1">
      <c r="A222" s="25">
        <f>IF($B222="","","SQ-"&amp;TEXT(ROW()-4,"0000"))</f>
        <v/>
      </c>
      <c r="B222" s="141" t="n"/>
      <c r="C222" s="25" t="n"/>
      <c r="D222" s="25" t="n"/>
      <c r="E222" s="25" t="n"/>
      <c r="F222" s="25" t="n"/>
      <c r="G222" s="25" t="n"/>
      <c r="H222" s="25" t="n"/>
      <c r="I222" s="25" t="n"/>
      <c r="J222" s="25" t="n"/>
      <c r="K222" s="139" t="n"/>
      <c r="L222" s="139" t="n"/>
      <c r="M222" s="139" t="n"/>
      <c r="N222" s="139" t="n"/>
      <c r="O222" s="139" t="n"/>
      <c r="P222" s="139" t="n"/>
      <c r="Q222" s="139" t="n"/>
      <c r="R222" s="142">
        <f>IF(COUNT($K222:$Q222)&lt;7,"",ROUND(($K222*'配置项'!$C$6+$L222*'配置项'!$C$7+$M222*'配置项'!$C$8+$N222*'配置项'!$C$9+$O222*'配置项'!$C$10+$P222*'配置项'!$C$11+$Q222*'配置项'!$C$12)*20,1))</f>
        <v/>
      </c>
      <c r="S222" s="25">
        <f>IF($R222="","",IF($R222&gt;='配置项'!$G$6,"优秀",IF($R222&gt;='配置项'!$G$7,"良好",IF($R222&gt;='配置项'!$G$8,"需关注","不合格"))))</f>
        <v/>
      </c>
      <c r="T222" s="25" t="n"/>
      <c r="U222" s="25" t="n"/>
      <c r="V222" s="28" t="n"/>
      <c r="W222" s="28" t="n"/>
      <c r="X222" s="25" t="n"/>
      <c r="Y222" s="25" t="n"/>
    </row>
    <row r="223" ht="24" customHeight="1">
      <c r="A223" s="25">
        <f>IF($B223="","","SQ-"&amp;TEXT(ROW()-4,"0000"))</f>
        <v/>
      </c>
      <c r="B223" s="141" t="n"/>
      <c r="C223" s="25" t="n"/>
      <c r="D223" s="25" t="n"/>
      <c r="E223" s="25" t="n"/>
      <c r="F223" s="25" t="n"/>
      <c r="G223" s="25" t="n"/>
      <c r="H223" s="25" t="n"/>
      <c r="I223" s="25" t="n"/>
      <c r="J223" s="25" t="n"/>
      <c r="K223" s="139" t="n"/>
      <c r="L223" s="139" t="n"/>
      <c r="M223" s="139" t="n"/>
      <c r="N223" s="139" t="n"/>
      <c r="O223" s="139" t="n"/>
      <c r="P223" s="139" t="n"/>
      <c r="Q223" s="139" t="n"/>
      <c r="R223" s="142">
        <f>IF(COUNT($K223:$Q223)&lt;7,"",ROUND(($K223*'配置项'!$C$6+$L223*'配置项'!$C$7+$M223*'配置项'!$C$8+$N223*'配置项'!$C$9+$O223*'配置项'!$C$10+$P223*'配置项'!$C$11+$Q223*'配置项'!$C$12)*20,1))</f>
        <v/>
      </c>
      <c r="S223" s="25">
        <f>IF($R223="","",IF($R223&gt;='配置项'!$G$6,"优秀",IF($R223&gt;='配置项'!$G$7,"良好",IF($R223&gt;='配置项'!$G$8,"需关注","不合格"))))</f>
        <v/>
      </c>
      <c r="T223" s="25" t="n"/>
      <c r="U223" s="25" t="n"/>
      <c r="V223" s="28" t="n"/>
      <c r="W223" s="28" t="n"/>
      <c r="X223" s="25" t="n"/>
      <c r="Y223" s="25" t="n"/>
    </row>
    <row r="224" ht="24" customHeight="1">
      <c r="A224" s="25">
        <f>IF($B224="","","SQ-"&amp;TEXT(ROW()-4,"0000"))</f>
        <v/>
      </c>
      <c r="B224" s="141" t="n"/>
      <c r="C224" s="25" t="n"/>
      <c r="D224" s="25" t="n"/>
      <c r="E224" s="25" t="n"/>
      <c r="F224" s="25" t="n"/>
      <c r="G224" s="25" t="n"/>
      <c r="H224" s="25" t="n"/>
      <c r="I224" s="25" t="n"/>
      <c r="J224" s="25" t="n"/>
      <c r="K224" s="139" t="n"/>
      <c r="L224" s="139" t="n"/>
      <c r="M224" s="139" t="n"/>
      <c r="N224" s="139" t="n"/>
      <c r="O224" s="139" t="n"/>
      <c r="P224" s="139" t="n"/>
      <c r="Q224" s="139" t="n"/>
      <c r="R224" s="142">
        <f>IF(COUNT($K224:$Q224)&lt;7,"",ROUND(($K224*'配置项'!$C$6+$L224*'配置项'!$C$7+$M224*'配置项'!$C$8+$N224*'配置项'!$C$9+$O224*'配置项'!$C$10+$P224*'配置项'!$C$11+$Q224*'配置项'!$C$12)*20,1))</f>
        <v/>
      </c>
      <c r="S224" s="25">
        <f>IF($R224="","",IF($R224&gt;='配置项'!$G$6,"优秀",IF($R224&gt;='配置项'!$G$7,"良好",IF($R224&gt;='配置项'!$G$8,"需关注","不合格"))))</f>
        <v/>
      </c>
      <c r="T224" s="25" t="n"/>
      <c r="U224" s="25" t="n"/>
      <c r="V224" s="28" t="n"/>
      <c r="W224" s="28" t="n"/>
      <c r="X224" s="25" t="n"/>
      <c r="Y224" s="25" t="n"/>
    </row>
    <row r="225" ht="24" customHeight="1">
      <c r="A225" s="25">
        <f>IF($B225="","","SQ-"&amp;TEXT(ROW()-4,"0000"))</f>
        <v/>
      </c>
      <c r="B225" s="141" t="n"/>
      <c r="C225" s="25" t="n"/>
      <c r="D225" s="25" t="n"/>
      <c r="E225" s="25" t="n"/>
      <c r="F225" s="25" t="n"/>
      <c r="G225" s="25" t="n"/>
      <c r="H225" s="25" t="n"/>
      <c r="I225" s="25" t="n"/>
      <c r="J225" s="25" t="n"/>
      <c r="K225" s="139" t="n"/>
      <c r="L225" s="139" t="n"/>
      <c r="M225" s="139" t="n"/>
      <c r="N225" s="139" t="n"/>
      <c r="O225" s="139" t="n"/>
      <c r="P225" s="139" t="n"/>
      <c r="Q225" s="139" t="n"/>
      <c r="R225" s="142">
        <f>IF(COUNT($K225:$Q225)&lt;7,"",ROUND(($K225*'配置项'!$C$6+$L225*'配置项'!$C$7+$M225*'配置项'!$C$8+$N225*'配置项'!$C$9+$O225*'配置项'!$C$10+$P225*'配置项'!$C$11+$Q225*'配置项'!$C$12)*20,1))</f>
        <v/>
      </c>
      <c r="S225" s="25">
        <f>IF($R225="","",IF($R225&gt;='配置项'!$G$6,"优秀",IF($R225&gt;='配置项'!$G$7,"良好",IF($R225&gt;='配置项'!$G$8,"需关注","不合格"))))</f>
        <v/>
      </c>
      <c r="T225" s="25" t="n"/>
      <c r="U225" s="25" t="n"/>
      <c r="V225" s="28" t="n"/>
      <c r="W225" s="28" t="n"/>
      <c r="X225" s="25" t="n"/>
      <c r="Y225" s="25" t="n"/>
    </row>
    <row r="226" ht="24" customHeight="1">
      <c r="A226" s="25">
        <f>IF($B226="","","SQ-"&amp;TEXT(ROW()-4,"0000"))</f>
        <v/>
      </c>
      <c r="B226" s="141" t="n"/>
      <c r="C226" s="25" t="n"/>
      <c r="D226" s="25" t="n"/>
      <c r="E226" s="25" t="n"/>
      <c r="F226" s="25" t="n"/>
      <c r="G226" s="25" t="n"/>
      <c r="H226" s="25" t="n"/>
      <c r="I226" s="25" t="n"/>
      <c r="J226" s="25" t="n"/>
      <c r="K226" s="139" t="n"/>
      <c r="L226" s="139" t="n"/>
      <c r="M226" s="139" t="n"/>
      <c r="N226" s="139" t="n"/>
      <c r="O226" s="139" t="n"/>
      <c r="P226" s="139" t="n"/>
      <c r="Q226" s="139" t="n"/>
      <c r="R226" s="142">
        <f>IF(COUNT($K226:$Q226)&lt;7,"",ROUND(($K226*'配置项'!$C$6+$L226*'配置项'!$C$7+$M226*'配置项'!$C$8+$N226*'配置项'!$C$9+$O226*'配置项'!$C$10+$P226*'配置项'!$C$11+$Q226*'配置项'!$C$12)*20,1))</f>
        <v/>
      </c>
      <c r="S226" s="25">
        <f>IF($R226="","",IF($R226&gt;='配置项'!$G$6,"优秀",IF($R226&gt;='配置项'!$G$7,"良好",IF($R226&gt;='配置项'!$G$8,"需关注","不合格"))))</f>
        <v/>
      </c>
      <c r="T226" s="25" t="n"/>
      <c r="U226" s="25" t="n"/>
      <c r="V226" s="28" t="n"/>
      <c r="W226" s="28" t="n"/>
      <c r="X226" s="25" t="n"/>
      <c r="Y226" s="25" t="n"/>
    </row>
    <row r="227" ht="24" customHeight="1">
      <c r="A227" s="25">
        <f>IF($B227="","","SQ-"&amp;TEXT(ROW()-4,"0000"))</f>
        <v/>
      </c>
      <c r="B227" s="141" t="n"/>
      <c r="C227" s="25" t="n"/>
      <c r="D227" s="25" t="n"/>
      <c r="E227" s="25" t="n"/>
      <c r="F227" s="25" t="n"/>
      <c r="G227" s="25" t="n"/>
      <c r="H227" s="25" t="n"/>
      <c r="I227" s="25" t="n"/>
      <c r="J227" s="25" t="n"/>
      <c r="K227" s="139" t="n"/>
      <c r="L227" s="139" t="n"/>
      <c r="M227" s="139" t="n"/>
      <c r="N227" s="139" t="n"/>
      <c r="O227" s="139" t="n"/>
      <c r="P227" s="139" t="n"/>
      <c r="Q227" s="139" t="n"/>
      <c r="R227" s="142">
        <f>IF(COUNT($K227:$Q227)&lt;7,"",ROUND(($K227*'配置项'!$C$6+$L227*'配置项'!$C$7+$M227*'配置项'!$C$8+$N227*'配置项'!$C$9+$O227*'配置项'!$C$10+$P227*'配置项'!$C$11+$Q227*'配置项'!$C$12)*20,1))</f>
        <v/>
      </c>
      <c r="S227" s="25">
        <f>IF($R227="","",IF($R227&gt;='配置项'!$G$6,"优秀",IF($R227&gt;='配置项'!$G$7,"良好",IF($R227&gt;='配置项'!$G$8,"需关注","不合格"))))</f>
        <v/>
      </c>
      <c r="T227" s="25" t="n"/>
      <c r="U227" s="25" t="n"/>
      <c r="V227" s="28" t="n"/>
      <c r="W227" s="28" t="n"/>
      <c r="X227" s="25" t="n"/>
      <c r="Y227" s="25" t="n"/>
    </row>
    <row r="228" ht="24" customHeight="1">
      <c r="A228" s="25">
        <f>IF($B228="","","SQ-"&amp;TEXT(ROW()-4,"0000"))</f>
        <v/>
      </c>
      <c r="B228" s="141" t="n"/>
      <c r="C228" s="25" t="n"/>
      <c r="D228" s="25" t="n"/>
      <c r="E228" s="25" t="n"/>
      <c r="F228" s="25" t="n"/>
      <c r="G228" s="25" t="n"/>
      <c r="H228" s="25" t="n"/>
      <c r="I228" s="25" t="n"/>
      <c r="J228" s="25" t="n"/>
      <c r="K228" s="139" t="n"/>
      <c r="L228" s="139" t="n"/>
      <c r="M228" s="139" t="n"/>
      <c r="N228" s="139" t="n"/>
      <c r="O228" s="139" t="n"/>
      <c r="P228" s="139" t="n"/>
      <c r="Q228" s="139" t="n"/>
      <c r="R228" s="142">
        <f>IF(COUNT($K228:$Q228)&lt;7,"",ROUND(($K228*'配置项'!$C$6+$L228*'配置项'!$C$7+$M228*'配置项'!$C$8+$N228*'配置项'!$C$9+$O228*'配置项'!$C$10+$P228*'配置项'!$C$11+$Q228*'配置项'!$C$12)*20,1))</f>
        <v/>
      </c>
      <c r="S228" s="25">
        <f>IF($R228="","",IF($R228&gt;='配置项'!$G$6,"优秀",IF($R228&gt;='配置项'!$G$7,"良好",IF($R228&gt;='配置项'!$G$8,"需关注","不合格"))))</f>
        <v/>
      </c>
      <c r="T228" s="25" t="n"/>
      <c r="U228" s="25" t="n"/>
      <c r="V228" s="28" t="n"/>
      <c r="W228" s="28" t="n"/>
      <c r="X228" s="25" t="n"/>
      <c r="Y228" s="25" t="n"/>
    </row>
    <row r="229" ht="24" customHeight="1">
      <c r="A229" s="25">
        <f>IF($B229="","","SQ-"&amp;TEXT(ROW()-4,"0000"))</f>
        <v/>
      </c>
      <c r="B229" s="141" t="n"/>
      <c r="C229" s="25" t="n"/>
      <c r="D229" s="25" t="n"/>
      <c r="E229" s="25" t="n"/>
      <c r="F229" s="25" t="n"/>
      <c r="G229" s="25" t="n"/>
      <c r="H229" s="25" t="n"/>
      <c r="I229" s="25" t="n"/>
      <c r="J229" s="25" t="n"/>
      <c r="K229" s="139" t="n"/>
      <c r="L229" s="139" t="n"/>
      <c r="M229" s="139" t="n"/>
      <c r="N229" s="139" t="n"/>
      <c r="O229" s="139" t="n"/>
      <c r="P229" s="139" t="n"/>
      <c r="Q229" s="139" t="n"/>
      <c r="R229" s="142">
        <f>IF(COUNT($K229:$Q229)&lt;7,"",ROUND(($K229*'配置项'!$C$6+$L229*'配置项'!$C$7+$M229*'配置项'!$C$8+$N229*'配置项'!$C$9+$O229*'配置项'!$C$10+$P229*'配置项'!$C$11+$Q229*'配置项'!$C$12)*20,1))</f>
        <v/>
      </c>
      <c r="S229" s="25">
        <f>IF($R229="","",IF($R229&gt;='配置项'!$G$6,"优秀",IF($R229&gt;='配置项'!$G$7,"良好",IF($R229&gt;='配置项'!$G$8,"需关注","不合格"))))</f>
        <v/>
      </c>
      <c r="T229" s="25" t="n"/>
      <c r="U229" s="25" t="n"/>
      <c r="V229" s="28" t="n"/>
      <c r="W229" s="28" t="n"/>
      <c r="X229" s="25" t="n"/>
      <c r="Y229" s="25" t="n"/>
    </row>
    <row r="230" ht="24" customHeight="1">
      <c r="A230" s="25">
        <f>IF($B230="","","SQ-"&amp;TEXT(ROW()-4,"0000"))</f>
        <v/>
      </c>
      <c r="B230" s="141" t="n"/>
      <c r="C230" s="25" t="n"/>
      <c r="D230" s="25" t="n"/>
      <c r="E230" s="25" t="n"/>
      <c r="F230" s="25" t="n"/>
      <c r="G230" s="25" t="n"/>
      <c r="H230" s="25" t="n"/>
      <c r="I230" s="25" t="n"/>
      <c r="J230" s="25" t="n"/>
      <c r="K230" s="139" t="n"/>
      <c r="L230" s="139" t="n"/>
      <c r="M230" s="139" t="n"/>
      <c r="N230" s="139" t="n"/>
      <c r="O230" s="139" t="n"/>
      <c r="P230" s="139" t="n"/>
      <c r="Q230" s="139" t="n"/>
      <c r="R230" s="142">
        <f>IF(COUNT($K230:$Q230)&lt;7,"",ROUND(($K230*'配置项'!$C$6+$L230*'配置项'!$C$7+$M230*'配置项'!$C$8+$N230*'配置项'!$C$9+$O230*'配置项'!$C$10+$P230*'配置项'!$C$11+$Q230*'配置项'!$C$12)*20,1))</f>
        <v/>
      </c>
      <c r="S230" s="25">
        <f>IF($R230="","",IF($R230&gt;='配置项'!$G$6,"优秀",IF($R230&gt;='配置项'!$G$7,"良好",IF($R230&gt;='配置项'!$G$8,"需关注","不合格"))))</f>
        <v/>
      </c>
      <c r="T230" s="25" t="n"/>
      <c r="U230" s="25" t="n"/>
      <c r="V230" s="28" t="n"/>
      <c r="W230" s="28" t="n"/>
      <c r="X230" s="25" t="n"/>
      <c r="Y230" s="25" t="n"/>
    </row>
    <row r="231" ht="24" customHeight="1">
      <c r="A231" s="25">
        <f>IF($B231="","","SQ-"&amp;TEXT(ROW()-4,"0000"))</f>
        <v/>
      </c>
      <c r="B231" s="141" t="n"/>
      <c r="C231" s="25" t="n"/>
      <c r="D231" s="25" t="n"/>
      <c r="E231" s="25" t="n"/>
      <c r="F231" s="25" t="n"/>
      <c r="G231" s="25" t="n"/>
      <c r="H231" s="25" t="n"/>
      <c r="I231" s="25" t="n"/>
      <c r="J231" s="25" t="n"/>
      <c r="K231" s="139" t="n"/>
      <c r="L231" s="139" t="n"/>
      <c r="M231" s="139" t="n"/>
      <c r="N231" s="139" t="n"/>
      <c r="O231" s="139" t="n"/>
      <c r="P231" s="139" t="n"/>
      <c r="Q231" s="139" t="n"/>
      <c r="R231" s="142">
        <f>IF(COUNT($K231:$Q231)&lt;7,"",ROUND(($K231*'配置项'!$C$6+$L231*'配置项'!$C$7+$M231*'配置项'!$C$8+$N231*'配置项'!$C$9+$O231*'配置项'!$C$10+$P231*'配置项'!$C$11+$Q231*'配置项'!$C$12)*20,1))</f>
        <v/>
      </c>
      <c r="S231" s="25">
        <f>IF($R231="","",IF($R231&gt;='配置项'!$G$6,"优秀",IF($R231&gt;='配置项'!$G$7,"良好",IF($R231&gt;='配置项'!$G$8,"需关注","不合格"))))</f>
        <v/>
      </c>
      <c r="T231" s="25" t="n"/>
      <c r="U231" s="25" t="n"/>
      <c r="V231" s="28" t="n"/>
      <c r="W231" s="28" t="n"/>
      <c r="X231" s="25" t="n"/>
      <c r="Y231" s="25" t="n"/>
    </row>
    <row r="232" ht="24" customHeight="1">
      <c r="A232" s="25">
        <f>IF($B232="","","SQ-"&amp;TEXT(ROW()-4,"0000"))</f>
        <v/>
      </c>
      <c r="B232" s="141" t="n"/>
      <c r="C232" s="25" t="n"/>
      <c r="D232" s="25" t="n"/>
      <c r="E232" s="25" t="n"/>
      <c r="F232" s="25" t="n"/>
      <c r="G232" s="25" t="n"/>
      <c r="H232" s="25" t="n"/>
      <c r="I232" s="25" t="n"/>
      <c r="J232" s="25" t="n"/>
      <c r="K232" s="139" t="n"/>
      <c r="L232" s="139" t="n"/>
      <c r="M232" s="139" t="n"/>
      <c r="N232" s="139" t="n"/>
      <c r="O232" s="139" t="n"/>
      <c r="P232" s="139" t="n"/>
      <c r="Q232" s="139" t="n"/>
      <c r="R232" s="142">
        <f>IF(COUNT($K232:$Q232)&lt;7,"",ROUND(($K232*'配置项'!$C$6+$L232*'配置项'!$C$7+$M232*'配置项'!$C$8+$N232*'配置项'!$C$9+$O232*'配置项'!$C$10+$P232*'配置项'!$C$11+$Q232*'配置项'!$C$12)*20,1))</f>
        <v/>
      </c>
      <c r="S232" s="25">
        <f>IF($R232="","",IF($R232&gt;='配置项'!$G$6,"优秀",IF($R232&gt;='配置项'!$G$7,"良好",IF($R232&gt;='配置项'!$G$8,"需关注","不合格"))))</f>
        <v/>
      </c>
      <c r="T232" s="25" t="n"/>
      <c r="U232" s="25" t="n"/>
      <c r="V232" s="28" t="n"/>
      <c r="W232" s="28" t="n"/>
      <c r="X232" s="25" t="n"/>
      <c r="Y232" s="25" t="n"/>
    </row>
    <row r="233" ht="24" customHeight="1">
      <c r="A233" s="25">
        <f>IF($B233="","","SQ-"&amp;TEXT(ROW()-4,"0000"))</f>
        <v/>
      </c>
      <c r="B233" s="141" t="n"/>
      <c r="C233" s="25" t="n"/>
      <c r="D233" s="25" t="n"/>
      <c r="E233" s="25" t="n"/>
      <c r="F233" s="25" t="n"/>
      <c r="G233" s="25" t="n"/>
      <c r="H233" s="25" t="n"/>
      <c r="I233" s="25" t="n"/>
      <c r="J233" s="25" t="n"/>
      <c r="K233" s="139" t="n"/>
      <c r="L233" s="139" t="n"/>
      <c r="M233" s="139" t="n"/>
      <c r="N233" s="139" t="n"/>
      <c r="O233" s="139" t="n"/>
      <c r="P233" s="139" t="n"/>
      <c r="Q233" s="139" t="n"/>
      <c r="R233" s="142">
        <f>IF(COUNT($K233:$Q233)&lt;7,"",ROUND(($K233*'配置项'!$C$6+$L233*'配置项'!$C$7+$M233*'配置项'!$C$8+$N233*'配置项'!$C$9+$O233*'配置项'!$C$10+$P233*'配置项'!$C$11+$Q233*'配置项'!$C$12)*20,1))</f>
        <v/>
      </c>
      <c r="S233" s="25">
        <f>IF($R233="","",IF($R233&gt;='配置项'!$G$6,"优秀",IF($R233&gt;='配置项'!$G$7,"良好",IF($R233&gt;='配置项'!$G$8,"需关注","不合格"))))</f>
        <v/>
      </c>
      <c r="T233" s="25" t="n"/>
      <c r="U233" s="25" t="n"/>
      <c r="V233" s="28" t="n"/>
      <c r="W233" s="28" t="n"/>
      <c r="X233" s="25" t="n"/>
      <c r="Y233" s="25" t="n"/>
    </row>
    <row r="234" ht="24" customHeight="1">
      <c r="A234" s="25">
        <f>IF($B234="","","SQ-"&amp;TEXT(ROW()-4,"0000"))</f>
        <v/>
      </c>
      <c r="B234" s="141" t="n"/>
      <c r="C234" s="25" t="n"/>
      <c r="D234" s="25" t="n"/>
      <c r="E234" s="25" t="n"/>
      <c r="F234" s="25" t="n"/>
      <c r="G234" s="25" t="n"/>
      <c r="H234" s="25" t="n"/>
      <c r="I234" s="25" t="n"/>
      <c r="J234" s="25" t="n"/>
      <c r="K234" s="139" t="n"/>
      <c r="L234" s="139" t="n"/>
      <c r="M234" s="139" t="n"/>
      <c r="N234" s="139" t="n"/>
      <c r="O234" s="139" t="n"/>
      <c r="P234" s="139" t="n"/>
      <c r="Q234" s="139" t="n"/>
      <c r="R234" s="142">
        <f>IF(COUNT($K234:$Q234)&lt;7,"",ROUND(($K234*'配置项'!$C$6+$L234*'配置项'!$C$7+$M234*'配置项'!$C$8+$N234*'配置项'!$C$9+$O234*'配置项'!$C$10+$P234*'配置项'!$C$11+$Q234*'配置项'!$C$12)*20,1))</f>
        <v/>
      </c>
      <c r="S234" s="25">
        <f>IF($R234="","",IF($R234&gt;='配置项'!$G$6,"优秀",IF($R234&gt;='配置项'!$G$7,"良好",IF($R234&gt;='配置项'!$G$8,"需关注","不合格"))))</f>
        <v/>
      </c>
      <c r="T234" s="25" t="n"/>
      <c r="U234" s="25" t="n"/>
      <c r="V234" s="28" t="n"/>
      <c r="W234" s="28" t="n"/>
      <c r="X234" s="25" t="n"/>
      <c r="Y234" s="25" t="n"/>
    </row>
    <row r="235" ht="24" customHeight="1">
      <c r="A235" s="25">
        <f>IF($B235="","","SQ-"&amp;TEXT(ROW()-4,"0000"))</f>
        <v/>
      </c>
      <c r="B235" s="141" t="n"/>
      <c r="C235" s="25" t="n"/>
      <c r="D235" s="25" t="n"/>
      <c r="E235" s="25" t="n"/>
      <c r="F235" s="25" t="n"/>
      <c r="G235" s="25" t="n"/>
      <c r="H235" s="25" t="n"/>
      <c r="I235" s="25" t="n"/>
      <c r="J235" s="25" t="n"/>
      <c r="K235" s="139" t="n"/>
      <c r="L235" s="139" t="n"/>
      <c r="M235" s="139" t="n"/>
      <c r="N235" s="139" t="n"/>
      <c r="O235" s="139" t="n"/>
      <c r="P235" s="139" t="n"/>
      <c r="Q235" s="139" t="n"/>
      <c r="R235" s="142">
        <f>IF(COUNT($K235:$Q235)&lt;7,"",ROUND(($K235*'配置项'!$C$6+$L235*'配置项'!$C$7+$M235*'配置项'!$C$8+$N235*'配置项'!$C$9+$O235*'配置项'!$C$10+$P235*'配置项'!$C$11+$Q235*'配置项'!$C$12)*20,1))</f>
        <v/>
      </c>
      <c r="S235" s="25">
        <f>IF($R235="","",IF($R235&gt;='配置项'!$G$6,"优秀",IF($R235&gt;='配置项'!$G$7,"良好",IF($R235&gt;='配置项'!$G$8,"需关注","不合格"))))</f>
        <v/>
      </c>
      <c r="T235" s="25" t="n"/>
      <c r="U235" s="25" t="n"/>
      <c r="V235" s="28" t="n"/>
      <c r="W235" s="28" t="n"/>
      <c r="X235" s="25" t="n"/>
      <c r="Y235" s="25" t="n"/>
    </row>
    <row r="236" ht="24" customHeight="1">
      <c r="A236" s="25">
        <f>IF($B236="","","SQ-"&amp;TEXT(ROW()-4,"0000"))</f>
        <v/>
      </c>
      <c r="B236" s="141" t="n"/>
      <c r="C236" s="25" t="n"/>
      <c r="D236" s="25" t="n"/>
      <c r="E236" s="25" t="n"/>
      <c r="F236" s="25" t="n"/>
      <c r="G236" s="25" t="n"/>
      <c r="H236" s="25" t="n"/>
      <c r="I236" s="25" t="n"/>
      <c r="J236" s="25" t="n"/>
      <c r="K236" s="139" t="n"/>
      <c r="L236" s="139" t="n"/>
      <c r="M236" s="139" t="n"/>
      <c r="N236" s="139" t="n"/>
      <c r="O236" s="139" t="n"/>
      <c r="P236" s="139" t="n"/>
      <c r="Q236" s="139" t="n"/>
      <c r="R236" s="142">
        <f>IF(COUNT($K236:$Q236)&lt;7,"",ROUND(($K236*'配置项'!$C$6+$L236*'配置项'!$C$7+$M236*'配置项'!$C$8+$N236*'配置项'!$C$9+$O236*'配置项'!$C$10+$P236*'配置项'!$C$11+$Q236*'配置项'!$C$12)*20,1))</f>
        <v/>
      </c>
      <c r="S236" s="25">
        <f>IF($R236="","",IF($R236&gt;='配置项'!$G$6,"优秀",IF($R236&gt;='配置项'!$G$7,"良好",IF($R236&gt;='配置项'!$G$8,"需关注","不合格"))))</f>
        <v/>
      </c>
      <c r="T236" s="25" t="n"/>
      <c r="U236" s="25" t="n"/>
      <c r="V236" s="28" t="n"/>
      <c r="W236" s="28" t="n"/>
      <c r="X236" s="25" t="n"/>
      <c r="Y236" s="25" t="n"/>
    </row>
    <row r="237" ht="24" customHeight="1">
      <c r="A237" s="25">
        <f>IF($B237="","","SQ-"&amp;TEXT(ROW()-4,"0000"))</f>
        <v/>
      </c>
      <c r="B237" s="141" t="n"/>
      <c r="C237" s="25" t="n"/>
      <c r="D237" s="25" t="n"/>
      <c r="E237" s="25" t="n"/>
      <c r="F237" s="25" t="n"/>
      <c r="G237" s="25" t="n"/>
      <c r="H237" s="25" t="n"/>
      <c r="I237" s="25" t="n"/>
      <c r="J237" s="25" t="n"/>
      <c r="K237" s="139" t="n"/>
      <c r="L237" s="139" t="n"/>
      <c r="M237" s="139" t="n"/>
      <c r="N237" s="139" t="n"/>
      <c r="O237" s="139" t="n"/>
      <c r="P237" s="139" t="n"/>
      <c r="Q237" s="139" t="n"/>
      <c r="R237" s="142">
        <f>IF(COUNT($K237:$Q237)&lt;7,"",ROUND(($K237*'配置项'!$C$6+$L237*'配置项'!$C$7+$M237*'配置项'!$C$8+$N237*'配置项'!$C$9+$O237*'配置项'!$C$10+$P237*'配置项'!$C$11+$Q237*'配置项'!$C$12)*20,1))</f>
        <v/>
      </c>
      <c r="S237" s="25">
        <f>IF($R237="","",IF($R237&gt;='配置项'!$G$6,"优秀",IF($R237&gt;='配置项'!$G$7,"良好",IF($R237&gt;='配置项'!$G$8,"需关注","不合格"))))</f>
        <v/>
      </c>
      <c r="T237" s="25" t="n"/>
      <c r="U237" s="25" t="n"/>
      <c r="V237" s="28" t="n"/>
      <c r="W237" s="28" t="n"/>
      <c r="X237" s="25" t="n"/>
      <c r="Y237" s="25" t="n"/>
    </row>
    <row r="238" ht="24" customHeight="1">
      <c r="A238" s="25">
        <f>IF($B238="","","SQ-"&amp;TEXT(ROW()-4,"0000"))</f>
        <v/>
      </c>
      <c r="B238" s="141" t="n"/>
      <c r="C238" s="25" t="n"/>
      <c r="D238" s="25" t="n"/>
      <c r="E238" s="25" t="n"/>
      <c r="F238" s="25" t="n"/>
      <c r="G238" s="25" t="n"/>
      <c r="H238" s="25" t="n"/>
      <c r="I238" s="25" t="n"/>
      <c r="J238" s="25" t="n"/>
      <c r="K238" s="139" t="n"/>
      <c r="L238" s="139" t="n"/>
      <c r="M238" s="139" t="n"/>
      <c r="N238" s="139" t="n"/>
      <c r="O238" s="139" t="n"/>
      <c r="P238" s="139" t="n"/>
      <c r="Q238" s="139" t="n"/>
      <c r="R238" s="142">
        <f>IF(COUNT($K238:$Q238)&lt;7,"",ROUND(($K238*'配置项'!$C$6+$L238*'配置项'!$C$7+$M238*'配置项'!$C$8+$N238*'配置项'!$C$9+$O238*'配置项'!$C$10+$P238*'配置项'!$C$11+$Q238*'配置项'!$C$12)*20,1))</f>
        <v/>
      </c>
      <c r="S238" s="25">
        <f>IF($R238="","",IF($R238&gt;='配置项'!$G$6,"优秀",IF($R238&gt;='配置项'!$G$7,"良好",IF($R238&gt;='配置项'!$G$8,"需关注","不合格"))))</f>
        <v/>
      </c>
      <c r="T238" s="25" t="n"/>
      <c r="U238" s="25" t="n"/>
      <c r="V238" s="28" t="n"/>
      <c r="W238" s="28" t="n"/>
      <c r="X238" s="25" t="n"/>
      <c r="Y238" s="25" t="n"/>
    </row>
    <row r="239" ht="24" customHeight="1">
      <c r="A239" s="25">
        <f>IF($B239="","","SQ-"&amp;TEXT(ROW()-4,"0000"))</f>
        <v/>
      </c>
      <c r="B239" s="141" t="n"/>
      <c r="C239" s="25" t="n"/>
      <c r="D239" s="25" t="n"/>
      <c r="E239" s="25" t="n"/>
      <c r="F239" s="25" t="n"/>
      <c r="G239" s="25" t="n"/>
      <c r="H239" s="25" t="n"/>
      <c r="I239" s="25" t="n"/>
      <c r="J239" s="25" t="n"/>
      <c r="K239" s="139" t="n"/>
      <c r="L239" s="139" t="n"/>
      <c r="M239" s="139" t="n"/>
      <c r="N239" s="139" t="n"/>
      <c r="O239" s="139" t="n"/>
      <c r="P239" s="139" t="n"/>
      <c r="Q239" s="139" t="n"/>
      <c r="R239" s="142">
        <f>IF(COUNT($K239:$Q239)&lt;7,"",ROUND(($K239*'配置项'!$C$6+$L239*'配置项'!$C$7+$M239*'配置项'!$C$8+$N239*'配置项'!$C$9+$O239*'配置项'!$C$10+$P239*'配置项'!$C$11+$Q239*'配置项'!$C$12)*20,1))</f>
        <v/>
      </c>
      <c r="S239" s="25">
        <f>IF($R239="","",IF($R239&gt;='配置项'!$G$6,"优秀",IF($R239&gt;='配置项'!$G$7,"良好",IF($R239&gt;='配置项'!$G$8,"需关注","不合格"))))</f>
        <v/>
      </c>
      <c r="T239" s="25" t="n"/>
      <c r="U239" s="25" t="n"/>
      <c r="V239" s="28" t="n"/>
      <c r="W239" s="28" t="n"/>
      <c r="X239" s="25" t="n"/>
      <c r="Y239" s="25" t="n"/>
    </row>
    <row r="240" ht="24" customHeight="1">
      <c r="A240" s="25">
        <f>IF($B240="","","SQ-"&amp;TEXT(ROW()-4,"0000"))</f>
        <v/>
      </c>
      <c r="B240" s="141" t="n"/>
      <c r="C240" s="25" t="n"/>
      <c r="D240" s="25" t="n"/>
      <c r="E240" s="25" t="n"/>
      <c r="F240" s="25" t="n"/>
      <c r="G240" s="25" t="n"/>
      <c r="H240" s="25" t="n"/>
      <c r="I240" s="25" t="n"/>
      <c r="J240" s="25" t="n"/>
      <c r="K240" s="139" t="n"/>
      <c r="L240" s="139" t="n"/>
      <c r="M240" s="139" t="n"/>
      <c r="N240" s="139" t="n"/>
      <c r="O240" s="139" t="n"/>
      <c r="P240" s="139" t="n"/>
      <c r="Q240" s="139" t="n"/>
      <c r="R240" s="142">
        <f>IF(COUNT($K240:$Q240)&lt;7,"",ROUND(($K240*'配置项'!$C$6+$L240*'配置项'!$C$7+$M240*'配置项'!$C$8+$N240*'配置项'!$C$9+$O240*'配置项'!$C$10+$P240*'配置项'!$C$11+$Q240*'配置项'!$C$12)*20,1))</f>
        <v/>
      </c>
      <c r="S240" s="25">
        <f>IF($R240="","",IF($R240&gt;='配置项'!$G$6,"优秀",IF($R240&gt;='配置项'!$G$7,"良好",IF($R240&gt;='配置项'!$G$8,"需关注","不合格"))))</f>
        <v/>
      </c>
      <c r="T240" s="25" t="n"/>
      <c r="U240" s="25" t="n"/>
      <c r="V240" s="28" t="n"/>
      <c r="W240" s="28" t="n"/>
      <c r="X240" s="25" t="n"/>
      <c r="Y240" s="25" t="n"/>
    </row>
    <row r="241" ht="24" customHeight="1">
      <c r="A241" s="25">
        <f>IF($B241="","","SQ-"&amp;TEXT(ROW()-4,"0000"))</f>
        <v/>
      </c>
      <c r="B241" s="141" t="n"/>
      <c r="C241" s="25" t="n"/>
      <c r="D241" s="25" t="n"/>
      <c r="E241" s="25" t="n"/>
      <c r="F241" s="25" t="n"/>
      <c r="G241" s="25" t="n"/>
      <c r="H241" s="25" t="n"/>
      <c r="I241" s="25" t="n"/>
      <c r="J241" s="25" t="n"/>
      <c r="K241" s="139" t="n"/>
      <c r="L241" s="139" t="n"/>
      <c r="M241" s="139" t="n"/>
      <c r="N241" s="139" t="n"/>
      <c r="O241" s="139" t="n"/>
      <c r="P241" s="139" t="n"/>
      <c r="Q241" s="139" t="n"/>
      <c r="R241" s="142">
        <f>IF(COUNT($K241:$Q241)&lt;7,"",ROUND(($K241*'配置项'!$C$6+$L241*'配置项'!$C$7+$M241*'配置项'!$C$8+$N241*'配置项'!$C$9+$O241*'配置项'!$C$10+$P241*'配置项'!$C$11+$Q241*'配置项'!$C$12)*20,1))</f>
        <v/>
      </c>
      <c r="S241" s="25">
        <f>IF($R241="","",IF($R241&gt;='配置项'!$G$6,"优秀",IF($R241&gt;='配置项'!$G$7,"良好",IF($R241&gt;='配置项'!$G$8,"需关注","不合格"))))</f>
        <v/>
      </c>
      <c r="T241" s="25" t="n"/>
      <c r="U241" s="25" t="n"/>
      <c r="V241" s="28" t="n"/>
      <c r="W241" s="28" t="n"/>
      <c r="X241" s="25" t="n"/>
      <c r="Y241" s="25" t="n"/>
    </row>
    <row r="242" ht="24" customHeight="1">
      <c r="A242" s="25">
        <f>IF($B242="","","SQ-"&amp;TEXT(ROW()-4,"0000"))</f>
        <v/>
      </c>
      <c r="B242" s="141" t="n"/>
      <c r="C242" s="25" t="n"/>
      <c r="D242" s="25" t="n"/>
      <c r="E242" s="25" t="n"/>
      <c r="F242" s="25" t="n"/>
      <c r="G242" s="25" t="n"/>
      <c r="H242" s="25" t="n"/>
      <c r="I242" s="25" t="n"/>
      <c r="J242" s="25" t="n"/>
      <c r="K242" s="139" t="n"/>
      <c r="L242" s="139" t="n"/>
      <c r="M242" s="139" t="n"/>
      <c r="N242" s="139" t="n"/>
      <c r="O242" s="139" t="n"/>
      <c r="P242" s="139" t="n"/>
      <c r="Q242" s="139" t="n"/>
      <c r="R242" s="142">
        <f>IF(COUNT($K242:$Q242)&lt;7,"",ROUND(($K242*'配置项'!$C$6+$L242*'配置项'!$C$7+$M242*'配置项'!$C$8+$N242*'配置项'!$C$9+$O242*'配置项'!$C$10+$P242*'配置项'!$C$11+$Q242*'配置项'!$C$12)*20,1))</f>
        <v/>
      </c>
      <c r="S242" s="25">
        <f>IF($R242="","",IF($R242&gt;='配置项'!$G$6,"优秀",IF($R242&gt;='配置项'!$G$7,"良好",IF($R242&gt;='配置项'!$G$8,"需关注","不合格"))))</f>
        <v/>
      </c>
      <c r="T242" s="25" t="n"/>
      <c r="U242" s="25" t="n"/>
      <c r="V242" s="28" t="n"/>
      <c r="W242" s="28" t="n"/>
      <c r="X242" s="25" t="n"/>
      <c r="Y242" s="25" t="n"/>
    </row>
    <row r="243" ht="24" customHeight="1">
      <c r="A243" s="25">
        <f>IF($B243="","","SQ-"&amp;TEXT(ROW()-4,"0000"))</f>
        <v/>
      </c>
      <c r="B243" s="141" t="n"/>
      <c r="C243" s="25" t="n"/>
      <c r="D243" s="25" t="n"/>
      <c r="E243" s="25" t="n"/>
      <c r="F243" s="25" t="n"/>
      <c r="G243" s="25" t="n"/>
      <c r="H243" s="25" t="n"/>
      <c r="I243" s="25" t="n"/>
      <c r="J243" s="25" t="n"/>
      <c r="K243" s="139" t="n"/>
      <c r="L243" s="139" t="n"/>
      <c r="M243" s="139" t="n"/>
      <c r="N243" s="139" t="n"/>
      <c r="O243" s="139" t="n"/>
      <c r="P243" s="139" t="n"/>
      <c r="Q243" s="139" t="n"/>
      <c r="R243" s="142">
        <f>IF(COUNT($K243:$Q243)&lt;7,"",ROUND(($K243*'配置项'!$C$6+$L243*'配置项'!$C$7+$M243*'配置项'!$C$8+$N243*'配置项'!$C$9+$O243*'配置项'!$C$10+$P243*'配置项'!$C$11+$Q243*'配置项'!$C$12)*20,1))</f>
        <v/>
      </c>
      <c r="S243" s="25">
        <f>IF($R243="","",IF($R243&gt;='配置项'!$G$6,"优秀",IF($R243&gt;='配置项'!$G$7,"良好",IF($R243&gt;='配置项'!$G$8,"需关注","不合格"))))</f>
        <v/>
      </c>
      <c r="T243" s="25" t="n"/>
      <c r="U243" s="25" t="n"/>
      <c r="V243" s="28" t="n"/>
      <c r="W243" s="28" t="n"/>
      <c r="X243" s="25" t="n"/>
      <c r="Y243" s="25" t="n"/>
    </row>
    <row r="244" ht="24" customHeight="1">
      <c r="A244" s="25">
        <f>IF($B244="","","SQ-"&amp;TEXT(ROW()-4,"0000"))</f>
        <v/>
      </c>
      <c r="B244" s="141" t="n"/>
      <c r="C244" s="25" t="n"/>
      <c r="D244" s="25" t="n"/>
      <c r="E244" s="25" t="n"/>
      <c r="F244" s="25" t="n"/>
      <c r="G244" s="25" t="n"/>
      <c r="H244" s="25" t="n"/>
      <c r="I244" s="25" t="n"/>
      <c r="J244" s="25" t="n"/>
      <c r="K244" s="139" t="n"/>
      <c r="L244" s="139" t="n"/>
      <c r="M244" s="139" t="n"/>
      <c r="N244" s="139" t="n"/>
      <c r="O244" s="139" t="n"/>
      <c r="P244" s="139" t="n"/>
      <c r="Q244" s="139" t="n"/>
      <c r="R244" s="142">
        <f>IF(COUNT($K244:$Q244)&lt;7,"",ROUND(($K244*'配置项'!$C$6+$L244*'配置项'!$C$7+$M244*'配置项'!$C$8+$N244*'配置项'!$C$9+$O244*'配置项'!$C$10+$P244*'配置项'!$C$11+$Q244*'配置项'!$C$12)*20,1))</f>
        <v/>
      </c>
      <c r="S244" s="25">
        <f>IF($R244="","",IF($R244&gt;='配置项'!$G$6,"优秀",IF($R244&gt;='配置项'!$G$7,"良好",IF($R244&gt;='配置项'!$G$8,"需关注","不合格"))))</f>
        <v/>
      </c>
      <c r="T244" s="25" t="n"/>
      <c r="U244" s="25" t="n"/>
      <c r="V244" s="28" t="n"/>
      <c r="W244" s="28" t="n"/>
      <c r="X244" s="25" t="n"/>
      <c r="Y244" s="25" t="n"/>
    </row>
    <row r="245" ht="24" customHeight="1">
      <c r="A245" s="25">
        <f>IF($B245="","","SQ-"&amp;TEXT(ROW()-4,"0000"))</f>
        <v/>
      </c>
      <c r="B245" s="141" t="n"/>
      <c r="C245" s="25" t="n"/>
      <c r="D245" s="25" t="n"/>
      <c r="E245" s="25" t="n"/>
      <c r="F245" s="25" t="n"/>
      <c r="G245" s="25" t="n"/>
      <c r="H245" s="25" t="n"/>
      <c r="I245" s="25" t="n"/>
      <c r="J245" s="25" t="n"/>
      <c r="K245" s="139" t="n"/>
      <c r="L245" s="139" t="n"/>
      <c r="M245" s="139" t="n"/>
      <c r="N245" s="139" t="n"/>
      <c r="O245" s="139" t="n"/>
      <c r="P245" s="139" t="n"/>
      <c r="Q245" s="139" t="n"/>
      <c r="R245" s="142">
        <f>IF(COUNT($K245:$Q245)&lt;7,"",ROUND(($K245*'配置项'!$C$6+$L245*'配置项'!$C$7+$M245*'配置项'!$C$8+$N245*'配置项'!$C$9+$O245*'配置项'!$C$10+$P245*'配置项'!$C$11+$Q245*'配置项'!$C$12)*20,1))</f>
        <v/>
      </c>
      <c r="S245" s="25">
        <f>IF($R245="","",IF($R245&gt;='配置项'!$G$6,"优秀",IF($R245&gt;='配置项'!$G$7,"良好",IF($R245&gt;='配置项'!$G$8,"需关注","不合格"))))</f>
        <v/>
      </c>
      <c r="T245" s="25" t="n"/>
      <c r="U245" s="25" t="n"/>
      <c r="V245" s="28" t="n"/>
      <c r="W245" s="28" t="n"/>
      <c r="X245" s="25" t="n"/>
      <c r="Y245" s="25" t="n"/>
    </row>
    <row r="246" ht="24" customHeight="1">
      <c r="A246" s="25">
        <f>IF($B246="","","SQ-"&amp;TEXT(ROW()-4,"0000"))</f>
        <v/>
      </c>
      <c r="B246" s="141" t="n"/>
      <c r="C246" s="25" t="n"/>
      <c r="D246" s="25" t="n"/>
      <c r="E246" s="25" t="n"/>
      <c r="F246" s="25" t="n"/>
      <c r="G246" s="25" t="n"/>
      <c r="H246" s="25" t="n"/>
      <c r="I246" s="25" t="n"/>
      <c r="J246" s="25" t="n"/>
      <c r="K246" s="139" t="n"/>
      <c r="L246" s="139" t="n"/>
      <c r="M246" s="139" t="n"/>
      <c r="N246" s="139" t="n"/>
      <c r="O246" s="139" t="n"/>
      <c r="P246" s="139" t="n"/>
      <c r="Q246" s="139" t="n"/>
      <c r="R246" s="142">
        <f>IF(COUNT($K246:$Q246)&lt;7,"",ROUND(($K246*'配置项'!$C$6+$L246*'配置项'!$C$7+$M246*'配置项'!$C$8+$N246*'配置项'!$C$9+$O246*'配置项'!$C$10+$P246*'配置项'!$C$11+$Q246*'配置项'!$C$12)*20,1))</f>
        <v/>
      </c>
      <c r="S246" s="25">
        <f>IF($R246="","",IF($R246&gt;='配置项'!$G$6,"优秀",IF($R246&gt;='配置项'!$G$7,"良好",IF($R246&gt;='配置项'!$G$8,"需关注","不合格"))))</f>
        <v/>
      </c>
      <c r="T246" s="25" t="n"/>
      <c r="U246" s="25" t="n"/>
      <c r="V246" s="28" t="n"/>
      <c r="W246" s="28" t="n"/>
      <c r="X246" s="25" t="n"/>
      <c r="Y246" s="25" t="n"/>
    </row>
    <row r="247" ht="24" customHeight="1">
      <c r="A247" s="25">
        <f>IF($B247="","","SQ-"&amp;TEXT(ROW()-4,"0000"))</f>
        <v/>
      </c>
      <c r="B247" s="141" t="n"/>
      <c r="C247" s="25" t="n"/>
      <c r="D247" s="25" t="n"/>
      <c r="E247" s="25" t="n"/>
      <c r="F247" s="25" t="n"/>
      <c r="G247" s="25" t="n"/>
      <c r="H247" s="25" t="n"/>
      <c r="I247" s="25" t="n"/>
      <c r="J247" s="25" t="n"/>
      <c r="K247" s="139" t="n"/>
      <c r="L247" s="139" t="n"/>
      <c r="M247" s="139" t="n"/>
      <c r="N247" s="139" t="n"/>
      <c r="O247" s="139" t="n"/>
      <c r="P247" s="139" t="n"/>
      <c r="Q247" s="139" t="n"/>
      <c r="R247" s="142">
        <f>IF(COUNT($K247:$Q247)&lt;7,"",ROUND(($K247*'配置项'!$C$6+$L247*'配置项'!$C$7+$M247*'配置项'!$C$8+$N247*'配置项'!$C$9+$O247*'配置项'!$C$10+$P247*'配置项'!$C$11+$Q247*'配置项'!$C$12)*20,1))</f>
        <v/>
      </c>
      <c r="S247" s="25">
        <f>IF($R247="","",IF($R247&gt;='配置项'!$G$6,"优秀",IF($R247&gt;='配置项'!$G$7,"良好",IF($R247&gt;='配置项'!$G$8,"需关注","不合格"))))</f>
        <v/>
      </c>
      <c r="T247" s="25" t="n"/>
      <c r="U247" s="25" t="n"/>
      <c r="V247" s="28" t="n"/>
      <c r="W247" s="28" t="n"/>
      <c r="X247" s="25" t="n"/>
      <c r="Y247" s="25" t="n"/>
    </row>
    <row r="248" ht="24" customHeight="1">
      <c r="A248" s="25">
        <f>IF($B248="","","SQ-"&amp;TEXT(ROW()-4,"0000"))</f>
        <v/>
      </c>
      <c r="B248" s="141" t="n"/>
      <c r="C248" s="25" t="n"/>
      <c r="D248" s="25" t="n"/>
      <c r="E248" s="25" t="n"/>
      <c r="F248" s="25" t="n"/>
      <c r="G248" s="25" t="n"/>
      <c r="H248" s="25" t="n"/>
      <c r="I248" s="25" t="n"/>
      <c r="J248" s="25" t="n"/>
      <c r="K248" s="139" t="n"/>
      <c r="L248" s="139" t="n"/>
      <c r="M248" s="139" t="n"/>
      <c r="N248" s="139" t="n"/>
      <c r="O248" s="139" t="n"/>
      <c r="P248" s="139" t="n"/>
      <c r="Q248" s="139" t="n"/>
      <c r="R248" s="142">
        <f>IF(COUNT($K248:$Q248)&lt;7,"",ROUND(($K248*'配置项'!$C$6+$L248*'配置项'!$C$7+$M248*'配置项'!$C$8+$N248*'配置项'!$C$9+$O248*'配置项'!$C$10+$P248*'配置项'!$C$11+$Q248*'配置项'!$C$12)*20,1))</f>
        <v/>
      </c>
      <c r="S248" s="25">
        <f>IF($R248="","",IF($R248&gt;='配置项'!$G$6,"优秀",IF($R248&gt;='配置项'!$G$7,"良好",IF($R248&gt;='配置项'!$G$8,"需关注","不合格"))))</f>
        <v/>
      </c>
      <c r="T248" s="25" t="n"/>
      <c r="U248" s="25" t="n"/>
      <c r="V248" s="28" t="n"/>
      <c r="W248" s="28" t="n"/>
      <c r="X248" s="25" t="n"/>
      <c r="Y248" s="25" t="n"/>
    </row>
    <row r="249" ht="24" customHeight="1">
      <c r="A249" s="25">
        <f>IF($B249="","","SQ-"&amp;TEXT(ROW()-4,"0000"))</f>
        <v/>
      </c>
      <c r="B249" s="141" t="n"/>
      <c r="C249" s="25" t="n"/>
      <c r="D249" s="25" t="n"/>
      <c r="E249" s="25" t="n"/>
      <c r="F249" s="25" t="n"/>
      <c r="G249" s="25" t="n"/>
      <c r="H249" s="25" t="n"/>
      <c r="I249" s="25" t="n"/>
      <c r="J249" s="25" t="n"/>
      <c r="K249" s="139" t="n"/>
      <c r="L249" s="139" t="n"/>
      <c r="M249" s="139" t="n"/>
      <c r="N249" s="139" t="n"/>
      <c r="O249" s="139" t="n"/>
      <c r="P249" s="139" t="n"/>
      <c r="Q249" s="139" t="n"/>
      <c r="R249" s="142">
        <f>IF(COUNT($K249:$Q249)&lt;7,"",ROUND(($K249*'配置项'!$C$6+$L249*'配置项'!$C$7+$M249*'配置项'!$C$8+$N249*'配置项'!$C$9+$O249*'配置项'!$C$10+$P249*'配置项'!$C$11+$Q249*'配置项'!$C$12)*20,1))</f>
        <v/>
      </c>
      <c r="S249" s="25">
        <f>IF($R249="","",IF($R249&gt;='配置项'!$G$6,"优秀",IF($R249&gt;='配置项'!$G$7,"良好",IF($R249&gt;='配置项'!$G$8,"需关注","不合格"))))</f>
        <v/>
      </c>
      <c r="T249" s="25" t="n"/>
      <c r="U249" s="25" t="n"/>
      <c r="V249" s="28" t="n"/>
      <c r="W249" s="28" t="n"/>
      <c r="X249" s="25" t="n"/>
      <c r="Y249" s="25" t="n"/>
    </row>
    <row r="250" ht="24" customHeight="1">
      <c r="A250" s="25">
        <f>IF($B250="","","SQ-"&amp;TEXT(ROW()-4,"0000"))</f>
        <v/>
      </c>
      <c r="B250" s="141" t="n"/>
      <c r="C250" s="25" t="n"/>
      <c r="D250" s="25" t="n"/>
      <c r="E250" s="25" t="n"/>
      <c r="F250" s="25" t="n"/>
      <c r="G250" s="25" t="n"/>
      <c r="H250" s="25" t="n"/>
      <c r="I250" s="25" t="n"/>
      <c r="J250" s="25" t="n"/>
      <c r="K250" s="139" t="n"/>
      <c r="L250" s="139" t="n"/>
      <c r="M250" s="139" t="n"/>
      <c r="N250" s="139" t="n"/>
      <c r="O250" s="139" t="n"/>
      <c r="P250" s="139" t="n"/>
      <c r="Q250" s="139" t="n"/>
      <c r="R250" s="142">
        <f>IF(COUNT($K250:$Q250)&lt;7,"",ROUND(($K250*'配置项'!$C$6+$L250*'配置项'!$C$7+$M250*'配置项'!$C$8+$N250*'配置项'!$C$9+$O250*'配置项'!$C$10+$P250*'配置项'!$C$11+$Q250*'配置项'!$C$12)*20,1))</f>
        <v/>
      </c>
      <c r="S250" s="25">
        <f>IF($R250="","",IF($R250&gt;='配置项'!$G$6,"优秀",IF($R250&gt;='配置项'!$G$7,"良好",IF($R250&gt;='配置项'!$G$8,"需关注","不合格"))))</f>
        <v/>
      </c>
      <c r="T250" s="25" t="n"/>
      <c r="U250" s="25" t="n"/>
      <c r="V250" s="28" t="n"/>
      <c r="W250" s="28" t="n"/>
      <c r="X250" s="25" t="n"/>
      <c r="Y250" s="25" t="n"/>
    </row>
    <row r="251" ht="24" customHeight="1">
      <c r="A251" s="25">
        <f>IF($B251="","","SQ-"&amp;TEXT(ROW()-4,"0000"))</f>
        <v/>
      </c>
      <c r="B251" s="141" t="n"/>
      <c r="C251" s="25" t="n"/>
      <c r="D251" s="25" t="n"/>
      <c r="E251" s="25" t="n"/>
      <c r="F251" s="25" t="n"/>
      <c r="G251" s="25" t="n"/>
      <c r="H251" s="25" t="n"/>
      <c r="I251" s="25" t="n"/>
      <c r="J251" s="25" t="n"/>
      <c r="K251" s="139" t="n"/>
      <c r="L251" s="139" t="n"/>
      <c r="M251" s="139" t="n"/>
      <c r="N251" s="139" t="n"/>
      <c r="O251" s="139" t="n"/>
      <c r="P251" s="139" t="n"/>
      <c r="Q251" s="139" t="n"/>
      <c r="R251" s="142">
        <f>IF(COUNT($K251:$Q251)&lt;7,"",ROUND(($K251*'配置项'!$C$6+$L251*'配置项'!$C$7+$M251*'配置项'!$C$8+$N251*'配置项'!$C$9+$O251*'配置项'!$C$10+$P251*'配置项'!$C$11+$Q251*'配置项'!$C$12)*20,1))</f>
        <v/>
      </c>
      <c r="S251" s="25">
        <f>IF($R251="","",IF($R251&gt;='配置项'!$G$6,"优秀",IF($R251&gt;='配置项'!$G$7,"良好",IF($R251&gt;='配置项'!$G$8,"需关注","不合格"))))</f>
        <v/>
      </c>
      <c r="T251" s="25" t="n"/>
      <c r="U251" s="25" t="n"/>
      <c r="V251" s="28" t="n"/>
      <c r="W251" s="28" t="n"/>
      <c r="X251" s="25" t="n"/>
      <c r="Y251" s="25" t="n"/>
    </row>
    <row r="252" ht="24" customHeight="1">
      <c r="A252" s="25">
        <f>IF($B252="","","SQ-"&amp;TEXT(ROW()-4,"0000"))</f>
        <v/>
      </c>
      <c r="B252" s="141" t="n"/>
      <c r="C252" s="25" t="n"/>
      <c r="D252" s="25" t="n"/>
      <c r="E252" s="25" t="n"/>
      <c r="F252" s="25" t="n"/>
      <c r="G252" s="25" t="n"/>
      <c r="H252" s="25" t="n"/>
      <c r="I252" s="25" t="n"/>
      <c r="J252" s="25" t="n"/>
      <c r="K252" s="139" t="n"/>
      <c r="L252" s="139" t="n"/>
      <c r="M252" s="139" t="n"/>
      <c r="N252" s="139" t="n"/>
      <c r="O252" s="139" t="n"/>
      <c r="P252" s="139" t="n"/>
      <c r="Q252" s="139" t="n"/>
      <c r="R252" s="142">
        <f>IF(COUNT($K252:$Q252)&lt;7,"",ROUND(($K252*'配置项'!$C$6+$L252*'配置项'!$C$7+$M252*'配置项'!$C$8+$N252*'配置项'!$C$9+$O252*'配置项'!$C$10+$P252*'配置项'!$C$11+$Q252*'配置项'!$C$12)*20,1))</f>
        <v/>
      </c>
      <c r="S252" s="25">
        <f>IF($R252="","",IF($R252&gt;='配置项'!$G$6,"优秀",IF($R252&gt;='配置项'!$G$7,"良好",IF($R252&gt;='配置项'!$G$8,"需关注","不合格"))))</f>
        <v/>
      </c>
      <c r="T252" s="25" t="n"/>
      <c r="U252" s="25" t="n"/>
      <c r="V252" s="28" t="n"/>
      <c r="W252" s="28" t="n"/>
      <c r="X252" s="25" t="n"/>
      <c r="Y252" s="25" t="n"/>
    </row>
    <row r="253" ht="24" customHeight="1">
      <c r="A253" s="25">
        <f>IF($B253="","","SQ-"&amp;TEXT(ROW()-4,"0000"))</f>
        <v/>
      </c>
      <c r="B253" s="141" t="n"/>
      <c r="C253" s="25" t="n"/>
      <c r="D253" s="25" t="n"/>
      <c r="E253" s="25" t="n"/>
      <c r="F253" s="25" t="n"/>
      <c r="G253" s="25" t="n"/>
      <c r="H253" s="25" t="n"/>
      <c r="I253" s="25" t="n"/>
      <c r="J253" s="25" t="n"/>
      <c r="K253" s="139" t="n"/>
      <c r="L253" s="139" t="n"/>
      <c r="M253" s="139" t="n"/>
      <c r="N253" s="139" t="n"/>
      <c r="O253" s="139" t="n"/>
      <c r="P253" s="139" t="n"/>
      <c r="Q253" s="139" t="n"/>
      <c r="R253" s="142">
        <f>IF(COUNT($K253:$Q253)&lt;7,"",ROUND(($K253*'配置项'!$C$6+$L253*'配置项'!$C$7+$M253*'配置项'!$C$8+$N253*'配置项'!$C$9+$O253*'配置项'!$C$10+$P253*'配置项'!$C$11+$Q253*'配置项'!$C$12)*20,1))</f>
        <v/>
      </c>
      <c r="S253" s="25">
        <f>IF($R253="","",IF($R253&gt;='配置项'!$G$6,"优秀",IF($R253&gt;='配置项'!$G$7,"良好",IF($R253&gt;='配置项'!$G$8,"需关注","不合格"))))</f>
        <v/>
      </c>
      <c r="T253" s="25" t="n"/>
      <c r="U253" s="25" t="n"/>
      <c r="V253" s="28" t="n"/>
      <c r="W253" s="28" t="n"/>
      <c r="X253" s="25" t="n"/>
      <c r="Y253" s="25" t="n"/>
    </row>
    <row r="254" ht="24" customHeight="1">
      <c r="A254" s="25">
        <f>IF($B254="","","SQ-"&amp;TEXT(ROW()-4,"0000"))</f>
        <v/>
      </c>
      <c r="B254" s="141" t="n"/>
      <c r="C254" s="25" t="n"/>
      <c r="D254" s="25" t="n"/>
      <c r="E254" s="25" t="n"/>
      <c r="F254" s="25" t="n"/>
      <c r="G254" s="25" t="n"/>
      <c r="H254" s="25" t="n"/>
      <c r="I254" s="25" t="n"/>
      <c r="J254" s="25" t="n"/>
      <c r="K254" s="139" t="n"/>
      <c r="L254" s="139" t="n"/>
      <c r="M254" s="139" t="n"/>
      <c r="N254" s="139" t="n"/>
      <c r="O254" s="139" t="n"/>
      <c r="P254" s="139" t="n"/>
      <c r="Q254" s="139" t="n"/>
      <c r="R254" s="142">
        <f>IF(COUNT($K254:$Q254)&lt;7,"",ROUND(($K254*'配置项'!$C$6+$L254*'配置项'!$C$7+$M254*'配置项'!$C$8+$N254*'配置项'!$C$9+$O254*'配置项'!$C$10+$P254*'配置项'!$C$11+$Q254*'配置项'!$C$12)*20,1))</f>
        <v/>
      </c>
      <c r="S254" s="25">
        <f>IF($R254="","",IF($R254&gt;='配置项'!$G$6,"优秀",IF($R254&gt;='配置项'!$G$7,"良好",IF($R254&gt;='配置项'!$G$8,"需关注","不合格"))))</f>
        <v/>
      </c>
      <c r="T254" s="25" t="n"/>
      <c r="U254" s="25" t="n"/>
      <c r="V254" s="28" t="n"/>
      <c r="W254" s="28" t="n"/>
      <c r="X254" s="25" t="n"/>
      <c r="Y254" s="25" t="n"/>
    </row>
  </sheetData>
  <mergeCells count="2">
    <mergeCell ref="A2:Y2"/>
    <mergeCell ref="A1:Y1"/>
  </mergeCells>
  <conditionalFormatting sqref="R5:R254">
    <cfRule type="colorScale" priority="1">
      <colorScale>
        <cfvo type="num" val="0"/>
        <cfvo type="num" val="75"/>
        <cfvo type="num" val="100"/>
        <color rgb="00FCA5A5"/>
        <color rgb="00FDE68A"/>
        <color rgb="00BBF7D0"/>
      </colorScale>
    </cfRule>
  </conditionalFormatting>
  <conditionalFormatting sqref="S5:S254">
    <cfRule type="containsText" priority="2" operator="containsText" dxfId="0" text="优秀"/>
    <cfRule type="containsText" priority="3" operator="containsText" dxfId="1" text="需关注"/>
    <cfRule type="containsText" priority="4" operator="containsText" dxfId="2" text="不合格"/>
  </conditionalFormatting>
  <conditionalFormatting sqref="T5:T254">
    <cfRule type="containsText" priority="5" operator="containsText" dxfId="1" text="是"/>
  </conditionalFormatting>
  <dataValidations count="6">
    <dataValidation sqref="E5:E254" showDropDown="0" showInputMessage="0" showErrorMessage="0" allowBlank="1" type="list">
      <formula1>"客户服务,售后支持,现场服务,呼叫中心,物流/交付,线上服务,技术支持,门店/零售,B2B项目交付,医疗/咨询/教育,物业/设施管理,其他"</formula1>
    </dataValidation>
    <dataValidation sqref="F5:F254" showDropDown="0" showInputMessage="0" showErrorMessage="0" allowBlank="1" type="list">
      <formula1>"电话,在线聊天,邮件,现场,App/小程序,社媒,工单系统,视频会议,其他"</formula1>
    </dataValidation>
    <dataValidation sqref="G5:G254" showDropDown="0" showInputMessage="0" showErrorMessage="0" allowBlank="1" type="list">
      <formula1>"个人客户,企业客户,内部客户,合作伙伴,供应商,其他"</formula1>
    </dataValidation>
    <dataValidation sqref="J5:J254" showDropDown="0" showInputMessage="0" showErrorMessage="0" allowBlank="1" type="list">
      <formula1>"一般,重要,紧急,重大"</formula1>
    </dataValidation>
    <dataValidation sqref="T5:T254" showDropDown="0" showInputMessage="0" showErrorMessage="0" allowBlank="1" type="list">
      <formula1>"是,否"</formula1>
    </dataValidation>
    <dataValidation sqref="K5:Q254" showDropDown="0" showInputMessage="0" showErrorMessage="1" allowBlank="1" errorTitle="评分范围" error="请输入 1 到 5 的整数分。" type="whole" errorStyle="warning" operator="between">
      <formula1>1</formula1>
      <formula2>5</formula2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S254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4" customWidth="1" min="3" max="3"/>
    <col width="22" customWidth="1" min="4" max="4"/>
    <col width="16" customWidth="1" min="5" max="5"/>
    <col width="16" customWidth="1" min="6" max="6"/>
    <col width="12" customWidth="1" min="7" max="7"/>
    <col width="14" customWidth="1" min="8" max="8"/>
    <col width="36" customWidth="1" min="9" max="9"/>
    <col width="36" customWidth="1" min="10" max="10"/>
    <col width="36" customWidth="1" min="11" max="11"/>
    <col width="14" customWidth="1" min="12" max="12"/>
    <col width="13" customWidth="1" min="13" max="13"/>
    <col width="12" customWidth="1" min="14" max="14"/>
    <col width="13" customWidth="1" min="15" max="15"/>
    <col width="14" customWidth="1" min="16" max="16"/>
    <col width="12" customWidth="1" min="17" max="17"/>
    <col width="14" customWidth="1" min="18" max="18"/>
    <col width="20" customWidth="1" min="19" max="19"/>
  </cols>
  <sheetData>
    <row r="1" ht="32" customHeight="1">
      <c r="A1" s="37" t="inlineStr">
        <is>
          <t>反馈与整改：服务问题闭环管理表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22" customHeight="1">
      <c r="A2" s="11" t="inlineStr">
        <is>
          <t>登记低分、投诉、升级或流程异常，形成“问题—根因—行动—负责人—期限—验证”的闭环。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</row>
    <row r="4" ht="34" customHeight="1">
      <c r="A4" s="46" t="inlineStr">
        <is>
          <t>整改ID</t>
        </is>
      </c>
      <c r="B4" s="46" t="inlineStr">
        <is>
          <t>提出日期</t>
        </is>
      </c>
      <c r="C4" s="46" t="inlineStr">
        <is>
          <t>来源记录ID</t>
        </is>
      </c>
      <c r="D4" s="46" t="inlineStr">
        <is>
          <t>公司/项目</t>
        </is>
      </c>
      <c r="E4" s="46" t="inlineStr">
        <is>
          <t>业务场景</t>
        </is>
      </c>
      <c r="F4" s="46" t="inlineStr">
        <is>
          <t>问题分类</t>
        </is>
      </c>
      <c r="G4" s="46" t="inlineStr">
        <is>
          <t>严重程度</t>
        </is>
      </c>
      <c r="H4" s="46" t="inlineStr">
        <is>
          <t>反馈来源</t>
        </is>
      </c>
      <c r="I4" s="46" t="inlineStr">
        <is>
          <t>反馈内容</t>
        </is>
      </c>
      <c r="J4" s="46" t="inlineStr">
        <is>
          <t>根因分析</t>
        </is>
      </c>
      <c r="K4" s="46" t="inlineStr">
        <is>
          <t>改进行动</t>
        </is>
      </c>
      <c r="L4" s="46" t="inlineStr">
        <is>
          <t>负责人</t>
        </is>
      </c>
      <c r="M4" s="46" t="inlineStr">
        <is>
          <t>截止日期</t>
        </is>
      </c>
      <c r="N4" s="46" t="inlineStr">
        <is>
          <t>状态</t>
        </is>
      </c>
      <c r="O4" s="46" t="inlineStr">
        <is>
          <t>完成日期</t>
        </is>
      </c>
      <c r="P4" s="46" t="inlineStr">
        <is>
          <t>验证结果</t>
        </is>
      </c>
      <c r="Q4" s="46" t="inlineStr">
        <is>
          <t>逾期天数</t>
        </is>
      </c>
      <c r="R4" s="46" t="inlineStr">
        <is>
          <t>处理周期(天)</t>
        </is>
      </c>
      <c r="S4" s="46" t="inlineStr">
        <is>
          <t>备注</t>
        </is>
      </c>
    </row>
    <row r="5" ht="25" customHeight="1">
      <c r="A5" s="25">
        <f>IF($B5="","","CA-"&amp;TEXT(ROW()-4,"0000"))</f>
        <v/>
      </c>
      <c r="B5" s="141" t="n">
        <v>46042</v>
      </c>
      <c r="C5" s="25" t="inlineStr">
        <is>
          <t>SQ-0002</t>
        </is>
      </c>
      <c r="D5" s="25" t="inlineStr">
        <is>
          <t>示例公司A-售后维修</t>
        </is>
      </c>
      <c r="E5" s="25" t="inlineStr">
        <is>
          <t>售后支持</t>
        </is>
      </c>
      <c r="F5" s="25" t="inlineStr">
        <is>
          <t>未解决</t>
        </is>
      </c>
      <c r="G5" s="25" t="inlineStr">
        <is>
          <t>高</t>
        </is>
      </c>
      <c r="H5" s="25" t="inlineStr">
        <is>
          <t>客户</t>
        </is>
      </c>
      <c r="I5" s="28" t="inlineStr">
        <is>
          <t>维修进度解释不充分，客户二次来电。</t>
        </is>
      </c>
      <c r="J5" s="28" t="inlineStr">
        <is>
          <t>工单节点未及时同步给客服。</t>
        </is>
      </c>
      <c r="K5" s="28" t="inlineStr">
        <is>
          <t>增加维修节点自动提醒并更新话术。</t>
        </is>
      </c>
      <c r="L5" s="25" t="inlineStr">
        <is>
          <t>售后主管</t>
        </is>
      </c>
      <c r="M5" s="141" t="n">
        <v>46053</v>
      </c>
      <c r="N5" s="25" t="inlineStr">
        <is>
          <t>已完成</t>
        </is>
      </c>
      <c r="O5" s="141" t="n">
        <v>46055</v>
      </c>
      <c r="P5" s="25" t="inlineStr">
        <is>
          <t>部分有效</t>
        </is>
      </c>
      <c r="Q5" s="139">
        <f>IF($M5="","",IF(OR($N5="已完成",$N5="已关闭"),IF($O5="",0,MAX(0,$O5-$M5)),MAX(0,TODAY()-$M5)))</f>
        <v/>
      </c>
      <c r="R5" s="139">
        <f>IF(AND($B5&lt;&gt;"",$O5&lt;&gt;""),$O5-$B5,"")</f>
        <v/>
      </c>
      <c r="S5" s="25" t="str"/>
    </row>
    <row r="6" ht="25" customHeight="1">
      <c r="A6" s="25">
        <f>IF($B6="","","CA-"&amp;TEXT(ROW()-4,"0000"))</f>
        <v/>
      </c>
      <c r="B6" s="141" t="n">
        <v>46071</v>
      </c>
      <c r="C6" s="25" t="inlineStr">
        <is>
          <t>SQ-0004</t>
        </is>
      </c>
      <c r="D6" s="25" t="inlineStr">
        <is>
          <t>示例公司B-仓配中心</t>
        </is>
      </c>
      <c r="E6" s="25" t="inlineStr">
        <is>
          <t>物流/交付</t>
        </is>
      </c>
      <c r="F6" s="25" t="inlineStr">
        <is>
          <t>交付延迟</t>
        </is>
      </c>
      <c r="G6" s="25" t="inlineStr">
        <is>
          <t>极高</t>
        </is>
      </c>
      <c r="H6" s="25" t="inlineStr">
        <is>
          <t>客户</t>
        </is>
      </c>
      <c r="I6" s="28" t="inlineStr">
        <is>
          <t>交付延迟且未主动告知。</t>
        </is>
      </c>
      <c r="J6" s="28" t="inlineStr">
        <is>
          <t>异常预警机制缺失，跨部门信息滞后。</t>
        </is>
      </c>
      <c r="K6" s="28" t="inlineStr">
        <is>
          <t>建立延迟预警清单，超时自动通知客户。</t>
        </is>
      </c>
      <c r="L6" s="25" t="inlineStr">
        <is>
          <t>物流经理</t>
        </is>
      </c>
      <c r="M6" s="141" t="n">
        <v>46078</v>
      </c>
      <c r="N6" s="25" t="inlineStr">
        <is>
          <t>已关闭</t>
        </is>
      </c>
      <c r="O6" s="141" t="n">
        <v>46079</v>
      </c>
      <c r="P6" s="25" t="inlineStr">
        <is>
          <t>有效</t>
        </is>
      </c>
      <c r="Q6" s="139">
        <f>IF($M6="","",IF(OR($N6="已完成",$N6="已关闭"),IF($O6="",0,MAX(0,$O6-$M6)),MAX(0,TODAY()-$M6)))</f>
        <v/>
      </c>
      <c r="R6" s="139">
        <f>IF(AND($B6&lt;&gt;"",$O6&lt;&gt;""),$O6-$B6,"")</f>
        <v/>
      </c>
      <c r="S6" s="25" t="str"/>
    </row>
    <row r="7" ht="25" customHeight="1">
      <c r="A7" s="25">
        <f>IF($B7="","","CA-"&amp;TEXT(ROW()-4,"0000"))</f>
        <v/>
      </c>
      <c r="B7" s="141" t="n">
        <v>46115</v>
      </c>
      <c r="C7" s="25" t="inlineStr">
        <is>
          <t>SQ-0007</t>
        </is>
      </c>
      <c r="D7" s="25" t="inlineStr">
        <is>
          <t>示例公司A-呼叫中心</t>
        </is>
      </c>
      <c r="E7" s="25" t="inlineStr">
        <is>
          <t>呼叫中心</t>
        </is>
      </c>
      <c r="F7" s="25" t="inlineStr">
        <is>
          <t>响应慢</t>
        </is>
      </c>
      <c r="G7" s="25" t="inlineStr">
        <is>
          <t>中</t>
        </is>
      </c>
      <c r="H7" s="25" t="inlineStr">
        <is>
          <t>质检</t>
        </is>
      </c>
      <c r="I7" s="28" t="inlineStr">
        <is>
          <t>等待时间较长，首次解决不足。</t>
        </is>
      </c>
      <c r="J7" s="28" t="inlineStr">
        <is>
          <t>高峰排班不足，知识库检索效率低。</t>
        </is>
      </c>
      <c r="K7" s="28" t="inlineStr">
        <is>
          <t>优化高峰排班并补充高频问题答案。</t>
        </is>
      </c>
      <c r="L7" s="25" t="inlineStr">
        <is>
          <t>呼叫中心主管</t>
        </is>
      </c>
      <c r="M7" s="141" t="n">
        <v>46122</v>
      </c>
      <c r="N7" s="25" t="inlineStr">
        <is>
          <t>处理中</t>
        </is>
      </c>
      <c r="O7" s="141" t="n"/>
      <c r="P7" s="25" t="inlineStr">
        <is>
          <t>待验证</t>
        </is>
      </c>
      <c r="Q7" s="139">
        <f>IF($M7="","",IF(OR($N7="已完成",$N7="已关闭"),IF($O7="",0,MAX(0,$O7-$M7)),MAX(0,TODAY()-$M7)))</f>
        <v/>
      </c>
      <c r="R7" s="139">
        <f>IF(AND($B7&lt;&gt;"",$O7&lt;&gt;""),$O7-$B7,"")</f>
        <v/>
      </c>
      <c r="S7" s="25" t="str"/>
    </row>
    <row r="8" ht="25" customHeight="1">
      <c r="A8" s="25">
        <f>IF($B8="","","CA-"&amp;TEXT(ROW()-4,"0000"))</f>
        <v/>
      </c>
      <c r="B8" s="141" t="n">
        <v>46134</v>
      </c>
      <c r="C8" s="25" t="inlineStr">
        <is>
          <t>SQ-0009</t>
        </is>
      </c>
      <c r="D8" s="25" t="inlineStr">
        <is>
          <t>示例公司E-B2B交付</t>
        </is>
      </c>
      <c r="E8" s="25" t="inlineStr">
        <is>
          <t>B2B项目交付</t>
        </is>
      </c>
      <c r="F8" s="25" t="inlineStr">
        <is>
          <t>流程不合规</t>
        </is>
      </c>
      <c r="G8" s="25" t="inlineStr">
        <is>
          <t>高</t>
        </is>
      </c>
      <c r="H8" s="25" t="inlineStr">
        <is>
          <t>主管</t>
        </is>
      </c>
      <c r="I8" s="28" t="inlineStr">
        <is>
          <t>交付资料多次补充，验收延期。</t>
        </is>
      </c>
      <c r="J8" s="28" t="inlineStr">
        <is>
          <t>项目交付清单不明确，阶段验收缺失。</t>
        </is>
      </c>
      <c r="K8" s="28" t="inlineStr">
        <is>
          <t>制定标准交付清单和验收模板。</t>
        </is>
      </c>
      <c r="L8" s="25" t="inlineStr">
        <is>
          <t>PMO负责人</t>
        </is>
      </c>
      <c r="M8" s="141" t="n">
        <v>46142</v>
      </c>
      <c r="N8" s="25" t="inlineStr">
        <is>
          <t>待评估</t>
        </is>
      </c>
      <c r="O8" s="141" t="n"/>
      <c r="P8" s="25" t="inlineStr">
        <is>
          <t>待验证</t>
        </is>
      </c>
      <c r="Q8" s="139">
        <f>IF($M8="","",IF(OR($N8="已完成",$N8="已关闭"),IF($O8="",0,MAX(0,$O8-$M8)),MAX(0,TODAY()-$M8)))</f>
        <v/>
      </c>
      <c r="R8" s="139">
        <f>IF(AND($B8&lt;&gt;"",$O8&lt;&gt;""),$O8-$B8,"")</f>
        <v/>
      </c>
      <c r="S8" s="25" t="str"/>
    </row>
    <row r="9" ht="25" customHeight="1">
      <c r="A9" s="25">
        <f>IF($B9="","","CA-"&amp;TEXT(ROW()-4,"0000"))</f>
        <v/>
      </c>
      <c r="B9" s="141" t="n">
        <v>46140</v>
      </c>
      <c r="C9" s="25" t="inlineStr">
        <is>
          <t>SQ-0011</t>
        </is>
      </c>
      <c r="D9" s="25" t="inlineStr">
        <is>
          <t>示例公司G-物业客服</t>
        </is>
      </c>
      <c r="E9" s="25" t="inlineStr">
        <is>
          <t>物业/设施管理</t>
        </is>
      </c>
      <c r="F9" s="25" t="inlineStr">
        <is>
          <t>响应慢</t>
        </is>
      </c>
      <c r="G9" s="25" t="inlineStr">
        <is>
          <t>中</t>
        </is>
      </c>
      <c r="H9" s="25" t="inlineStr">
        <is>
          <t>客户</t>
        </is>
      </c>
      <c r="I9" s="28" t="inlineStr">
        <is>
          <t>维修派单响应一般，回访未及时。</t>
        </is>
      </c>
      <c r="J9" s="28" t="inlineStr">
        <is>
          <t>维修工单提醒和回访机制不足。</t>
        </is>
      </c>
      <c r="K9" s="28" t="inlineStr">
        <is>
          <t>设置派单后回访提醒并抽查完成质量。</t>
        </is>
      </c>
      <c r="L9" s="25" t="inlineStr">
        <is>
          <t>物业客服主管</t>
        </is>
      </c>
      <c r="M9" s="141" t="n">
        <v>46157</v>
      </c>
      <c r="N9" s="25" t="inlineStr">
        <is>
          <t>处理中</t>
        </is>
      </c>
      <c r="O9" s="141" t="n"/>
      <c r="P9" s="25" t="inlineStr">
        <is>
          <t>待验证</t>
        </is>
      </c>
      <c r="Q9" s="139">
        <f>IF($M9="","",IF(OR($N9="已完成",$N9="已关闭"),IF($O9="",0,MAX(0,$O9-$M9)),MAX(0,TODAY()-$M9)))</f>
        <v/>
      </c>
      <c r="R9" s="139">
        <f>IF(AND($B9&lt;&gt;"",$O9&lt;&gt;""),$O9-$B9,"")</f>
        <v/>
      </c>
      <c r="S9" s="25" t="str"/>
    </row>
    <row r="10" ht="25" customHeight="1">
      <c r="A10" s="25">
        <f>IF($B10="","","CA-"&amp;TEXT(ROW()-4,"0000"))</f>
        <v/>
      </c>
      <c r="B10" s="141" t="n">
        <v>46141</v>
      </c>
      <c r="C10" s="25" t="inlineStr">
        <is>
          <t>SQ-0012</t>
        </is>
      </c>
      <c r="D10" s="25" t="inlineStr">
        <is>
          <t>示例公司C-SaaS支持</t>
        </is>
      </c>
      <c r="E10" s="25" t="inlineStr">
        <is>
          <t>技术支持</t>
        </is>
      </c>
      <c r="F10" s="25" t="inlineStr">
        <is>
          <t>人员培训</t>
        </is>
      </c>
      <c r="G10" s="25" t="inlineStr">
        <is>
          <t>低</t>
        </is>
      </c>
      <c r="H10" s="25" t="inlineStr">
        <is>
          <t>员工</t>
        </is>
      </c>
      <c r="I10" s="28" t="inlineStr">
        <is>
          <t>优秀案例未沉淀，知识复用不足。</t>
        </is>
      </c>
      <c r="J10" s="28" t="inlineStr">
        <is>
          <t>缺少案例库维护责任人。</t>
        </is>
      </c>
      <c r="K10" s="28" t="inlineStr">
        <is>
          <t>将优秀解决方案纳入知识库并月度复盘。</t>
        </is>
      </c>
      <c r="L10" s="25" t="inlineStr">
        <is>
          <t>技术支持主管</t>
        </is>
      </c>
      <c r="M10" s="141" t="n">
        <v>46162</v>
      </c>
      <c r="N10" s="25" t="inlineStr">
        <is>
          <t>待评估</t>
        </is>
      </c>
      <c r="O10" s="141" t="n"/>
      <c r="P10" s="25" t="inlineStr">
        <is>
          <t>待验证</t>
        </is>
      </c>
      <c r="Q10" s="139">
        <f>IF($M10="","",IF(OR($N10="已完成",$N10="已关闭"),IF($O10="",0,MAX(0,$O10-$M10)),MAX(0,TODAY()-$M10)))</f>
        <v/>
      </c>
      <c r="R10" s="139">
        <f>IF(AND($B10&lt;&gt;"",$O10&lt;&gt;""),$O10-$B10,"")</f>
        <v/>
      </c>
      <c r="S10" s="25" t="str"/>
    </row>
    <row r="11" ht="25" customHeight="1">
      <c r="A11" s="25">
        <f>IF($B11="","","CA-"&amp;TEXT(ROW()-4,"0000"))</f>
        <v/>
      </c>
      <c r="B11" s="141" t="n"/>
      <c r="C11" s="25" t="n"/>
      <c r="D11" s="25" t="n"/>
      <c r="E11" s="25" t="n"/>
      <c r="F11" s="25" t="n"/>
      <c r="G11" s="25" t="n"/>
      <c r="H11" s="25" t="n"/>
      <c r="I11" s="28" t="n"/>
      <c r="J11" s="28" t="n"/>
      <c r="K11" s="28" t="n"/>
      <c r="L11" s="25" t="n"/>
      <c r="M11" s="141" t="n"/>
      <c r="N11" s="25" t="n"/>
      <c r="O11" s="141" t="n"/>
      <c r="P11" s="25" t="n"/>
      <c r="Q11" s="139">
        <f>IF($M11="","",IF(OR($N11="已完成",$N11="已关闭"),IF($O11="",0,MAX(0,$O11-$M11)),MAX(0,TODAY()-$M11)))</f>
        <v/>
      </c>
      <c r="R11" s="139">
        <f>IF(AND($B11&lt;&gt;"",$O11&lt;&gt;""),$O11-$B11,"")</f>
        <v/>
      </c>
      <c r="S11" s="25" t="n"/>
    </row>
    <row r="12" ht="25" customHeight="1">
      <c r="A12" s="25">
        <f>IF($B12="","","CA-"&amp;TEXT(ROW()-4,"0000"))</f>
        <v/>
      </c>
      <c r="B12" s="141" t="n"/>
      <c r="C12" s="25" t="n"/>
      <c r="D12" s="25" t="n"/>
      <c r="E12" s="25" t="n"/>
      <c r="F12" s="25" t="n"/>
      <c r="G12" s="25" t="n"/>
      <c r="H12" s="25" t="n"/>
      <c r="I12" s="28" t="n"/>
      <c r="J12" s="28" t="n"/>
      <c r="K12" s="28" t="n"/>
      <c r="L12" s="25" t="n"/>
      <c r="M12" s="141" t="n"/>
      <c r="N12" s="25" t="n"/>
      <c r="O12" s="141" t="n"/>
      <c r="P12" s="25" t="n"/>
      <c r="Q12" s="139">
        <f>IF($M12="","",IF(OR($N12="已完成",$N12="已关闭"),IF($O12="",0,MAX(0,$O12-$M12)),MAX(0,TODAY()-$M12)))</f>
        <v/>
      </c>
      <c r="R12" s="139">
        <f>IF(AND($B12&lt;&gt;"",$O12&lt;&gt;""),$O12-$B12,"")</f>
        <v/>
      </c>
      <c r="S12" s="25" t="n"/>
    </row>
    <row r="13" ht="25" customHeight="1">
      <c r="A13" s="25">
        <f>IF($B13="","","CA-"&amp;TEXT(ROW()-4,"0000"))</f>
        <v/>
      </c>
      <c r="B13" s="141" t="n"/>
      <c r="C13" s="25" t="n"/>
      <c r="D13" s="25" t="n"/>
      <c r="E13" s="25" t="n"/>
      <c r="F13" s="25" t="n"/>
      <c r="G13" s="25" t="n"/>
      <c r="H13" s="25" t="n"/>
      <c r="I13" s="28" t="n"/>
      <c r="J13" s="28" t="n"/>
      <c r="K13" s="28" t="n"/>
      <c r="L13" s="25" t="n"/>
      <c r="M13" s="141" t="n"/>
      <c r="N13" s="25" t="n"/>
      <c r="O13" s="141" t="n"/>
      <c r="P13" s="25" t="n"/>
      <c r="Q13" s="139">
        <f>IF($M13="","",IF(OR($N13="已完成",$N13="已关闭"),IF($O13="",0,MAX(0,$O13-$M13)),MAX(0,TODAY()-$M13)))</f>
        <v/>
      </c>
      <c r="R13" s="139">
        <f>IF(AND($B13&lt;&gt;"",$O13&lt;&gt;""),$O13-$B13,"")</f>
        <v/>
      </c>
      <c r="S13" s="25" t="n"/>
    </row>
    <row r="14" ht="25" customHeight="1">
      <c r="A14" s="25">
        <f>IF($B14="","","CA-"&amp;TEXT(ROW()-4,"0000"))</f>
        <v/>
      </c>
      <c r="B14" s="141" t="n"/>
      <c r="C14" s="25" t="n"/>
      <c r="D14" s="25" t="n"/>
      <c r="E14" s="25" t="n"/>
      <c r="F14" s="25" t="n"/>
      <c r="G14" s="25" t="n"/>
      <c r="H14" s="25" t="n"/>
      <c r="I14" s="28" t="n"/>
      <c r="J14" s="28" t="n"/>
      <c r="K14" s="28" t="n"/>
      <c r="L14" s="25" t="n"/>
      <c r="M14" s="141" t="n"/>
      <c r="N14" s="25" t="n"/>
      <c r="O14" s="141" t="n"/>
      <c r="P14" s="25" t="n"/>
      <c r="Q14" s="139">
        <f>IF($M14="","",IF(OR($N14="已完成",$N14="已关闭"),IF($O14="",0,MAX(0,$O14-$M14)),MAX(0,TODAY()-$M14)))</f>
        <v/>
      </c>
      <c r="R14" s="139">
        <f>IF(AND($B14&lt;&gt;"",$O14&lt;&gt;""),$O14-$B14,"")</f>
        <v/>
      </c>
      <c r="S14" s="25" t="n"/>
    </row>
    <row r="15" ht="25" customHeight="1">
      <c r="A15" s="25">
        <f>IF($B15="","","CA-"&amp;TEXT(ROW()-4,"0000"))</f>
        <v/>
      </c>
      <c r="B15" s="141" t="n"/>
      <c r="C15" s="25" t="n"/>
      <c r="D15" s="25" t="n"/>
      <c r="E15" s="25" t="n"/>
      <c r="F15" s="25" t="n"/>
      <c r="G15" s="25" t="n"/>
      <c r="H15" s="25" t="n"/>
      <c r="I15" s="28" t="n"/>
      <c r="J15" s="28" t="n"/>
      <c r="K15" s="28" t="n"/>
      <c r="L15" s="25" t="n"/>
      <c r="M15" s="141" t="n"/>
      <c r="N15" s="25" t="n"/>
      <c r="O15" s="141" t="n"/>
      <c r="P15" s="25" t="n"/>
      <c r="Q15" s="139">
        <f>IF($M15="","",IF(OR($N15="已完成",$N15="已关闭"),IF($O15="",0,MAX(0,$O15-$M15)),MAX(0,TODAY()-$M15)))</f>
        <v/>
      </c>
      <c r="R15" s="139">
        <f>IF(AND($B15&lt;&gt;"",$O15&lt;&gt;""),$O15-$B15,"")</f>
        <v/>
      </c>
      <c r="S15" s="25" t="n"/>
    </row>
    <row r="16" ht="25" customHeight="1">
      <c r="A16" s="25">
        <f>IF($B16="","","CA-"&amp;TEXT(ROW()-4,"0000"))</f>
        <v/>
      </c>
      <c r="B16" s="141" t="n"/>
      <c r="C16" s="25" t="n"/>
      <c r="D16" s="25" t="n"/>
      <c r="E16" s="25" t="n"/>
      <c r="F16" s="25" t="n"/>
      <c r="G16" s="25" t="n"/>
      <c r="H16" s="25" t="n"/>
      <c r="I16" s="28" t="n"/>
      <c r="J16" s="28" t="n"/>
      <c r="K16" s="28" t="n"/>
      <c r="L16" s="25" t="n"/>
      <c r="M16" s="141" t="n"/>
      <c r="N16" s="25" t="n"/>
      <c r="O16" s="141" t="n"/>
      <c r="P16" s="25" t="n"/>
      <c r="Q16" s="139">
        <f>IF($M16="","",IF(OR($N16="已完成",$N16="已关闭"),IF($O16="",0,MAX(0,$O16-$M16)),MAX(0,TODAY()-$M16)))</f>
        <v/>
      </c>
      <c r="R16" s="139">
        <f>IF(AND($B16&lt;&gt;"",$O16&lt;&gt;""),$O16-$B16,"")</f>
        <v/>
      </c>
      <c r="S16" s="25" t="n"/>
    </row>
    <row r="17" ht="25" customHeight="1">
      <c r="A17" s="25">
        <f>IF($B17="","","CA-"&amp;TEXT(ROW()-4,"0000"))</f>
        <v/>
      </c>
      <c r="B17" s="141" t="n"/>
      <c r="C17" s="25" t="n"/>
      <c r="D17" s="25" t="n"/>
      <c r="E17" s="25" t="n"/>
      <c r="F17" s="25" t="n"/>
      <c r="G17" s="25" t="n"/>
      <c r="H17" s="25" t="n"/>
      <c r="I17" s="28" t="n"/>
      <c r="J17" s="28" t="n"/>
      <c r="K17" s="28" t="n"/>
      <c r="L17" s="25" t="n"/>
      <c r="M17" s="141" t="n"/>
      <c r="N17" s="25" t="n"/>
      <c r="O17" s="141" t="n"/>
      <c r="P17" s="25" t="n"/>
      <c r="Q17" s="139">
        <f>IF($M17="","",IF(OR($N17="已完成",$N17="已关闭"),IF($O17="",0,MAX(0,$O17-$M17)),MAX(0,TODAY()-$M17)))</f>
        <v/>
      </c>
      <c r="R17" s="139">
        <f>IF(AND($B17&lt;&gt;"",$O17&lt;&gt;""),$O17-$B17,"")</f>
        <v/>
      </c>
      <c r="S17" s="25" t="n"/>
    </row>
    <row r="18" ht="25" customHeight="1">
      <c r="A18" s="25">
        <f>IF($B18="","","CA-"&amp;TEXT(ROW()-4,"0000"))</f>
        <v/>
      </c>
      <c r="B18" s="141" t="n"/>
      <c r="C18" s="25" t="n"/>
      <c r="D18" s="25" t="n"/>
      <c r="E18" s="25" t="n"/>
      <c r="F18" s="25" t="n"/>
      <c r="G18" s="25" t="n"/>
      <c r="H18" s="25" t="n"/>
      <c r="I18" s="28" t="n"/>
      <c r="J18" s="28" t="n"/>
      <c r="K18" s="28" t="n"/>
      <c r="L18" s="25" t="n"/>
      <c r="M18" s="141" t="n"/>
      <c r="N18" s="25" t="n"/>
      <c r="O18" s="141" t="n"/>
      <c r="P18" s="25" t="n"/>
      <c r="Q18" s="139">
        <f>IF($M18="","",IF(OR($N18="已完成",$N18="已关闭"),IF($O18="",0,MAX(0,$O18-$M18)),MAX(0,TODAY()-$M18)))</f>
        <v/>
      </c>
      <c r="R18" s="139">
        <f>IF(AND($B18&lt;&gt;"",$O18&lt;&gt;""),$O18-$B18,"")</f>
        <v/>
      </c>
      <c r="S18" s="25" t="n"/>
    </row>
    <row r="19" ht="25" customHeight="1">
      <c r="A19" s="25">
        <f>IF($B19="","","CA-"&amp;TEXT(ROW()-4,"0000"))</f>
        <v/>
      </c>
      <c r="B19" s="141" t="n"/>
      <c r="C19" s="25" t="n"/>
      <c r="D19" s="25" t="n"/>
      <c r="E19" s="25" t="n"/>
      <c r="F19" s="25" t="n"/>
      <c r="G19" s="25" t="n"/>
      <c r="H19" s="25" t="n"/>
      <c r="I19" s="28" t="n"/>
      <c r="J19" s="28" t="n"/>
      <c r="K19" s="28" t="n"/>
      <c r="L19" s="25" t="n"/>
      <c r="M19" s="141" t="n"/>
      <c r="N19" s="25" t="n"/>
      <c r="O19" s="141" t="n"/>
      <c r="P19" s="25" t="n"/>
      <c r="Q19" s="139">
        <f>IF($M19="","",IF(OR($N19="已完成",$N19="已关闭"),IF($O19="",0,MAX(0,$O19-$M19)),MAX(0,TODAY()-$M19)))</f>
        <v/>
      </c>
      <c r="R19" s="139">
        <f>IF(AND($B19&lt;&gt;"",$O19&lt;&gt;""),$O19-$B19,"")</f>
        <v/>
      </c>
      <c r="S19" s="25" t="n"/>
    </row>
    <row r="20" ht="25" customHeight="1">
      <c r="A20" s="25">
        <f>IF($B20="","","CA-"&amp;TEXT(ROW()-4,"0000"))</f>
        <v/>
      </c>
      <c r="B20" s="141" t="n"/>
      <c r="C20" s="25" t="n"/>
      <c r="D20" s="25" t="n"/>
      <c r="E20" s="25" t="n"/>
      <c r="F20" s="25" t="n"/>
      <c r="G20" s="25" t="n"/>
      <c r="H20" s="25" t="n"/>
      <c r="I20" s="28" t="n"/>
      <c r="J20" s="28" t="n"/>
      <c r="K20" s="28" t="n"/>
      <c r="L20" s="25" t="n"/>
      <c r="M20" s="141" t="n"/>
      <c r="N20" s="25" t="n"/>
      <c r="O20" s="141" t="n"/>
      <c r="P20" s="25" t="n"/>
      <c r="Q20" s="139">
        <f>IF($M20="","",IF(OR($N20="已完成",$N20="已关闭"),IF($O20="",0,MAX(0,$O20-$M20)),MAX(0,TODAY()-$M20)))</f>
        <v/>
      </c>
      <c r="R20" s="139">
        <f>IF(AND($B20&lt;&gt;"",$O20&lt;&gt;""),$O20-$B20,"")</f>
        <v/>
      </c>
      <c r="S20" s="25" t="n"/>
    </row>
    <row r="21" ht="25" customHeight="1">
      <c r="A21" s="25">
        <f>IF($B21="","","CA-"&amp;TEXT(ROW()-4,"0000"))</f>
        <v/>
      </c>
      <c r="B21" s="141" t="n"/>
      <c r="C21" s="25" t="n"/>
      <c r="D21" s="25" t="n"/>
      <c r="E21" s="25" t="n"/>
      <c r="F21" s="25" t="n"/>
      <c r="G21" s="25" t="n"/>
      <c r="H21" s="25" t="n"/>
      <c r="I21" s="28" t="n"/>
      <c r="J21" s="28" t="n"/>
      <c r="K21" s="28" t="n"/>
      <c r="L21" s="25" t="n"/>
      <c r="M21" s="141" t="n"/>
      <c r="N21" s="25" t="n"/>
      <c r="O21" s="141" t="n"/>
      <c r="P21" s="25" t="n"/>
      <c r="Q21" s="139">
        <f>IF($M21="","",IF(OR($N21="已完成",$N21="已关闭"),IF($O21="",0,MAX(0,$O21-$M21)),MAX(0,TODAY()-$M21)))</f>
        <v/>
      </c>
      <c r="R21" s="139">
        <f>IF(AND($B21&lt;&gt;"",$O21&lt;&gt;""),$O21-$B21,"")</f>
        <v/>
      </c>
      <c r="S21" s="25" t="n"/>
    </row>
    <row r="22" ht="25" customHeight="1">
      <c r="A22" s="25">
        <f>IF($B22="","","CA-"&amp;TEXT(ROW()-4,"0000"))</f>
        <v/>
      </c>
      <c r="B22" s="141" t="n"/>
      <c r="C22" s="25" t="n"/>
      <c r="D22" s="25" t="n"/>
      <c r="E22" s="25" t="n"/>
      <c r="F22" s="25" t="n"/>
      <c r="G22" s="25" t="n"/>
      <c r="H22" s="25" t="n"/>
      <c r="I22" s="28" t="n"/>
      <c r="J22" s="28" t="n"/>
      <c r="K22" s="28" t="n"/>
      <c r="L22" s="25" t="n"/>
      <c r="M22" s="141" t="n"/>
      <c r="N22" s="25" t="n"/>
      <c r="O22" s="141" t="n"/>
      <c r="P22" s="25" t="n"/>
      <c r="Q22" s="139">
        <f>IF($M22="","",IF(OR($N22="已完成",$N22="已关闭"),IF($O22="",0,MAX(0,$O22-$M22)),MAX(0,TODAY()-$M22)))</f>
        <v/>
      </c>
      <c r="R22" s="139">
        <f>IF(AND($B22&lt;&gt;"",$O22&lt;&gt;""),$O22-$B22,"")</f>
        <v/>
      </c>
      <c r="S22" s="25" t="n"/>
    </row>
    <row r="23" ht="25" customHeight="1">
      <c r="A23" s="25">
        <f>IF($B23="","","CA-"&amp;TEXT(ROW()-4,"0000"))</f>
        <v/>
      </c>
      <c r="B23" s="141" t="n"/>
      <c r="C23" s="25" t="n"/>
      <c r="D23" s="25" t="n"/>
      <c r="E23" s="25" t="n"/>
      <c r="F23" s="25" t="n"/>
      <c r="G23" s="25" t="n"/>
      <c r="H23" s="25" t="n"/>
      <c r="I23" s="28" t="n"/>
      <c r="J23" s="28" t="n"/>
      <c r="K23" s="28" t="n"/>
      <c r="L23" s="25" t="n"/>
      <c r="M23" s="141" t="n"/>
      <c r="N23" s="25" t="n"/>
      <c r="O23" s="141" t="n"/>
      <c r="P23" s="25" t="n"/>
      <c r="Q23" s="139">
        <f>IF($M23="","",IF(OR($N23="已完成",$N23="已关闭"),IF($O23="",0,MAX(0,$O23-$M23)),MAX(0,TODAY()-$M23)))</f>
        <v/>
      </c>
      <c r="R23" s="139">
        <f>IF(AND($B23&lt;&gt;"",$O23&lt;&gt;""),$O23-$B23,"")</f>
        <v/>
      </c>
      <c r="S23" s="25" t="n"/>
    </row>
    <row r="24" ht="25" customHeight="1">
      <c r="A24" s="25">
        <f>IF($B24="","","CA-"&amp;TEXT(ROW()-4,"0000"))</f>
        <v/>
      </c>
      <c r="B24" s="141" t="n"/>
      <c r="C24" s="25" t="n"/>
      <c r="D24" s="25" t="n"/>
      <c r="E24" s="25" t="n"/>
      <c r="F24" s="25" t="n"/>
      <c r="G24" s="25" t="n"/>
      <c r="H24" s="25" t="n"/>
      <c r="I24" s="28" t="n"/>
      <c r="J24" s="28" t="n"/>
      <c r="K24" s="28" t="n"/>
      <c r="L24" s="25" t="n"/>
      <c r="M24" s="141" t="n"/>
      <c r="N24" s="25" t="n"/>
      <c r="O24" s="141" t="n"/>
      <c r="P24" s="25" t="n"/>
      <c r="Q24" s="139">
        <f>IF($M24="","",IF(OR($N24="已完成",$N24="已关闭"),IF($O24="",0,MAX(0,$O24-$M24)),MAX(0,TODAY()-$M24)))</f>
        <v/>
      </c>
      <c r="R24" s="139">
        <f>IF(AND($B24&lt;&gt;"",$O24&lt;&gt;""),$O24-$B24,"")</f>
        <v/>
      </c>
      <c r="S24" s="25" t="n"/>
    </row>
    <row r="25" ht="25" customHeight="1">
      <c r="A25" s="25">
        <f>IF($B25="","","CA-"&amp;TEXT(ROW()-4,"0000"))</f>
        <v/>
      </c>
      <c r="B25" s="141" t="n"/>
      <c r="C25" s="25" t="n"/>
      <c r="D25" s="25" t="n"/>
      <c r="E25" s="25" t="n"/>
      <c r="F25" s="25" t="n"/>
      <c r="G25" s="25" t="n"/>
      <c r="H25" s="25" t="n"/>
      <c r="I25" s="28" t="n"/>
      <c r="J25" s="28" t="n"/>
      <c r="K25" s="28" t="n"/>
      <c r="L25" s="25" t="n"/>
      <c r="M25" s="141" t="n"/>
      <c r="N25" s="25" t="n"/>
      <c r="O25" s="141" t="n"/>
      <c r="P25" s="25" t="n"/>
      <c r="Q25" s="139">
        <f>IF($M25="","",IF(OR($N25="已完成",$N25="已关闭"),IF($O25="",0,MAX(0,$O25-$M25)),MAX(0,TODAY()-$M25)))</f>
        <v/>
      </c>
      <c r="R25" s="139">
        <f>IF(AND($B25&lt;&gt;"",$O25&lt;&gt;""),$O25-$B25,"")</f>
        <v/>
      </c>
      <c r="S25" s="25" t="n"/>
    </row>
    <row r="26" ht="25" customHeight="1">
      <c r="A26" s="25">
        <f>IF($B26="","","CA-"&amp;TEXT(ROW()-4,"0000"))</f>
        <v/>
      </c>
      <c r="B26" s="141" t="n"/>
      <c r="C26" s="25" t="n"/>
      <c r="D26" s="25" t="n"/>
      <c r="E26" s="25" t="n"/>
      <c r="F26" s="25" t="n"/>
      <c r="G26" s="25" t="n"/>
      <c r="H26" s="25" t="n"/>
      <c r="I26" s="28" t="n"/>
      <c r="J26" s="28" t="n"/>
      <c r="K26" s="28" t="n"/>
      <c r="L26" s="25" t="n"/>
      <c r="M26" s="141" t="n"/>
      <c r="N26" s="25" t="n"/>
      <c r="O26" s="141" t="n"/>
      <c r="P26" s="25" t="n"/>
      <c r="Q26" s="139">
        <f>IF($M26="","",IF(OR($N26="已完成",$N26="已关闭"),IF($O26="",0,MAX(0,$O26-$M26)),MAX(0,TODAY()-$M26)))</f>
        <v/>
      </c>
      <c r="R26" s="139">
        <f>IF(AND($B26&lt;&gt;"",$O26&lt;&gt;""),$O26-$B26,"")</f>
        <v/>
      </c>
      <c r="S26" s="25" t="n"/>
    </row>
    <row r="27" ht="25" customHeight="1">
      <c r="A27" s="25">
        <f>IF($B27="","","CA-"&amp;TEXT(ROW()-4,"0000"))</f>
        <v/>
      </c>
      <c r="B27" s="141" t="n"/>
      <c r="C27" s="25" t="n"/>
      <c r="D27" s="25" t="n"/>
      <c r="E27" s="25" t="n"/>
      <c r="F27" s="25" t="n"/>
      <c r="G27" s="25" t="n"/>
      <c r="H27" s="25" t="n"/>
      <c r="I27" s="28" t="n"/>
      <c r="J27" s="28" t="n"/>
      <c r="K27" s="28" t="n"/>
      <c r="L27" s="25" t="n"/>
      <c r="M27" s="141" t="n"/>
      <c r="N27" s="25" t="n"/>
      <c r="O27" s="141" t="n"/>
      <c r="P27" s="25" t="n"/>
      <c r="Q27" s="139">
        <f>IF($M27="","",IF(OR($N27="已完成",$N27="已关闭"),IF($O27="",0,MAX(0,$O27-$M27)),MAX(0,TODAY()-$M27)))</f>
        <v/>
      </c>
      <c r="R27" s="139">
        <f>IF(AND($B27&lt;&gt;"",$O27&lt;&gt;""),$O27-$B27,"")</f>
        <v/>
      </c>
      <c r="S27" s="25" t="n"/>
    </row>
    <row r="28" ht="25" customHeight="1">
      <c r="A28" s="25">
        <f>IF($B28="","","CA-"&amp;TEXT(ROW()-4,"0000"))</f>
        <v/>
      </c>
      <c r="B28" s="141" t="n"/>
      <c r="C28" s="25" t="n"/>
      <c r="D28" s="25" t="n"/>
      <c r="E28" s="25" t="n"/>
      <c r="F28" s="25" t="n"/>
      <c r="G28" s="25" t="n"/>
      <c r="H28" s="25" t="n"/>
      <c r="I28" s="28" t="n"/>
      <c r="J28" s="28" t="n"/>
      <c r="K28" s="28" t="n"/>
      <c r="L28" s="25" t="n"/>
      <c r="M28" s="141" t="n"/>
      <c r="N28" s="25" t="n"/>
      <c r="O28" s="141" t="n"/>
      <c r="P28" s="25" t="n"/>
      <c r="Q28" s="139">
        <f>IF($M28="","",IF(OR($N28="已完成",$N28="已关闭"),IF($O28="",0,MAX(0,$O28-$M28)),MAX(0,TODAY()-$M28)))</f>
        <v/>
      </c>
      <c r="R28" s="139">
        <f>IF(AND($B28&lt;&gt;"",$O28&lt;&gt;""),$O28-$B28,"")</f>
        <v/>
      </c>
      <c r="S28" s="25" t="n"/>
    </row>
    <row r="29" ht="25" customHeight="1">
      <c r="A29" s="25">
        <f>IF($B29="","","CA-"&amp;TEXT(ROW()-4,"0000"))</f>
        <v/>
      </c>
      <c r="B29" s="141" t="n"/>
      <c r="C29" s="25" t="n"/>
      <c r="D29" s="25" t="n"/>
      <c r="E29" s="25" t="n"/>
      <c r="F29" s="25" t="n"/>
      <c r="G29" s="25" t="n"/>
      <c r="H29" s="25" t="n"/>
      <c r="I29" s="28" t="n"/>
      <c r="J29" s="28" t="n"/>
      <c r="K29" s="28" t="n"/>
      <c r="L29" s="25" t="n"/>
      <c r="M29" s="141" t="n"/>
      <c r="N29" s="25" t="n"/>
      <c r="O29" s="141" t="n"/>
      <c r="P29" s="25" t="n"/>
      <c r="Q29" s="139">
        <f>IF($M29="","",IF(OR($N29="已完成",$N29="已关闭"),IF($O29="",0,MAX(0,$O29-$M29)),MAX(0,TODAY()-$M29)))</f>
        <v/>
      </c>
      <c r="R29" s="139">
        <f>IF(AND($B29&lt;&gt;"",$O29&lt;&gt;""),$O29-$B29,"")</f>
        <v/>
      </c>
      <c r="S29" s="25" t="n"/>
    </row>
    <row r="30" ht="25" customHeight="1">
      <c r="A30" s="25">
        <f>IF($B30="","","CA-"&amp;TEXT(ROW()-4,"0000"))</f>
        <v/>
      </c>
      <c r="B30" s="141" t="n"/>
      <c r="C30" s="25" t="n"/>
      <c r="D30" s="25" t="n"/>
      <c r="E30" s="25" t="n"/>
      <c r="F30" s="25" t="n"/>
      <c r="G30" s="25" t="n"/>
      <c r="H30" s="25" t="n"/>
      <c r="I30" s="28" t="n"/>
      <c r="J30" s="28" t="n"/>
      <c r="K30" s="28" t="n"/>
      <c r="L30" s="25" t="n"/>
      <c r="M30" s="141" t="n"/>
      <c r="N30" s="25" t="n"/>
      <c r="O30" s="141" t="n"/>
      <c r="P30" s="25" t="n"/>
      <c r="Q30" s="139">
        <f>IF($M30="","",IF(OR($N30="已完成",$N30="已关闭"),IF($O30="",0,MAX(0,$O30-$M30)),MAX(0,TODAY()-$M30)))</f>
        <v/>
      </c>
      <c r="R30" s="139">
        <f>IF(AND($B30&lt;&gt;"",$O30&lt;&gt;""),$O30-$B30,"")</f>
        <v/>
      </c>
      <c r="S30" s="25" t="n"/>
    </row>
    <row r="31" ht="25" customHeight="1">
      <c r="A31" s="25">
        <f>IF($B31="","","CA-"&amp;TEXT(ROW()-4,"0000"))</f>
        <v/>
      </c>
      <c r="B31" s="141" t="n"/>
      <c r="C31" s="25" t="n"/>
      <c r="D31" s="25" t="n"/>
      <c r="E31" s="25" t="n"/>
      <c r="F31" s="25" t="n"/>
      <c r="G31" s="25" t="n"/>
      <c r="H31" s="25" t="n"/>
      <c r="I31" s="28" t="n"/>
      <c r="J31" s="28" t="n"/>
      <c r="K31" s="28" t="n"/>
      <c r="L31" s="25" t="n"/>
      <c r="M31" s="141" t="n"/>
      <c r="N31" s="25" t="n"/>
      <c r="O31" s="141" t="n"/>
      <c r="P31" s="25" t="n"/>
      <c r="Q31" s="139">
        <f>IF($M31="","",IF(OR($N31="已完成",$N31="已关闭"),IF($O31="",0,MAX(0,$O31-$M31)),MAX(0,TODAY()-$M31)))</f>
        <v/>
      </c>
      <c r="R31" s="139">
        <f>IF(AND($B31&lt;&gt;"",$O31&lt;&gt;""),$O31-$B31,"")</f>
        <v/>
      </c>
      <c r="S31" s="25" t="n"/>
    </row>
    <row r="32" ht="25" customHeight="1">
      <c r="A32" s="25">
        <f>IF($B32="","","CA-"&amp;TEXT(ROW()-4,"0000"))</f>
        <v/>
      </c>
      <c r="B32" s="141" t="n"/>
      <c r="C32" s="25" t="n"/>
      <c r="D32" s="25" t="n"/>
      <c r="E32" s="25" t="n"/>
      <c r="F32" s="25" t="n"/>
      <c r="G32" s="25" t="n"/>
      <c r="H32" s="25" t="n"/>
      <c r="I32" s="28" t="n"/>
      <c r="J32" s="28" t="n"/>
      <c r="K32" s="28" t="n"/>
      <c r="L32" s="25" t="n"/>
      <c r="M32" s="141" t="n"/>
      <c r="N32" s="25" t="n"/>
      <c r="O32" s="141" t="n"/>
      <c r="P32" s="25" t="n"/>
      <c r="Q32" s="139">
        <f>IF($M32="","",IF(OR($N32="已完成",$N32="已关闭"),IF($O32="",0,MAX(0,$O32-$M32)),MAX(0,TODAY()-$M32)))</f>
        <v/>
      </c>
      <c r="R32" s="139">
        <f>IF(AND($B32&lt;&gt;"",$O32&lt;&gt;""),$O32-$B32,"")</f>
        <v/>
      </c>
      <c r="S32" s="25" t="n"/>
    </row>
    <row r="33" ht="25" customHeight="1">
      <c r="A33" s="25">
        <f>IF($B33="","","CA-"&amp;TEXT(ROW()-4,"0000"))</f>
        <v/>
      </c>
      <c r="B33" s="141" t="n"/>
      <c r="C33" s="25" t="n"/>
      <c r="D33" s="25" t="n"/>
      <c r="E33" s="25" t="n"/>
      <c r="F33" s="25" t="n"/>
      <c r="G33" s="25" t="n"/>
      <c r="H33" s="25" t="n"/>
      <c r="I33" s="28" t="n"/>
      <c r="J33" s="28" t="n"/>
      <c r="K33" s="28" t="n"/>
      <c r="L33" s="25" t="n"/>
      <c r="M33" s="141" t="n"/>
      <c r="N33" s="25" t="n"/>
      <c r="O33" s="141" t="n"/>
      <c r="P33" s="25" t="n"/>
      <c r="Q33" s="139">
        <f>IF($M33="","",IF(OR($N33="已完成",$N33="已关闭"),IF($O33="",0,MAX(0,$O33-$M33)),MAX(0,TODAY()-$M33)))</f>
        <v/>
      </c>
      <c r="R33" s="139">
        <f>IF(AND($B33&lt;&gt;"",$O33&lt;&gt;""),$O33-$B33,"")</f>
        <v/>
      </c>
      <c r="S33" s="25" t="n"/>
    </row>
    <row r="34" ht="25" customHeight="1">
      <c r="A34" s="25">
        <f>IF($B34="","","CA-"&amp;TEXT(ROW()-4,"0000"))</f>
        <v/>
      </c>
      <c r="B34" s="141" t="n"/>
      <c r="C34" s="25" t="n"/>
      <c r="D34" s="25" t="n"/>
      <c r="E34" s="25" t="n"/>
      <c r="F34" s="25" t="n"/>
      <c r="G34" s="25" t="n"/>
      <c r="H34" s="25" t="n"/>
      <c r="I34" s="28" t="n"/>
      <c r="J34" s="28" t="n"/>
      <c r="K34" s="28" t="n"/>
      <c r="L34" s="25" t="n"/>
      <c r="M34" s="141" t="n"/>
      <c r="N34" s="25" t="n"/>
      <c r="O34" s="141" t="n"/>
      <c r="P34" s="25" t="n"/>
      <c r="Q34" s="139">
        <f>IF($M34="","",IF(OR($N34="已完成",$N34="已关闭"),IF($O34="",0,MAX(0,$O34-$M34)),MAX(0,TODAY()-$M34)))</f>
        <v/>
      </c>
      <c r="R34" s="139">
        <f>IF(AND($B34&lt;&gt;"",$O34&lt;&gt;""),$O34-$B34,"")</f>
        <v/>
      </c>
      <c r="S34" s="25" t="n"/>
    </row>
    <row r="35" ht="25" customHeight="1">
      <c r="A35" s="25">
        <f>IF($B35="","","CA-"&amp;TEXT(ROW()-4,"0000"))</f>
        <v/>
      </c>
      <c r="B35" s="141" t="n"/>
      <c r="C35" s="25" t="n"/>
      <c r="D35" s="25" t="n"/>
      <c r="E35" s="25" t="n"/>
      <c r="F35" s="25" t="n"/>
      <c r="G35" s="25" t="n"/>
      <c r="H35" s="25" t="n"/>
      <c r="I35" s="28" t="n"/>
      <c r="J35" s="28" t="n"/>
      <c r="K35" s="28" t="n"/>
      <c r="L35" s="25" t="n"/>
      <c r="M35" s="141" t="n"/>
      <c r="N35" s="25" t="n"/>
      <c r="O35" s="141" t="n"/>
      <c r="P35" s="25" t="n"/>
      <c r="Q35" s="139">
        <f>IF($M35="","",IF(OR($N35="已完成",$N35="已关闭"),IF($O35="",0,MAX(0,$O35-$M35)),MAX(0,TODAY()-$M35)))</f>
        <v/>
      </c>
      <c r="R35" s="139">
        <f>IF(AND($B35&lt;&gt;"",$O35&lt;&gt;""),$O35-$B35,"")</f>
        <v/>
      </c>
      <c r="S35" s="25" t="n"/>
    </row>
    <row r="36" ht="25" customHeight="1">
      <c r="A36" s="25">
        <f>IF($B36="","","CA-"&amp;TEXT(ROW()-4,"0000"))</f>
        <v/>
      </c>
      <c r="B36" s="141" t="n"/>
      <c r="C36" s="25" t="n"/>
      <c r="D36" s="25" t="n"/>
      <c r="E36" s="25" t="n"/>
      <c r="F36" s="25" t="n"/>
      <c r="G36" s="25" t="n"/>
      <c r="H36" s="25" t="n"/>
      <c r="I36" s="28" t="n"/>
      <c r="J36" s="28" t="n"/>
      <c r="K36" s="28" t="n"/>
      <c r="L36" s="25" t="n"/>
      <c r="M36" s="141" t="n"/>
      <c r="N36" s="25" t="n"/>
      <c r="O36" s="141" t="n"/>
      <c r="P36" s="25" t="n"/>
      <c r="Q36" s="139">
        <f>IF($M36="","",IF(OR($N36="已完成",$N36="已关闭"),IF($O36="",0,MAX(0,$O36-$M36)),MAX(0,TODAY()-$M36)))</f>
        <v/>
      </c>
      <c r="R36" s="139">
        <f>IF(AND($B36&lt;&gt;"",$O36&lt;&gt;""),$O36-$B36,"")</f>
        <v/>
      </c>
      <c r="S36" s="25" t="n"/>
    </row>
    <row r="37" ht="25" customHeight="1">
      <c r="A37" s="25">
        <f>IF($B37="","","CA-"&amp;TEXT(ROW()-4,"0000"))</f>
        <v/>
      </c>
      <c r="B37" s="141" t="n"/>
      <c r="C37" s="25" t="n"/>
      <c r="D37" s="25" t="n"/>
      <c r="E37" s="25" t="n"/>
      <c r="F37" s="25" t="n"/>
      <c r="G37" s="25" t="n"/>
      <c r="H37" s="25" t="n"/>
      <c r="I37" s="28" t="n"/>
      <c r="J37" s="28" t="n"/>
      <c r="K37" s="28" t="n"/>
      <c r="L37" s="25" t="n"/>
      <c r="M37" s="141" t="n"/>
      <c r="N37" s="25" t="n"/>
      <c r="O37" s="141" t="n"/>
      <c r="P37" s="25" t="n"/>
      <c r="Q37" s="139">
        <f>IF($M37="","",IF(OR($N37="已完成",$N37="已关闭"),IF($O37="",0,MAX(0,$O37-$M37)),MAX(0,TODAY()-$M37)))</f>
        <v/>
      </c>
      <c r="R37" s="139">
        <f>IF(AND($B37&lt;&gt;"",$O37&lt;&gt;""),$O37-$B37,"")</f>
        <v/>
      </c>
      <c r="S37" s="25" t="n"/>
    </row>
    <row r="38" ht="25" customHeight="1">
      <c r="A38" s="25">
        <f>IF($B38="","","CA-"&amp;TEXT(ROW()-4,"0000"))</f>
        <v/>
      </c>
      <c r="B38" s="141" t="n"/>
      <c r="C38" s="25" t="n"/>
      <c r="D38" s="25" t="n"/>
      <c r="E38" s="25" t="n"/>
      <c r="F38" s="25" t="n"/>
      <c r="G38" s="25" t="n"/>
      <c r="H38" s="25" t="n"/>
      <c r="I38" s="28" t="n"/>
      <c r="J38" s="28" t="n"/>
      <c r="K38" s="28" t="n"/>
      <c r="L38" s="25" t="n"/>
      <c r="M38" s="141" t="n"/>
      <c r="N38" s="25" t="n"/>
      <c r="O38" s="141" t="n"/>
      <c r="P38" s="25" t="n"/>
      <c r="Q38" s="139">
        <f>IF($M38="","",IF(OR($N38="已完成",$N38="已关闭"),IF($O38="",0,MAX(0,$O38-$M38)),MAX(0,TODAY()-$M38)))</f>
        <v/>
      </c>
      <c r="R38" s="139">
        <f>IF(AND($B38&lt;&gt;"",$O38&lt;&gt;""),$O38-$B38,"")</f>
        <v/>
      </c>
      <c r="S38" s="25" t="n"/>
    </row>
    <row r="39" ht="25" customHeight="1">
      <c r="A39" s="25">
        <f>IF($B39="","","CA-"&amp;TEXT(ROW()-4,"0000"))</f>
        <v/>
      </c>
      <c r="B39" s="141" t="n"/>
      <c r="C39" s="25" t="n"/>
      <c r="D39" s="25" t="n"/>
      <c r="E39" s="25" t="n"/>
      <c r="F39" s="25" t="n"/>
      <c r="G39" s="25" t="n"/>
      <c r="H39" s="25" t="n"/>
      <c r="I39" s="28" t="n"/>
      <c r="J39" s="28" t="n"/>
      <c r="K39" s="28" t="n"/>
      <c r="L39" s="25" t="n"/>
      <c r="M39" s="141" t="n"/>
      <c r="N39" s="25" t="n"/>
      <c r="O39" s="141" t="n"/>
      <c r="P39" s="25" t="n"/>
      <c r="Q39" s="139">
        <f>IF($M39="","",IF(OR($N39="已完成",$N39="已关闭"),IF($O39="",0,MAX(0,$O39-$M39)),MAX(0,TODAY()-$M39)))</f>
        <v/>
      </c>
      <c r="R39" s="139">
        <f>IF(AND($B39&lt;&gt;"",$O39&lt;&gt;""),$O39-$B39,"")</f>
        <v/>
      </c>
      <c r="S39" s="25" t="n"/>
    </row>
    <row r="40" ht="25" customHeight="1">
      <c r="A40" s="25">
        <f>IF($B40="","","CA-"&amp;TEXT(ROW()-4,"0000"))</f>
        <v/>
      </c>
      <c r="B40" s="141" t="n"/>
      <c r="C40" s="25" t="n"/>
      <c r="D40" s="25" t="n"/>
      <c r="E40" s="25" t="n"/>
      <c r="F40" s="25" t="n"/>
      <c r="G40" s="25" t="n"/>
      <c r="H40" s="25" t="n"/>
      <c r="I40" s="28" t="n"/>
      <c r="J40" s="28" t="n"/>
      <c r="K40" s="28" t="n"/>
      <c r="L40" s="25" t="n"/>
      <c r="M40" s="141" t="n"/>
      <c r="N40" s="25" t="n"/>
      <c r="O40" s="141" t="n"/>
      <c r="P40" s="25" t="n"/>
      <c r="Q40" s="139">
        <f>IF($M40="","",IF(OR($N40="已完成",$N40="已关闭"),IF($O40="",0,MAX(0,$O40-$M40)),MAX(0,TODAY()-$M40)))</f>
        <v/>
      </c>
      <c r="R40" s="139">
        <f>IF(AND($B40&lt;&gt;"",$O40&lt;&gt;""),$O40-$B40,"")</f>
        <v/>
      </c>
      <c r="S40" s="25" t="n"/>
    </row>
    <row r="41" ht="25" customHeight="1">
      <c r="A41" s="25">
        <f>IF($B41="","","CA-"&amp;TEXT(ROW()-4,"0000"))</f>
        <v/>
      </c>
      <c r="B41" s="141" t="n"/>
      <c r="C41" s="25" t="n"/>
      <c r="D41" s="25" t="n"/>
      <c r="E41" s="25" t="n"/>
      <c r="F41" s="25" t="n"/>
      <c r="G41" s="25" t="n"/>
      <c r="H41" s="25" t="n"/>
      <c r="I41" s="28" t="n"/>
      <c r="J41" s="28" t="n"/>
      <c r="K41" s="28" t="n"/>
      <c r="L41" s="25" t="n"/>
      <c r="M41" s="141" t="n"/>
      <c r="N41" s="25" t="n"/>
      <c r="O41" s="141" t="n"/>
      <c r="P41" s="25" t="n"/>
      <c r="Q41" s="139">
        <f>IF($M41="","",IF(OR($N41="已完成",$N41="已关闭"),IF($O41="",0,MAX(0,$O41-$M41)),MAX(0,TODAY()-$M41)))</f>
        <v/>
      </c>
      <c r="R41" s="139">
        <f>IF(AND($B41&lt;&gt;"",$O41&lt;&gt;""),$O41-$B41,"")</f>
        <v/>
      </c>
      <c r="S41" s="25" t="n"/>
    </row>
    <row r="42" ht="25" customHeight="1">
      <c r="A42" s="25">
        <f>IF($B42="","","CA-"&amp;TEXT(ROW()-4,"0000"))</f>
        <v/>
      </c>
      <c r="B42" s="141" t="n"/>
      <c r="C42" s="25" t="n"/>
      <c r="D42" s="25" t="n"/>
      <c r="E42" s="25" t="n"/>
      <c r="F42" s="25" t="n"/>
      <c r="G42" s="25" t="n"/>
      <c r="H42" s="25" t="n"/>
      <c r="I42" s="28" t="n"/>
      <c r="J42" s="28" t="n"/>
      <c r="K42" s="28" t="n"/>
      <c r="L42" s="25" t="n"/>
      <c r="M42" s="141" t="n"/>
      <c r="N42" s="25" t="n"/>
      <c r="O42" s="141" t="n"/>
      <c r="P42" s="25" t="n"/>
      <c r="Q42" s="139">
        <f>IF($M42="","",IF(OR($N42="已完成",$N42="已关闭"),IF($O42="",0,MAX(0,$O42-$M42)),MAX(0,TODAY()-$M42)))</f>
        <v/>
      </c>
      <c r="R42" s="139">
        <f>IF(AND($B42&lt;&gt;"",$O42&lt;&gt;""),$O42-$B42,"")</f>
        <v/>
      </c>
      <c r="S42" s="25" t="n"/>
    </row>
    <row r="43" ht="25" customHeight="1">
      <c r="A43" s="25">
        <f>IF($B43="","","CA-"&amp;TEXT(ROW()-4,"0000"))</f>
        <v/>
      </c>
      <c r="B43" s="141" t="n"/>
      <c r="C43" s="25" t="n"/>
      <c r="D43" s="25" t="n"/>
      <c r="E43" s="25" t="n"/>
      <c r="F43" s="25" t="n"/>
      <c r="G43" s="25" t="n"/>
      <c r="H43" s="25" t="n"/>
      <c r="I43" s="28" t="n"/>
      <c r="J43" s="28" t="n"/>
      <c r="K43" s="28" t="n"/>
      <c r="L43" s="25" t="n"/>
      <c r="M43" s="141" t="n"/>
      <c r="N43" s="25" t="n"/>
      <c r="O43" s="141" t="n"/>
      <c r="P43" s="25" t="n"/>
      <c r="Q43" s="139">
        <f>IF($M43="","",IF(OR($N43="已完成",$N43="已关闭"),IF($O43="",0,MAX(0,$O43-$M43)),MAX(0,TODAY()-$M43)))</f>
        <v/>
      </c>
      <c r="R43" s="139">
        <f>IF(AND($B43&lt;&gt;"",$O43&lt;&gt;""),$O43-$B43,"")</f>
        <v/>
      </c>
      <c r="S43" s="25" t="n"/>
    </row>
    <row r="44" ht="25" customHeight="1">
      <c r="A44" s="25">
        <f>IF($B44="","","CA-"&amp;TEXT(ROW()-4,"0000"))</f>
        <v/>
      </c>
      <c r="B44" s="141" t="n"/>
      <c r="C44" s="25" t="n"/>
      <c r="D44" s="25" t="n"/>
      <c r="E44" s="25" t="n"/>
      <c r="F44" s="25" t="n"/>
      <c r="G44" s="25" t="n"/>
      <c r="H44" s="25" t="n"/>
      <c r="I44" s="28" t="n"/>
      <c r="J44" s="28" t="n"/>
      <c r="K44" s="28" t="n"/>
      <c r="L44" s="25" t="n"/>
      <c r="M44" s="141" t="n"/>
      <c r="N44" s="25" t="n"/>
      <c r="O44" s="141" t="n"/>
      <c r="P44" s="25" t="n"/>
      <c r="Q44" s="139">
        <f>IF($M44="","",IF(OR($N44="已完成",$N44="已关闭"),IF($O44="",0,MAX(0,$O44-$M44)),MAX(0,TODAY()-$M44)))</f>
        <v/>
      </c>
      <c r="R44" s="139">
        <f>IF(AND($B44&lt;&gt;"",$O44&lt;&gt;""),$O44-$B44,"")</f>
        <v/>
      </c>
      <c r="S44" s="25" t="n"/>
    </row>
    <row r="45" ht="25" customHeight="1">
      <c r="A45" s="25">
        <f>IF($B45="","","CA-"&amp;TEXT(ROW()-4,"0000"))</f>
        <v/>
      </c>
      <c r="B45" s="141" t="n"/>
      <c r="C45" s="25" t="n"/>
      <c r="D45" s="25" t="n"/>
      <c r="E45" s="25" t="n"/>
      <c r="F45" s="25" t="n"/>
      <c r="G45" s="25" t="n"/>
      <c r="H45" s="25" t="n"/>
      <c r="I45" s="28" t="n"/>
      <c r="J45" s="28" t="n"/>
      <c r="K45" s="28" t="n"/>
      <c r="L45" s="25" t="n"/>
      <c r="M45" s="141" t="n"/>
      <c r="N45" s="25" t="n"/>
      <c r="O45" s="141" t="n"/>
      <c r="P45" s="25" t="n"/>
      <c r="Q45" s="139">
        <f>IF($M45="","",IF(OR($N45="已完成",$N45="已关闭"),IF($O45="",0,MAX(0,$O45-$M45)),MAX(0,TODAY()-$M45)))</f>
        <v/>
      </c>
      <c r="R45" s="139">
        <f>IF(AND($B45&lt;&gt;"",$O45&lt;&gt;""),$O45-$B45,"")</f>
        <v/>
      </c>
      <c r="S45" s="25" t="n"/>
    </row>
    <row r="46" ht="25" customHeight="1">
      <c r="A46" s="25">
        <f>IF($B46="","","CA-"&amp;TEXT(ROW()-4,"0000"))</f>
        <v/>
      </c>
      <c r="B46" s="141" t="n"/>
      <c r="C46" s="25" t="n"/>
      <c r="D46" s="25" t="n"/>
      <c r="E46" s="25" t="n"/>
      <c r="F46" s="25" t="n"/>
      <c r="G46" s="25" t="n"/>
      <c r="H46" s="25" t="n"/>
      <c r="I46" s="28" t="n"/>
      <c r="J46" s="28" t="n"/>
      <c r="K46" s="28" t="n"/>
      <c r="L46" s="25" t="n"/>
      <c r="M46" s="141" t="n"/>
      <c r="N46" s="25" t="n"/>
      <c r="O46" s="141" t="n"/>
      <c r="P46" s="25" t="n"/>
      <c r="Q46" s="139">
        <f>IF($M46="","",IF(OR($N46="已完成",$N46="已关闭"),IF($O46="",0,MAX(0,$O46-$M46)),MAX(0,TODAY()-$M46)))</f>
        <v/>
      </c>
      <c r="R46" s="139">
        <f>IF(AND($B46&lt;&gt;"",$O46&lt;&gt;""),$O46-$B46,"")</f>
        <v/>
      </c>
      <c r="S46" s="25" t="n"/>
    </row>
    <row r="47" ht="25" customHeight="1">
      <c r="A47" s="25">
        <f>IF($B47="","","CA-"&amp;TEXT(ROW()-4,"0000"))</f>
        <v/>
      </c>
      <c r="B47" s="141" t="n"/>
      <c r="C47" s="25" t="n"/>
      <c r="D47" s="25" t="n"/>
      <c r="E47" s="25" t="n"/>
      <c r="F47" s="25" t="n"/>
      <c r="G47" s="25" t="n"/>
      <c r="H47" s="25" t="n"/>
      <c r="I47" s="28" t="n"/>
      <c r="J47" s="28" t="n"/>
      <c r="K47" s="28" t="n"/>
      <c r="L47" s="25" t="n"/>
      <c r="M47" s="141" t="n"/>
      <c r="N47" s="25" t="n"/>
      <c r="O47" s="141" t="n"/>
      <c r="P47" s="25" t="n"/>
      <c r="Q47" s="139">
        <f>IF($M47="","",IF(OR($N47="已完成",$N47="已关闭"),IF($O47="",0,MAX(0,$O47-$M47)),MAX(0,TODAY()-$M47)))</f>
        <v/>
      </c>
      <c r="R47" s="139">
        <f>IF(AND($B47&lt;&gt;"",$O47&lt;&gt;""),$O47-$B47,"")</f>
        <v/>
      </c>
      <c r="S47" s="25" t="n"/>
    </row>
    <row r="48" ht="25" customHeight="1">
      <c r="A48" s="25">
        <f>IF($B48="","","CA-"&amp;TEXT(ROW()-4,"0000"))</f>
        <v/>
      </c>
      <c r="B48" s="141" t="n"/>
      <c r="C48" s="25" t="n"/>
      <c r="D48" s="25" t="n"/>
      <c r="E48" s="25" t="n"/>
      <c r="F48" s="25" t="n"/>
      <c r="G48" s="25" t="n"/>
      <c r="H48" s="25" t="n"/>
      <c r="I48" s="28" t="n"/>
      <c r="J48" s="28" t="n"/>
      <c r="K48" s="28" t="n"/>
      <c r="L48" s="25" t="n"/>
      <c r="M48" s="141" t="n"/>
      <c r="N48" s="25" t="n"/>
      <c r="O48" s="141" t="n"/>
      <c r="P48" s="25" t="n"/>
      <c r="Q48" s="139">
        <f>IF($M48="","",IF(OR($N48="已完成",$N48="已关闭"),IF($O48="",0,MAX(0,$O48-$M48)),MAX(0,TODAY()-$M48)))</f>
        <v/>
      </c>
      <c r="R48" s="139">
        <f>IF(AND($B48&lt;&gt;"",$O48&lt;&gt;""),$O48-$B48,"")</f>
        <v/>
      </c>
      <c r="S48" s="25" t="n"/>
    </row>
    <row r="49" ht="25" customHeight="1">
      <c r="A49" s="25">
        <f>IF($B49="","","CA-"&amp;TEXT(ROW()-4,"0000"))</f>
        <v/>
      </c>
      <c r="B49" s="141" t="n"/>
      <c r="C49" s="25" t="n"/>
      <c r="D49" s="25" t="n"/>
      <c r="E49" s="25" t="n"/>
      <c r="F49" s="25" t="n"/>
      <c r="G49" s="25" t="n"/>
      <c r="H49" s="25" t="n"/>
      <c r="I49" s="28" t="n"/>
      <c r="J49" s="28" t="n"/>
      <c r="K49" s="28" t="n"/>
      <c r="L49" s="25" t="n"/>
      <c r="M49" s="141" t="n"/>
      <c r="N49" s="25" t="n"/>
      <c r="O49" s="141" t="n"/>
      <c r="P49" s="25" t="n"/>
      <c r="Q49" s="139">
        <f>IF($M49="","",IF(OR($N49="已完成",$N49="已关闭"),IF($O49="",0,MAX(0,$O49-$M49)),MAX(0,TODAY()-$M49)))</f>
        <v/>
      </c>
      <c r="R49" s="139">
        <f>IF(AND($B49&lt;&gt;"",$O49&lt;&gt;""),$O49-$B49,"")</f>
        <v/>
      </c>
      <c r="S49" s="25" t="n"/>
    </row>
    <row r="50" ht="25" customHeight="1">
      <c r="A50" s="25">
        <f>IF($B50="","","CA-"&amp;TEXT(ROW()-4,"0000"))</f>
        <v/>
      </c>
      <c r="B50" s="141" t="n"/>
      <c r="C50" s="25" t="n"/>
      <c r="D50" s="25" t="n"/>
      <c r="E50" s="25" t="n"/>
      <c r="F50" s="25" t="n"/>
      <c r="G50" s="25" t="n"/>
      <c r="H50" s="25" t="n"/>
      <c r="I50" s="28" t="n"/>
      <c r="J50" s="28" t="n"/>
      <c r="K50" s="28" t="n"/>
      <c r="L50" s="25" t="n"/>
      <c r="M50" s="141" t="n"/>
      <c r="N50" s="25" t="n"/>
      <c r="O50" s="141" t="n"/>
      <c r="P50" s="25" t="n"/>
      <c r="Q50" s="139">
        <f>IF($M50="","",IF(OR($N50="已完成",$N50="已关闭"),IF($O50="",0,MAX(0,$O50-$M50)),MAX(0,TODAY()-$M50)))</f>
        <v/>
      </c>
      <c r="R50" s="139">
        <f>IF(AND($B50&lt;&gt;"",$O50&lt;&gt;""),$O50-$B50,"")</f>
        <v/>
      </c>
      <c r="S50" s="25" t="n"/>
    </row>
    <row r="51" ht="25" customHeight="1">
      <c r="A51" s="25">
        <f>IF($B51="","","CA-"&amp;TEXT(ROW()-4,"0000"))</f>
        <v/>
      </c>
      <c r="B51" s="141" t="n"/>
      <c r="C51" s="25" t="n"/>
      <c r="D51" s="25" t="n"/>
      <c r="E51" s="25" t="n"/>
      <c r="F51" s="25" t="n"/>
      <c r="G51" s="25" t="n"/>
      <c r="H51" s="25" t="n"/>
      <c r="I51" s="28" t="n"/>
      <c r="J51" s="28" t="n"/>
      <c r="K51" s="28" t="n"/>
      <c r="L51" s="25" t="n"/>
      <c r="M51" s="141" t="n"/>
      <c r="N51" s="25" t="n"/>
      <c r="O51" s="141" t="n"/>
      <c r="P51" s="25" t="n"/>
      <c r="Q51" s="139">
        <f>IF($M51="","",IF(OR($N51="已完成",$N51="已关闭"),IF($O51="",0,MAX(0,$O51-$M51)),MAX(0,TODAY()-$M51)))</f>
        <v/>
      </c>
      <c r="R51" s="139">
        <f>IF(AND($B51&lt;&gt;"",$O51&lt;&gt;""),$O51-$B51,"")</f>
        <v/>
      </c>
      <c r="S51" s="25" t="n"/>
    </row>
    <row r="52" ht="25" customHeight="1">
      <c r="A52" s="25">
        <f>IF($B52="","","CA-"&amp;TEXT(ROW()-4,"0000"))</f>
        <v/>
      </c>
      <c r="B52" s="141" t="n"/>
      <c r="C52" s="25" t="n"/>
      <c r="D52" s="25" t="n"/>
      <c r="E52" s="25" t="n"/>
      <c r="F52" s="25" t="n"/>
      <c r="G52" s="25" t="n"/>
      <c r="H52" s="25" t="n"/>
      <c r="I52" s="28" t="n"/>
      <c r="J52" s="28" t="n"/>
      <c r="K52" s="28" t="n"/>
      <c r="L52" s="25" t="n"/>
      <c r="M52" s="141" t="n"/>
      <c r="N52" s="25" t="n"/>
      <c r="O52" s="141" t="n"/>
      <c r="P52" s="25" t="n"/>
      <c r="Q52" s="139">
        <f>IF($M52="","",IF(OR($N52="已完成",$N52="已关闭"),IF($O52="",0,MAX(0,$O52-$M52)),MAX(0,TODAY()-$M52)))</f>
        <v/>
      </c>
      <c r="R52" s="139">
        <f>IF(AND($B52&lt;&gt;"",$O52&lt;&gt;""),$O52-$B52,"")</f>
        <v/>
      </c>
      <c r="S52" s="25" t="n"/>
    </row>
    <row r="53" ht="25" customHeight="1">
      <c r="A53" s="25">
        <f>IF($B53="","","CA-"&amp;TEXT(ROW()-4,"0000"))</f>
        <v/>
      </c>
      <c r="B53" s="141" t="n"/>
      <c r="C53" s="25" t="n"/>
      <c r="D53" s="25" t="n"/>
      <c r="E53" s="25" t="n"/>
      <c r="F53" s="25" t="n"/>
      <c r="G53" s="25" t="n"/>
      <c r="H53" s="25" t="n"/>
      <c r="I53" s="28" t="n"/>
      <c r="J53" s="28" t="n"/>
      <c r="K53" s="28" t="n"/>
      <c r="L53" s="25" t="n"/>
      <c r="M53" s="141" t="n"/>
      <c r="N53" s="25" t="n"/>
      <c r="O53" s="141" t="n"/>
      <c r="P53" s="25" t="n"/>
      <c r="Q53" s="139">
        <f>IF($M53="","",IF(OR($N53="已完成",$N53="已关闭"),IF($O53="",0,MAX(0,$O53-$M53)),MAX(0,TODAY()-$M53)))</f>
        <v/>
      </c>
      <c r="R53" s="139">
        <f>IF(AND($B53&lt;&gt;"",$O53&lt;&gt;""),$O53-$B53,"")</f>
        <v/>
      </c>
      <c r="S53" s="25" t="n"/>
    </row>
    <row r="54" ht="25" customHeight="1">
      <c r="A54" s="25">
        <f>IF($B54="","","CA-"&amp;TEXT(ROW()-4,"0000"))</f>
        <v/>
      </c>
      <c r="B54" s="141" t="n"/>
      <c r="C54" s="25" t="n"/>
      <c r="D54" s="25" t="n"/>
      <c r="E54" s="25" t="n"/>
      <c r="F54" s="25" t="n"/>
      <c r="G54" s="25" t="n"/>
      <c r="H54" s="25" t="n"/>
      <c r="I54" s="28" t="n"/>
      <c r="J54" s="28" t="n"/>
      <c r="K54" s="28" t="n"/>
      <c r="L54" s="25" t="n"/>
      <c r="M54" s="141" t="n"/>
      <c r="N54" s="25" t="n"/>
      <c r="O54" s="141" t="n"/>
      <c r="P54" s="25" t="n"/>
      <c r="Q54" s="139">
        <f>IF($M54="","",IF(OR($N54="已完成",$N54="已关闭"),IF($O54="",0,MAX(0,$O54-$M54)),MAX(0,TODAY()-$M54)))</f>
        <v/>
      </c>
      <c r="R54" s="139">
        <f>IF(AND($B54&lt;&gt;"",$O54&lt;&gt;""),$O54-$B54,"")</f>
        <v/>
      </c>
      <c r="S54" s="25" t="n"/>
    </row>
    <row r="55" ht="25" customHeight="1">
      <c r="A55" s="25">
        <f>IF($B55="","","CA-"&amp;TEXT(ROW()-4,"0000"))</f>
        <v/>
      </c>
      <c r="B55" s="141" t="n"/>
      <c r="C55" s="25" t="n"/>
      <c r="D55" s="25" t="n"/>
      <c r="E55" s="25" t="n"/>
      <c r="F55" s="25" t="n"/>
      <c r="G55" s="25" t="n"/>
      <c r="H55" s="25" t="n"/>
      <c r="I55" s="28" t="n"/>
      <c r="J55" s="28" t="n"/>
      <c r="K55" s="28" t="n"/>
      <c r="L55" s="25" t="n"/>
      <c r="M55" s="141" t="n"/>
      <c r="N55" s="25" t="n"/>
      <c r="O55" s="141" t="n"/>
      <c r="P55" s="25" t="n"/>
      <c r="Q55" s="139">
        <f>IF($M55="","",IF(OR($N55="已完成",$N55="已关闭"),IF($O55="",0,MAX(0,$O55-$M55)),MAX(0,TODAY()-$M55)))</f>
        <v/>
      </c>
      <c r="R55" s="139">
        <f>IF(AND($B55&lt;&gt;"",$O55&lt;&gt;""),$O55-$B55,"")</f>
        <v/>
      </c>
      <c r="S55" s="25" t="n"/>
    </row>
    <row r="56" ht="25" customHeight="1">
      <c r="A56" s="25">
        <f>IF($B56="","","CA-"&amp;TEXT(ROW()-4,"0000"))</f>
        <v/>
      </c>
      <c r="B56" s="141" t="n"/>
      <c r="C56" s="25" t="n"/>
      <c r="D56" s="25" t="n"/>
      <c r="E56" s="25" t="n"/>
      <c r="F56" s="25" t="n"/>
      <c r="G56" s="25" t="n"/>
      <c r="H56" s="25" t="n"/>
      <c r="I56" s="28" t="n"/>
      <c r="J56" s="28" t="n"/>
      <c r="K56" s="28" t="n"/>
      <c r="L56" s="25" t="n"/>
      <c r="M56" s="141" t="n"/>
      <c r="N56" s="25" t="n"/>
      <c r="O56" s="141" t="n"/>
      <c r="P56" s="25" t="n"/>
      <c r="Q56" s="139">
        <f>IF($M56="","",IF(OR($N56="已完成",$N56="已关闭"),IF($O56="",0,MAX(0,$O56-$M56)),MAX(0,TODAY()-$M56)))</f>
        <v/>
      </c>
      <c r="R56" s="139">
        <f>IF(AND($B56&lt;&gt;"",$O56&lt;&gt;""),$O56-$B56,"")</f>
        <v/>
      </c>
      <c r="S56" s="25" t="n"/>
    </row>
    <row r="57" ht="25" customHeight="1">
      <c r="A57" s="25">
        <f>IF($B57="","","CA-"&amp;TEXT(ROW()-4,"0000"))</f>
        <v/>
      </c>
      <c r="B57" s="141" t="n"/>
      <c r="C57" s="25" t="n"/>
      <c r="D57" s="25" t="n"/>
      <c r="E57" s="25" t="n"/>
      <c r="F57" s="25" t="n"/>
      <c r="G57" s="25" t="n"/>
      <c r="H57" s="25" t="n"/>
      <c r="I57" s="28" t="n"/>
      <c r="J57" s="28" t="n"/>
      <c r="K57" s="28" t="n"/>
      <c r="L57" s="25" t="n"/>
      <c r="M57" s="141" t="n"/>
      <c r="N57" s="25" t="n"/>
      <c r="O57" s="141" t="n"/>
      <c r="P57" s="25" t="n"/>
      <c r="Q57" s="139">
        <f>IF($M57="","",IF(OR($N57="已完成",$N57="已关闭"),IF($O57="",0,MAX(0,$O57-$M57)),MAX(0,TODAY()-$M57)))</f>
        <v/>
      </c>
      <c r="R57" s="139">
        <f>IF(AND($B57&lt;&gt;"",$O57&lt;&gt;""),$O57-$B57,"")</f>
        <v/>
      </c>
      <c r="S57" s="25" t="n"/>
    </row>
    <row r="58" ht="25" customHeight="1">
      <c r="A58" s="25">
        <f>IF($B58="","","CA-"&amp;TEXT(ROW()-4,"0000"))</f>
        <v/>
      </c>
      <c r="B58" s="141" t="n"/>
      <c r="C58" s="25" t="n"/>
      <c r="D58" s="25" t="n"/>
      <c r="E58" s="25" t="n"/>
      <c r="F58" s="25" t="n"/>
      <c r="G58" s="25" t="n"/>
      <c r="H58" s="25" t="n"/>
      <c r="I58" s="28" t="n"/>
      <c r="J58" s="28" t="n"/>
      <c r="K58" s="28" t="n"/>
      <c r="L58" s="25" t="n"/>
      <c r="M58" s="141" t="n"/>
      <c r="N58" s="25" t="n"/>
      <c r="O58" s="141" t="n"/>
      <c r="P58" s="25" t="n"/>
      <c r="Q58" s="139">
        <f>IF($M58="","",IF(OR($N58="已完成",$N58="已关闭"),IF($O58="",0,MAX(0,$O58-$M58)),MAX(0,TODAY()-$M58)))</f>
        <v/>
      </c>
      <c r="R58" s="139">
        <f>IF(AND($B58&lt;&gt;"",$O58&lt;&gt;""),$O58-$B58,"")</f>
        <v/>
      </c>
      <c r="S58" s="25" t="n"/>
    </row>
    <row r="59" ht="25" customHeight="1">
      <c r="A59" s="25">
        <f>IF($B59="","","CA-"&amp;TEXT(ROW()-4,"0000"))</f>
        <v/>
      </c>
      <c r="B59" s="141" t="n"/>
      <c r="C59" s="25" t="n"/>
      <c r="D59" s="25" t="n"/>
      <c r="E59" s="25" t="n"/>
      <c r="F59" s="25" t="n"/>
      <c r="G59" s="25" t="n"/>
      <c r="H59" s="25" t="n"/>
      <c r="I59" s="28" t="n"/>
      <c r="J59" s="28" t="n"/>
      <c r="K59" s="28" t="n"/>
      <c r="L59" s="25" t="n"/>
      <c r="M59" s="141" t="n"/>
      <c r="N59" s="25" t="n"/>
      <c r="O59" s="141" t="n"/>
      <c r="P59" s="25" t="n"/>
      <c r="Q59" s="139">
        <f>IF($M59="","",IF(OR($N59="已完成",$N59="已关闭"),IF($O59="",0,MAX(0,$O59-$M59)),MAX(0,TODAY()-$M59)))</f>
        <v/>
      </c>
      <c r="R59" s="139">
        <f>IF(AND($B59&lt;&gt;"",$O59&lt;&gt;""),$O59-$B59,"")</f>
        <v/>
      </c>
      <c r="S59" s="25" t="n"/>
    </row>
    <row r="60" ht="25" customHeight="1">
      <c r="A60" s="25">
        <f>IF($B60="","","CA-"&amp;TEXT(ROW()-4,"0000"))</f>
        <v/>
      </c>
      <c r="B60" s="141" t="n"/>
      <c r="C60" s="25" t="n"/>
      <c r="D60" s="25" t="n"/>
      <c r="E60" s="25" t="n"/>
      <c r="F60" s="25" t="n"/>
      <c r="G60" s="25" t="n"/>
      <c r="H60" s="25" t="n"/>
      <c r="I60" s="28" t="n"/>
      <c r="J60" s="28" t="n"/>
      <c r="K60" s="28" t="n"/>
      <c r="L60" s="25" t="n"/>
      <c r="M60" s="141" t="n"/>
      <c r="N60" s="25" t="n"/>
      <c r="O60" s="141" t="n"/>
      <c r="P60" s="25" t="n"/>
      <c r="Q60" s="139">
        <f>IF($M60="","",IF(OR($N60="已完成",$N60="已关闭"),IF($O60="",0,MAX(0,$O60-$M60)),MAX(0,TODAY()-$M60)))</f>
        <v/>
      </c>
      <c r="R60" s="139">
        <f>IF(AND($B60&lt;&gt;"",$O60&lt;&gt;""),$O60-$B60,"")</f>
        <v/>
      </c>
      <c r="S60" s="25" t="n"/>
    </row>
    <row r="61" ht="25" customHeight="1">
      <c r="A61" s="25">
        <f>IF($B61="","","CA-"&amp;TEXT(ROW()-4,"0000"))</f>
        <v/>
      </c>
      <c r="B61" s="141" t="n"/>
      <c r="C61" s="25" t="n"/>
      <c r="D61" s="25" t="n"/>
      <c r="E61" s="25" t="n"/>
      <c r="F61" s="25" t="n"/>
      <c r="G61" s="25" t="n"/>
      <c r="H61" s="25" t="n"/>
      <c r="I61" s="28" t="n"/>
      <c r="J61" s="28" t="n"/>
      <c r="K61" s="28" t="n"/>
      <c r="L61" s="25" t="n"/>
      <c r="M61" s="141" t="n"/>
      <c r="N61" s="25" t="n"/>
      <c r="O61" s="141" t="n"/>
      <c r="P61" s="25" t="n"/>
      <c r="Q61" s="139">
        <f>IF($M61="","",IF(OR($N61="已完成",$N61="已关闭"),IF($O61="",0,MAX(0,$O61-$M61)),MAX(0,TODAY()-$M61)))</f>
        <v/>
      </c>
      <c r="R61" s="139">
        <f>IF(AND($B61&lt;&gt;"",$O61&lt;&gt;""),$O61-$B61,"")</f>
        <v/>
      </c>
      <c r="S61" s="25" t="n"/>
    </row>
    <row r="62" ht="25" customHeight="1">
      <c r="A62" s="25">
        <f>IF($B62="","","CA-"&amp;TEXT(ROW()-4,"0000"))</f>
        <v/>
      </c>
      <c r="B62" s="141" t="n"/>
      <c r="C62" s="25" t="n"/>
      <c r="D62" s="25" t="n"/>
      <c r="E62" s="25" t="n"/>
      <c r="F62" s="25" t="n"/>
      <c r="G62" s="25" t="n"/>
      <c r="H62" s="25" t="n"/>
      <c r="I62" s="28" t="n"/>
      <c r="J62" s="28" t="n"/>
      <c r="K62" s="28" t="n"/>
      <c r="L62" s="25" t="n"/>
      <c r="M62" s="141" t="n"/>
      <c r="N62" s="25" t="n"/>
      <c r="O62" s="141" t="n"/>
      <c r="P62" s="25" t="n"/>
      <c r="Q62" s="139">
        <f>IF($M62="","",IF(OR($N62="已完成",$N62="已关闭"),IF($O62="",0,MAX(0,$O62-$M62)),MAX(0,TODAY()-$M62)))</f>
        <v/>
      </c>
      <c r="R62" s="139">
        <f>IF(AND($B62&lt;&gt;"",$O62&lt;&gt;""),$O62-$B62,"")</f>
        <v/>
      </c>
      <c r="S62" s="25" t="n"/>
    </row>
    <row r="63" ht="25" customHeight="1">
      <c r="A63" s="25">
        <f>IF($B63="","","CA-"&amp;TEXT(ROW()-4,"0000"))</f>
        <v/>
      </c>
      <c r="B63" s="141" t="n"/>
      <c r="C63" s="25" t="n"/>
      <c r="D63" s="25" t="n"/>
      <c r="E63" s="25" t="n"/>
      <c r="F63" s="25" t="n"/>
      <c r="G63" s="25" t="n"/>
      <c r="H63" s="25" t="n"/>
      <c r="I63" s="28" t="n"/>
      <c r="J63" s="28" t="n"/>
      <c r="K63" s="28" t="n"/>
      <c r="L63" s="25" t="n"/>
      <c r="M63" s="141" t="n"/>
      <c r="N63" s="25" t="n"/>
      <c r="O63" s="141" t="n"/>
      <c r="P63" s="25" t="n"/>
      <c r="Q63" s="139">
        <f>IF($M63="","",IF(OR($N63="已完成",$N63="已关闭"),IF($O63="",0,MAX(0,$O63-$M63)),MAX(0,TODAY()-$M63)))</f>
        <v/>
      </c>
      <c r="R63" s="139">
        <f>IF(AND($B63&lt;&gt;"",$O63&lt;&gt;""),$O63-$B63,"")</f>
        <v/>
      </c>
      <c r="S63" s="25" t="n"/>
    </row>
    <row r="64" ht="25" customHeight="1">
      <c r="A64" s="25">
        <f>IF($B64="","","CA-"&amp;TEXT(ROW()-4,"0000"))</f>
        <v/>
      </c>
      <c r="B64" s="141" t="n"/>
      <c r="C64" s="25" t="n"/>
      <c r="D64" s="25" t="n"/>
      <c r="E64" s="25" t="n"/>
      <c r="F64" s="25" t="n"/>
      <c r="G64" s="25" t="n"/>
      <c r="H64" s="25" t="n"/>
      <c r="I64" s="28" t="n"/>
      <c r="J64" s="28" t="n"/>
      <c r="K64" s="28" t="n"/>
      <c r="L64" s="25" t="n"/>
      <c r="M64" s="141" t="n"/>
      <c r="N64" s="25" t="n"/>
      <c r="O64" s="141" t="n"/>
      <c r="P64" s="25" t="n"/>
      <c r="Q64" s="139">
        <f>IF($M64="","",IF(OR($N64="已完成",$N64="已关闭"),IF($O64="",0,MAX(0,$O64-$M64)),MAX(0,TODAY()-$M64)))</f>
        <v/>
      </c>
      <c r="R64" s="139">
        <f>IF(AND($B64&lt;&gt;"",$O64&lt;&gt;""),$O64-$B64,"")</f>
        <v/>
      </c>
      <c r="S64" s="25" t="n"/>
    </row>
    <row r="65" ht="25" customHeight="1">
      <c r="A65" s="25">
        <f>IF($B65="","","CA-"&amp;TEXT(ROW()-4,"0000"))</f>
        <v/>
      </c>
      <c r="B65" s="141" t="n"/>
      <c r="C65" s="25" t="n"/>
      <c r="D65" s="25" t="n"/>
      <c r="E65" s="25" t="n"/>
      <c r="F65" s="25" t="n"/>
      <c r="G65" s="25" t="n"/>
      <c r="H65" s="25" t="n"/>
      <c r="I65" s="28" t="n"/>
      <c r="J65" s="28" t="n"/>
      <c r="K65" s="28" t="n"/>
      <c r="L65" s="25" t="n"/>
      <c r="M65" s="141" t="n"/>
      <c r="N65" s="25" t="n"/>
      <c r="O65" s="141" t="n"/>
      <c r="P65" s="25" t="n"/>
      <c r="Q65" s="139">
        <f>IF($M65="","",IF(OR($N65="已完成",$N65="已关闭"),IF($O65="",0,MAX(0,$O65-$M65)),MAX(0,TODAY()-$M65)))</f>
        <v/>
      </c>
      <c r="R65" s="139">
        <f>IF(AND($B65&lt;&gt;"",$O65&lt;&gt;""),$O65-$B65,"")</f>
        <v/>
      </c>
      <c r="S65" s="25" t="n"/>
    </row>
    <row r="66" ht="25" customHeight="1">
      <c r="A66" s="25">
        <f>IF($B66="","","CA-"&amp;TEXT(ROW()-4,"0000"))</f>
        <v/>
      </c>
      <c r="B66" s="141" t="n"/>
      <c r="C66" s="25" t="n"/>
      <c r="D66" s="25" t="n"/>
      <c r="E66" s="25" t="n"/>
      <c r="F66" s="25" t="n"/>
      <c r="G66" s="25" t="n"/>
      <c r="H66" s="25" t="n"/>
      <c r="I66" s="28" t="n"/>
      <c r="J66" s="28" t="n"/>
      <c r="K66" s="28" t="n"/>
      <c r="L66" s="25" t="n"/>
      <c r="M66" s="141" t="n"/>
      <c r="N66" s="25" t="n"/>
      <c r="O66" s="141" t="n"/>
      <c r="P66" s="25" t="n"/>
      <c r="Q66" s="139">
        <f>IF($M66="","",IF(OR($N66="已完成",$N66="已关闭"),IF($O66="",0,MAX(0,$O66-$M66)),MAX(0,TODAY()-$M66)))</f>
        <v/>
      </c>
      <c r="R66" s="139">
        <f>IF(AND($B66&lt;&gt;"",$O66&lt;&gt;""),$O66-$B66,"")</f>
        <v/>
      </c>
      <c r="S66" s="25" t="n"/>
    </row>
    <row r="67" ht="25" customHeight="1">
      <c r="A67" s="25">
        <f>IF($B67="","","CA-"&amp;TEXT(ROW()-4,"0000"))</f>
        <v/>
      </c>
      <c r="B67" s="141" t="n"/>
      <c r="C67" s="25" t="n"/>
      <c r="D67" s="25" t="n"/>
      <c r="E67" s="25" t="n"/>
      <c r="F67" s="25" t="n"/>
      <c r="G67" s="25" t="n"/>
      <c r="H67" s="25" t="n"/>
      <c r="I67" s="28" t="n"/>
      <c r="J67" s="28" t="n"/>
      <c r="K67" s="28" t="n"/>
      <c r="L67" s="25" t="n"/>
      <c r="M67" s="141" t="n"/>
      <c r="N67" s="25" t="n"/>
      <c r="O67" s="141" t="n"/>
      <c r="P67" s="25" t="n"/>
      <c r="Q67" s="139">
        <f>IF($M67="","",IF(OR($N67="已完成",$N67="已关闭"),IF($O67="",0,MAX(0,$O67-$M67)),MAX(0,TODAY()-$M67)))</f>
        <v/>
      </c>
      <c r="R67" s="139">
        <f>IF(AND($B67&lt;&gt;"",$O67&lt;&gt;""),$O67-$B67,"")</f>
        <v/>
      </c>
      <c r="S67" s="25" t="n"/>
    </row>
    <row r="68" ht="25" customHeight="1">
      <c r="A68" s="25">
        <f>IF($B68="","","CA-"&amp;TEXT(ROW()-4,"0000"))</f>
        <v/>
      </c>
      <c r="B68" s="141" t="n"/>
      <c r="C68" s="25" t="n"/>
      <c r="D68" s="25" t="n"/>
      <c r="E68" s="25" t="n"/>
      <c r="F68" s="25" t="n"/>
      <c r="G68" s="25" t="n"/>
      <c r="H68" s="25" t="n"/>
      <c r="I68" s="28" t="n"/>
      <c r="J68" s="28" t="n"/>
      <c r="K68" s="28" t="n"/>
      <c r="L68" s="25" t="n"/>
      <c r="M68" s="141" t="n"/>
      <c r="N68" s="25" t="n"/>
      <c r="O68" s="141" t="n"/>
      <c r="P68" s="25" t="n"/>
      <c r="Q68" s="139">
        <f>IF($M68="","",IF(OR($N68="已完成",$N68="已关闭"),IF($O68="",0,MAX(0,$O68-$M68)),MAX(0,TODAY()-$M68)))</f>
        <v/>
      </c>
      <c r="R68" s="139">
        <f>IF(AND($B68&lt;&gt;"",$O68&lt;&gt;""),$O68-$B68,"")</f>
        <v/>
      </c>
      <c r="S68" s="25" t="n"/>
    </row>
    <row r="69" ht="25" customHeight="1">
      <c r="A69" s="25">
        <f>IF($B69="","","CA-"&amp;TEXT(ROW()-4,"0000"))</f>
        <v/>
      </c>
      <c r="B69" s="141" t="n"/>
      <c r="C69" s="25" t="n"/>
      <c r="D69" s="25" t="n"/>
      <c r="E69" s="25" t="n"/>
      <c r="F69" s="25" t="n"/>
      <c r="G69" s="25" t="n"/>
      <c r="H69" s="25" t="n"/>
      <c r="I69" s="28" t="n"/>
      <c r="J69" s="28" t="n"/>
      <c r="K69" s="28" t="n"/>
      <c r="L69" s="25" t="n"/>
      <c r="M69" s="141" t="n"/>
      <c r="N69" s="25" t="n"/>
      <c r="O69" s="141" t="n"/>
      <c r="P69" s="25" t="n"/>
      <c r="Q69" s="139">
        <f>IF($M69="","",IF(OR($N69="已完成",$N69="已关闭"),IF($O69="",0,MAX(0,$O69-$M69)),MAX(0,TODAY()-$M69)))</f>
        <v/>
      </c>
      <c r="R69" s="139">
        <f>IF(AND($B69&lt;&gt;"",$O69&lt;&gt;""),$O69-$B69,"")</f>
        <v/>
      </c>
      <c r="S69" s="25" t="n"/>
    </row>
    <row r="70" ht="25" customHeight="1">
      <c r="A70" s="25">
        <f>IF($B70="","","CA-"&amp;TEXT(ROW()-4,"0000"))</f>
        <v/>
      </c>
      <c r="B70" s="141" t="n"/>
      <c r="C70" s="25" t="n"/>
      <c r="D70" s="25" t="n"/>
      <c r="E70" s="25" t="n"/>
      <c r="F70" s="25" t="n"/>
      <c r="G70" s="25" t="n"/>
      <c r="H70" s="25" t="n"/>
      <c r="I70" s="28" t="n"/>
      <c r="J70" s="28" t="n"/>
      <c r="K70" s="28" t="n"/>
      <c r="L70" s="25" t="n"/>
      <c r="M70" s="141" t="n"/>
      <c r="N70" s="25" t="n"/>
      <c r="O70" s="141" t="n"/>
      <c r="P70" s="25" t="n"/>
      <c r="Q70" s="139">
        <f>IF($M70="","",IF(OR($N70="已完成",$N70="已关闭"),IF($O70="",0,MAX(0,$O70-$M70)),MAX(0,TODAY()-$M70)))</f>
        <v/>
      </c>
      <c r="R70" s="139">
        <f>IF(AND($B70&lt;&gt;"",$O70&lt;&gt;""),$O70-$B70,"")</f>
        <v/>
      </c>
      <c r="S70" s="25" t="n"/>
    </row>
    <row r="71" ht="25" customHeight="1">
      <c r="A71" s="25">
        <f>IF($B71="","","CA-"&amp;TEXT(ROW()-4,"0000"))</f>
        <v/>
      </c>
      <c r="B71" s="141" t="n"/>
      <c r="C71" s="25" t="n"/>
      <c r="D71" s="25" t="n"/>
      <c r="E71" s="25" t="n"/>
      <c r="F71" s="25" t="n"/>
      <c r="G71" s="25" t="n"/>
      <c r="H71" s="25" t="n"/>
      <c r="I71" s="28" t="n"/>
      <c r="J71" s="28" t="n"/>
      <c r="K71" s="28" t="n"/>
      <c r="L71" s="25" t="n"/>
      <c r="M71" s="141" t="n"/>
      <c r="N71" s="25" t="n"/>
      <c r="O71" s="141" t="n"/>
      <c r="P71" s="25" t="n"/>
      <c r="Q71" s="139">
        <f>IF($M71="","",IF(OR($N71="已完成",$N71="已关闭"),IF($O71="",0,MAX(0,$O71-$M71)),MAX(0,TODAY()-$M71)))</f>
        <v/>
      </c>
      <c r="R71" s="139">
        <f>IF(AND($B71&lt;&gt;"",$O71&lt;&gt;""),$O71-$B71,"")</f>
        <v/>
      </c>
      <c r="S71" s="25" t="n"/>
    </row>
    <row r="72" ht="25" customHeight="1">
      <c r="A72" s="25">
        <f>IF($B72="","","CA-"&amp;TEXT(ROW()-4,"0000"))</f>
        <v/>
      </c>
      <c r="B72" s="141" t="n"/>
      <c r="C72" s="25" t="n"/>
      <c r="D72" s="25" t="n"/>
      <c r="E72" s="25" t="n"/>
      <c r="F72" s="25" t="n"/>
      <c r="G72" s="25" t="n"/>
      <c r="H72" s="25" t="n"/>
      <c r="I72" s="28" t="n"/>
      <c r="J72" s="28" t="n"/>
      <c r="K72" s="28" t="n"/>
      <c r="L72" s="25" t="n"/>
      <c r="M72" s="141" t="n"/>
      <c r="N72" s="25" t="n"/>
      <c r="O72" s="141" t="n"/>
      <c r="P72" s="25" t="n"/>
      <c r="Q72" s="139">
        <f>IF($M72="","",IF(OR($N72="已完成",$N72="已关闭"),IF($O72="",0,MAX(0,$O72-$M72)),MAX(0,TODAY()-$M72)))</f>
        <v/>
      </c>
      <c r="R72" s="139">
        <f>IF(AND($B72&lt;&gt;"",$O72&lt;&gt;""),$O72-$B72,"")</f>
        <v/>
      </c>
      <c r="S72" s="25" t="n"/>
    </row>
    <row r="73" ht="25" customHeight="1">
      <c r="A73" s="25">
        <f>IF($B73="","","CA-"&amp;TEXT(ROW()-4,"0000"))</f>
        <v/>
      </c>
      <c r="B73" s="141" t="n"/>
      <c r="C73" s="25" t="n"/>
      <c r="D73" s="25" t="n"/>
      <c r="E73" s="25" t="n"/>
      <c r="F73" s="25" t="n"/>
      <c r="G73" s="25" t="n"/>
      <c r="H73" s="25" t="n"/>
      <c r="I73" s="28" t="n"/>
      <c r="J73" s="28" t="n"/>
      <c r="K73" s="28" t="n"/>
      <c r="L73" s="25" t="n"/>
      <c r="M73" s="141" t="n"/>
      <c r="N73" s="25" t="n"/>
      <c r="O73" s="141" t="n"/>
      <c r="P73" s="25" t="n"/>
      <c r="Q73" s="139">
        <f>IF($M73="","",IF(OR($N73="已完成",$N73="已关闭"),IF($O73="",0,MAX(0,$O73-$M73)),MAX(0,TODAY()-$M73)))</f>
        <v/>
      </c>
      <c r="R73" s="139">
        <f>IF(AND($B73&lt;&gt;"",$O73&lt;&gt;""),$O73-$B73,"")</f>
        <v/>
      </c>
      <c r="S73" s="25" t="n"/>
    </row>
    <row r="74" ht="25" customHeight="1">
      <c r="A74" s="25">
        <f>IF($B74="","","CA-"&amp;TEXT(ROW()-4,"0000"))</f>
        <v/>
      </c>
      <c r="B74" s="141" t="n"/>
      <c r="C74" s="25" t="n"/>
      <c r="D74" s="25" t="n"/>
      <c r="E74" s="25" t="n"/>
      <c r="F74" s="25" t="n"/>
      <c r="G74" s="25" t="n"/>
      <c r="H74" s="25" t="n"/>
      <c r="I74" s="28" t="n"/>
      <c r="J74" s="28" t="n"/>
      <c r="K74" s="28" t="n"/>
      <c r="L74" s="25" t="n"/>
      <c r="M74" s="141" t="n"/>
      <c r="N74" s="25" t="n"/>
      <c r="O74" s="141" t="n"/>
      <c r="P74" s="25" t="n"/>
      <c r="Q74" s="139">
        <f>IF($M74="","",IF(OR($N74="已完成",$N74="已关闭"),IF($O74="",0,MAX(0,$O74-$M74)),MAX(0,TODAY()-$M74)))</f>
        <v/>
      </c>
      <c r="R74" s="139">
        <f>IF(AND($B74&lt;&gt;"",$O74&lt;&gt;""),$O74-$B74,"")</f>
        <v/>
      </c>
      <c r="S74" s="25" t="n"/>
    </row>
    <row r="75" ht="25" customHeight="1">
      <c r="A75" s="25">
        <f>IF($B75="","","CA-"&amp;TEXT(ROW()-4,"0000"))</f>
        <v/>
      </c>
      <c r="B75" s="141" t="n"/>
      <c r="C75" s="25" t="n"/>
      <c r="D75" s="25" t="n"/>
      <c r="E75" s="25" t="n"/>
      <c r="F75" s="25" t="n"/>
      <c r="G75" s="25" t="n"/>
      <c r="H75" s="25" t="n"/>
      <c r="I75" s="28" t="n"/>
      <c r="J75" s="28" t="n"/>
      <c r="K75" s="28" t="n"/>
      <c r="L75" s="25" t="n"/>
      <c r="M75" s="141" t="n"/>
      <c r="N75" s="25" t="n"/>
      <c r="O75" s="141" t="n"/>
      <c r="P75" s="25" t="n"/>
      <c r="Q75" s="139">
        <f>IF($M75="","",IF(OR($N75="已完成",$N75="已关闭"),IF($O75="",0,MAX(0,$O75-$M75)),MAX(0,TODAY()-$M75)))</f>
        <v/>
      </c>
      <c r="R75" s="139">
        <f>IF(AND($B75&lt;&gt;"",$O75&lt;&gt;""),$O75-$B75,"")</f>
        <v/>
      </c>
      <c r="S75" s="25" t="n"/>
    </row>
    <row r="76" ht="25" customHeight="1">
      <c r="A76" s="25">
        <f>IF($B76="","","CA-"&amp;TEXT(ROW()-4,"0000"))</f>
        <v/>
      </c>
      <c r="B76" s="141" t="n"/>
      <c r="C76" s="25" t="n"/>
      <c r="D76" s="25" t="n"/>
      <c r="E76" s="25" t="n"/>
      <c r="F76" s="25" t="n"/>
      <c r="G76" s="25" t="n"/>
      <c r="H76" s="25" t="n"/>
      <c r="I76" s="28" t="n"/>
      <c r="J76" s="28" t="n"/>
      <c r="K76" s="28" t="n"/>
      <c r="L76" s="25" t="n"/>
      <c r="M76" s="141" t="n"/>
      <c r="N76" s="25" t="n"/>
      <c r="O76" s="141" t="n"/>
      <c r="P76" s="25" t="n"/>
      <c r="Q76" s="139">
        <f>IF($M76="","",IF(OR($N76="已完成",$N76="已关闭"),IF($O76="",0,MAX(0,$O76-$M76)),MAX(0,TODAY()-$M76)))</f>
        <v/>
      </c>
      <c r="R76" s="139">
        <f>IF(AND($B76&lt;&gt;"",$O76&lt;&gt;""),$O76-$B76,"")</f>
        <v/>
      </c>
      <c r="S76" s="25" t="n"/>
    </row>
    <row r="77" ht="25" customHeight="1">
      <c r="A77" s="25">
        <f>IF($B77="","","CA-"&amp;TEXT(ROW()-4,"0000"))</f>
        <v/>
      </c>
      <c r="B77" s="141" t="n"/>
      <c r="C77" s="25" t="n"/>
      <c r="D77" s="25" t="n"/>
      <c r="E77" s="25" t="n"/>
      <c r="F77" s="25" t="n"/>
      <c r="G77" s="25" t="n"/>
      <c r="H77" s="25" t="n"/>
      <c r="I77" s="28" t="n"/>
      <c r="J77" s="28" t="n"/>
      <c r="K77" s="28" t="n"/>
      <c r="L77" s="25" t="n"/>
      <c r="M77" s="141" t="n"/>
      <c r="N77" s="25" t="n"/>
      <c r="O77" s="141" t="n"/>
      <c r="P77" s="25" t="n"/>
      <c r="Q77" s="139">
        <f>IF($M77="","",IF(OR($N77="已完成",$N77="已关闭"),IF($O77="",0,MAX(0,$O77-$M77)),MAX(0,TODAY()-$M77)))</f>
        <v/>
      </c>
      <c r="R77" s="139">
        <f>IF(AND($B77&lt;&gt;"",$O77&lt;&gt;""),$O77-$B77,"")</f>
        <v/>
      </c>
      <c r="S77" s="25" t="n"/>
    </row>
    <row r="78" ht="25" customHeight="1">
      <c r="A78" s="25">
        <f>IF($B78="","","CA-"&amp;TEXT(ROW()-4,"0000"))</f>
        <v/>
      </c>
      <c r="B78" s="141" t="n"/>
      <c r="C78" s="25" t="n"/>
      <c r="D78" s="25" t="n"/>
      <c r="E78" s="25" t="n"/>
      <c r="F78" s="25" t="n"/>
      <c r="G78" s="25" t="n"/>
      <c r="H78" s="25" t="n"/>
      <c r="I78" s="28" t="n"/>
      <c r="J78" s="28" t="n"/>
      <c r="K78" s="28" t="n"/>
      <c r="L78" s="25" t="n"/>
      <c r="M78" s="141" t="n"/>
      <c r="N78" s="25" t="n"/>
      <c r="O78" s="141" t="n"/>
      <c r="P78" s="25" t="n"/>
      <c r="Q78" s="139">
        <f>IF($M78="","",IF(OR($N78="已完成",$N78="已关闭"),IF($O78="",0,MAX(0,$O78-$M78)),MAX(0,TODAY()-$M78)))</f>
        <v/>
      </c>
      <c r="R78" s="139">
        <f>IF(AND($B78&lt;&gt;"",$O78&lt;&gt;""),$O78-$B78,"")</f>
        <v/>
      </c>
      <c r="S78" s="25" t="n"/>
    </row>
    <row r="79" ht="25" customHeight="1">
      <c r="A79" s="25">
        <f>IF($B79="","","CA-"&amp;TEXT(ROW()-4,"0000"))</f>
        <v/>
      </c>
      <c r="B79" s="141" t="n"/>
      <c r="C79" s="25" t="n"/>
      <c r="D79" s="25" t="n"/>
      <c r="E79" s="25" t="n"/>
      <c r="F79" s="25" t="n"/>
      <c r="G79" s="25" t="n"/>
      <c r="H79" s="25" t="n"/>
      <c r="I79" s="28" t="n"/>
      <c r="J79" s="28" t="n"/>
      <c r="K79" s="28" t="n"/>
      <c r="L79" s="25" t="n"/>
      <c r="M79" s="141" t="n"/>
      <c r="N79" s="25" t="n"/>
      <c r="O79" s="141" t="n"/>
      <c r="P79" s="25" t="n"/>
      <c r="Q79" s="139">
        <f>IF($M79="","",IF(OR($N79="已完成",$N79="已关闭"),IF($O79="",0,MAX(0,$O79-$M79)),MAX(0,TODAY()-$M79)))</f>
        <v/>
      </c>
      <c r="R79" s="139">
        <f>IF(AND($B79&lt;&gt;"",$O79&lt;&gt;""),$O79-$B79,"")</f>
        <v/>
      </c>
      <c r="S79" s="25" t="n"/>
    </row>
    <row r="80" ht="25" customHeight="1">
      <c r="A80" s="25">
        <f>IF($B80="","","CA-"&amp;TEXT(ROW()-4,"0000"))</f>
        <v/>
      </c>
      <c r="B80" s="141" t="n"/>
      <c r="C80" s="25" t="n"/>
      <c r="D80" s="25" t="n"/>
      <c r="E80" s="25" t="n"/>
      <c r="F80" s="25" t="n"/>
      <c r="G80" s="25" t="n"/>
      <c r="H80" s="25" t="n"/>
      <c r="I80" s="28" t="n"/>
      <c r="J80" s="28" t="n"/>
      <c r="K80" s="28" t="n"/>
      <c r="L80" s="25" t="n"/>
      <c r="M80" s="141" t="n"/>
      <c r="N80" s="25" t="n"/>
      <c r="O80" s="141" t="n"/>
      <c r="P80" s="25" t="n"/>
      <c r="Q80" s="139">
        <f>IF($M80="","",IF(OR($N80="已完成",$N80="已关闭"),IF($O80="",0,MAX(0,$O80-$M80)),MAX(0,TODAY()-$M80)))</f>
        <v/>
      </c>
      <c r="R80" s="139">
        <f>IF(AND($B80&lt;&gt;"",$O80&lt;&gt;""),$O80-$B80,"")</f>
        <v/>
      </c>
      <c r="S80" s="25" t="n"/>
    </row>
    <row r="81" ht="25" customHeight="1">
      <c r="A81" s="25">
        <f>IF($B81="","","CA-"&amp;TEXT(ROW()-4,"0000"))</f>
        <v/>
      </c>
      <c r="B81" s="141" t="n"/>
      <c r="C81" s="25" t="n"/>
      <c r="D81" s="25" t="n"/>
      <c r="E81" s="25" t="n"/>
      <c r="F81" s="25" t="n"/>
      <c r="G81" s="25" t="n"/>
      <c r="H81" s="25" t="n"/>
      <c r="I81" s="28" t="n"/>
      <c r="J81" s="28" t="n"/>
      <c r="K81" s="28" t="n"/>
      <c r="L81" s="25" t="n"/>
      <c r="M81" s="141" t="n"/>
      <c r="N81" s="25" t="n"/>
      <c r="O81" s="141" t="n"/>
      <c r="P81" s="25" t="n"/>
      <c r="Q81" s="139">
        <f>IF($M81="","",IF(OR($N81="已完成",$N81="已关闭"),IF($O81="",0,MAX(0,$O81-$M81)),MAX(0,TODAY()-$M81)))</f>
        <v/>
      </c>
      <c r="R81" s="139">
        <f>IF(AND($B81&lt;&gt;"",$O81&lt;&gt;""),$O81-$B81,"")</f>
        <v/>
      </c>
      <c r="S81" s="25" t="n"/>
    </row>
    <row r="82" ht="25" customHeight="1">
      <c r="A82" s="25">
        <f>IF($B82="","","CA-"&amp;TEXT(ROW()-4,"0000"))</f>
        <v/>
      </c>
      <c r="B82" s="141" t="n"/>
      <c r="C82" s="25" t="n"/>
      <c r="D82" s="25" t="n"/>
      <c r="E82" s="25" t="n"/>
      <c r="F82" s="25" t="n"/>
      <c r="G82" s="25" t="n"/>
      <c r="H82" s="25" t="n"/>
      <c r="I82" s="28" t="n"/>
      <c r="J82" s="28" t="n"/>
      <c r="K82" s="28" t="n"/>
      <c r="L82" s="25" t="n"/>
      <c r="M82" s="141" t="n"/>
      <c r="N82" s="25" t="n"/>
      <c r="O82" s="141" t="n"/>
      <c r="P82" s="25" t="n"/>
      <c r="Q82" s="139">
        <f>IF($M82="","",IF(OR($N82="已完成",$N82="已关闭"),IF($O82="",0,MAX(0,$O82-$M82)),MAX(0,TODAY()-$M82)))</f>
        <v/>
      </c>
      <c r="R82" s="139">
        <f>IF(AND($B82&lt;&gt;"",$O82&lt;&gt;""),$O82-$B82,"")</f>
        <v/>
      </c>
      <c r="S82" s="25" t="n"/>
    </row>
    <row r="83" ht="25" customHeight="1">
      <c r="A83" s="25">
        <f>IF($B83="","","CA-"&amp;TEXT(ROW()-4,"0000"))</f>
        <v/>
      </c>
      <c r="B83" s="141" t="n"/>
      <c r="C83" s="25" t="n"/>
      <c r="D83" s="25" t="n"/>
      <c r="E83" s="25" t="n"/>
      <c r="F83" s="25" t="n"/>
      <c r="G83" s="25" t="n"/>
      <c r="H83" s="25" t="n"/>
      <c r="I83" s="28" t="n"/>
      <c r="J83" s="28" t="n"/>
      <c r="K83" s="28" t="n"/>
      <c r="L83" s="25" t="n"/>
      <c r="M83" s="141" t="n"/>
      <c r="N83" s="25" t="n"/>
      <c r="O83" s="141" t="n"/>
      <c r="P83" s="25" t="n"/>
      <c r="Q83" s="139">
        <f>IF($M83="","",IF(OR($N83="已完成",$N83="已关闭"),IF($O83="",0,MAX(0,$O83-$M83)),MAX(0,TODAY()-$M83)))</f>
        <v/>
      </c>
      <c r="R83" s="139">
        <f>IF(AND($B83&lt;&gt;"",$O83&lt;&gt;""),$O83-$B83,"")</f>
        <v/>
      </c>
      <c r="S83" s="25" t="n"/>
    </row>
    <row r="84" ht="25" customHeight="1">
      <c r="A84" s="25">
        <f>IF($B84="","","CA-"&amp;TEXT(ROW()-4,"0000"))</f>
        <v/>
      </c>
      <c r="B84" s="141" t="n"/>
      <c r="C84" s="25" t="n"/>
      <c r="D84" s="25" t="n"/>
      <c r="E84" s="25" t="n"/>
      <c r="F84" s="25" t="n"/>
      <c r="G84" s="25" t="n"/>
      <c r="H84" s="25" t="n"/>
      <c r="I84" s="28" t="n"/>
      <c r="J84" s="28" t="n"/>
      <c r="K84" s="28" t="n"/>
      <c r="L84" s="25" t="n"/>
      <c r="M84" s="141" t="n"/>
      <c r="N84" s="25" t="n"/>
      <c r="O84" s="141" t="n"/>
      <c r="P84" s="25" t="n"/>
      <c r="Q84" s="139">
        <f>IF($M84="","",IF(OR($N84="已完成",$N84="已关闭"),IF($O84="",0,MAX(0,$O84-$M84)),MAX(0,TODAY()-$M84)))</f>
        <v/>
      </c>
      <c r="R84" s="139">
        <f>IF(AND($B84&lt;&gt;"",$O84&lt;&gt;""),$O84-$B84,"")</f>
        <v/>
      </c>
      <c r="S84" s="25" t="n"/>
    </row>
    <row r="85" ht="25" customHeight="1">
      <c r="A85" s="25">
        <f>IF($B85="","","CA-"&amp;TEXT(ROW()-4,"0000"))</f>
        <v/>
      </c>
      <c r="B85" s="141" t="n"/>
      <c r="C85" s="25" t="n"/>
      <c r="D85" s="25" t="n"/>
      <c r="E85" s="25" t="n"/>
      <c r="F85" s="25" t="n"/>
      <c r="G85" s="25" t="n"/>
      <c r="H85" s="25" t="n"/>
      <c r="I85" s="28" t="n"/>
      <c r="J85" s="28" t="n"/>
      <c r="K85" s="28" t="n"/>
      <c r="L85" s="25" t="n"/>
      <c r="M85" s="141" t="n"/>
      <c r="N85" s="25" t="n"/>
      <c r="O85" s="141" t="n"/>
      <c r="P85" s="25" t="n"/>
      <c r="Q85" s="139">
        <f>IF($M85="","",IF(OR($N85="已完成",$N85="已关闭"),IF($O85="",0,MAX(0,$O85-$M85)),MAX(0,TODAY()-$M85)))</f>
        <v/>
      </c>
      <c r="R85" s="139">
        <f>IF(AND($B85&lt;&gt;"",$O85&lt;&gt;""),$O85-$B85,"")</f>
        <v/>
      </c>
      <c r="S85" s="25" t="n"/>
    </row>
    <row r="86" ht="25" customHeight="1">
      <c r="A86" s="25">
        <f>IF($B86="","","CA-"&amp;TEXT(ROW()-4,"0000"))</f>
        <v/>
      </c>
      <c r="B86" s="141" t="n"/>
      <c r="C86" s="25" t="n"/>
      <c r="D86" s="25" t="n"/>
      <c r="E86" s="25" t="n"/>
      <c r="F86" s="25" t="n"/>
      <c r="G86" s="25" t="n"/>
      <c r="H86" s="25" t="n"/>
      <c r="I86" s="28" t="n"/>
      <c r="J86" s="28" t="n"/>
      <c r="K86" s="28" t="n"/>
      <c r="L86" s="25" t="n"/>
      <c r="M86" s="141" t="n"/>
      <c r="N86" s="25" t="n"/>
      <c r="O86" s="141" t="n"/>
      <c r="P86" s="25" t="n"/>
      <c r="Q86" s="139">
        <f>IF($M86="","",IF(OR($N86="已完成",$N86="已关闭"),IF($O86="",0,MAX(0,$O86-$M86)),MAX(0,TODAY()-$M86)))</f>
        <v/>
      </c>
      <c r="R86" s="139">
        <f>IF(AND($B86&lt;&gt;"",$O86&lt;&gt;""),$O86-$B86,"")</f>
        <v/>
      </c>
      <c r="S86" s="25" t="n"/>
    </row>
    <row r="87" ht="25" customHeight="1">
      <c r="A87" s="25">
        <f>IF($B87="","","CA-"&amp;TEXT(ROW()-4,"0000"))</f>
        <v/>
      </c>
      <c r="B87" s="141" t="n"/>
      <c r="C87" s="25" t="n"/>
      <c r="D87" s="25" t="n"/>
      <c r="E87" s="25" t="n"/>
      <c r="F87" s="25" t="n"/>
      <c r="G87" s="25" t="n"/>
      <c r="H87" s="25" t="n"/>
      <c r="I87" s="28" t="n"/>
      <c r="J87" s="28" t="n"/>
      <c r="K87" s="28" t="n"/>
      <c r="L87" s="25" t="n"/>
      <c r="M87" s="141" t="n"/>
      <c r="N87" s="25" t="n"/>
      <c r="O87" s="141" t="n"/>
      <c r="P87" s="25" t="n"/>
      <c r="Q87" s="139">
        <f>IF($M87="","",IF(OR($N87="已完成",$N87="已关闭"),IF($O87="",0,MAX(0,$O87-$M87)),MAX(0,TODAY()-$M87)))</f>
        <v/>
      </c>
      <c r="R87" s="139">
        <f>IF(AND($B87&lt;&gt;"",$O87&lt;&gt;""),$O87-$B87,"")</f>
        <v/>
      </c>
      <c r="S87" s="25" t="n"/>
    </row>
    <row r="88" ht="25" customHeight="1">
      <c r="A88" s="25">
        <f>IF($B88="","","CA-"&amp;TEXT(ROW()-4,"0000"))</f>
        <v/>
      </c>
      <c r="B88" s="141" t="n"/>
      <c r="C88" s="25" t="n"/>
      <c r="D88" s="25" t="n"/>
      <c r="E88" s="25" t="n"/>
      <c r="F88" s="25" t="n"/>
      <c r="G88" s="25" t="n"/>
      <c r="H88" s="25" t="n"/>
      <c r="I88" s="28" t="n"/>
      <c r="J88" s="28" t="n"/>
      <c r="K88" s="28" t="n"/>
      <c r="L88" s="25" t="n"/>
      <c r="M88" s="141" t="n"/>
      <c r="N88" s="25" t="n"/>
      <c r="O88" s="141" t="n"/>
      <c r="P88" s="25" t="n"/>
      <c r="Q88" s="139">
        <f>IF($M88="","",IF(OR($N88="已完成",$N88="已关闭"),IF($O88="",0,MAX(0,$O88-$M88)),MAX(0,TODAY()-$M88)))</f>
        <v/>
      </c>
      <c r="R88" s="139">
        <f>IF(AND($B88&lt;&gt;"",$O88&lt;&gt;""),$O88-$B88,"")</f>
        <v/>
      </c>
      <c r="S88" s="25" t="n"/>
    </row>
    <row r="89" ht="25" customHeight="1">
      <c r="A89" s="25">
        <f>IF($B89="","","CA-"&amp;TEXT(ROW()-4,"0000"))</f>
        <v/>
      </c>
      <c r="B89" s="141" t="n"/>
      <c r="C89" s="25" t="n"/>
      <c r="D89" s="25" t="n"/>
      <c r="E89" s="25" t="n"/>
      <c r="F89" s="25" t="n"/>
      <c r="G89" s="25" t="n"/>
      <c r="H89" s="25" t="n"/>
      <c r="I89" s="28" t="n"/>
      <c r="J89" s="28" t="n"/>
      <c r="K89" s="28" t="n"/>
      <c r="L89" s="25" t="n"/>
      <c r="M89" s="141" t="n"/>
      <c r="N89" s="25" t="n"/>
      <c r="O89" s="141" t="n"/>
      <c r="P89" s="25" t="n"/>
      <c r="Q89" s="139">
        <f>IF($M89="","",IF(OR($N89="已完成",$N89="已关闭"),IF($O89="",0,MAX(0,$O89-$M89)),MAX(0,TODAY()-$M89)))</f>
        <v/>
      </c>
      <c r="R89" s="139">
        <f>IF(AND($B89&lt;&gt;"",$O89&lt;&gt;""),$O89-$B89,"")</f>
        <v/>
      </c>
      <c r="S89" s="25" t="n"/>
    </row>
    <row r="90" ht="25" customHeight="1">
      <c r="A90" s="25">
        <f>IF($B90="","","CA-"&amp;TEXT(ROW()-4,"0000"))</f>
        <v/>
      </c>
      <c r="B90" s="141" t="n"/>
      <c r="C90" s="25" t="n"/>
      <c r="D90" s="25" t="n"/>
      <c r="E90" s="25" t="n"/>
      <c r="F90" s="25" t="n"/>
      <c r="G90" s="25" t="n"/>
      <c r="H90" s="25" t="n"/>
      <c r="I90" s="28" t="n"/>
      <c r="J90" s="28" t="n"/>
      <c r="K90" s="28" t="n"/>
      <c r="L90" s="25" t="n"/>
      <c r="M90" s="141" t="n"/>
      <c r="N90" s="25" t="n"/>
      <c r="O90" s="141" t="n"/>
      <c r="P90" s="25" t="n"/>
      <c r="Q90" s="139">
        <f>IF($M90="","",IF(OR($N90="已完成",$N90="已关闭"),IF($O90="",0,MAX(0,$O90-$M90)),MAX(0,TODAY()-$M90)))</f>
        <v/>
      </c>
      <c r="R90" s="139">
        <f>IF(AND($B90&lt;&gt;"",$O90&lt;&gt;""),$O90-$B90,"")</f>
        <v/>
      </c>
      <c r="S90" s="25" t="n"/>
    </row>
    <row r="91" ht="25" customHeight="1">
      <c r="A91" s="25">
        <f>IF($B91="","","CA-"&amp;TEXT(ROW()-4,"0000"))</f>
        <v/>
      </c>
      <c r="B91" s="141" t="n"/>
      <c r="C91" s="25" t="n"/>
      <c r="D91" s="25" t="n"/>
      <c r="E91" s="25" t="n"/>
      <c r="F91" s="25" t="n"/>
      <c r="G91" s="25" t="n"/>
      <c r="H91" s="25" t="n"/>
      <c r="I91" s="28" t="n"/>
      <c r="J91" s="28" t="n"/>
      <c r="K91" s="28" t="n"/>
      <c r="L91" s="25" t="n"/>
      <c r="M91" s="141" t="n"/>
      <c r="N91" s="25" t="n"/>
      <c r="O91" s="141" t="n"/>
      <c r="P91" s="25" t="n"/>
      <c r="Q91" s="139">
        <f>IF($M91="","",IF(OR($N91="已完成",$N91="已关闭"),IF($O91="",0,MAX(0,$O91-$M91)),MAX(0,TODAY()-$M91)))</f>
        <v/>
      </c>
      <c r="R91" s="139">
        <f>IF(AND($B91&lt;&gt;"",$O91&lt;&gt;""),$O91-$B91,"")</f>
        <v/>
      </c>
      <c r="S91" s="25" t="n"/>
    </row>
    <row r="92" ht="25" customHeight="1">
      <c r="A92" s="25">
        <f>IF($B92="","","CA-"&amp;TEXT(ROW()-4,"0000"))</f>
        <v/>
      </c>
      <c r="B92" s="141" t="n"/>
      <c r="C92" s="25" t="n"/>
      <c r="D92" s="25" t="n"/>
      <c r="E92" s="25" t="n"/>
      <c r="F92" s="25" t="n"/>
      <c r="G92" s="25" t="n"/>
      <c r="H92" s="25" t="n"/>
      <c r="I92" s="28" t="n"/>
      <c r="J92" s="28" t="n"/>
      <c r="K92" s="28" t="n"/>
      <c r="L92" s="25" t="n"/>
      <c r="M92" s="141" t="n"/>
      <c r="N92" s="25" t="n"/>
      <c r="O92" s="141" t="n"/>
      <c r="P92" s="25" t="n"/>
      <c r="Q92" s="139">
        <f>IF($M92="","",IF(OR($N92="已完成",$N92="已关闭"),IF($O92="",0,MAX(0,$O92-$M92)),MAX(0,TODAY()-$M92)))</f>
        <v/>
      </c>
      <c r="R92" s="139">
        <f>IF(AND($B92&lt;&gt;"",$O92&lt;&gt;""),$O92-$B92,"")</f>
        <v/>
      </c>
      <c r="S92" s="25" t="n"/>
    </row>
    <row r="93" ht="25" customHeight="1">
      <c r="A93" s="25">
        <f>IF($B93="","","CA-"&amp;TEXT(ROW()-4,"0000"))</f>
        <v/>
      </c>
      <c r="B93" s="141" t="n"/>
      <c r="C93" s="25" t="n"/>
      <c r="D93" s="25" t="n"/>
      <c r="E93" s="25" t="n"/>
      <c r="F93" s="25" t="n"/>
      <c r="G93" s="25" t="n"/>
      <c r="H93" s="25" t="n"/>
      <c r="I93" s="28" t="n"/>
      <c r="J93" s="28" t="n"/>
      <c r="K93" s="28" t="n"/>
      <c r="L93" s="25" t="n"/>
      <c r="M93" s="141" t="n"/>
      <c r="N93" s="25" t="n"/>
      <c r="O93" s="141" t="n"/>
      <c r="P93" s="25" t="n"/>
      <c r="Q93" s="139">
        <f>IF($M93="","",IF(OR($N93="已完成",$N93="已关闭"),IF($O93="",0,MAX(0,$O93-$M93)),MAX(0,TODAY()-$M93)))</f>
        <v/>
      </c>
      <c r="R93" s="139">
        <f>IF(AND($B93&lt;&gt;"",$O93&lt;&gt;""),$O93-$B93,"")</f>
        <v/>
      </c>
      <c r="S93" s="25" t="n"/>
    </row>
    <row r="94" ht="25" customHeight="1">
      <c r="A94" s="25">
        <f>IF($B94="","","CA-"&amp;TEXT(ROW()-4,"0000"))</f>
        <v/>
      </c>
      <c r="B94" s="141" t="n"/>
      <c r="C94" s="25" t="n"/>
      <c r="D94" s="25" t="n"/>
      <c r="E94" s="25" t="n"/>
      <c r="F94" s="25" t="n"/>
      <c r="G94" s="25" t="n"/>
      <c r="H94" s="25" t="n"/>
      <c r="I94" s="28" t="n"/>
      <c r="J94" s="28" t="n"/>
      <c r="K94" s="28" t="n"/>
      <c r="L94" s="25" t="n"/>
      <c r="M94" s="141" t="n"/>
      <c r="N94" s="25" t="n"/>
      <c r="O94" s="141" t="n"/>
      <c r="P94" s="25" t="n"/>
      <c r="Q94" s="139">
        <f>IF($M94="","",IF(OR($N94="已完成",$N94="已关闭"),IF($O94="",0,MAX(0,$O94-$M94)),MAX(0,TODAY()-$M94)))</f>
        <v/>
      </c>
      <c r="R94" s="139">
        <f>IF(AND($B94&lt;&gt;"",$O94&lt;&gt;""),$O94-$B94,"")</f>
        <v/>
      </c>
      <c r="S94" s="25" t="n"/>
    </row>
    <row r="95" ht="25" customHeight="1">
      <c r="A95" s="25">
        <f>IF($B95="","","CA-"&amp;TEXT(ROW()-4,"0000"))</f>
        <v/>
      </c>
      <c r="B95" s="141" t="n"/>
      <c r="C95" s="25" t="n"/>
      <c r="D95" s="25" t="n"/>
      <c r="E95" s="25" t="n"/>
      <c r="F95" s="25" t="n"/>
      <c r="G95" s="25" t="n"/>
      <c r="H95" s="25" t="n"/>
      <c r="I95" s="28" t="n"/>
      <c r="J95" s="28" t="n"/>
      <c r="K95" s="28" t="n"/>
      <c r="L95" s="25" t="n"/>
      <c r="M95" s="141" t="n"/>
      <c r="N95" s="25" t="n"/>
      <c r="O95" s="141" t="n"/>
      <c r="P95" s="25" t="n"/>
      <c r="Q95" s="139">
        <f>IF($M95="","",IF(OR($N95="已完成",$N95="已关闭"),IF($O95="",0,MAX(0,$O95-$M95)),MAX(0,TODAY()-$M95)))</f>
        <v/>
      </c>
      <c r="R95" s="139">
        <f>IF(AND($B95&lt;&gt;"",$O95&lt;&gt;""),$O95-$B95,"")</f>
        <v/>
      </c>
      <c r="S95" s="25" t="n"/>
    </row>
    <row r="96" ht="25" customHeight="1">
      <c r="A96" s="25">
        <f>IF($B96="","","CA-"&amp;TEXT(ROW()-4,"0000"))</f>
        <v/>
      </c>
      <c r="B96" s="141" t="n"/>
      <c r="C96" s="25" t="n"/>
      <c r="D96" s="25" t="n"/>
      <c r="E96" s="25" t="n"/>
      <c r="F96" s="25" t="n"/>
      <c r="G96" s="25" t="n"/>
      <c r="H96" s="25" t="n"/>
      <c r="I96" s="28" t="n"/>
      <c r="J96" s="28" t="n"/>
      <c r="K96" s="28" t="n"/>
      <c r="L96" s="25" t="n"/>
      <c r="M96" s="141" t="n"/>
      <c r="N96" s="25" t="n"/>
      <c r="O96" s="141" t="n"/>
      <c r="P96" s="25" t="n"/>
      <c r="Q96" s="139">
        <f>IF($M96="","",IF(OR($N96="已完成",$N96="已关闭"),IF($O96="",0,MAX(0,$O96-$M96)),MAX(0,TODAY()-$M96)))</f>
        <v/>
      </c>
      <c r="R96" s="139">
        <f>IF(AND($B96&lt;&gt;"",$O96&lt;&gt;""),$O96-$B96,"")</f>
        <v/>
      </c>
      <c r="S96" s="25" t="n"/>
    </row>
    <row r="97" ht="25" customHeight="1">
      <c r="A97" s="25">
        <f>IF($B97="","","CA-"&amp;TEXT(ROW()-4,"0000"))</f>
        <v/>
      </c>
      <c r="B97" s="141" t="n"/>
      <c r="C97" s="25" t="n"/>
      <c r="D97" s="25" t="n"/>
      <c r="E97" s="25" t="n"/>
      <c r="F97" s="25" t="n"/>
      <c r="G97" s="25" t="n"/>
      <c r="H97" s="25" t="n"/>
      <c r="I97" s="28" t="n"/>
      <c r="J97" s="28" t="n"/>
      <c r="K97" s="28" t="n"/>
      <c r="L97" s="25" t="n"/>
      <c r="M97" s="141" t="n"/>
      <c r="N97" s="25" t="n"/>
      <c r="O97" s="141" t="n"/>
      <c r="P97" s="25" t="n"/>
      <c r="Q97" s="139">
        <f>IF($M97="","",IF(OR($N97="已完成",$N97="已关闭"),IF($O97="",0,MAX(0,$O97-$M97)),MAX(0,TODAY()-$M97)))</f>
        <v/>
      </c>
      <c r="R97" s="139">
        <f>IF(AND($B97&lt;&gt;"",$O97&lt;&gt;""),$O97-$B97,"")</f>
        <v/>
      </c>
      <c r="S97" s="25" t="n"/>
    </row>
    <row r="98" ht="25" customHeight="1">
      <c r="A98" s="25">
        <f>IF($B98="","","CA-"&amp;TEXT(ROW()-4,"0000"))</f>
        <v/>
      </c>
      <c r="B98" s="141" t="n"/>
      <c r="C98" s="25" t="n"/>
      <c r="D98" s="25" t="n"/>
      <c r="E98" s="25" t="n"/>
      <c r="F98" s="25" t="n"/>
      <c r="G98" s="25" t="n"/>
      <c r="H98" s="25" t="n"/>
      <c r="I98" s="28" t="n"/>
      <c r="J98" s="28" t="n"/>
      <c r="K98" s="28" t="n"/>
      <c r="L98" s="25" t="n"/>
      <c r="M98" s="141" t="n"/>
      <c r="N98" s="25" t="n"/>
      <c r="O98" s="141" t="n"/>
      <c r="P98" s="25" t="n"/>
      <c r="Q98" s="139">
        <f>IF($M98="","",IF(OR($N98="已完成",$N98="已关闭"),IF($O98="",0,MAX(0,$O98-$M98)),MAX(0,TODAY()-$M98)))</f>
        <v/>
      </c>
      <c r="R98" s="139">
        <f>IF(AND($B98&lt;&gt;"",$O98&lt;&gt;""),$O98-$B98,"")</f>
        <v/>
      </c>
      <c r="S98" s="25" t="n"/>
    </row>
    <row r="99" ht="25" customHeight="1">
      <c r="A99" s="25">
        <f>IF($B99="","","CA-"&amp;TEXT(ROW()-4,"0000"))</f>
        <v/>
      </c>
      <c r="B99" s="141" t="n"/>
      <c r="C99" s="25" t="n"/>
      <c r="D99" s="25" t="n"/>
      <c r="E99" s="25" t="n"/>
      <c r="F99" s="25" t="n"/>
      <c r="G99" s="25" t="n"/>
      <c r="H99" s="25" t="n"/>
      <c r="I99" s="28" t="n"/>
      <c r="J99" s="28" t="n"/>
      <c r="K99" s="28" t="n"/>
      <c r="L99" s="25" t="n"/>
      <c r="M99" s="141" t="n"/>
      <c r="N99" s="25" t="n"/>
      <c r="O99" s="141" t="n"/>
      <c r="P99" s="25" t="n"/>
      <c r="Q99" s="139">
        <f>IF($M99="","",IF(OR($N99="已完成",$N99="已关闭"),IF($O99="",0,MAX(0,$O99-$M99)),MAX(0,TODAY()-$M99)))</f>
        <v/>
      </c>
      <c r="R99" s="139">
        <f>IF(AND($B99&lt;&gt;"",$O99&lt;&gt;""),$O99-$B99,"")</f>
        <v/>
      </c>
      <c r="S99" s="25" t="n"/>
    </row>
    <row r="100" ht="25" customHeight="1">
      <c r="A100" s="25">
        <f>IF($B100="","","CA-"&amp;TEXT(ROW()-4,"0000"))</f>
        <v/>
      </c>
      <c r="B100" s="141" t="n"/>
      <c r="C100" s="25" t="n"/>
      <c r="D100" s="25" t="n"/>
      <c r="E100" s="25" t="n"/>
      <c r="F100" s="25" t="n"/>
      <c r="G100" s="25" t="n"/>
      <c r="H100" s="25" t="n"/>
      <c r="I100" s="28" t="n"/>
      <c r="J100" s="28" t="n"/>
      <c r="K100" s="28" t="n"/>
      <c r="L100" s="25" t="n"/>
      <c r="M100" s="141" t="n"/>
      <c r="N100" s="25" t="n"/>
      <c r="O100" s="141" t="n"/>
      <c r="P100" s="25" t="n"/>
      <c r="Q100" s="139">
        <f>IF($M100="","",IF(OR($N100="已完成",$N100="已关闭"),IF($O100="",0,MAX(0,$O100-$M100)),MAX(0,TODAY()-$M100)))</f>
        <v/>
      </c>
      <c r="R100" s="139">
        <f>IF(AND($B100&lt;&gt;"",$O100&lt;&gt;""),$O100-$B100,"")</f>
        <v/>
      </c>
      <c r="S100" s="25" t="n"/>
    </row>
    <row r="101" ht="25" customHeight="1">
      <c r="A101" s="25">
        <f>IF($B101="","","CA-"&amp;TEXT(ROW()-4,"0000"))</f>
        <v/>
      </c>
      <c r="B101" s="141" t="n"/>
      <c r="C101" s="25" t="n"/>
      <c r="D101" s="25" t="n"/>
      <c r="E101" s="25" t="n"/>
      <c r="F101" s="25" t="n"/>
      <c r="G101" s="25" t="n"/>
      <c r="H101" s="25" t="n"/>
      <c r="I101" s="28" t="n"/>
      <c r="J101" s="28" t="n"/>
      <c r="K101" s="28" t="n"/>
      <c r="L101" s="25" t="n"/>
      <c r="M101" s="141" t="n"/>
      <c r="N101" s="25" t="n"/>
      <c r="O101" s="141" t="n"/>
      <c r="P101" s="25" t="n"/>
      <c r="Q101" s="139">
        <f>IF($M101="","",IF(OR($N101="已完成",$N101="已关闭"),IF($O101="",0,MAX(0,$O101-$M101)),MAX(0,TODAY()-$M101)))</f>
        <v/>
      </c>
      <c r="R101" s="139">
        <f>IF(AND($B101&lt;&gt;"",$O101&lt;&gt;""),$O101-$B101,"")</f>
        <v/>
      </c>
      <c r="S101" s="25" t="n"/>
    </row>
    <row r="102" ht="25" customHeight="1">
      <c r="A102" s="25">
        <f>IF($B102="","","CA-"&amp;TEXT(ROW()-4,"0000"))</f>
        <v/>
      </c>
      <c r="B102" s="141" t="n"/>
      <c r="C102" s="25" t="n"/>
      <c r="D102" s="25" t="n"/>
      <c r="E102" s="25" t="n"/>
      <c r="F102" s="25" t="n"/>
      <c r="G102" s="25" t="n"/>
      <c r="H102" s="25" t="n"/>
      <c r="I102" s="28" t="n"/>
      <c r="J102" s="28" t="n"/>
      <c r="K102" s="28" t="n"/>
      <c r="L102" s="25" t="n"/>
      <c r="M102" s="141" t="n"/>
      <c r="N102" s="25" t="n"/>
      <c r="O102" s="141" t="n"/>
      <c r="P102" s="25" t="n"/>
      <c r="Q102" s="139">
        <f>IF($M102="","",IF(OR($N102="已完成",$N102="已关闭"),IF($O102="",0,MAX(0,$O102-$M102)),MAX(0,TODAY()-$M102)))</f>
        <v/>
      </c>
      <c r="R102" s="139">
        <f>IF(AND($B102&lt;&gt;"",$O102&lt;&gt;""),$O102-$B102,"")</f>
        <v/>
      </c>
      <c r="S102" s="25" t="n"/>
    </row>
    <row r="103" ht="25" customHeight="1">
      <c r="A103" s="25">
        <f>IF($B103="","","CA-"&amp;TEXT(ROW()-4,"0000"))</f>
        <v/>
      </c>
      <c r="B103" s="141" t="n"/>
      <c r="C103" s="25" t="n"/>
      <c r="D103" s="25" t="n"/>
      <c r="E103" s="25" t="n"/>
      <c r="F103" s="25" t="n"/>
      <c r="G103" s="25" t="n"/>
      <c r="H103" s="25" t="n"/>
      <c r="I103" s="28" t="n"/>
      <c r="J103" s="28" t="n"/>
      <c r="K103" s="28" t="n"/>
      <c r="L103" s="25" t="n"/>
      <c r="M103" s="141" t="n"/>
      <c r="N103" s="25" t="n"/>
      <c r="O103" s="141" t="n"/>
      <c r="P103" s="25" t="n"/>
      <c r="Q103" s="139">
        <f>IF($M103="","",IF(OR($N103="已完成",$N103="已关闭"),IF($O103="",0,MAX(0,$O103-$M103)),MAX(0,TODAY()-$M103)))</f>
        <v/>
      </c>
      <c r="R103" s="139">
        <f>IF(AND($B103&lt;&gt;"",$O103&lt;&gt;""),$O103-$B103,"")</f>
        <v/>
      </c>
      <c r="S103" s="25" t="n"/>
    </row>
    <row r="104" ht="25" customHeight="1">
      <c r="A104" s="25">
        <f>IF($B104="","","CA-"&amp;TEXT(ROW()-4,"0000"))</f>
        <v/>
      </c>
      <c r="B104" s="141" t="n"/>
      <c r="C104" s="25" t="n"/>
      <c r="D104" s="25" t="n"/>
      <c r="E104" s="25" t="n"/>
      <c r="F104" s="25" t="n"/>
      <c r="G104" s="25" t="n"/>
      <c r="H104" s="25" t="n"/>
      <c r="I104" s="28" t="n"/>
      <c r="J104" s="28" t="n"/>
      <c r="K104" s="28" t="n"/>
      <c r="L104" s="25" t="n"/>
      <c r="M104" s="141" t="n"/>
      <c r="N104" s="25" t="n"/>
      <c r="O104" s="141" t="n"/>
      <c r="P104" s="25" t="n"/>
      <c r="Q104" s="139">
        <f>IF($M104="","",IF(OR($N104="已完成",$N104="已关闭"),IF($O104="",0,MAX(0,$O104-$M104)),MAX(0,TODAY()-$M104)))</f>
        <v/>
      </c>
      <c r="R104" s="139">
        <f>IF(AND($B104&lt;&gt;"",$O104&lt;&gt;""),$O104-$B104,"")</f>
        <v/>
      </c>
      <c r="S104" s="25" t="n"/>
    </row>
    <row r="105" ht="25" customHeight="1">
      <c r="A105" s="25">
        <f>IF($B105="","","CA-"&amp;TEXT(ROW()-4,"0000"))</f>
        <v/>
      </c>
      <c r="B105" s="141" t="n"/>
      <c r="C105" s="25" t="n"/>
      <c r="D105" s="25" t="n"/>
      <c r="E105" s="25" t="n"/>
      <c r="F105" s="25" t="n"/>
      <c r="G105" s="25" t="n"/>
      <c r="H105" s="25" t="n"/>
      <c r="I105" s="28" t="n"/>
      <c r="J105" s="28" t="n"/>
      <c r="K105" s="28" t="n"/>
      <c r="L105" s="25" t="n"/>
      <c r="M105" s="141" t="n"/>
      <c r="N105" s="25" t="n"/>
      <c r="O105" s="141" t="n"/>
      <c r="P105" s="25" t="n"/>
      <c r="Q105" s="139">
        <f>IF($M105="","",IF(OR($N105="已完成",$N105="已关闭"),IF($O105="",0,MAX(0,$O105-$M105)),MAX(0,TODAY()-$M105)))</f>
        <v/>
      </c>
      <c r="R105" s="139">
        <f>IF(AND($B105&lt;&gt;"",$O105&lt;&gt;""),$O105-$B105,"")</f>
        <v/>
      </c>
      <c r="S105" s="25" t="n"/>
    </row>
    <row r="106" ht="25" customHeight="1">
      <c r="A106" s="25">
        <f>IF($B106="","","CA-"&amp;TEXT(ROW()-4,"0000"))</f>
        <v/>
      </c>
      <c r="B106" s="141" t="n"/>
      <c r="C106" s="25" t="n"/>
      <c r="D106" s="25" t="n"/>
      <c r="E106" s="25" t="n"/>
      <c r="F106" s="25" t="n"/>
      <c r="G106" s="25" t="n"/>
      <c r="H106" s="25" t="n"/>
      <c r="I106" s="28" t="n"/>
      <c r="J106" s="28" t="n"/>
      <c r="K106" s="28" t="n"/>
      <c r="L106" s="25" t="n"/>
      <c r="M106" s="141" t="n"/>
      <c r="N106" s="25" t="n"/>
      <c r="O106" s="141" t="n"/>
      <c r="P106" s="25" t="n"/>
      <c r="Q106" s="139">
        <f>IF($M106="","",IF(OR($N106="已完成",$N106="已关闭"),IF($O106="",0,MAX(0,$O106-$M106)),MAX(0,TODAY()-$M106)))</f>
        <v/>
      </c>
      <c r="R106" s="139">
        <f>IF(AND($B106&lt;&gt;"",$O106&lt;&gt;""),$O106-$B106,"")</f>
        <v/>
      </c>
      <c r="S106" s="25" t="n"/>
    </row>
    <row r="107" ht="25" customHeight="1">
      <c r="A107" s="25">
        <f>IF($B107="","","CA-"&amp;TEXT(ROW()-4,"0000"))</f>
        <v/>
      </c>
      <c r="B107" s="141" t="n"/>
      <c r="C107" s="25" t="n"/>
      <c r="D107" s="25" t="n"/>
      <c r="E107" s="25" t="n"/>
      <c r="F107" s="25" t="n"/>
      <c r="G107" s="25" t="n"/>
      <c r="H107" s="25" t="n"/>
      <c r="I107" s="28" t="n"/>
      <c r="J107" s="28" t="n"/>
      <c r="K107" s="28" t="n"/>
      <c r="L107" s="25" t="n"/>
      <c r="M107" s="141" t="n"/>
      <c r="N107" s="25" t="n"/>
      <c r="O107" s="141" t="n"/>
      <c r="P107" s="25" t="n"/>
      <c r="Q107" s="139">
        <f>IF($M107="","",IF(OR($N107="已完成",$N107="已关闭"),IF($O107="",0,MAX(0,$O107-$M107)),MAX(0,TODAY()-$M107)))</f>
        <v/>
      </c>
      <c r="R107" s="139">
        <f>IF(AND($B107&lt;&gt;"",$O107&lt;&gt;""),$O107-$B107,"")</f>
        <v/>
      </c>
      <c r="S107" s="25" t="n"/>
    </row>
    <row r="108" ht="25" customHeight="1">
      <c r="A108" s="25">
        <f>IF($B108="","","CA-"&amp;TEXT(ROW()-4,"0000"))</f>
        <v/>
      </c>
      <c r="B108" s="141" t="n"/>
      <c r="C108" s="25" t="n"/>
      <c r="D108" s="25" t="n"/>
      <c r="E108" s="25" t="n"/>
      <c r="F108" s="25" t="n"/>
      <c r="G108" s="25" t="n"/>
      <c r="H108" s="25" t="n"/>
      <c r="I108" s="28" t="n"/>
      <c r="J108" s="28" t="n"/>
      <c r="K108" s="28" t="n"/>
      <c r="L108" s="25" t="n"/>
      <c r="M108" s="141" t="n"/>
      <c r="N108" s="25" t="n"/>
      <c r="O108" s="141" t="n"/>
      <c r="P108" s="25" t="n"/>
      <c r="Q108" s="139">
        <f>IF($M108="","",IF(OR($N108="已完成",$N108="已关闭"),IF($O108="",0,MAX(0,$O108-$M108)),MAX(0,TODAY()-$M108)))</f>
        <v/>
      </c>
      <c r="R108" s="139">
        <f>IF(AND($B108&lt;&gt;"",$O108&lt;&gt;""),$O108-$B108,"")</f>
        <v/>
      </c>
      <c r="S108" s="25" t="n"/>
    </row>
    <row r="109" ht="25" customHeight="1">
      <c r="A109" s="25">
        <f>IF($B109="","","CA-"&amp;TEXT(ROW()-4,"0000"))</f>
        <v/>
      </c>
      <c r="B109" s="141" t="n"/>
      <c r="C109" s="25" t="n"/>
      <c r="D109" s="25" t="n"/>
      <c r="E109" s="25" t="n"/>
      <c r="F109" s="25" t="n"/>
      <c r="G109" s="25" t="n"/>
      <c r="H109" s="25" t="n"/>
      <c r="I109" s="28" t="n"/>
      <c r="J109" s="28" t="n"/>
      <c r="K109" s="28" t="n"/>
      <c r="L109" s="25" t="n"/>
      <c r="M109" s="141" t="n"/>
      <c r="N109" s="25" t="n"/>
      <c r="O109" s="141" t="n"/>
      <c r="P109" s="25" t="n"/>
      <c r="Q109" s="139">
        <f>IF($M109="","",IF(OR($N109="已完成",$N109="已关闭"),IF($O109="",0,MAX(0,$O109-$M109)),MAX(0,TODAY()-$M109)))</f>
        <v/>
      </c>
      <c r="R109" s="139">
        <f>IF(AND($B109&lt;&gt;"",$O109&lt;&gt;""),$O109-$B109,"")</f>
        <v/>
      </c>
      <c r="S109" s="25" t="n"/>
    </row>
    <row r="110" ht="25" customHeight="1">
      <c r="A110" s="25">
        <f>IF($B110="","","CA-"&amp;TEXT(ROW()-4,"0000"))</f>
        <v/>
      </c>
      <c r="B110" s="141" t="n"/>
      <c r="C110" s="25" t="n"/>
      <c r="D110" s="25" t="n"/>
      <c r="E110" s="25" t="n"/>
      <c r="F110" s="25" t="n"/>
      <c r="G110" s="25" t="n"/>
      <c r="H110" s="25" t="n"/>
      <c r="I110" s="28" t="n"/>
      <c r="J110" s="28" t="n"/>
      <c r="K110" s="28" t="n"/>
      <c r="L110" s="25" t="n"/>
      <c r="M110" s="141" t="n"/>
      <c r="N110" s="25" t="n"/>
      <c r="O110" s="141" t="n"/>
      <c r="P110" s="25" t="n"/>
      <c r="Q110" s="139">
        <f>IF($M110="","",IF(OR($N110="已完成",$N110="已关闭"),IF($O110="",0,MAX(0,$O110-$M110)),MAX(0,TODAY()-$M110)))</f>
        <v/>
      </c>
      <c r="R110" s="139">
        <f>IF(AND($B110&lt;&gt;"",$O110&lt;&gt;""),$O110-$B110,"")</f>
        <v/>
      </c>
      <c r="S110" s="25" t="n"/>
    </row>
    <row r="111" ht="25" customHeight="1">
      <c r="A111" s="25">
        <f>IF($B111="","","CA-"&amp;TEXT(ROW()-4,"0000"))</f>
        <v/>
      </c>
      <c r="B111" s="141" t="n"/>
      <c r="C111" s="25" t="n"/>
      <c r="D111" s="25" t="n"/>
      <c r="E111" s="25" t="n"/>
      <c r="F111" s="25" t="n"/>
      <c r="G111" s="25" t="n"/>
      <c r="H111" s="25" t="n"/>
      <c r="I111" s="28" t="n"/>
      <c r="J111" s="28" t="n"/>
      <c r="K111" s="28" t="n"/>
      <c r="L111" s="25" t="n"/>
      <c r="M111" s="141" t="n"/>
      <c r="N111" s="25" t="n"/>
      <c r="O111" s="141" t="n"/>
      <c r="P111" s="25" t="n"/>
      <c r="Q111" s="139">
        <f>IF($M111="","",IF(OR($N111="已完成",$N111="已关闭"),IF($O111="",0,MAX(0,$O111-$M111)),MAX(0,TODAY()-$M111)))</f>
        <v/>
      </c>
      <c r="R111" s="139">
        <f>IF(AND($B111&lt;&gt;"",$O111&lt;&gt;""),$O111-$B111,"")</f>
        <v/>
      </c>
      <c r="S111" s="25" t="n"/>
    </row>
    <row r="112" ht="25" customHeight="1">
      <c r="A112" s="25">
        <f>IF($B112="","","CA-"&amp;TEXT(ROW()-4,"0000"))</f>
        <v/>
      </c>
      <c r="B112" s="141" t="n"/>
      <c r="C112" s="25" t="n"/>
      <c r="D112" s="25" t="n"/>
      <c r="E112" s="25" t="n"/>
      <c r="F112" s="25" t="n"/>
      <c r="G112" s="25" t="n"/>
      <c r="H112" s="25" t="n"/>
      <c r="I112" s="28" t="n"/>
      <c r="J112" s="28" t="n"/>
      <c r="K112" s="28" t="n"/>
      <c r="L112" s="25" t="n"/>
      <c r="M112" s="141" t="n"/>
      <c r="N112" s="25" t="n"/>
      <c r="O112" s="141" t="n"/>
      <c r="P112" s="25" t="n"/>
      <c r="Q112" s="139">
        <f>IF($M112="","",IF(OR($N112="已完成",$N112="已关闭"),IF($O112="",0,MAX(0,$O112-$M112)),MAX(0,TODAY()-$M112)))</f>
        <v/>
      </c>
      <c r="R112" s="139">
        <f>IF(AND($B112&lt;&gt;"",$O112&lt;&gt;""),$O112-$B112,"")</f>
        <v/>
      </c>
      <c r="S112" s="25" t="n"/>
    </row>
    <row r="113" ht="25" customHeight="1">
      <c r="A113" s="25">
        <f>IF($B113="","","CA-"&amp;TEXT(ROW()-4,"0000"))</f>
        <v/>
      </c>
      <c r="B113" s="141" t="n"/>
      <c r="C113" s="25" t="n"/>
      <c r="D113" s="25" t="n"/>
      <c r="E113" s="25" t="n"/>
      <c r="F113" s="25" t="n"/>
      <c r="G113" s="25" t="n"/>
      <c r="H113" s="25" t="n"/>
      <c r="I113" s="28" t="n"/>
      <c r="J113" s="28" t="n"/>
      <c r="K113" s="28" t="n"/>
      <c r="L113" s="25" t="n"/>
      <c r="M113" s="141" t="n"/>
      <c r="N113" s="25" t="n"/>
      <c r="O113" s="141" t="n"/>
      <c r="P113" s="25" t="n"/>
      <c r="Q113" s="139">
        <f>IF($M113="","",IF(OR($N113="已完成",$N113="已关闭"),IF($O113="",0,MAX(0,$O113-$M113)),MAX(0,TODAY()-$M113)))</f>
        <v/>
      </c>
      <c r="R113" s="139">
        <f>IF(AND($B113&lt;&gt;"",$O113&lt;&gt;""),$O113-$B113,"")</f>
        <v/>
      </c>
      <c r="S113" s="25" t="n"/>
    </row>
    <row r="114" ht="25" customHeight="1">
      <c r="A114" s="25">
        <f>IF($B114="","","CA-"&amp;TEXT(ROW()-4,"0000"))</f>
        <v/>
      </c>
      <c r="B114" s="141" t="n"/>
      <c r="C114" s="25" t="n"/>
      <c r="D114" s="25" t="n"/>
      <c r="E114" s="25" t="n"/>
      <c r="F114" s="25" t="n"/>
      <c r="G114" s="25" t="n"/>
      <c r="H114" s="25" t="n"/>
      <c r="I114" s="28" t="n"/>
      <c r="J114" s="28" t="n"/>
      <c r="K114" s="28" t="n"/>
      <c r="L114" s="25" t="n"/>
      <c r="M114" s="141" t="n"/>
      <c r="N114" s="25" t="n"/>
      <c r="O114" s="141" t="n"/>
      <c r="P114" s="25" t="n"/>
      <c r="Q114" s="139">
        <f>IF($M114="","",IF(OR($N114="已完成",$N114="已关闭"),IF($O114="",0,MAX(0,$O114-$M114)),MAX(0,TODAY()-$M114)))</f>
        <v/>
      </c>
      <c r="R114" s="139">
        <f>IF(AND($B114&lt;&gt;"",$O114&lt;&gt;""),$O114-$B114,"")</f>
        <v/>
      </c>
      <c r="S114" s="25" t="n"/>
    </row>
    <row r="115" ht="25" customHeight="1">
      <c r="A115" s="25">
        <f>IF($B115="","","CA-"&amp;TEXT(ROW()-4,"0000"))</f>
        <v/>
      </c>
      <c r="B115" s="141" t="n"/>
      <c r="C115" s="25" t="n"/>
      <c r="D115" s="25" t="n"/>
      <c r="E115" s="25" t="n"/>
      <c r="F115" s="25" t="n"/>
      <c r="G115" s="25" t="n"/>
      <c r="H115" s="25" t="n"/>
      <c r="I115" s="28" t="n"/>
      <c r="J115" s="28" t="n"/>
      <c r="K115" s="28" t="n"/>
      <c r="L115" s="25" t="n"/>
      <c r="M115" s="141" t="n"/>
      <c r="N115" s="25" t="n"/>
      <c r="O115" s="141" t="n"/>
      <c r="P115" s="25" t="n"/>
      <c r="Q115" s="139">
        <f>IF($M115="","",IF(OR($N115="已完成",$N115="已关闭"),IF($O115="",0,MAX(0,$O115-$M115)),MAX(0,TODAY()-$M115)))</f>
        <v/>
      </c>
      <c r="R115" s="139">
        <f>IF(AND($B115&lt;&gt;"",$O115&lt;&gt;""),$O115-$B115,"")</f>
        <v/>
      </c>
      <c r="S115" s="25" t="n"/>
    </row>
    <row r="116" ht="25" customHeight="1">
      <c r="A116" s="25">
        <f>IF($B116="","","CA-"&amp;TEXT(ROW()-4,"0000"))</f>
        <v/>
      </c>
      <c r="B116" s="141" t="n"/>
      <c r="C116" s="25" t="n"/>
      <c r="D116" s="25" t="n"/>
      <c r="E116" s="25" t="n"/>
      <c r="F116" s="25" t="n"/>
      <c r="G116" s="25" t="n"/>
      <c r="H116" s="25" t="n"/>
      <c r="I116" s="28" t="n"/>
      <c r="J116" s="28" t="n"/>
      <c r="K116" s="28" t="n"/>
      <c r="L116" s="25" t="n"/>
      <c r="M116" s="141" t="n"/>
      <c r="N116" s="25" t="n"/>
      <c r="O116" s="141" t="n"/>
      <c r="P116" s="25" t="n"/>
      <c r="Q116" s="139">
        <f>IF($M116="","",IF(OR($N116="已完成",$N116="已关闭"),IF($O116="",0,MAX(0,$O116-$M116)),MAX(0,TODAY()-$M116)))</f>
        <v/>
      </c>
      <c r="R116" s="139">
        <f>IF(AND($B116&lt;&gt;"",$O116&lt;&gt;""),$O116-$B116,"")</f>
        <v/>
      </c>
      <c r="S116" s="25" t="n"/>
    </row>
    <row r="117" ht="25" customHeight="1">
      <c r="A117" s="25">
        <f>IF($B117="","","CA-"&amp;TEXT(ROW()-4,"0000"))</f>
        <v/>
      </c>
      <c r="B117" s="141" t="n"/>
      <c r="C117" s="25" t="n"/>
      <c r="D117" s="25" t="n"/>
      <c r="E117" s="25" t="n"/>
      <c r="F117" s="25" t="n"/>
      <c r="G117" s="25" t="n"/>
      <c r="H117" s="25" t="n"/>
      <c r="I117" s="28" t="n"/>
      <c r="J117" s="28" t="n"/>
      <c r="K117" s="28" t="n"/>
      <c r="L117" s="25" t="n"/>
      <c r="M117" s="141" t="n"/>
      <c r="N117" s="25" t="n"/>
      <c r="O117" s="141" t="n"/>
      <c r="P117" s="25" t="n"/>
      <c r="Q117" s="139">
        <f>IF($M117="","",IF(OR($N117="已完成",$N117="已关闭"),IF($O117="",0,MAX(0,$O117-$M117)),MAX(0,TODAY()-$M117)))</f>
        <v/>
      </c>
      <c r="R117" s="139">
        <f>IF(AND($B117&lt;&gt;"",$O117&lt;&gt;""),$O117-$B117,"")</f>
        <v/>
      </c>
      <c r="S117" s="25" t="n"/>
    </row>
    <row r="118" ht="25" customHeight="1">
      <c r="A118" s="25">
        <f>IF($B118="","","CA-"&amp;TEXT(ROW()-4,"0000"))</f>
        <v/>
      </c>
      <c r="B118" s="141" t="n"/>
      <c r="C118" s="25" t="n"/>
      <c r="D118" s="25" t="n"/>
      <c r="E118" s="25" t="n"/>
      <c r="F118" s="25" t="n"/>
      <c r="G118" s="25" t="n"/>
      <c r="H118" s="25" t="n"/>
      <c r="I118" s="28" t="n"/>
      <c r="J118" s="28" t="n"/>
      <c r="K118" s="28" t="n"/>
      <c r="L118" s="25" t="n"/>
      <c r="M118" s="141" t="n"/>
      <c r="N118" s="25" t="n"/>
      <c r="O118" s="141" t="n"/>
      <c r="P118" s="25" t="n"/>
      <c r="Q118" s="139">
        <f>IF($M118="","",IF(OR($N118="已完成",$N118="已关闭"),IF($O118="",0,MAX(0,$O118-$M118)),MAX(0,TODAY()-$M118)))</f>
        <v/>
      </c>
      <c r="R118" s="139">
        <f>IF(AND($B118&lt;&gt;"",$O118&lt;&gt;""),$O118-$B118,"")</f>
        <v/>
      </c>
      <c r="S118" s="25" t="n"/>
    </row>
    <row r="119" ht="25" customHeight="1">
      <c r="A119" s="25">
        <f>IF($B119="","","CA-"&amp;TEXT(ROW()-4,"0000"))</f>
        <v/>
      </c>
      <c r="B119" s="141" t="n"/>
      <c r="C119" s="25" t="n"/>
      <c r="D119" s="25" t="n"/>
      <c r="E119" s="25" t="n"/>
      <c r="F119" s="25" t="n"/>
      <c r="G119" s="25" t="n"/>
      <c r="H119" s="25" t="n"/>
      <c r="I119" s="28" t="n"/>
      <c r="J119" s="28" t="n"/>
      <c r="K119" s="28" t="n"/>
      <c r="L119" s="25" t="n"/>
      <c r="M119" s="141" t="n"/>
      <c r="N119" s="25" t="n"/>
      <c r="O119" s="141" t="n"/>
      <c r="P119" s="25" t="n"/>
      <c r="Q119" s="139">
        <f>IF($M119="","",IF(OR($N119="已完成",$N119="已关闭"),IF($O119="",0,MAX(0,$O119-$M119)),MAX(0,TODAY()-$M119)))</f>
        <v/>
      </c>
      <c r="R119" s="139">
        <f>IF(AND($B119&lt;&gt;"",$O119&lt;&gt;""),$O119-$B119,"")</f>
        <v/>
      </c>
      <c r="S119" s="25" t="n"/>
    </row>
    <row r="120" ht="25" customHeight="1">
      <c r="A120" s="25">
        <f>IF($B120="","","CA-"&amp;TEXT(ROW()-4,"0000"))</f>
        <v/>
      </c>
      <c r="B120" s="141" t="n"/>
      <c r="C120" s="25" t="n"/>
      <c r="D120" s="25" t="n"/>
      <c r="E120" s="25" t="n"/>
      <c r="F120" s="25" t="n"/>
      <c r="G120" s="25" t="n"/>
      <c r="H120" s="25" t="n"/>
      <c r="I120" s="28" t="n"/>
      <c r="J120" s="28" t="n"/>
      <c r="K120" s="28" t="n"/>
      <c r="L120" s="25" t="n"/>
      <c r="M120" s="141" t="n"/>
      <c r="N120" s="25" t="n"/>
      <c r="O120" s="141" t="n"/>
      <c r="P120" s="25" t="n"/>
      <c r="Q120" s="139">
        <f>IF($M120="","",IF(OR($N120="已完成",$N120="已关闭"),IF($O120="",0,MAX(0,$O120-$M120)),MAX(0,TODAY()-$M120)))</f>
        <v/>
      </c>
      <c r="R120" s="139">
        <f>IF(AND($B120&lt;&gt;"",$O120&lt;&gt;""),$O120-$B120,"")</f>
        <v/>
      </c>
      <c r="S120" s="25" t="n"/>
    </row>
    <row r="121" ht="25" customHeight="1">
      <c r="A121" s="25">
        <f>IF($B121="","","CA-"&amp;TEXT(ROW()-4,"0000"))</f>
        <v/>
      </c>
      <c r="B121" s="141" t="n"/>
      <c r="C121" s="25" t="n"/>
      <c r="D121" s="25" t="n"/>
      <c r="E121" s="25" t="n"/>
      <c r="F121" s="25" t="n"/>
      <c r="G121" s="25" t="n"/>
      <c r="H121" s="25" t="n"/>
      <c r="I121" s="28" t="n"/>
      <c r="J121" s="28" t="n"/>
      <c r="K121" s="28" t="n"/>
      <c r="L121" s="25" t="n"/>
      <c r="M121" s="141" t="n"/>
      <c r="N121" s="25" t="n"/>
      <c r="O121" s="141" t="n"/>
      <c r="P121" s="25" t="n"/>
      <c r="Q121" s="139">
        <f>IF($M121="","",IF(OR($N121="已完成",$N121="已关闭"),IF($O121="",0,MAX(0,$O121-$M121)),MAX(0,TODAY()-$M121)))</f>
        <v/>
      </c>
      <c r="R121" s="139">
        <f>IF(AND($B121&lt;&gt;"",$O121&lt;&gt;""),$O121-$B121,"")</f>
        <v/>
      </c>
      <c r="S121" s="25" t="n"/>
    </row>
    <row r="122" ht="25" customHeight="1">
      <c r="A122" s="25">
        <f>IF($B122="","","CA-"&amp;TEXT(ROW()-4,"0000"))</f>
        <v/>
      </c>
      <c r="B122" s="141" t="n"/>
      <c r="C122" s="25" t="n"/>
      <c r="D122" s="25" t="n"/>
      <c r="E122" s="25" t="n"/>
      <c r="F122" s="25" t="n"/>
      <c r="G122" s="25" t="n"/>
      <c r="H122" s="25" t="n"/>
      <c r="I122" s="28" t="n"/>
      <c r="J122" s="28" t="n"/>
      <c r="K122" s="28" t="n"/>
      <c r="L122" s="25" t="n"/>
      <c r="M122" s="141" t="n"/>
      <c r="N122" s="25" t="n"/>
      <c r="O122" s="141" t="n"/>
      <c r="P122" s="25" t="n"/>
      <c r="Q122" s="139">
        <f>IF($M122="","",IF(OR($N122="已完成",$N122="已关闭"),IF($O122="",0,MAX(0,$O122-$M122)),MAX(0,TODAY()-$M122)))</f>
        <v/>
      </c>
      <c r="R122" s="139">
        <f>IF(AND($B122&lt;&gt;"",$O122&lt;&gt;""),$O122-$B122,"")</f>
        <v/>
      </c>
      <c r="S122" s="25" t="n"/>
    </row>
    <row r="123" ht="25" customHeight="1">
      <c r="A123" s="25">
        <f>IF($B123="","","CA-"&amp;TEXT(ROW()-4,"0000"))</f>
        <v/>
      </c>
      <c r="B123" s="141" t="n"/>
      <c r="C123" s="25" t="n"/>
      <c r="D123" s="25" t="n"/>
      <c r="E123" s="25" t="n"/>
      <c r="F123" s="25" t="n"/>
      <c r="G123" s="25" t="n"/>
      <c r="H123" s="25" t="n"/>
      <c r="I123" s="28" t="n"/>
      <c r="J123" s="28" t="n"/>
      <c r="K123" s="28" t="n"/>
      <c r="L123" s="25" t="n"/>
      <c r="M123" s="141" t="n"/>
      <c r="N123" s="25" t="n"/>
      <c r="O123" s="141" t="n"/>
      <c r="P123" s="25" t="n"/>
      <c r="Q123" s="139">
        <f>IF($M123="","",IF(OR($N123="已完成",$N123="已关闭"),IF($O123="",0,MAX(0,$O123-$M123)),MAX(0,TODAY()-$M123)))</f>
        <v/>
      </c>
      <c r="R123" s="139">
        <f>IF(AND($B123&lt;&gt;"",$O123&lt;&gt;""),$O123-$B123,"")</f>
        <v/>
      </c>
      <c r="S123" s="25" t="n"/>
    </row>
    <row r="124" ht="25" customHeight="1">
      <c r="A124" s="25">
        <f>IF($B124="","","CA-"&amp;TEXT(ROW()-4,"0000"))</f>
        <v/>
      </c>
      <c r="B124" s="141" t="n"/>
      <c r="C124" s="25" t="n"/>
      <c r="D124" s="25" t="n"/>
      <c r="E124" s="25" t="n"/>
      <c r="F124" s="25" t="n"/>
      <c r="G124" s="25" t="n"/>
      <c r="H124" s="25" t="n"/>
      <c r="I124" s="28" t="n"/>
      <c r="J124" s="28" t="n"/>
      <c r="K124" s="28" t="n"/>
      <c r="L124" s="25" t="n"/>
      <c r="M124" s="141" t="n"/>
      <c r="N124" s="25" t="n"/>
      <c r="O124" s="141" t="n"/>
      <c r="P124" s="25" t="n"/>
      <c r="Q124" s="139">
        <f>IF($M124="","",IF(OR($N124="已完成",$N124="已关闭"),IF($O124="",0,MAX(0,$O124-$M124)),MAX(0,TODAY()-$M124)))</f>
        <v/>
      </c>
      <c r="R124" s="139">
        <f>IF(AND($B124&lt;&gt;"",$O124&lt;&gt;""),$O124-$B124,"")</f>
        <v/>
      </c>
      <c r="S124" s="25" t="n"/>
    </row>
    <row r="125" ht="25" customHeight="1">
      <c r="A125" s="25">
        <f>IF($B125="","","CA-"&amp;TEXT(ROW()-4,"0000"))</f>
        <v/>
      </c>
      <c r="B125" s="141" t="n"/>
      <c r="C125" s="25" t="n"/>
      <c r="D125" s="25" t="n"/>
      <c r="E125" s="25" t="n"/>
      <c r="F125" s="25" t="n"/>
      <c r="G125" s="25" t="n"/>
      <c r="H125" s="25" t="n"/>
      <c r="I125" s="28" t="n"/>
      <c r="J125" s="28" t="n"/>
      <c r="K125" s="28" t="n"/>
      <c r="L125" s="25" t="n"/>
      <c r="M125" s="141" t="n"/>
      <c r="N125" s="25" t="n"/>
      <c r="O125" s="141" t="n"/>
      <c r="P125" s="25" t="n"/>
      <c r="Q125" s="139">
        <f>IF($M125="","",IF(OR($N125="已完成",$N125="已关闭"),IF($O125="",0,MAX(0,$O125-$M125)),MAX(0,TODAY()-$M125)))</f>
        <v/>
      </c>
      <c r="R125" s="139">
        <f>IF(AND($B125&lt;&gt;"",$O125&lt;&gt;""),$O125-$B125,"")</f>
        <v/>
      </c>
      <c r="S125" s="25" t="n"/>
    </row>
    <row r="126" ht="25" customHeight="1">
      <c r="A126" s="25">
        <f>IF($B126="","","CA-"&amp;TEXT(ROW()-4,"0000"))</f>
        <v/>
      </c>
      <c r="B126" s="141" t="n"/>
      <c r="C126" s="25" t="n"/>
      <c r="D126" s="25" t="n"/>
      <c r="E126" s="25" t="n"/>
      <c r="F126" s="25" t="n"/>
      <c r="G126" s="25" t="n"/>
      <c r="H126" s="25" t="n"/>
      <c r="I126" s="28" t="n"/>
      <c r="J126" s="28" t="n"/>
      <c r="K126" s="28" t="n"/>
      <c r="L126" s="25" t="n"/>
      <c r="M126" s="141" t="n"/>
      <c r="N126" s="25" t="n"/>
      <c r="O126" s="141" t="n"/>
      <c r="P126" s="25" t="n"/>
      <c r="Q126" s="139">
        <f>IF($M126="","",IF(OR($N126="已完成",$N126="已关闭"),IF($O126="",0,MAX(0,$O126-$M126)),MAX(0,TODAY()-$M126)))</f>
        <v/>
      </c>
      <c r="R126" s="139">
        <f>IF(AND($B126&lt;&gt;"",$O126&lt;&gt;""),$O126-$B126,"")</f>
        <v/>
      </c>
      <c r="S126" s="25" t="n"/>
    </row>
    <row r="127" ht="25" customHeight="1">
      <c r="A127" s="25">
        <f>IF($B127="","","CA-"&amp;TEXT(ROW()-4,"0000"))</f>
        <v/>
      </c>
      <c r="B127" s="141" t="n"/>
      <c r="C127" s="25" t="n"/>
      <c r="D127" s="25" t="n"/>
      <c r="E127" s="25" t="n"/>
      <c r="F127" s="25" t="n"/>
      <c r="G127" s="25" t="n"/>
      <c r="H127" s="25" t="n"/>
      <c r="I127" s="28" t="n"/>
      <c r="J127" s="28" t="n"/>
      <c r="K127" s="28" t="n"/>
      <c r="L127" s="25" t="n"/>
      <c r="M127" s="141" t="n"/>
      <c r="N127" s="25" t="n"/>
      <c r="O127" s="141" t="n"/>
      <c r="P127" s="25" t="n"/>
      <c r="Q127" s="139">
        <f>IF($M127="","",IF(OR($N127="已完成",$N127="已关闭"),IF($O127="",0,MAX(0,$O127-$M127)),MAX(0,TODAY()-$M127)))</f>
        <v/>
      </c>
      <c r="R127" s="139">
        <f>IF(AND($B127&lt;&gt;"",$O127&lt;&gt;""),$O127-$B127,"")</f>
        <v/>
      </c>
      <c r="S127" s="25" t="n"/>
    </row>
    <row r="128" ht="25" customHeight="1">
      <c r="A128" s="25">
        <f>IF($B128="","","CA-"&amp;TEXT(ROW()-4,"0000"))</f>
        <v/>
      </c>
      <c r="B128" s="141" t="n"/>
      <c r="C128" s="25" t="n"/>
      <c r="D128" s="25" t="n"/>
      <c r="E128" s="25" t="n"/>
      <c r="F128" s="25" t="n"/>
      <c r="G128" s="25" t="n"/>
      <c r="H128" s="25" t="n"/>
      <c r="I128" s="28" t="n"/>
      <c r="J128" s="28" t="n"/>
      <c r="K128" s="28" t="n"/>
      <c r="L128" s="25" t="n"/>
      <c r="M128" s="141" t="n"/>
      <c r="N128" s="25" t="n"/>
      <c r="O128" s="141" t="n"/>
      <c r="P128" s="25" t="n"/>
      <c r="Q128" s="139">
        <f>IF($M128="","",IF(OR($N128="已完成",$N128="已关闭"),IF($O128="",0,MAX(0,$O128-$M128)),MAX(0,TODAY()-$M128)))</f>
        <v/>
      </c>
      <c r="R128" s="139">
        <f>IF(AND($B128&lt;&gt;"",$O128&lt;&gt;""),$O128-$B128,"")</f>
        <v/>
      </c>
      <c r="S128" s="25" t="n"/>
    </row>
    <row r="129" ht="25" customHeight="1">
      <c r="A129" s="25">
        <f>IF($B129="","","CA-"&amp;TEXT(ROW()-4,"0000"))</f>
        <v/>
      </c>
      <c r="B129" s="141" t="n"/>
      <c r="C129" s="25" t="n"/>
      <c r="D129" s="25" t="n"/>
      <c r="E129" s="25" t="n"/>
      <c r="F129" s="25" t="n"/>
      <c r="G129" s="25" t="n"/>
      <c r="H129" s="25" t="n"/>
      <c r="I129" s="28" t="n"/>
      <c r="J129" s="28" t="n"/>
      <c r="K129" s="28" t="n"/>
      <c r="L129" s="25" t="n"/>
      <c r="M129" s="141" t="n"/>
      <c r="N129" s="25" t="n"/>
      <c r="O129" s="141" t="n"/>
      <c r="P129" s="25" t="n"/>
      <c r="Q129" s="139">
        <f>IF($M129="","",IF(OR($N129="已完成",$N129="已关闭"),IF($O129="",0,MAX(0,$O129-$M129)),MAX(0,TODAY()-$M129)))</f>
        <v/>
      </c>
      <c r="R129" s="139">
        <f>IF(AND($B129&lt;&gt;"",$O129&lt;&gt;""),$O129-$B129,"")</f>
        <v/>
      </c>
      <c r="S129" s="25" t="n"/>
    </row>
    <row r="130" ht="25" customHeight="1">
      <c r="A130" s="25">
        <f>IF($B130="","","CA-"&amp;TEXT(ROW()-4,"0000"))</f>
        <v/>
      </c>
      <c r="B130" s="141" t="n"/>
      <c r="C130" s="25" t="n"/>
      <c r="D130" s="25" t="n"/>
      <c r="E130" s="25" t="n"/>
      <c r="F130" s="25" t="n"/>
      <c r="G130" s="25" t="n"/>
      <c r="H130" s="25" t="n"/>
      <c r="I130" s="28" t="n"/>
      <c r="J130" s="28" t="n"/>
      <c r="K130" s="28" t="n"/>
      <c r="L130" s="25" t="n"/>
      <c r="M130" s="141" t="n"/>
      <c r="N130" s="25" t="n"/>
      <c r="O130" s="141" t="n"/>
      <c r="P130" s="25" t="n"/>
      <c r="Q130" s="139">
        <f>IF($M130="","",IF(OR($N130="已完成",$N130="已关闭"),IF($O130="",0,MAX(0,$O130-$M130)),MAX(0,TODAY()-$M130)))</f>
        <v/>
      </c>
      <c r="R130" s="139">
        <f>IF(AND($B130&lt;&gt;"",$O130&lt;&gt;""),$O130-$B130,"")</f>
        <v/>
      </c>
      <c r="S130" s="25" t="n"/>
    </row>
    <row r="131" ht="25" customHeight="1">
      <c r="A131" s="25">
        <f>IF($B131="","","CA-"&amp;TEXT(ROW()-4,"0000"))</f>
        <v/>
      </c>
      <c r="B131" s="141" t="n"/>
      <c r="C131" s="25" t="n"/>
      <c r="D131" s="25" t="n"/>
      <c r="E131" s="25" t="n"/>
      <c r="F131" s="25" t="n"/>
      <c r="G131" s="25" t="n"/>
      <c r="H131" s="25" t="n"/>
      <c r="I131" s="28" t="n"/>
      <c r="J131" s="28" t="n"/>
      <c r="K131" s="28" t="n"/>
      <c r="L131" s="25" t="n"/>
      <c r="M131" s="141" t="n"/>
      <c r="N131" s="25" t="n"/>
      <c r="O131" s="141" t="n"/>
      <c r="P131" s="25" t="n"/>
      <c r="Q131" s="139">
        <f>IF($M131="","",IF(OR($N131="已完成",$N131="已关闭"),IF($O131="",0,MAX(0,$O131-$M131)),MAX(0,TODAY()-$M131)))</f>
        <v/>
      </c>
      <c r="R131" s="139">
        <f>IF(AND($B131&lt;&gt;"",$O131&lt;&gt;""),$O131-$B131,"")</f>
        <v/>
      </c>
      <c r="S131" s="25" t="n"/>
    </row>
    <row r="132" ht="25" customHeight="1">
      <c r="A132" s="25">
        <f>IF($B132="","","CA-"&amp;TEXT(ROW()-4,"0000"))</f>
        <v/>
      </c>
      <c r="B132" s="141" t="n"/>
      <c r="C132" s="25" t="n"/>
      <c r="D132" s="25" t="n"/>
      <c r="E132" s="25" t="n"/>
      <c r="F132" s="25" t="n"/>
      <c r="G132" s="25" t="n"/>
      <c r="H132" s="25" t="n"/>
      <c r="I132" s="28" t="n"/>
      <c r="J132" s="28" t="n"/>
      <c r="K132" s="28" t="n"/>
      <c r="L132" s="25" t="n"/>
      <c r="M132" s="141" t="n"/>
      <c r="N132" s="25" t="n"/>
      <c r="O132" s="141" t="n"/>
      <c r="P132" s="25" t="n"/>
      <c r="Q132" s="139">
        <f>IF($M132="","",IF(OR($N132="已完成",$N132="已关闭"),IF($O132="",0,MAX(0,$O132-$M132)),MAX(0,TODAY()-$M132)))</f>
        <v/>
      </c>
      <c r="R132" s="139">
        <f>IF(AND($B132&lt;&gt;"",$O132&lt;&gt;""),$O132-$B132,"")</f>
        <v/>
      </c>
      <c r="S132" s="25" t="n"/>
    </row>
    <row r="133" ht="25" customHeight="1">
      <c r="A133" s="25">
        <f>IF($B133="","","CA-"&amp;TEXT(ROW()-4,"0000"))</f>
        <v/>
      </c>
      <c r="B133" s="141" t="n"/>
      <c r="C133" s="25" t="n"/>
      <c r="D133" s="25" t="n"/>
      <c r="E133" s="25" t="n"/>
      <c r="F133" s="25" t="n"/>
      <c r="G133" s="25" t="n"/>
      <c r="H133" s="25" t="n"/>
      <c r="I133" s="28" t="n"/>
      <c r="J133" s="28" t="n"/>
      <c r="K133" s="28" t="n"/>
      <c r="L133" s="25" t="n"/>
      <c r="M133" s="141" t="n"/>
      <c r="N133" s="25" t="n"/>
      <c r="O133" s="141" t="n"/>
      <c r="P133" s="25" t="n"/>
      <c r="Q133" s="139">
        <f>IF($M133="","",IF(OR($N133="已完成",$N133="已关闭"),IF($O133="",0,MAX(0,$O133-$M133)),MAX(0,TODAY()-$M133)))</f>
        <v/>
      </c>
      <c r="R133" s="139">
        <f>IF(AND($B133&lt;&gt;"",$O133&lt;&gt;""),$O133-$B133,"")</f>
        <v/>
      </c>
      <c r="S133" s="25" t="n"/>
    </row>
    <row r="134" ht="25" customHeight="1">
      <c r="A134" s="25">
        <f>IF($B134="","","CA-"&amp;TEXT(ROW()-4,"0000"))</f>
        <v/>
      </c>
      <c r="B134" s="141" t="n"/>
      <c r="C134" s="25" t="n"/>
      <c r="D134" s="25" t="n"/>
      <c r="E134" s="25" t="n"/>
      <c r="F134" s="25" t="n"/>
      <c r="G134" s="25" t="n"/>
      <c r="H134" s="25" t="n"/>
      <c r="I134" s="28" t="n"/>
      <c r="J134" s="28" t="n"/>
      <c r="K134" s="28" t="n"/>
      <c r="L134" s="25" t="n"/>
      <c r="M134" s="141" t="n"/>
      <c r="N134" s="25" t="n"/>
      <c r="O134" s="141" t="n"/>
      <c r="P134" s="25" t="n"/>
      <c r="Q134" s="139">
        <f>IF($M134="","",IF(OR($N134="已完成",$N134="已关闭"),IF($O134="",0,MAX(0,$O134-$M134)),MAX(0,TODAY()-$M134)))</f>
        <v/>
      </c>
      <c r="R134" s="139">
        <f>IF(AND($B134&lt;&gt;"",$O134&lt;&gt;""),$O134-$B134,"")</f>
        <v/>
      </c>
      <c r="S134" s="25" t="n"/>
    </row>
    <row r="135" ht="25" customHeight="1">
      <c r="A135" s="25">
        <f>IF($B135="","","CA-"&amp;TEXT(ROW()-4,"0000"))</f>
        <v/>
      </c>
      <c r="B135" s="141" t="n"/>
      <c r="C135" s="25" t="n"/>
      <c r="D135" s="25" t="n"/>
      <c r="E135" s="25" t="n"/>
      <c r="F135" s="25" t="n"/>
      <c r="G135" s="25" t="n"/>
      <c r="H135" s="25" t="n"/>
      <c r="I135" s="28" t="n"/>
      <c r="J135" s="28" t="n"/>
      <c r="K135" s="28" t="n"/>
      <c r="L135" s="25" t="n"/>
      <c r="M135" s="141" t="n"/>
      <c r="N135" s="25" t="n"/>
      <c r="O135" s="141" t="n"/>
      <c r="P135" s="25" t="n"/>
      <c r="Q135" s="139">
        <f>IF($M135="","",IF(OR($N135="已完成",$N135="已关闭"),IF($O135="",0,MAX(0,$O135-$M135)),MAX(0,TODAY()-$M135)))</f>
        <v/>
      </c>
      <c r="R135" s="139">
        <f>IF(AND($B135&lt;&gt;"",$O135&lt;&gt;""),$O135-$B135,"")</f>
        <v/>
      </c>
      <c r="S135" s="25" t="n"/>
    </row>
    <row r="136" ht="25" customHeight="1">
      <c r="A136" s="25">
        <f>IF($B136="","","CA-"&amp;TEXT(ROW()-4,"0000"))</f>
        <v/>
      </c>
      <c r="B136" s="141" t="n"/>
      <c r="C136" s="25" t="n"/>
      <c r="D136" s="25" t="n"/>
      <c r="E136" s="25" t="n"/>
      <c r="F136" s="25" t="n"/>
      <c r="G136" s="25" t="n"/>
      <c r="H136" s="25" t="n"/>
      <c r="I136" s="28" t="n"/>
      <c r="J136" s="28" t="n"/>
      <c r="K136" s="28" t="n"/>
      <c r="L136" s="25" t="n"/>
      <c r="M136" s="141" t="n"/>
      <c r="N136" s="25" t="n"/>
      <c r="O136" s="141" t="n"/>
      <c r="P136" s="25" t="n"/>
      <c r="Q136" s="139">
        <f>IF($M136="","",IF(OR($N136="已完成",$N136="已关闭"),IF($O136="",0,MAX(0,$O136-$M136)),MAX(0,TODAY()-$M136)))</f>
        <v/>
      </c>
      <c r="R136" s="139">
        <f>IF(AND($B136&lt;&gt;"",$O136&lt;&gt;""),$O136-$B136,"")</f>
        <v/>
      </c>
      <c r="S136" s="25" t="n"/>
    </row>
    <row r="137" ht="25" customHeight="1">
      <c r="A137" s="25">
        <f>IF($B137="","","CA-"&amp;TEXT(ROW()-4,"0000"))</f>
        <v/>
      </c>
      <c r="B137" s="141" t="n"/>
      <c r="C137" s="25" t="n"/>
      <c r="D137" s="25" t="n"/>
      <c r="E137" s="25" t="n"/>
      <c r="F137" s="25" t="n"/>
      <c r="G137" s="25" t="n"/>
      <c r="H137" s="25" t="n"/>
      <c r="I137" s="28" t="n"/>
      <c r="J137" s="28" t="n"/>
      <c r="K137" s="28" t="n"/>
      <c r="L137" s="25" t="n"/>
      <c r="M137" s="141" t="n"/>
      <c r="N137" s="25" t="n"/>
      <c r="O137" s="141" t="n"/>
      <c r="P137" s="25" t="n"/>
      <c r="Q137" s="139">
        <f>IF($M137="","",IF(OR($N137="已完成",$N137="已关闭"),IF($O137="",0,MAX(0,$O137-$M137)),MAX(0,TODAY()-$M137)))</f>
        <v/>
      </c>
      <c r="R137" s="139">
        <f>IF(AND($B137&lt;&gt;"",$O137&lt;&gt;""),$O137-$B137,"")</f>
        <v/>
      </c>
      <c r="S137" s="25" t="n"/>
    </row>
    <row r="138" ht="25" customHeight="1">
      <c r="A138" s="25">
        <f>IF($B138="","","CA-"&amp;TEXT(ROW()-4,"0000"))</f>
        <v/>
      </c>
      <c r="B138" s="141" t="n"/>
      <c r="C138" s="25" t="n"/>
      <c r="D138" s="25" t="n"/>
      <c r="E138" s="25" t="n"/>
      <c r="F138" s="25" t="n"/>
      <c r="G138" s="25" t="n"/>
      <c r="H138" s="25" t="n"/>
      <c r="I138" s="28" t="n"/>
      <c r="J138" s="28" t="n"/>
      <c r="K138" s="28" t="n"/>
      <c r="L138" s="25" t="n"/>
      <c r="M138" s="141" t="n"/>
      <c r="N138" s="25" t="n"/>
      <c r="O138" s="141" t="n"/>
      <c r="P138" s="25" t="n"/>
      <c r="Q138" s="139">
        <f>IF($M138="","",IF(OR($N138="已完成",$N138="已关闭"),IF($O138="",0,MAX(0,$O138-$M138)),MAX(0,TODAY()-$M138)))</f>
        <v/>
      </c>
      <c r="R138" s="139">
        <f>IF(AND($B138&lt;&gt;"",$O138&lt;&gt;""),$O138-$B138,"")</f>
        <v/>
      </c>
      <c r="S138" s="25" t="n"/>
    </row>
    <row r="139" ht="25" customHeight="1">
      <c r="A139" s="25">
        <f>IF($B139="","","CA-"&amp;TEXT(ROW()-4,"0000"))</f>
        <v/>
      </c>
      <c r="B139" s="141" t="n"/>
      <c r="C139" s="25" t="n"/>
      <c r="D139" s="25" t="n"/>
      <c r="E139" s="25" t="n"/>
      <c r="F139" s="25" t="n"/>
      <c r="G139" s="25" t="n"/>
      <c r="H139" s="25" t="n"/>
      <c r="I139" s="28" t="n"/>
      <c r="J139" s="28" t="n"/>
      <c r="K139" s="28" t="n"/>
      <c r="L139" s="25" t="n"/>
      <c r="M139" s="141" t="n"/>
      <c r="N139" s="25" t="n"/>
      <c r="O139" s="141" t="n"/>
      <c r="P139" s="25" t="n"/>
      <c r="Q139" s="139">
        <f>IF($M139="","",IF(OR($N139="已完成",$N139="已关闭"),IF($O139="",0,MAX(0,$O139-$M139)),MAX(0,TODAY()-$M139)))</f>
        <v/>
      </c>
      <c r="R139" s="139">
        <f>IF(AND($B139&lt;&gt;"",$O139&lt;&gt;""),$O139-$B139,"")</f>
        <v/>
      </c>
      <c r="S139" s="25" t="n"/>
    </row>
    <row r="140" ht="25" customHeight="1">
      <c r="A140" s="25">
        <f>IF($B140="","","CA-"&amp;TEXT(ROW()-4,"0000"))</f>
        <v/>
      </c>
      <c r="B140" s="141" t="n"/>
      <c r="C140" s="25" t="n"/>
      <c r="D140" s="25" t="n"/>
      <c r="E140" s="25" t="n"/>
      <c r="F140" s="25" t="n"/>
      <c r="G140" s="25" t="n"/>
      <c r="H140" s="25" t="n"/>
      <c r="I140" s="28" t="n"/>
      <c r="J140" s="28" t="n"/>
      <c r="K140" s="28" t="n"/>
      <c r="L140" s="25" t="n"/>
      <c r="M140" s="141" t="n"/>
      <c r="N140" s="25" t="n"/>
      <c r="O140" s="141" t="n"/>
      <c r="P140" s="25" t="n"/>
      <c r="Q140" s="139">
        <f>IF($M140="","",IF(OR($N140="已完成",$N140="已关闭"),IF($O140="",0,MAX(0,$O140-$M140)),MAX(0,TODAY()-$M140)))</f>
        <v/>
      </c>
      <c r="R140" s="139">
        <f>IF(AND($B140&lt;&gt;"",$O140&lt;&gt;""),$O140-$B140,"")</f>
        <v/>
      </c>
      <c r="S140" s="25" t="n"/>
    </row>
    <row r="141" ht="25" customHeight="1">
      <c r="A141" s="25">
        <f>IF($B141="","","CA-"&amp;TEXT(ROW()-4,"0000"))</f>
        <v/>
      </c>
      <c r="B141" s="141" t="n"/>
      <c r="C141" s="25" t="n"/>
      <c r="D141" s="25" t="n"/>
      <c r="E141" s="25" t="n"/>
      <c r="F141" s="25" t="n"/>
      <c r="G141" s="25" t="n"/>
      <c r="H141" s="25" t="n"/>
      <c r="I141" s="28" t="n"/>
      <c r="J141" s="28" t="n"/>
      <c r="K141" s="28" t="n"/>
      <c r="L141" s="25" t="n"/>
      <c r="M141" s="141" t="n"/>
      <c r="N141" s="25" t="n"/>
      <c r="O141" s="141" t="n"/>
      <c r="P141" s="25" t="n"/>
      <c r="Q141" s="139">
        <f>IF($M141="","",IF(OR($N141="已完成",$N141="已关闭"),IF($O141="",0,MAX(0,$O141-$M141)),MAX(0,TODAY()-$M141)))</f>
        <v/>
      </c>
      <c r="R141" s="139">
        <f>IF(AND($B141&lt;&gt;"",$O141&lt;&gt;""),$O141-$B141,"")</f>
        <v/>
      </c>
      <c r="S141" s="25" t="n"/>
    </row>
    <row r="142" ht="25" customHeight="1">
      <c r="A142" s="25">
        <f>IF($B142="","","CA-"&amp;TEXT(ROW()-4,"0000"))</f>
        <v/>
      </c>
      <c r="B142" s="141" t="n"/>
      <c r="C142" s="25" t="n"/>
      <c r="D142" s="25" t="n"/>
      <c r="E142" s="25" t="n"/>
      <c r="F142" s="25" t="n"/>
      <c r="G142" s="25" t="n"/>
      <c r="H142" s="25" t="n"/>
      <c r="I142" s="28" t="n"/>
      <c r="J142" s="28" t="n"/>
      <c r="K142" s="28" t="n"/>
      <c r="L142" s="25" t="n"/>
      <c r="M142" s="141" t="n"/>
      <c r="N142" s="25" t="n"/>
      <c r="O142" s="141" t="n"/>
      <c r="P142" s="25" t="n"/>
      <c r="Q142" s="139">
        <f>IF($M142="","",IF(OR($N142="已完成",$N142="已关闭"),IF($O142="",0,MAX(0,$O142-$M142)),MAX(0,TODAY()-$M142)))</f>
        <v/>
      </c>
      <c r="R142" s="139">
        <f>IF(AND($B142&lt;&gt;"",$O142&lt;&gt;""),$O142-$B142,"")</f>
        <v/>
      </c>
      <c r="S142" s="25" t="n"/>
    </row>
    <row r="143" ht="25" customHeight="1">
      <c r="A143" s="25">
        <f>IF($B143="","","CA-"&amp;TEXT(ROW()-4,"0000"))</f>
        <v/>
      </c>
      <c r="B143" s="141" t="n"/>
      <c r="C143" s="25" t="n"/>
      <c r="D143" s="25" t="n"/>
      <c r="E143" s="25" t="n"/>
      <c r="F143" s="25" t="n"/>
      <c r="G143" s="25" t="n"/>
      <c r="H143" s="25" t="n"/>
      <c r="I143" s="28" t="n"/>
      <c r="J143" s="28" t="n"/>
      <c r="K143" s="28" t="n"/>
      <c r="L143" s="25" t="n"/>
      <c r="M143" s="141" t="n"/>
      <c r="N143" s="25" t="n"/>
      <c r="O143" s="141" t="n"/>
      <c r="P143" s="25" t="n"/>
      <c r="Q143" s="139">
        <f>IF($M143="","",IF(OR($N143="已完成",$N143="已关闭"),IF($O143="",0,MAX(0,$O143-$M143)),MAX(0,TODAY()-$M143)))</f>
        <v/>
      </c>
      <c r="R143" s="139">
        <f>IF(AND($B143&lt;&gt;"",$O143&lt;&gt;""),$O143-$B143,"")</f>
        <v/>
      </c>
      <c r="S143" s="25" t="n"/>
    </row>
    <row r="144" ht="25" customHeight="1">
      <c r="A144" s="25">
        <f>IF($B144="","","CA-"&amp;TEXT(ROW()-4,"0000"))</f>
        <v/>
      </c>
      <c r="B144" s="141" t="n"/>
      <c r="C144" s="25" t="n"/>
      <c r="D144" s="25" t="n"/>
      <c r="E144" s="25" t="n"/>
      <c r="F144" s="25" t="n"/>
      <c r="G144" s="25" t="n"/>
      <c r="H144" s="25" t="n"/>
      <c r="I144" s="28" t="n"/>
      <c r="J144" s="28" t="n"/>
      <c r="K144" s="28" t="n"/>
      <c r="L144" s="25" t="n"/>
      <c r="M144" s="141" t="n"/>
      <c r="N144" s="25" t="n"/>
      <c r="O144" s="141" t="n"/>
      <c r="P144" s="25" t="n"/>
      <c r="Q144" s="139">
        <f>IF($M144="","",IF(OR($N144="已完成",$N144="已关闭"),IF($O144="",0,MAX(0,$O144-$M144)),MAX(0,TODAY()-$M144)))</f>
        <v/>
      </c>
      <c r="R144" s="139">
        <f>IF(AND($B144&lt;&gt;"",$O144&lt;&gt;""),$O144-$B144,"")</f>
        <v/>
      </c>
      <c r="S144" s="25" t="n"/>
    </row>
    <row r="145" ht="25" customHeight="1">
      <c r="A145" s="25">
        <f>IF($B145="","","CA-"&amp;TEXT(ROW()-4,"0000"))</f>
        <v/>
      </c>
      <c r="B145" s="141" t="n"/>
      <c r="C145" s="25" t="n"/>
      <c r="D145" s="25" t="n"/>
      <c r="E145" s="25" t="n"/>
      <c r="F145" s="25" t="n"/>
      <c r="G145" s="25" t="n"/>
      <c r="H145" s="25" t="n"/>
      <c r="I145" s="28" t="n"/>
      <c r="J145" s="28" t="n"/>
      <c r="K145" s="28" t="n"/>
      <c r="L145" s="25" t="n"/>
      <c r="M145" s="141" t="n"/>
      <c r="N145" s="25" t="n"/>
      <c r="O145" s="141" t="n"/>
      <c r="P145" s="25" t="n"/>
      <c r="Q145" s="139">
        <f>IF($M145="","",IF(OR($N145="已完成",$N145="已关闭"),IF($O145="",0,MAX(0,$O145-$M145)),MAX(0,TODAY()-$M145)))</f>
        <v/>
      </c>
      <c r="R145" s="139">
        <f>IF(AND($B145&lt;&gt;"",$O145&lt;&gt;""),$O145-$B145,"")</f>
        <v/>
      </c>
      <c r="S145" s="25" t="n"/>
    </row>
    <row r="146" ht="25" customHeight="1">
      <c r="A146" s="25">
        <f>IF($B146="","","CA-"&amp;TEXT(ROW()-4,"0000"))</f>
        <v/>
      </c>
      <c r="B146" s="141" t="n"/>
      <c r="C146" s="25" t="n"/>
      <c r="D146" s="25" t="n"/>
      <c r="E146" s="25" t="n"/>
      <c r="F146" s="25" t="n"/>
      <c r="G146" s="25" t="n"/>
      <c r="H146" s="25" t="n"/>
      <c r="I146" s="28" t="n"/>
      <c r="J146" s="28" t="n"/>
      <c r="K146" s="28" t="n"/>
      <c r="L146" s="25" t="n"/>
      <c r="M146" s="141" t="n"/>
      <c r="N146" s="25" t="n"/>
      <c r="O146" s="141" t="n"/>
      <c r="P146" s="25" t="n"/>
      <c r="Q146" s="139">
        <f>IF($M146="","",IF(OR($N146="已完成",$N146="已关闭"),IF($O146="",0,MAX(0,$O146-$M146)),MAX(0,TODAY()-$M146)))</f>
        <v/>
      </c>
      <c r="R146" s="139">
        <f>IF(AND($B146&lt;&gt;"",$O146&lt;&gt;""),$O146-$B146,"")</f>
        <v/>
      </c>
      <c r="S146" s="25" t="n"/>
    </row>
    <row r="147" ht="25" customHeight="1">
      <c r="A147" s="25">
        <f>IF($B147="","","CA-"&amp;TEXT(ROW()-4,"0000"))</f>
        <v/>
      </c>
      <c r="B147" s="141" t="n"/>
      <c r="C147" s="25" t="n"/>
      <c r="D147" s="25" t="n"/>
      <c r="E147" s="25" t="n"/>
      <c r="F147" s="25" t="n"/>
      <c r="G147" s="25" t="n"/>
      <c r="H147" s="25" t="n"/>
      <c r="I147" s="28" t="n"/>
      <c r="J147" s="28" t="n"/>
      <c r="K147" s="28" t="n"/>
      <c r="L147" s="25" t="n"/>
      <c r="M147" s="141" t="n"/>
      <c r="N147" s="25" t="n"/>
      <c r="O147" s="141" t="n"/>
      <c r="P147" s="25" t="n"/>
      <c r="Q147" s="139">
        <f>IF($M147="","",IF(OR($N147="已完成",$N147="已关闭"),IF($O147="",0,MAX(0,$O147-$M147)),MAX(0,TODAY()-$M147)))</f>
        <v/>
      </c>
      <c r="R147" s="139">
        <f>IF(AND($B147&lt;&gt;"",$O147&lt;&gt;""),$O147-$B147,"")</f>
        <v/>
      </c>
      <c r="S147" s="25" t="n"/>
    </row>
    <row r="148" ht="25" customHeight="1">
      <c r="A148" s="25">
        <f>IF($B148="","","CA-"&amp;TEXT(ROW()-4,"0000"))</f>
        <v/>
      </c>
      <c r="B148" s="141" t="n"/>
      <c r="C148" s="25" t="n"/>
      <c r="D148" s="25" t="n"/>
      <c r="E148" s="25" t="n"/>
      <c r="F148" s="25" t="n"/>
      <c r="G148" s="25" t="n"/>
      <c r="H148" s="25" t="n"/>
      <c r="I148" s="28" t="n"/>
      <c r="J148" s="28" t="n"/>
      <c r="K148" s="28" t="n"/>
      <c r="L148" s="25" t="n"/>
      <c r="M148" s="141" t="n"/>
      <c r="N148" s="25" t="n"/>
      <c r="O148" s="141" t="n"/>
      <c r="P148" s="25" t="n"/>
      <c r="Q148" s="139">
        <f>IF($M148="","",IF(OR($N148="已完成",$N148="已关闭"),IF($O148="",0,MAX(0,$O148-$M148)),MAX(0,TODAY()-$M148)))</f>
        <v/>
      </c>
      <c r="R148" s="139">
        <f>IF(AND($B148&lt;&gt;"",$O148&lt;&gt;""),$O148-$B148,"")</f>
        <v/>
      </c>
      <c r="S148" s="25" t="n"/>
    </row>
    <row r="149" ht="25" customHeight="1">
      <c r="A149" s="25">
        <f>IF($B149="","","CA-"&amp;TEXT(ROW()-4,"0000"))</f>
        <v/>
      </c>
      <c r="B149" s="141" t="n"/>
      <c r="C149" s="25" t="n"/>
      <c r="D149" s="25" t="n"/>
      <c r="E149" s="25" t="n"/>
      <c r="F149" s="25" t="n"/>
      <c r="G149" s="25" t="n"/>
      <c r="H149" s="25" t="n"/>
      <c r="I149" s="28" t="n"/>
      <c r="J149" s="28" t="n"/>
      <c r="K149" s="28" t="n"/>
      <c r="L149" s="25" t="n"/>
      <c r="M149" s="141" t="n"/>
      <c r="N149" s="25" t="n"/>
      <c r="O149" s="141" t="n"/>
      <c r="P149" s="25" t="n"/>
      <c r="Q149" s="139">
        <f>IF($M149="","",IF(OR($N149="已完成",$N149="已关闭"),IF($O149="",0,MAX(0,$O149-$M149)),MAX(0,TODAY()-$M149)))</f>
        <v/>
      </c>
      <c r="R149" s="139">
        <f>IF(AND($B149&lt;&gt;"",$O149&lt;&gt;""),$O149-$B149,"")</f>
        <v/>
      </c>
      <c r="S149" s="25" t="n"/>
    </row>
    <row r="150" ht="25" customHeight="1">
      <c r="A150" s="25">
        <f>IF($B150="","","CA-"&amp;TEXT(ROW()-4,"0000"))</f>
        <v/>
      </c>
      <c r="B150" s="141" t="n"/>
      <c r="C150" s="25" t="n"/>
      <c r="D150" s="25" t="n"/>
      <c r="E150" s="25" t="n"/>
      <c r="F150" s="25" t="n"/>
      <c r="G150" s="25" t="n"/>
      <c r="H150" s="25" t="n"/>
      <c r="I150" s="28" t="n"/>
      <c r="J150" s="28" t="n"/>
      <c r="K150" s="28" t="n"/>
      <c r="L150" s="25" t="n"/>
      <c r="M150" s="141" t="n"/>
      <c r="N150" s="25" t="n"/>
      <c r="O150" s="141" t="n"/>
      <c r="P150" s="25" t="n"/>
      <c r="Q150" s="139">
        <f>IF($M150="","",IF(OR($N150="已完成",$N150="已关闭"),IF($O150="",0,MAX(0,$O150-$M150)),MAX(0,TODAY()-$M150)))</f>
        <v/>
      </c>
      <c r="R150" s="139">
        <f>IF(AND($B150&lt;&gt;"",$O150&lt;&gt;""),$O150-$B150,"")</f>
        <v/>
      </c>
      <c r="S150" s="25" t="n"/>
    </row>
    <row r="151" ht="25" customHeight="1">
      <c r="A151" s="25">
        <f>IF($B151="","","CA-"&amp;TEXT(ROW()-4,"0000"))</f>
        <v/>
      </c>
      <c r="B151" s="141" t="n"/>
      <c r="C151" s="25" t="n"/>
      <c r="D151" s="25" t="n"/>
      <c r="E151" s="25" t="n"/>
      <c r="F151" s="25" t="n"/>
      <c r="G151" s="25" t="n"/>
      <c r="H151" s="25" t="n"/>
      <c r="I151" s="28" t="n"/>
      <c r="J151" s="28" t="n"/>
      <c r="K151" s="28" t="n"/>
      <c r="L151" s="25" t="n"/>
      <c r="M151" s="141" t="n"/>
      <c r="N151" s="25" t="n"/>
      <c r="O151" s="141" t="n"/>
      <c r="P151" s="25" t="n"/>
      <c r="Q151" s="139">
        <f>IF($M151="","",IF(OR($N151="已完成",$N151="已关闭"),IF($O151="",0,MAX(0,$O151-$M151)),MAX(0,TODAY()-$M151)))</f>
        <v/>
      </c>
      <c r="R151" s="139">
        <f>IF(AND($B151&lt;&gt;"",$O151&lt;&gt;""),$O151-$B151,"")</f>
        <v/>
      </c>
      <c r="S151" s="25" t="n"/>
    </row>
    <row r="152" ht="25" customHeight="1">
      <c r="A152" s="25">
        <f>IF($B152="","","CA-"&amp;TEXT(ROW()-4,"0000"))</f>
        <v/>
      </c>
      <c r="B152" s="141" t="n"/>
      <c r="C152" s="25" t="n"/>
      <c r="D152" s="25" t="n"/>
      <c r="E152" s="25" t="n"/>
      <c r="F152" s="25" t="n"/>
      <c r="G152" s="25" t="n"/>
      <c r="H152" s="25" t="n"/>
      <c r="I152" s="28" t="n"/>
      <c r="J152" s="28" t="n"/>
      <c r="K152" s="28" t="n"/>
      <c r="L152" s="25" t="n"/>
      <c r="M152" s="141" t="n"/>
      <c r="N152" s="25" t="n"/>
      <c r="O152" s="141" t="n"/>
      <c r="P152" s="25" t="n"/>
      <c r="Q152" s="139">
        <f>IF($M152="","",IF(OR($N152="已完成",$N152="已关闭"),IF($O152="",0,MAX(0,$O152-$M152)),MAX(0,TODAY()-$M152)))</f>
        <v/>
      </c>
      <c r="R152" s="139">
        <f>IF(AND($B152&lt;&gt;"",$O152&lt;&gt;""),$O152-$B152,"")</f>
        <v/>
      </c>
      <c r="S152" s="25" t="n"/>
    </row>
    <row r="153" ht="25" customHeight="1">
      <c r="A153" s="25">
        <f>IF($B153="","","CA-"&amp;TEXT(ROW()-4,"0000"))</f>
        <v/>
      </c>
      <c r="B153" s="141" t="n"/>
      <c r="C153" s="25" t="n"/>
      <c r="D153" s="25" t="n"/>
      <c r="E153" s="25" t="n"/>
      <c r="F153" s="25" t="n"/>
      <c r="G153" s="25" t="n"/>
      <c r="H153" s="25" t="n"/>
      <c r="I153" s="28" t="n"/>
      <c r="J153" s="28" t="n"/>
      <c r="K153" s="28" t="n"/>
      <c r="L153" s="25" t="n"/>
      <c r="M153" s="141" t="n"/>
      <c r="N153" s="25" t="n"/>
      <c r="O153" s="141" t="n"/>
      <c r="P153" s="25" t="n"/>
      <c r="Q153" s="139">
        <f>IF($M153="","",IF(OR($N153="已完成",$N153="已关闭"),IF($O153="",0,MAX(0,$O153-$M153)),MAX(0,TODAY()-$M153)))</f>
        <v/>
      </c>
      <c r="R153" s="139">
        <f>IF(AND($B153&lt;&gt;"",$O153&lt;&gt;""),$O153-$B153,"")</f>
        <v/>
      </c>
      <c r="S153" s="25" t="n"/>
    </row>
    <row r="154" ht="25" customHeight="1">
      <c r="A154" s="25">
        <f>IF($B154="","","CA-"&amp;TEXT(ROW()-4,"0000"))</f>
        <v/>
      </c>
      <c r="B154" s="141" t="n"/>
      <c r="C154" s="25" t="n"/>
      <c r="D154" s="25" t="n"/>
      <c r="E154" s="25" t="n"/>
      <c r="F154" s="25" t="n"/>
      <c r="G154" s="25" t="n"/>
      <c r="H154" s="25" t="n"/>
      <c r="I154" s="28" t="n"/>
      <c r="J154" s="28" t="n"/>
      <c r="K154" s="28" t="n"/>
      <c r="L154" s="25" t="n"/>
      <c r="M154" s="141" t="n"/>
      <c r="N154" s="25" t="n"/>
      <c r="O154" s="141" t="n"/>
      <c r="P154" s="25" t="n"/>
      <c r="Q154" s="139">
        <f>IF($M154="","",IF(OR($N154="已完成",$N154="已关闭"),IF($O154="",0,MAX(0,$O154-$M154)),MAX(0,TODAY()-$M154)))</f>
        <v/>
      </c>
      <c r="R154" s="139">
        <f>IF(AND($B154&lt;&gt;"",$O154&lt;&gt;""),$O154-$B154,"")</f>
        <v/>
      </c>
      <c r="S154" s="25" t="n"/>
    </row>
    <row r="155" ht="25" customHeight="1">
      <c r="A155" s="25">
        <f>IF($B155="","","CA-"&amp;TEXT(ROW()-4,"0000"))</f>
        <v/>
      </c>
      <c r="B155" s="141" t="n"/>
      <c r="C155" s="25" t="n"/>
      <c r="D155" s="25" t="n"/>
      <c r="E155" s="25" t="n"/>
      <c r="F155" s="25" t="n"/>
      <c r="G155" s="25" t="n"/>
      <c r="H155" s="25" t="n"/>
      <c r="I155" s="28" t="n"/>
      <c r="J155" s="28" t="n"/>
      <c r="K155" s="28" t="n"/>
      <c r="L155" s="25" t="n"/>
      <c r="M155" s="141" t="n"/>
      <c r="N155" s="25" t="n"/>
      <c r="O155" s="141" t="n"/>
      <c r="P155" s="25" t="n"/>
      <c r="Q155" s="139">
        <f>IF($M155="","",IF(OR($N155="已完成",$N155="已关闭"),IF($O155="",0,MAX(0,$O155-$M155)),MAX(0,TODAY()-$M155)))</f>
        <v/>
      </c>
      <c r="R155" s="139">
        <f>IF(AND($B155&lt;&gt;"",$O155&lt;&gt;""),$O155-$B155,"")</f>
        <v/>
      </c>
      <c r="S155" s="25" t="n"/>
    </row>
    <row r="156" ht="25" customHeight="1">
      <c r="A156" s="25">
        <f>IF($B156="","","CA-"&amp;TEXT(ROW()-4,"0000"))</f>
        <v/>
      </c>
      <c r="B156" s="141" t="n"/>
      <c r="C156" s="25" t="n"/>
      <c r="D156" s="25" t="n"/>
      <c r="E156" s="25" t="n"/>
      <c r="F156" s="25" t="n"/>
      <c r="G156" s="25" t="n"/>
      <c r="H156" s="25" t="n"/>
      <c r="I156" s="28" t="n"/>
      <c r="J156" s="28" t="n"/>
      <c r="K156" s="28" t="n"/>
      <c r="L156" s="25" t="n"/>
      <c r="M156" s="141" t="n"/>
      <c r="N156" s="25" t="n"/>
      <c r="O156" s="141" t="n"/>
      <c r="P156" s="25" t="n"/>
      <c r="Q156" s="139">
        <f>IF($M156="","",IF(OR($N156="已完成",$N156="已关闭"),IF($O156="",0,MAX(0,$O156-$M156)),MAX(0,TODAY()-$M156)))</f>
        <v/>
      </c>
      <c r="R156" s="139">
        <f>IF(AND($B156&lt;&gt;"",$O156&lt;&gt;""),$O156-$B156,"")</f>
        <v/>
      </c>
      <c r="S156" s="25" t="n"/>
    </row>
    <row r="157" ht="25" customHeight="1">
      <c r="A157" s="25">
        <f>IF($B157="","","CA-"&amp;TEXT(ROW()-4,"0000"))</f>
        <v/>
      </c>
      <c r="B157" s="141" t="n"/>
      <c r="C157" s="25" t="n"/>
      <c r="D157" s="25" t="n"/>
      <c r="E157" s="25" t="n"/>
      <c r="F157" s="25" t="n"/>
      <c r="G157" s="25" t="n"/>
      <c r="H157" s="25" t="n"/>
      <c r="I157" s="28" t="n"/>
      <c r="J157" s="28" t="n"/>
      <c r="K157" s="28" t="n"/>
      <c r="L157" s="25" t="n"/>
      <c r="M157" s="141" t="n"/>
      <c r="N157" s="25" t="n"/>
      <c r="O157" s="141" t="n"/>
      <c r="P157" s="25" t="n"/>
      <c r="Q157" s="139">
        <f>IF($M157="","",IF(OR($N157="已完成",$N157="已关闭"),IF($O157="",0,MAX(0,$O157-$M157)),MAX(0,TODAY()-$M157)))</f>
        <v/>
      </c>
      <c r="R157" s="139">
        <f>IF(AND($B157&lt;&gt;"",$O157&lt;&gt;""),$O157-$B157,"")</f>
        <v/>
      </c>
      <c r="S157" s="25" t="n"/>
    </row>
    <row r="158" ht="25" customHeight="1">
      <c r="A158" s="25">
        <f>IF($B158="","","CA-"&amp;TEXT(ROW()-4,"0000"))</f>
        <v/>
      </c>
      <c r="B158" s="141" t="n"/>
      <c r="C158" s="25" t="n"/>
      <c r="D158" s="25" t="n"/>
      <c r="E158" s="25" t="n"/>
      <c r="F158" s="25" t="n"/>
      <c r="G158" s="25" t="n"/>
      <c r="H158" s="25" t="n"/>
      <c r="I158" s="28" t="n"/>
      <c r="J158" s="28" t="n"/>
      <c r="K158" s="28" t="n"/>
      <c r="L158" s="25" t="n"/>
      <c r="M158" s="141" t="n"/>
      <c r="N158" s="25" t="n"/>
      <c r="O158" s="141" t="n"/>
      <c r="P158" s="25" t="n"/>
      <c r="Q158" s="139">
        <f>IF($M158="","",IF(OR($N158="已完成",$N158="已关闭"),IF($O158="",0,MAX(0,$O158-$M158)),MAX(0,TODAY()-$M158)))</f>
        <v/>
      </c>
      <c r="R158" s="139">
        <f>IF(AND($B158&lt;&gt;"",$O158&lt;&gt;""),$O158-$B158,"")</f>
        <v/>
      </c>
      <c r="S158" s="25" t="n"/>
    </row>
    <row r="159" ht="25" customHeight="1">
      <c r="A159" s="25">
        <f>IF($B159="","","CA-"&amp;TEXT(ROW()-4,"0000"))</f>
        <v/>
      </c>
      <c r="B159" s="141" t="n"/>
      <c r="C159" s="25" t="n"/>
      <c r="D159" s="25" t="n"/>
      <c r="E159" s="25" t="n"/>
      <c r="F159" s="25" t="n"/>
      <c r="G159" s="25" t="n"/>
      <c r="H159" s="25" t="n"/>
      <c r="I159" s="28" t="n"/>
      <c r="J159" s="28" t="n"/>
      <c r="K159" s="28" t="n"/>
      <c r="L159" s="25" t="n"/>
      <c r="M159" s="141" t="n"/>
      <c r="N159" s="25" t="n"/>
      <c r="O159" s="141" t="n"/>
      <c r="P159" s="25" t="n"/>
      <c r="Q159" s="139">
        <f>IF($M159="","",IF(OR($N159="已完成",$N159="已关闭"),IF($O159="",0,MAX(0,$O159-$M159)),MAX(0,TODAY()-$M159)))</f>
        <v/>
      </c>
      <c r="R159" s="139">
        <f>IF(AND($B159&lt;&gt;"",$O159&lt;&gt;""),$O159-$B159,"")</f>
        <v/>
      </c>
      <c r="S159" s="25" t="n"/>
    </row>
    <row r="160" ht="25" customHeight="1">
      <c r="A160" s="25">
        <f>IF($B160="","","CA-"&amp;TEXT(ROW()-4,"0000"))</f>
        <v/>
      </c>
      <c r="B160" s="141" t="n"/>
      <c r="C160" s="25" t="n"/>
      <c r="D160" s="25" t="n"/>
      <c r="E160" s="25" t="n"/>
      <c r="F160" s="25" t="n"/>
      <c r="G160" s="25" t="n"/>
      <c r="H160" s="25" t="n"/>
      <c r="I160" s="28" t="n"/>
      <c r="J160" s="28" t="n"/>
      <c r="K160" s="28" t="n"/>
      <c r="L160" s="25" t="n"/>
      <c r="M160" s="141" t="n"/>
      <c r="N160" s="25" t="n"/>
      <c r="O160" s="141" t="n"/>
      <c r="P160" s="25" t="n"/>
      <c r="Q160" s="139">
        <f>IF($M160="","",IF(OR($N160="已完成",$N160="已关闭"),IF($O160="",0,MAX(0,$O160-$M160)),MAX(0,TODAY()-$M160)))</f>
        <v/>
      </c>
      <c r="R160" s="139">
        <f>IF(AND($B160&lt;&gt;"",$O160&lt;&gt;""),$O160-$B160,"")</f>
        <v/>
      </c>
      <c r="S160" s="25" t="n"/>
    </row>
    <row r="161" ht="25" customHeight="1">
      <c r="A161" s="25">
        <f>IF($B161="","","CA-"&amp;TEXT(ROW()-4,"0000"))</f>
        <v/>
      </c>
      <c r="B161" s="141" t="n"/>
      <c r="C161" s="25" t="n"/>
      <c r="D161" s="25" t="n"/>
      <c r="E161" s="25" t="n"/>
      <c r="F161" s="25" t="n"/>
      <c r="G161" s="25" t="n"/>
      <c r="H161" s="25" t="n"/>
      <c r="I161" s="28" t="n"/>
      <c r="J161" s="28" t="n"/>
      <c r="K161" s="28" t="n"/>
      <c r="L161" s="25" t="n"/>
      <c r="M161" s="141" t="n"/>
      <c r="N161" s="25" t="n"/>
      <c r="O161" s="141" t="n"/>
      <c r="P161" s="25" t="n"/>
      <c r="Q161" s="139">
        <f>IF($M161="","",IF(OR($N161="已完成",$N161="已关闭"),IF($O161="",0,MAX(0,$O161-$M161)),MAX(0,TODAY()-$M161)))</f>
        <v/>
      </c>
      <c r="R161" s="139">
        <f>IF(AND($B161&lt;&gt;"",$O161&lt;&gt;""),$O161-$B161,"")</f>
        <v/>
      </c>
      <c r="S161" s="25" t="n"/>
    </row>
    <row r="162" ht="25" customHeight="1">
      <c r="A162" s="25">
        <f>IF($B162="","","CA-"&amp;TEXT(ROW()-4,"0000"))</f>
        <v/>
      </c>
      <c r="B162" s="141" t="n"/>
      <c r="C162" s="25" t="n"/>
      <c r="D162" s="25" t="n"/>
      <c r="E162" s="25" t="n"/>
      <c r="F162" s="25" t="n"/>
      <c r="G162" s="25" t="n"/>
      <c r="H162" s="25" t="n"/>
      <c r="I162" s="28" t="n"/>
      <c r="J162" s="28" t="n"/>
      <c r="K162" s="28" t="n"/>
      <c r="L162" s="25" t="n"/>
      <c r="M162" s="141" t="n"/>
      <c r="N162" s="25" t="n"/>
      <c r="O162" s="141" t="n"/>
      <c r="P162" s="25" t="n"/>
      <c r="Q162" s="139">
        <f>IF($M162="","",IF(OR($N162="已完成",$N162="已关闭"),IF($O162="",0,MAX(0,$O162-$M162)),MAX(0,TODAY()-$M162)))</f>
        <v/>
      </c>
      <c r="R162" s="139">
        <f>IF(AND($B162&lt;&gt;"",$O162&lt;&gt;""),$O162-$B162,"")</f>
        <v/>
      </c>
      <c r="S162" s="25" t="n"/>
    </row>
    <row r="163" ht="25" customHeight="1">
      <c r="A163" s="25">
        <f>IF($B163="","","CA-"&amp;TEXT(ROW()-4,"0000"))</f>
        <v/>
      </c>
      <c r="B163" s="141" t="n"/>
      <c r="C163" s="25" t="n"/>
      <c r="D163" s="25" t="n"/>
      <c r="E163" s="25" t="n"/>
      <c r="F163" s="25" t="n"/>
      <c r="G163" s="25" t="n"/>
      <c r="H163" s="25" t="n"/>
      <c r="I163" s="28" t="n"/>
      <c r="J163" s="28" t="n"/>
      <c r="K163" s="28" t="n"/>
      <c r="L163" s="25" t="n"/>
      <c r="M163" s="141" t="n"/>
      <c r="N163" s="25" t="n"/>
      <c r="O163" s="141" t="n"/>
      <c r="P163" s="25" t="n"/>
      <c r="Q163" s="139">
        <f>IF($M163="","",IF(OR($N163="已完成",$N163="已关闭"),IF($O163="",0,MAX(0,$O163-$M163)),MAX(0,TODAY()-$M163)))</f>
        <v/>
      </c>
      <c r="R163" s="139">
        <f>IF(AND($B163&lt;&gt;"",$O163&lt;&gt;""),$O163-$B163,"")</f>
        <v/>
      </c>
      <c r="S163" s="25" t="n"/>
    </row>
    <row r="164" ht="25" customHeight="1">
      <c r="A164" s="25">
        <f>IF($B164="","","CA-"&amp;TEXT(ROW()-4,"0000"))</f>
        <v/>
      </c>
      <c r="B164" s="141" t="n"/>
      <c r="C164" s="25" t="n"/>
      <c r="D164" s="25" t="n"/>
      <c r="E164" s="25" t="n"/>
      <c r="F164" s="25" t="n"/>
      <c r="G164" s="25" t="n"/>
      <c r="H164" s="25" t="n"/>
      <c r="I164" s="28" t="n"/>
      <c r="J164" s="28" t="n"/>
      <c r="K164" s="28" t="n"/>
      <c r="L164" s="25" t="n"/>
      <c r="M164" s="141" t="n"/>
      <c r="N164" s="25" t="n"/>
      <c r="O164" s="141" t="n"/>
      <c r="P164" s="25" t="n"/>
      <c r="Q164" s="139">
        <f>IF($M164="","",IF(OR($N164="已完成",$N164="已关闭"),IF($O164="",0,MAX(0,$O164-$M164)),MAX(0,TODAY()-$M164)))</f>
        <v/>
      </c>
      <c r="R164" s="139">
        <f>IF(AND($B164&lt;&gt;"",$O164&lt;&gt;""),$O164-$B164,"")</f>
        <v/>
      </c>
      <c r="S164" s="25" t="n"/>
    </row>
    <row r="165" ht="25" customHeight="1">
      <c r="A165" s="25">
        <f>IF($B165="","","CA-"&amp;TEXT(ROW()-4,"0000"))</f>
        <v/>
      </c>
      <c r="B165" s="141" t="n"/>
      <c r="C165" s="25" t="n"/>
      <c r="D165" s="25" t="n"/>
      <c r="E165" s="25" t="n"/>
      <c r="F165" s="25" t="n"/>
      <c r="G165" s="25" t="n"/>
      <c r="H165" s="25" t="n"/>
      <c r="I165" s="28" t="n"/>
      <c r="J165" s="28" t="n"/>
      <c r="K165" s="28" t="n"/>
      <c r="L165" s="25" t="n"/>
      <c r="M165" s="141" t="n"/>
      <c r="N165" s="25" t="n"/>
      <c r="O165" s="141" t="n"/>
      <c r="P165" s="25" t="n"/>
      <c r="Q165" s="139">
        <f>IF($M165="","",IF(OR($N165="已完成",$N165="已关闭"),IF($O165="",0,MAX(0,$O165-$M165)),MAX(0,TODAY()-$M165)))</f>
        <v/>
      </c>
      <c r="R165" s="139">
        <f>IF(AND($B165&lt;&gt;"",$O165&lt;&gt;""),$O165-$B165,"")</f>
        <v/>
      </c>
      <c r="S165" s="25" t="n"/>
    </row>
    <row r="166" ht="25" customHeight="1">
      <c r="A166" s="25">
        <f>IF($B166="","","CA-"&amp;TEXT(ROW()-4,"0000"))</f>
        <v/>
      </c>
      <c r="B166" s="141" t="n"/>
      <c r="C166" s="25" t="n"/>
      <c r="D166" s="25" t="n"/>
      <c r="E166" s="25" t="n"/>
      <c r="F166" s="25" t="n"/>
      <c r="G166" s="25" t="n"/>
      <c r="H166" s="25" t="n"/>
      <c r="I166" s="28" t="n"/>
      <c r="J166" s="28" t="n"/>
      <c r="K166" s="28" t="n"/>
      <c r="L166" s="25" t="n"/>
      <c r="M166" s="141" t="n"/>
      <c r="N166" s="25" t="n"/>
      <c r="O166" s="141" t="n"/>
      <c r="P166" s="25" t="n"/>
      <c r="Q166" s="139">
        <f>IF($M166="","",IF(OR($N166="已完成",$N166="已关闭"),IF($O166="",0,MAX(0,$O166-$M166)),MAX(0,TODAY()-$M166)))</f>
        <v/>
      </c>
      <c r="R166" s="139">
        <f>IF(AND($B166&lt;&gt;"",$O166&lt;&gt;""),$O166-$B166,"")</f>
        <v/>
      </c>
      <c r="S166" s="25" t="n"/>
    </row>
    <row r="167" ht="25" customHeight="1">
      <c r="A167" s="25">
        <f>IF($B167="","","CA-"&amp;TEXT(ROW()-4,"0000"))</f>
        <v/>
      </c>
      <c r="B167" s="141" t="n"/>
      <c r="C167" s="25" t="n"/>
      <c r="D167" s="25" t="n"/>
      <c r="E167" s="25" t="n"/>
      <c r="F167" s="25" t="n"/>
      <c r="G167" s="25" t="n"/>
      <c r="H167" s="25" t="n"/>
      <c r="I167" s="28" t="n"/>
      <c r="J167" s="28" t="n"/>
      <c r="K167" s="28" t="n"/>
      <c r="L167" s="25" t="n"/>
      <c r="M167" s="141" t="n"/>
      <c r="N167" s="25" t="n"/>
      <c r="O167" s="141" t="n"/>
      <c r="P167" s="25" t="n"/>
      <c r="Q167" s="139">
        <f>IF($M167="","",IF(OR($N167="已完成",$N167="已关闭"),IF($O167="",0,MAX(0,$O167-$M167)),MAX(0,TODAY()-$M167)))</f>
        <v/>
      </c>
      <c r="R167" s="139">
        <f>IF(AND($B167&lt;&gt;"",$O167&lt;&gt;""),$O167-$B167,"")</f>
        <v/>
      </c>
      <c r="S167" s="25" t="n"/>
    </row>
    <row r="168" ht="25" customHeight="1">
      <c r="A168" s="25">
        <f>IF($B168="","","CA-"&amp;TEXT(ROW()-4,"0000"))</f>
        <v/>
      </c>
      <c r="B168" s="141" t="n"/>
      <c r="C168" s="25" t="n"/>
      <c r="D168" s="25" t="n"/>
      <c r="E168" s="25" t="n"/>
      <c r="F168" s="25" t="n"/>
      <c r="G168" s="25" t="n"/>
      <c r="H168" s="25" t="n"/>
      <c r="I168" s="28" t="n"/>
      <c r="J168" s="28" t="n"/>
      <c r="K168" s="28" t="n"/>
      <c r="L168" s="25" t="n"/>
      <c r="M168" s="141" t="n"/>
      <c r="N168" s="25" t="n"/>
      <c r="O168" s="141" t="n"/>
      <c r="P168" s="25" t="n"/>
      <c r="Q168" s="139">
        <f>IF($M168="","",IF(OR($N168="已完成",$N168="已关闭"),IF($O168="",0,MAX(0,$O168-$M168)),MAX(0,TODAY()-$M168)))</f>
        <v/>
      </c>
      <c r="R168" s="139">
        <f>IF(AND($B168&lt;&gt;"",$O168&lt;&gt;""),$O168-$B168,"")</f>
        <v/>
      </c>
      <c r="S168" s="25" t="n"/>
    </row>
    <row r="169" ht="25" customHeight="1">
      <c r="A169" s="25">
        <f>IF($B169="","","CA-"&amp;TEXT(ROW()-4,"0000"))</f>
        <v/>
      </c>
      <c r="B169" s="141" t="n"/>
      <c r="C169" s="25" t="n"/>
      <c r="D169" s="25" t="n"/>
      <c r="E169" s="25" t="n"/>
      <c r="F169" s="25" t="n"/>
      <c r="G169" s="25" t="n"/>
      <c r="H169" s="25" t="n"/>
      <c r="I169" s="28" t="n"/>
      <c r="J169" s="28" t="n"/>
      <c r="K169" s="28" t="n"/>
      <c r="L169" s="25" t="n"/>
      <c r="M169" s="141" t="n"/>
      <c r="N169" s="25" t="n"/>
      <c r="O169" s="141" t="n"/>
      <c r="P169" s="25" t="n"/>
      <c r="Q169" s="139">
        <f>IF($M169="","",IF(OR($N169="已完成",$N169="已关闭"),IF($O169="",0,MAX(0,$O169-$M169)),MAX(0,TODAY()-$M169)))</f>
        <v/>
      </c>
      <c r="R169" s="139">
        <f>IF(AND($B169&lt;&gt;"",$O169&lt;&gt;""),$O169-$B169,"")</f>
        <v/>
      </c>
      <c r="S169" s="25" t="n"/>
    </row>
    <row r="170" ht="25" customHeight="1">
      <c r="A170" s="25">
        <f>IF($B170="","","CA-"&amp;TEXT(ROW()-4,"0000"))</f>
        <v/>
      </c>
      <c r="B170" s="141" t="n"/>
      <c r="C170" s="25" t="n"/>
      <c r="D170" s="25" t="n"/>
      <c r="E170" s="25" t="n"/>
      <c r="F170" s="25" t="n"/>
      <c r="G170" s="25" t="n"/>
      <c r="H170" s="25" t="n"/>
      <c r="I170" s="28" t="n"/>
      <c r="J170" s="28" t="n"/>
      <c r="K170" s="28" t="n"/>
      <c r="L170" s="25" t="n"/>
      <c r="M170" s="141" t="n"/>
      <c r="N170" s="25" t="n"/>
      <c r="O170" s="141" t="n"/>
      <c r="P170" s="25" t="n"/>
      <c r="Q170" s="139">
        <f>IF($M170="","",IF(OR($N170="已完成",$N170="已关闭"),IF($O170="",0,MAX(0,$O170-$M170)),MAX(0,TODAY()-$M170)))</f>
        <v/>
      </c>
      <c r="R170" s="139">
        <f>IF(AND($B170&lt;&gt;"",$O170&lt;&gt;""),$O170-$B170,"")</f>
        <v/>
      </c>
      <c r="S170" s="25" t="n"/>
    </row>
    <row r="171" ht="25" customHeight="1">
      <c r="A171" s="25">
        <f>IF($B171="","","CA-"&amp;TEXT(ROW()-4,"0000"))</f>
        <v/>
      </c>
      <c r="B171" s="141" t="n"/>
      <c r="C171" s="25" t="n"/>
      <c r="D171" s="25" t="n"/>
      <c r="E171" s="25" t="n"/>
      <c r="F171" s="25" t="n"/>
      <c r="G171" s="25" t="n"/>
      <c r="H171" s="25" t="n"/>
      <c r="I171" s="28" t="n"/>
      <c r="J171" s="28" t="n"/>
      <c r="K171" s="28" t="n"/>
      <c r="L171" s="25" t="n"/>
      <c r="M171" s="141" t="n"/>
      <c r="N171" s="25" t="n"/>
      <c r="O171" s="141" t="n"/>
      <c r="P171" s="25" t="n"/>
      <c r="Q171" s="139">
        <f>IF($M171="","",IF(OR($N171="已完成",$N171="已关闭"),IF($O171="",0,MAX(0,$O171-$M171)),MAX(0,TODAY()-$M171)))</f>
        <v/>
      </c>
      <c r="R171" s="139">
        <f>IF(AND($B171&lt;&gt;"",$O171&lt;&gt;""),$O171-$B171,"")</f>
        <v/>
      </c>
      <c r="S171" s="25" t="n"/>
    </row>
    <row r="172" ht="25" customHeight="1">
      <c r="A172" s="25">
        <f>IF($B172="","","CA-"&amp;TEXT(ROW()-4,"0000"))</f>
        <v/>
      </c>
      <c r="B172" s="141" t="n"/>
      <c r="C172" s="25" t="n"/>
      <c r="D172" s="25" t="n"/>
      <c r="E172" s="25" t="n"/>
      <c r="F172" s="25" t="n"/>
      <c r="G172" s="25" t="n"/>
      <c r="H172" s="25" t="n"/>
      <c r="I172" s="28" t="n"/>
      <c r="J172" s="28" t="n"/>
      <c r="K172" s="28" t="n"/>
      <c r="L172" s="25" t="n"/>
      <c r="M172" s="141" t="n"/>
      <c r="N172" s="25" t="n"/>
      <c r="O172" s="141" t="n"/>
      <c r="P172" s="25" t="n"/>
      <c r="Q172" s="139">
        <f>IF($M172="","",IF(OR($N172="已完成",$N172="已关闭"),IF($O172="",0,MAX(0,$O172-$M172)),MAX(0,TODAY()-$M172)))</f>
        <v/>
      </c>
      <c r="R172" s="139">
        <f>IF(AND($B172&lt;&gt;"",$O172&lt;&gt;""),$O172-$B172,"")</f>
        <v/>
      </c>
      <c r="S172" s="25" t="n"/>
    </row>
    <row r="173" ht="25" customHeight="1">
      <c r="A173" s="25">
        <f>IF($B173="","","CA-"&amp;TEXT(ROW()-4,"0000"))</f>
        <v/>
      </c>
      <c r="B173" s="141" t="n"/>
      <c r="C173" s="25" t="n"/>
      <c r="D173" s="25" t="n"/>
      <c r="E173" s="25" t="n"/>
      <c r="F173" s="25" t="n"/>
      <c r="G173" s="25" t="n"/>
      <c r="H173" s="25" t="n"/>
      <c r="I173" s="28" t="n"/>
      <c r="J173" s="28" t="n"/>
      <c r="K173" s="28" t="n"/>
      <c r="L173" s="25" t="n"/>
      <c r="M173" s="141" t="n"/>
      <c r="N173" s="25" t="n"/>
      <c r="O173" s="141" t="n"/>
      <c r="P173" s="25" t="n"/>
      <c r="Q173" s="139">
        <f>IF($M173="","",IF(OR($N173="已完成",$N173="已关闭"),IF($O173="",0,MAX(0,$O173-$M173)),MAX(0,TODAY()-$M173)))</f>
        <v/>
      </c>
      <c r="R173" s="139">
        <f>IF(AND($B173&lt;&gt;"",$O173&lt;&gt;""),$O173-$B173,"")</f>
        <v/>
      </c>
      <c r="S173" s="25" t="n"/>
    </row>
    <row r="174" ht="25" customHeight="1">
      <c r="A174" s="25">
        <f>IF($B174="","","CA-"&amp;TEXT(ROW()-4,"0000"))</f>
        <v/>
      </c>
      <c r="B174" s="141" t="n"/>
      <c r="C174" s="25" t="n"/>
      <c r="D174" s="25" t="n"/>
      <c r="E174" s="25" t="n"/>
      <c r="F174" s="25" t="n"/>
      <c r="G174" s="25" t="n"/>
      <c r="H174" s="25" t="n"/>
      <c r="I174" s="28" t="n"/>
      <c r="J174" s="28" t="n"/>
      <c r="K174" s="28" t="n"/>
      <c r="L174" s="25" t="n"/>
      <c r="M174" s="141" t="n"/>
      <c r="N174" s="25" t="n"/>
      <c r="O174" s="141" t="n"/>
      <c r="P174" s="25" t="n"/>
      <c r="Q174" s="139">
        <f>IF($M174="","",IF(OR($N174="已完成",$N174="已关闭"),IF($O174="",0,MAX(0,$O174-$M174)),MAX(0,TODAY()-$M174)))</f>
        <v/>
      </c>
      <c r="R174" s="139">
        <f>IF(AND($B174&lt;&gt;"",$O174&lt;&gt;""),$O174-$B174,"")</f>
        <v/>
      </c>
      <c r="S174" s="25" t="n"/>
    </row>
    <row r="175" ht="25" customHeight="1">
      <c r="A175" s="25">
        <f>IF($B175="","","CA-"&amp;TEXT(ROW()-4,"0000"))</f>
        <v/>
      </c>
      <c r="B175" s="141" t="n"/>
      <c r="C175" s="25" t="n"/>
      <c r="D175" s="25" t="n"/>
      <c r="E175" s="25" t="n"/>
      <c r="F175" s="25" t="n"/>
      <c r="G175" s="25" t="n"/>
      <c r="H175" s="25" t="n"/>
      <c r="I175" s="28" t="n"/>
      <c r="J175" s="28" t="n"/>
      <c r="K175" s="28" t="n"/>
      <c r="L175" s="25" t="n"/>
      <c r="M175" s="141" t="n"/>
      <c r="N175" s="25" t="n"/>
      <c r="O175" s="141" t="n"/>
      <c r="P175" s="25" t="n"/>
      <c r="Q175" s="139">
        <f>IF($M175="","",IF(OR($N175="已完成",$N175="已关闭"),IF($O175="",0,MAX(0,$O175-$M175)),MAX(0,TODAY()-$M175)))</f>
        <v/>
      </c>
      <c r="R175" s="139">
        <f>IF(AND($B175&lt;&gt;"",$O175&lt;&gt;""),$O175-$B175,"")</f>
        <v/>
      </c>
      <c r="S175" s="25" t="n"/>
    </row>
    <row r="176" ht="25" customHeight="1">
      <c r="A176" s="25">
        <f>IF($B176="","","CA-"&amp;TEXT(ROW()-4,"0000"))</f>
        <v/>
      </c>
      <c r="B176" s="141" t="n"/>
      <c r="C176" s="25" t="n"/>
      <c r="D176" s="25" t="n"/>
      <c r="E176" s="25" t="n"/>
      <c r="F176" s="25" t="n"/>
      <c r="G176" s="25" t="n"/>
      <c r="H176" s="25" t="n"/>
      <c r="I176" s="28" t="n"/>
      <c r="J176" s="28" t="n"/>
      <c r="K176" s="28" t="n"/>
      <c r="L176" s="25" t="n"/>
      <c r="M176" s="141" t="n"/>
      <c r="N176" s="25" t="n"/>
      <c r="O176" s="141" t="n"/>
      <c r="P176" s="25" t="n"/>
      <c r="Q176" s="139">
        <f>IF($M176="","",IF(OR($N176="已完成",$N176="已关闭"),IF($O176="",0,MAX(0,$O176-$M176)),MAX(0,TODAY()-$M176)))</f>
        <v/>
      </c>
      <c r="R176" s="139">
        <f>IF(AND($B176&lt;&gt;"",$O176&lt;&gt;""),$O176-$B176,"")</f>
        <v/>
      </c>
      <c r="S176" s="25" t="n"/>
    </row>
    <row r="177" ht="25" customHeight="1">
      <c r="A177" s="25">
        <f>IF($B177="","","CA-"&amp;TEXT(ROW()-4,"0000"))</f>
        <v/>
      </c>
      <c r="B177" s="141" t="n"/>
      <c r="C177" s="25" t="n"/>
      <c r="D177" s="25" t="n"/>
      <c r="E177" s="25" t="n"/>
      <c r="F177" s="25" t="n"/>
      <c r="G177" s="25" t="n"/>
      <c r="H177" s="25" t="n"/>
      <c r="I177" s="28" t="n"/>
      <c r="J177" s="28" t="n"/>
      <c r="K177" s="28" t="n"/>
      <c r="L177" s="25" t="n"/>
      <c r="M177" s="141" t="n"/>
      <c r="N177" s="25" t="n"/>
      <c r="O177" s="141" t="n"/>
      <c r="P177" s="25" t="n"/>
      <c r="Q177" s="139">
        <f>IF($M177="","",IF(OR($N177="已完成",$N177="已关闭"),IF($O177="",0,MAX(0,$O177-$M177)),MAX(0,TODAY()-$M177)))</f>
        <v/>
      </c>
      <c r="R177" s="139">
        <f>IF(AND($B177&lt;&gt;"",$O177&lt;&gt;""),$O177-$B177,"")</f>
        <v/>
      </c>
      <c r="S177" s="25" t="n"/>
    </row>
    <row r="178" ht="25" customHeight="1">
      <c r="A178" s="25">
        <f>IF($B178="","","CA-"&amp;TEXT(ROW()-4,"0000"))</f>
        <v/>
      </c>
      <c r="B178" s="141" t="n"/>
      <c r="C178" s="25" t="n"/>
      <c r="D178" s="25" t="n"/>
      <c r="E178" s="25" t="n"/>
      <c r="F178" s="25" t="n"/>
      <c r="G178" s="25" t="n"/>
      <c r="H178" s="25" t="n"/>
      <c r="I178" s="28" t="n"/>
      <c r="J178" s="28" t="n"/>
      <c r="K178" s="28" t="n"/>
      <c r="L178" s="25" t="n"/>
      <c r="M178" s="141" t="n"/>
      <c r="N178" s="25" t="n"/>
      <c r="O178" s="141" t="n"/>
      <c r="P178" s="25" t="n"/>
      <c r="Q178" s="139">
        <f>IF($M178="","",IF(OR($N178="已完成",$N178="已关闭"),IF($O178="",0,MAX(0,$O178-$M178)),MAX(0,TODAY()-$M178)))</f>
        <v/>
      </c>
      <c r="R178" s="139">
        <f>IF(AND($B178&lt;&gt;"",$O178&lt;&gt;""),$O178-$B178,"")</f>
        <v/>
      </c>
      <c r="S178" s="25" t="n"/>
    </row>
    <row r="179" ht="25" customHeight="1">
      <c r="A179" s="25">
        <f>IF($B179="","","CA-"&amp;TEXT(ROW()-4,"0000"))</f>
        <v/>
      </c>
      <c r="B179" s="141" t="n"/>
      <c r="C179" s="25" t="n"/>
      <c r="D179" s="25" t="n"/>
      <c r="E179" s="25" t="n"/>
      <c r="F179" s="25" t="n"/>
      <c r="G179" s="25" t="n"/>
      <c r="H179" s="25" t="n"/>
      <c r="I179" s="28" t="n"/>
      <c r="J179" s="28" t="n"/>
      <c r="K179" s="28" t="n"/>
      <c r="L179" s="25" t="n"/>
      <c r="M179" s="141" t="n"/>
      <c r="N179" s="25" t="n"/>
      <c r="O179" s="141" t="n"/>
      <c r="P179" s="25" t="n"/>
      <c r="Q179" s="139">
        <f>IF($M179="","",IF(OR($N179="已完成",$N179="已关闭"),IF($O179="",0,MAX(0,$O179-$M179)),MAX(0,TODAY()-$M179)))</f>
        <v/>
      </c>
      <c r="R179" s="139">
        <f>IF(AND($B179&lt;&gt;"",$O179&lt;&gt;""),$O179-$B179,"")</f>
        <v/>
      </c>
      <c r="S179" s="25" t="n"/>
    </row>
    <row r="180" ht="25" customHeight="1">
      <c r="A180" s="25">
        <f>IF($B180="","","CA-"&amp;TEXT(ROW()-4,"0000"))</f>
        <v/>
      </c>
      <c r="B180" s="141" t="n"/>
      <c r="C180" s="25" t="n"/>
      <c r="D180" s="25" t="n"/>
      <c r="E180" s="25" t="n"/>
      <c r="F180" s="25" t="n"/>
      <c r="G180" s="25" t="n"/>
      <c r="H180" s="25" t="n"/>
      <c r="I180" s="28" t="n"/>
      <c r="J180" s="28" t="n"/>
      <c r="K180" s="28" t="n"/>
      <c r="L180" s="25" t="n"/>
      <c r="M180" s="141" t="n"/>
      <c r="N180" s="25" t="n"/>
      <c r="O180" s="141" t="n"/>
      <c r="P180" s="25" t="n"/>
      <c r="Q180" s="139">
        <f>IF($M180="","",IF(OR($N180="已完成",$N180="已关闭"),IF($O180="",0,MAX(0,$O180-$M180)),MAX(0,TODAY()-$M180)))</f>
        <v/>
      </c>
      <c r="R180" s="139">
        <f>IF(AND($B180&lt;&gt;"",$O180&lt;&gt;""),$O180-$B180,"")</f>
        <v/>
      </c>
      <c r="S180" s="25" t="n"/>
    </row>
    <row r="181" ht="25" customHeight="1">
      <c r="A181" s="25">
        <f>IF($B181="","","CA-"&amp;TEXT(ROW()-4,"0000"))</f>
        <v/>
      </c>
      <c r="B181" s="141" t="n"/>
      <c r="C181" s="25" t="n"/>
      <c r="D181" s="25" t="n"/>
      <c r="E181" s="25" t="n"/>
      <c r="F181" s="25" t="n"/>
      <c r="G181" s="25" t="n"/>
      <c r="H181" s="25" t="n"/>
      <c r="I181" s="28" t="n"/>
      <c r="J181" s="28" t="n"/>
      <c r="K181" s="28" t="n"/>
      <c r="L181" s="25" t="n"/>
      <c r="M181" s="141" t="n"/>
      <c r="N181" s="25" t="n"/>
      <c r="O181" s="141" t="n"/>
      <c r="P181" s="25" t="n"/>
      <c r="Q181" s="139">
        <f>IF($M181="","",IF(OR($N181="已完成",$N181="已关闭"),IF($O181="",0,MAX(0,$O181-$M181)),MAX(0,TODAY()-$M181)))</f>
        <v/>
      </c>
      <c r="R181" s="139">
        <f>IF(AND($B181&lt;&gt;"",$O181&lt;&gt;""),$O181-$B181,"")</f>
        <v/>
      </c>
      <c r="S181" s="25" t="n"/>
    </row>
    <row r="182" ht="25" customHeight="1">
      <c r="A182" s="25">
        <f>IF($B182="","","CA-"&amp;TEXT(ROW()-4,"0000"))</f>
        <v/>
      </c>
      <c r="B182" s="141" t="n"/>
      <c r="C182" s="25" t="n"/>
      <c r="D182" s="25" t="n"/>
      <c r="E182" s="25" t="n"/>
      <c r="F182" s="25" t="n"/>
      <c r="G182" s="25" t="n"/>
      <c r="H182" s="25" t="n"/>
      <c r="I182" s="28" t="n"/>
      <c r="J182" s="28" t="n"/>
      <c r="K182" s="28" t="n"/>
      <c r="L182" s="25" t="n"/>
      <c r="M182" s="141" t="n"/>
      <c r="N182" s="25" t="n"/>
      <c r="O182" s="141" t="n"/>
      <c r="P182" s="25" t="n"/>
      <c r="Q182" s="139">
        <f>IF($M182="","",IF(OR($N182="已完成",$N182="已关闭"),IF($O182="",0,MAX(0,$O182-$M182)),MAX(0,TODAY()-$M182)))</f>
        <v/>
      </c>
      <c r="R182" s="139">
        <f>IF(AND($B182&lt;&gt;"",$O182&lt;&gt;""),$O182-$B182,"")</f>
        <v/>
      </c>
      <c r="S182" s="25" t="n"/>
    </row>
    <row r="183" ht="25" customHeight="1">
      <c r="A183" s="25">
        <f>IF($B183="","","CA-"&amp;TEXT(ROW()-4,"0000"))</f>
        <v/>
      </c>
      <c r="B183" s="141" t="n"/>
      <c r="C183" s="25" t="n"/>
      <c r="D183" s="25" t="n"/>
      <c r="E183" s="25" t="n"/>
      <c r="F183" s="25" t="n"/>
      <c r="G183" s="25" t="n"/>
      <c r="H183" s="25" t="n"/>
      <c r="I183" s="28" t="n"/>
      <c r="J183" s="28" t="n"/>
      <c r="K183" s="28" t="n"/>
      <c r="L183" s="25" t="n"/>
      <c r="M183" s="141" t="n"/>
      <c r="N183" s="25" t="n"/>
      <c r="O183" s="141" t="n"/>
      <c r="P183" s="25" t="n"/>
      <c r="Q183" s="139">
        <f>IF($M183="","",IF(OR($N183="已完成",$N183="已关闭"),IF($O183="",0,MAX(0,$O183-$M183)),MAX(0,TODAY()-$M183)))</f>
        <v/>
      </c>
      <c r="R183" s="139">
        <f>IF(AND($B183&lt;&gt;"",$O183&lt;&gt;""),$O183-$B183,"")</f>
        <v/>
      </c>
      <c r="S183" s="25" t="n"/>
    </row>
    <row r="184" ht="25" customHeight="1">
      <c r="A184" s="25">
        <f>IF($B184="","","CA-"&amp;TEXT(ROW()-4,"0000"))</f>
        <v/>
      </c>
      <c r="B184" s="141" t="n"/>
      <c r="C184" s="25" t="n"/>
      <c r="D184" s="25" t="n"/>
      <c r="E184" s="25" t="n"/>
      <c r="F184" s="25" t="n"/>
      <c r="G184" s="25" t="n"/>
      <c r="H184" s="25" t="n"/>
      <c r="I184" s="28" t="n"/>
      <c r="J184" s="28" t="n"/>
      <c r="K184" s="28" t="n"/>
      <c r="L184" s="25" t="n"/>
      <c r="M184" s="141" t="n"/>
      <c r="N184" s="25" t="n"/>
      <c r="O184" s="141" t="n"/>
      <c r="P184" s="25" t="n"/>
      <c r="Q184" s="139">
        <f>IF($M184="","",IF(OR($N184="已完成",$N184="已关闭"),IF($O184="",0,MAX(0,$O184-$M184)),MAX(0,TODAY()-$M184)))</f>
        <v/>
      </c>
      <c r="R184" s="139">
        <f>IF(AND($B184&lt;&gt;"",$O184&lt;&gt;""),$O184-$B184,"")</f>
        <v/>
      </c>
      <c r="S184" s="25" t="n"/>
    </row>
    <row r="185" ht="25" customHeight="1">
      <c r="A185" s="25">
        <f>IF($B185="","","CA-"&amp;TEXT(ROW()-4,"0000"))</f>
        <v/>
      </c>
      <c r="B185" s="141" t="n"/>
      <c r="C185" s="25" t="n"/>
      <c r="D185" s="25" t="n"/>
      <c r="E185" s="25" t="n"/>
      <c r="F185" s="25" t="n"/>
      <c r="G185" s="25" t="n"/>
      <c r="H185" s="25" t="n"/>
      <c r="I185" s="28" t="n"/>
      <c r="J185" s="28" t="n"/>
      <c r="K185" s="28" t="n"/>
      <c r="L185" s="25" t="n"/>
      <c r="M185" s="141" t="n"/>
      <c r="N185" s="25" t="n"/>
      <c r="O185" s="141" t="n"/>
      <c r="P185" s="25" t="n"/>
      <c r="Q185" s="139">
        <f>IF($M185="","",IF(OR($N185="已完成",$N185="已关闭"),IF($O185="",0,MAX(0,$O185-$M185)),MAX(0,TODAY()-$M185)))</f>
        <v/>
      </c>
      <c r="R185" s="139">
        <f>IF(AND($B185&lt;&gt;"",$O185&lt;&gt;""),$O185-$B185,"")</f>
        <v/>
      </c>
      <c r="S185" s="25" t="n"/>
    </row>
    <row r="186" ht="25" customHeight="1">
      <c r="A186" s="25">
        <f>IF($B186="","","CA-"&amp;TEXT(ROW()-4,"0000"))</f>
        <v/>
      </c>
      <c r="B186" s="141" t="n"/>
      <c r="C186" s="25" t="n"/>
      <c r="D186" s="25" t="n"/>
      <c r="E186" s="25" t="n"/>
      <c r="F186" s="25" t="n"/>
      <c r="G186" s="25" t="n"/>
      <c r="H186" s="25" t="n"/>
      <c r="I186" s="28" t="n"/>
      <c r="J186" s="28" t="n"/>
      <c r="K186" s="28" t="n"/>
      <c r="L186" s="25" t="n"/>
      <c r="M186" s="141" t="n"/>
      <c r="N186" s="25" t="n"/>
      <c r="O186" s="141" t="n"/>
      <c r="P186" s="25" t="n"/>
      <c r="Q186" s="139">
        <f>IF($M186="","",IF(OR($N186="已完成",$N186="已关闭"),IF($O186="",0,MAX(0,$O186-$M186)),MAX(0,TODAY()-$M186)))</f>
        <v/>
      </c>
      <c r="R186" s="139">
        <f>IF(AND($B186&lt;&gt;"",$O186&lt;&gt;""),$O186-$B186,"")</f>
        <v/>
      </c>
      <c r="S186" s="25" t="n"/>
    </row>
    <row r="187" ht="25" customHeight="1">
      <c r="A187" s="25">
        <f>IF($B187="","","CA-"&amp;TEXT(ROW()-4,"0000"))</f>
        <v/>
      </c>
      <c r="B187" s="141" t="n"/>
      <c r="C187" s="25" t="n"/>
      <c r="D187" s="25" t="n"/>
      <c r="E187" s="25" t="n"/>
      <c r="F187" s="25" t="n"/>
      <c r="G187" s="25" t="n"/>
      <c r="H187" s="25" t="n"/>
      <c r="I187" s="28" t="n"/>
      <c r="J187" s="28" t="n"/>
      <c r="K187" s="28" t="n"/>
      <c r="L187" s="25" t="n"/>
      <c r="M187" s="141" t="n"/>
      <c r="N187" s="25" t="n"/>
      <c r="O187" s="141" t="n"/>
      <c r="P187" s="25" t="n"/>
      <c r="Q187" s="139">
        <f>IF($M187="","",IF(OR($N187="已完成",$N187="已关闭"),IF($O187="",0,MAX(0,$O187-$M187)),MAX(0,TODAY()-$M187)))</f>
        <v/>
      </c>
      <c r="R187" s="139">
        <f>IF(AND($B187&lt;&gt;"",$O187&lt;&gt;""),$O187-$B187,"")</f>
        <v/>
      </c>
      <c r="S187" s="25" t="n"/>
    </row>
    <row r="188" ht="25" customHeight="1">
      <c r="A188" s="25">
        <f>IF($B188="","","CA-"&amp;TEXT(ROW()-4,"0000"))</f>
        <v/>
      </c>
      <c r="B188" s="141" t="n"/>
      <c r="C188" s="25" t="n"/>
      <c r="D188" s="25" t="n"/>
      <c r="E188" s="25" t="n"/>
      <c r="F188" s="25" t="n"/>
      <c r="G188" s="25" t="n"/>
      <c r="H188" s="25" t="n"/>
      <c r="I188" s="28" t="n"/>
      <c r="J188" s="28" t="n"/>
      <c r="K188" s="28" t="n"/>
      <c r="L188" s="25" t="n"/>
      <c r="M188" s="141" t="n"/>
      <c r="N188" s="25" t="n"/>
      <c r="O188" s="141" t="n"/>
      <c r="P188" s="25" t="n"/>
      <c r="Q188" s="139">
        <f>IF($M188="","",IF(OR($N188="已完成",$N188="已关闭"),IF($O188="",0,MAX(0,$O188-$M188)),MAX(0,TODAY()-$M188)))</f>
        <v/>
      </c>
      <c r="R188" s="139">
        <f>IF(AND($B188&lt;&gt;"",$O188&lt;&gt;""),$O188-$B188,"")</f>
        <v/>
      </c>
      <c r="S188" s="25" t="n"/>
    </row>
    <row r="189" ht="25" customHeight="1">
      <c r="A189" s="25">
        <f>IF($B189="","","CA-"&amp;TEXT(ROW()-4,"0000"))</f>
        <v/>
      </c>
      <c r="B189" s="141" t="n"/>
      <c r="C189" s="25" t="n"/>
      <c r="D189" s="25" t="n"/>
      <c r="E189" s="25" t="n"/>
      <c r="F189" s="25" t="n"/>
      <c r="G189" s="25" t="n"/>
      <c r="H189" s="25" t="n"/>
      <c r="I189" s="28" t="n"/>
      <c r="J189" s="28" t="n"/>
      <c r="K189" s="28" t="n"/>
      <c r="L189" s="25" t="n"/>
      <c r="M189" s="141" t="n"/>
      <c r="N189" s="25" t="n"/>
      <c r="O189" s="141" t="n"/>
      <c r="P189" s="25" t="n"/>
      <c r="Q189" s="139">
        <f>IF($M189="","",IF(OR($N189="已完成",$N189="已关闭"),IF($O189="",0,MAX(0,$O189-$M189)),MAX(0,TODAY()-$M189)))</f>
        <v/>
      </c>
      <c r="R189" s="139">
        <f>IF(AND($B189&lt;&gt;"",$O189&lt;&gt;""),$O189-$B189,"")</f>
        <v/>
      </c>
      <c r="S189" s="25" t="n"/>
    </row>
    <row r="190" ht="25" customHeight="1">
      <c r="A190" s="25">
        <f>IF($B190="","","CA-"&amp;TEXT(ROW()-4,"0000"))</f>
        <v/>
      </c>
      <c r="B190" s="141" t="n"/>
      <c r="C190" s="25" t="n"/>
      <c r="D190" s="25" t="n"/>
      <c r="E190" s="25" t="n"/>
      <c r="F190" s="25" t="n"/>
      <c r="G190" s="25" t="n"/>
      <c r="H190" s="25" t="n"/>
      <c r="I190" s="28" t="n"/>
      <c r="J190" s="28" t="n"/>
      <c r="K190" s="28" t="n"/>
      <c r="L190" s="25" t="n"/>
      <c r="M190" s="141" t="n"/>
      <c r="N190" s="25" t="n"/>
      <c r="O190" s="141" t="n"/>
      <c r="P190" s="25" t="n"/>
      <c r="Q190" s="139">
        <f>IF($M190="","",IF(OR($N190="已完成",$N190="已关闭"),IF($O190="",0,MAX(0,$O190-$M190)),MAX(0,TODAY()-$M190)))</f>
        <v/>
      </c>
      <c r="R190" s="139">
        <f>IF(AND($B190&lt;&gt;"",$O190&lt;&gt;""),$O190-$B190,"")</f>
        <v/>
      </c>
      <c r="S190" s="25" t="n"/>
    </row>
    <row r="191" ht="25" customHeight="1">
      <c r="A191" s="25">
        <f>IF($B191="","","CA-"&amp;TEXT(ROW()-4,"0000"))</f>
        <v/>
      </c>
      <c r="B191" s="141" t="n"/>
      <c r="C191" s="25" t="n"/>
      <c r="D191" s="25" t="n"/>
      <c r="E191" s="25" t="n"/>
      <c r="F191" s="25" t="n"/>
      <c r="G191" s="25" t="n"/>
      <c r="H191" s="25" t="n"/>
      <c r="I191" s="28" t="n"/>
      <c r="J191" s="28" t="n"/>
      <c r="K191" s="28" t="n"/>
      <c r="L191" s="25" t="n"/>
      <c r="M191" s="141" t="n"/>
      <c r="N191" s="25" t="n"/>
      <c r="O191" s="141" t="n"/>
      <c r="P191" s="25" t="n"/>
      <c r="Q191" s="139">
        <f>IF($M191="","",IF(OR($N191="已完成",$N191="已关闭"),IF($O191="",0,MAX(0,$O191-$M191)),MAX(0,TODAY()-$M191)))</f>
        <v/>
      </c>
      <c r="R191" s="139">
        <f>IF(AND($B191&lt;&gt;"",$O191&lt;&gt;""),$O191-$B191,"")</f>
        <v/>
      </c>
      <c r="S191" s="25" t="n"/>
    </row>
    <row r="192" ht="25" customHeight="1">
      <c r="A192" s="25">
        <f>IF($B192="","","CA-"&amp;TEXT(ROW()-4,"0000"))</f>
        <v/>
      </c>
      <c r="B192" s="141" t="n"/>
      <c r="C192" s="25" t="n"/>
      <c r="D192" s="25" t="n"/>
      <c r="E192" s="25" t="n"/>
      <c r="F192" s="25" t="n"/>
      <c r="G192" s="25" t="n"/>
      <c r="H192" s="25" t="n"/>
      <c r="I192" s="28" t="n"/>
      <c r="J192" s="28" t="n"/>
      <c r="K192" s="28" t="n"/>
      <c r="L192" s="25" t="n"/>
      <c r="M192" s="141" t="n"/>
      <c r="N192" s="25" t="n"/>
      <c r="O192" s="141" t="n"/>
      <c r="P192" s="25" t="n"/>
      <c r="Q192" s="139">
        <f>IF($M192="","",IF(OR($N192="已完成",$N192="已关闭"),IF($O192="",0,MAX(0,$O192-$M192)),MAX(0,TODAY()-$M192)))</f>
        <v/>
      </c>
      <c r="R192" s="139">
        <f>IF(AND($B192&lt;&gt;"",$O192&lt;&gt;""),$O192-$B192,"")</f>
        <v/>
      </c>
      <c r="S192" s="25" t="n"/>
    </row>
    <row r="193" ht="25" customHeight="1">
      <c r="A193" s="25">
        <f>IF($B193="","","CA-"&amp;TEXT(ROW()-4,"0000"))</f>
        <v/>
      </c>
      <c r="B193" s="141" t="n"/>
      <c r="C193" s="25" t="n"/>
      <c r="D193" s="25" t="n"/>
      <c r="E193" s="25" t="n"/>
      <c r="F193" s="25" t="n"/>
      <c r="G193" s="25" t="n"/>
      <c r="H193" s="25" t="n"/>
      <c r="I193" s="28" t="n"/>
      <c r="J193" s="28" t="n"/>
      <c r="K193" s="28" t="n"/>
      <c r="L193" s="25" t="n"/>
      <c r="M193" s="141" t="n"/>
      <c r="N193" s="25" t="n"/>
      <c r="O193" s="141" t="n"/>
      <c r="P193" s="25" t="n"/>
      <c r="Q193" s="139">
        <f>IF($M193="","",IF(OR($N193="已完成",$N193="已关闭"),IF($O193="",0,MAX(0,$O193-$M193)),MAX(0,TODAY()-$M193)))</f>
        <v/>
      </c>
      <c r="R193" s="139">
        <f>IF(AND($B193&lt;&gt;"",$O193&lt;&gt;""),$O193-$B193,"")</f>
        <v/>
      </c>
      <c r="S193" s="25" t="n"/>
    </row>
    <row r="194" ht="25" customHeight="1">
      <c r="A194" s="25">
        <f>IF($B194="","","CA-"&amp;TEXT(ROW()-4,"0000"))</f>
        <v/>
      </c>
      <c r="B194" s="141" t="n"/>
      <c r="C194" s="25" t="n"/>
      <c r="D194" s="25" t="n"/>
      <c r="E194" s="25" t="n"/>
      <c r="F194" s="25" t="n"/>
      <c r="G194" s="25" t="n"/>
      <c r="H194" s="25" t="n"/>
      <c r="I194" s="28" t="n"/>
      <c r="J194" s="28" t="n"/>
      <c r="K194" s="28" t="n"/>
      <c r="L194" s="25" t="n"/>
      <c r="M194" s="141" t="n"/>
      <c r="N194" s="25" t="n"/>
      <c r="O194" s="141" t="n"/>
      <c r="P194" s="25" t="n"/>
      <c r="Q194" s="139">
        <f>IF($M194="","",IF(OR($N194="已完成",$N194="已关闭"),IF($O194="",0,MAX(0,$O194-$M194)),MAX(0,TODAY()-$M194)))</f>
        <v/>
      </c>
      <c r="R194" s="139">
        <f>IF(AND($B194&lt;&gt;"",$O194&lt;&gt;""),$O194-$B194,"")</f>
        <v/>
      </c>
      <c r="S194" s="25" t="n"/>
    </row>
    <row r="195" ht="25" customHeight="1">
      <c r="A195" s="25">
        <f>IF($B195="","","CA-"&amp;TEXT(ROW()-4,"0000"))</f>
        <v/>
      </c>
      <c r="B195" s="141" t="n"/>
      <c r="C195" s="25" t="n"/>
      <c r="D195" s="25" t="n"/>
      <c r="E195" s="25" t="n"/>
      <c r="F195" s="25" t="n"/>
      <c r="G195" s="25" t="n"/>
      <c r="H195" s="25" t="n"/>
      <c r="I195" s="28" t="n"/>
      <c r="J195" s="28" t="n"/>
      <c r="K195" s="28" t="n"/>
      <c r="L195" s="25" t="n"/>
      <c r="M195" s="141" t="n"/>
      <c r="N195" s="25" t="n"/>
      <c r="O195" s="141" t="n"/>
      <c r="P195" s="25" t="n"/>
      <c r="Q195" s="139">
        <f>IF($M195="","",IF(OR($N195="已完成",$N195="已关闭"),IF($O195="",0,MAX(0,$O195-$M195)),MAX(0,TODAY()-$M195)))</f>
        <v/>
      </c>
      <c r="R195" s="139">
        <f>IF(AND($B195&lt;&gt;"",$O195&lt;&gt;""),$O195-$B195,"")</f>
        <v/>
      </c>
      <c r="S195" s="25" t="n"/>
    </row>
    <row r="196" ht="25" customHeight="1">
      <c r="A196" s="25">
        <f>IF($B196="","","CA-"&amp;TEXT(ROW()-4,"0000"))</f>
        <v/>
      </c>
      <c r="B196" s="141" t="n"/>
      <c r="C196" s="25" t="n"/>
      <c r="D196" s="25" t="n"/>
      <c r="E196" s="25" t="n"/>
      <c r="F196" s="25" t="n"/>
      <c r="G196" s="25" t="n"/>
      <c r="H196" s="25" t="n"/>
      <c r="I196" s="28" t="n"/>
      <c r="J196" s="28" t="n"/>
      <c r="K196" s="28" t="n"/>
      <c r="L196" s="25" t="n"/>
      <c r="M196" s="141" t="n"/>
      <c r="N196" s="25" t="n"/>
      <c r="O196" s="141" t="n"/>
      <c r="P196" s="25" t="n"/>
      <c r="Q196" s="139">
        <f>IF($M196="","",IF(OR($N196="已完成",$N196="已关闭"),IF($O196="",0,MAX(0,$O196-$M196)),MAX(0,TODAY()-$M196)))</f>
        <v/>
      </c>
      <c r="R196" s="139">
        <f>IF(AND($B196&lt;&gt;"",$O196&lt;&gt;""),$O196-$B196,"")</f>
        <v/>
      </c>
      <c r="S196" s="25" t="n"/>
    </row>
    <row r="197" ht="25" customHeight="1">
      <c r="A197" s="25">
        <f>IF($B197="","","CA-"&amp;TEXT(ROW()-4,"0000"))</f>
        <v/>
      </c>
      <c r="B197" s="141" t="n"/>
      <c r="C197" s="25" t="n"/>
      <c r="D197" s="25" t="n"/>
      <c r="E197" s="25" t="n"/>
      <c r="F197" s="25" t="n"/>
      <c r="G197" s="25" t="n"/>
      <c r="H197" s="25" t="n"/>
      <c r="I197" s="28" t="n"/>
      <c r="J197" s="28" t="n"/>
      <c r="K197" s="28" t="n"/>
      <c r="L197" s="25" t="n"/>
      <c r="M197" s="141" t="n"/>
      <c r="N197" s="25" t="n"/>
      <c r="O197" s="141" t="n"/>
      <c r="P197" s="25" t="n"/>
      <c r="Q197" s="139">
        <f>IF($M197="","",IF(OR($N197="已完成",$N197="已关闭"),IF($O197="",0,MAX(0,$O197-$M197)),MAX(0,TODAY()-$M197)))</f>
        <v/>
      </c>
      <c r="R197" s="139">
        <f>IF(AND($B197&lt;&gt;"",$O197&lt;&gt;""),$O197-$B197,"")</f>
        <v/>
      </c>
      <c r="S197" s="25" t="n"/>
    </row>
    <row r="198" ht="25" customHeight="1">
      <c r="A198" s="25">
        <f>IF($B198="","","CA-"&amp;TEXT(ROW()-4,"0000"))</f>
        <v/>
      </c>
      <c r="B198" s="141" t="n"/>
      <c r="C198" s="25" t="n"/>
      <c r="D198" s="25" t="n"/>
      <c r="E198" s="25" t="n"/>
      <c r="F198" s="25" t="n"/>
      <c r="G198" s="25" t="n"/>
      <c r="H198" s="25" t="n"/>
      <c r="I198" s="28" t="n"/>
      <c r="J198" s="28" t="n"/>
      <c r="K198" s="28" t="n"/>
      <c r="L198" s="25" t="n"/>
      <c r="M198" s="141" t="n"/>
      <c r="N198" s="25" t="n"/>
      <c r="O198" s="141" t="n"/>
      <c r="P198" s="25" t="n"/>
      <c r="Q198" s="139">
        <f>IF($M198="","",IF(OR($N198="已完成",$N198="已关闭"),IF($O198="",0,MAX(0,$O198-$M198)),MAX(0,TODAY()-$M198)))</f>
        <v/>
      </c>
      <c r="R198" s="139">
        <f>IF(AND($B198&lt;&gt;"",$O198&lt;&gt;""),$O198-$B198,"")</f>
        <v/>
      </c>
      <c r="S198" s="25" t="n"/>
    </row>
    <row r="199" ht="25" customHeight="1">
      <c r="A199" s="25">
        <f>IF($B199="","","CA-"&amp;TEXT(ROW()-4,"0000"))</f>
        <v/>
      </c>
      <c r="B199" s="141" t="n"/>
      <c r="C199" s="25" t="n"/>
      <c r="D199" s="25" t="n"/>
      <c r="E199" s="25" t="n"/>
      <c r="F199" s="25" t="n"/>
      <c r="G199" s="25" t="n"/>
      <c r="H199" s="25" t="n"/>
      <c r="I199" s="28" t="n"/>
      <c r="J199" s="28" t="n"/>
      <c r="K199" s="28" t="n"/>
      <c r="L199" s="25" t="n"/>
      <c r="M199" s="141" t="n"/>
      <c r="N199" s="25" t="n"/>
      <c r="O199" s="141" t="n"/>
      <c r="P199" s="25" t="n"/>
      <c r="Q199" s="139">
        <f>IF($M199="","",IF(OR($N199="已完成",$N199="已关闭"),IF($O199="",0,MAX(0,$O199-$M199)),MAX(0,TODAY()-$M199)))</f>
        <v/>
      </c>
      <c r="R199" s="139">
        <f>IF(AND($B199&lt;&gt;"",$O199&lt;&gt;""),$O199-$B199,"")</f>
        <v/>
      </c>
      <c r="S199" s="25" t="n"/>
    </row>
    <row r="200" ht="25" customHeight="1">
      <c r="A200" s="25">
        <f>IF($B200="","","CA-"&amp;TEXT(ROW()-4,"0000"))</f>
        <v/>
      </c>
      <c r="B200" s="141" t="n"/>
      <c r="C200" s="25" t="n"/>
      <c r="D200" s="25" t="n"/>
      <c r="E200" s="25" t="n"/>
      <c r="F200" s="25" t="n"/>
      <c r="G200" s="25" t="n"/>
      <c r="H200" s="25" t="n"/>
      <c r="I200" s="28" t="n"/>
      <c r="J200" s="28" t="n"/>
      <c r="K200" s="28" t="n"/>
      <c r="L200" s="25" t="n"/>
      <c r="M200" s="141" t="n"/>
      <c r="N200" s="25" t="n"/>
      <c r="O200" s="141" t="n"/>
      <c r="P200" s="25" t="n"/>
      <c r="Q200" s="139">
        <f>IF($M200="","",IF(OR($N200="已完成",$N200="已关闭"),IF($O200="",0,MAX(0,$O200-$M200)),MAX(0,TODAY()-$M200)))</f>
        <v/>
      </c>
      <c r="R200" s="139">
        <f>IF(AND($B200&lt;&gt;"",$O200&lt;&gt;""),$O200-$B200,"")</f>
        <v/>
      </c>
      <c r="S200" s="25" t="n"/>
    </row>
    <row r="201" ht="25" customHeight="1">
      <c r="A201" s="25">
        <f>IF($B201="","","CA-"&amp;TEXT(ROW()-4,"0000"))</f>
        <v/>
      </c>
      <c r="B201" s="141" t="n"/>
      <c r="C201" s="25" t="n"/>
      <c r="D201" s="25" t="n"/>
      <c r="E201" s="25" t="n"/>
      <c r="F201" s="25" t="n"/>
      <c r="G201" s="25" t="n"/>
      <c r="H201" s="25" t="n"/>
      <c r="I201" s="28" t="n"/>
      <c r="J201" s="28" t="n"/>
      <c r="K201" s="28" t="n"/>
      <c r="L201" s="25" t="n"/>
      <c r="M201" s="141" t="n"/>
      <c r="N201" s="25" t="n"/>
      <c r="O201" s="141" t="n"/>
      <c r="P201" s="25" t="n"/>
      <c r="Q201" s="139">
        <f>IF($M201="","",IF(OR($N201="已完成",$N201="已关闭"),IF($O201="",0,MAX(0,$O201-$M201)),MAX(0,TODAY()-$M201)))</f>
        <v/>
      </c>
      <c r="R201" s="139">
        <f>IF(AND($B201&lt;&gt;"",$O201&lt;&gt;""),$O201-$B201,"")</f>
        <v/>
      </c>
      <c r="S201" s="25" t="n"/>
    </row>
    <row r="202" ht="25" customHeight="1">
      <c r="A202" s="25">
        <f>IF($B202="","","CA-"&amp;TEXT(ROW()-4,"0000"))</f>
        <v/>
      </c>
      <c r="B202" s="141" t="n"/>
      <c r="C202" s="25" t="n"/>
      <c r="D202" s="25" t="n"/>
      <c r="E202" s="25" t="n"/>
      <c r="F202" s="25" t="n"/>
      <c r="G202" s="25" t="n"/>
      <c r="H202" s="25" t="n"/>
      <c r="I202" s="28" t="n"/>
      <c r="J202" s="28" t="n"/>
      <c r="K202" s="28" t="n"/>
      <c r="L202" s="25" t="n"/>
      <c r="M202" s="141" t="n"/>
      <c r="N202" s="25" t="n"/>
      <c r="O202" s="141" t="n"/>
      <c r="P202" s="25" t="n"/>
      <c r="Q202" s="139">
        <f>IF($M202="","",IF(OR($N202="已完成",$N202="已关闭"),IF($O202="",0,MAX(0,$O202-$M202)),MAX(0,TODAY()-$M202)))</f>
        <v/>
      </c>
      <c r="R202" s="139">
        <f>IF(AND($B202&lt;&gt;"",$O202&lt;&gt;""),$O202-$B202,"")</f>
        <v/>
      </c>
      <c r="S202" s="25" t="n"/>
    </row>
    <row r="203" ht="25" customHeight="1">
      <c r="A203" s="25">
        <f>IF($B203="","","CA-"&amp;TEXT(ROW()-4,"0000"))</f>
        <v/>
      </c>
      <c r="B203" s="141" t="n"/>
      <c r="C203" s="25" t="n"/>
      <c r="D203" s="25" t="n"/>
      <c r="E203" s="25" t="n"/>
      <c r="F203" s="25" t="n"/>
      <c r="G203" s="25" t="n"/>
      <c r="H203" s="25" t="n"/>
      <c r="I203" s="28" t="n"/>
      <c r="J203" s="28" t="n"/>
      <c r="K203" s="28" t="n"/>
      <c r="L203" s="25" t="n"/>
      <c r="M203" s="141" t="n"/>
      <c r="N203" s="25" t="n"/>
      <c r="O203" s="141" t="n"/>
      <c r="P203" s="25" t="n"/>
      <c r="Q203" s="139">
        <f>IF($M203="","",IF(OR($N203="已完成",$N203="已关闭"),IF($O203="",0,MAX(0,$O203-$M203)),MAX(0,TODAY()-$M203)))</f>
        <v/>
      </c>
      <c r="R203" s="139">
        <f>IF(AND($B203&lt;&gt;"",$O203&lt;&gt;""),$O203-$B203,"")</f>
        <v/>
      </c>
      <c r="S203" s="25" t="n"/>
    </row>
    <row r="204" ht="25" customHeight="1">
      <c r="A204" s="25">
        <f>IF($B204="","","CA-"&amp;TEXT(ROW()-4,"0000"))</f>
        <v/>
      </c>
      <c r="B204" s="141" t="n"/>
      <c r="C204" s="25" t="n"/>
      <c r="D204" s="25" t="n"/>
      <c r="E204" s="25" t="n"/>
      <c r="F204" s="25" t="n"/>
      <c r="G204" s="25" t="n"/>
      <c r="H204" s="25" t="n"/>
      <c r="I204" s="28" t="n"/>
      <c r="J204" s="28" t="n"/>
      <c r="K204" s="28" t="n"/>
      <c r="L204" s="25" t="n"/>
      <c r="M204" s="141" t="n"/>
      <c r="N204" s="25" t="n"/>
      <c r="O204" s="141" t="n"/>
      <c r="P204" s="25" t="n"/>
      <c r="Q204" s="139">
        <f>IF($M204="","",IF(OR($N204="已完成",$N204="已关闭"),IF($O204="",0,MAX(0,$O204-$M204)),MAX(0,TODAY()-$M204)))</f>
        <v/>
      </c>
      <c r="R204" s="139">
        <f>IF(AND($B204&lt;&gt;"",$O204&lt;&gt;""),$O204-$B204,"")</f>
        <v/>
      </c>
      <c r="S204" s="25" t="n"/>
    </row>
    <row r="205" ht="25" customHeight="1">
      <c r="A205" s="25">
        <f>IF($B205="","","CA-"&amp;TEXT(ROW()-4,"0000"))</f>
        <v/>
      </c>
      <c r="B205" s="141" t="n"/>
      <c r="C205" s="25" t="n"/>
      <c r="D205" s="25" t="n"/>
      <c r="E205" s="25" t="n"/>
      <c r="F205" s="25" t="n"/>
      <c r="G205" s="25" t="n"/>
      <c r="H205" s="25" t="n"/>
      <c r="I205" s="28" t="n"/>
      <c r="J205" s="28" t="n"/>
      <c r="K205" s="28" t="n"/>
      <c r="L205" s="25" t="n"/>
      <c r="M205" s="141" t="n"/>
      <c r="N205" s="25" t="n"/>
      <c r="O205" s="141" t="n"/>
      <c r="P205" s="25" t="n"/>
      <c r="Q205" s="139">
        <f>IF($M205="","",IF(OR($N205="已完成",$N205="已关闭"),IF($O205="",0,MAX(0,$O205-$M205)),MAX(0,TODAY()-$M205)))</f>
        <v/>
      </c>
      <c r="R205" s="139">
        <f>IF(AND($B205&lt;&gt;"",$O205&lt;&gt;""),$O205-$B205,"")</f>
        <v/>
      </c>
      <c r="S205" s="25" t="n"/>
    </row>
    <row r="206" ht="25" customHeight="1">
      <c r="A206" s="25">
        <f>IF($B206="","","CA-"&amp;TEXT(ROW()-4,"0000"))</f>
        <v/>
      </c>
      <c r="B206" s="141" t="n"/>
      <c r="C206" s="25" t="n"/>
      <c r="D206" s="25" t="n"/>
      <c r="E206" s="25" t="n"/>
      <c r="F206" s="25" t="n"/>
      <c r="G206" s="25" t="n"/>
      <c r="H206" s="25" t="n"/>
      <c r="I206" s="28" t="n"/>
      <c r="J206" s="28" t="n"/>
      <c r="K206" s="28" t="n"/>
      <c r="L206" s="25" t="n"/>
      <c r="M206" s="141" t="n"/>
      <c r="N206" s="25" t="n"/>
      <c r="O206" s="141" t="n"/>
      <c r="P206" s="25" t="n"/>
      <c r="Q206" s="139">
        <f>IF($M206="","",IF(OR($N206="已完成",$N206="已关闭"),IF($O206="",0,MAX(0,$O206-$M206)),MAX(0,TODAY()-$M206)))</f>
        <v/>
      </c>
      <c r="R206" s="139">
        <f>IF(AND($B206&lt;&gt;"",$O206&lt;&gt;""),$O206-$B206,"")</f>
        <v/>
      </c>
      <c r="S206" s="25" t="n"/>
    </row>
    <row r="207" ht="25" customHeight="1">
      <c r="A207" s="25">
        <f>IF($B207="","","CA-"&amp;TEXT(ROW()-4,"0000"))</f>
        <v/>
      </c>
      <c r="B207" s="141" t="n"/>
      <c r="C207" s="25" t="n"/>
      <c r="D207" s="25" t="n"/>
      <c r="E207" s="25" t="n"/>
      <c r="F207" s="25" t="n"/>
      <c r="G207" s="25" t="n"/>
      <c r="H207" s="25" t="n"/>
      <c r="I207" s="28" t="n"/>
      <c r="J207" s="28" t="n"/>
      <c r="K207" s="28" t="n"/>
      <c r="L207" s="25" t="n"/>
      <c r="M207" s="141" t="n"/>
      <c r="N207" s="25" t="n"/>
      <c r="O207" s="141" t="n"/>
      <c r="P207" s="25" t="n"/>
      <c r="Q207" s="139">
        <f>IF($M207="","",IF(OR($N207="已完成",$N207="已关闭"),IF($O207="",0,MAX(0,$O207-$M207)),MAX(0,TODAY()-$M207)))</f>
        <v/>
      </c>
      <c r="R207" s="139">
        <f>IF(AND($B207&lt;&gt;"",$O207&lt;&gt;""),$O207-$B207,"")</f>
        <v/>
      </c>
      <c r="S207" s="25" t="n"/>
    </row>
    <row r="208" ht="25" customHeight="1">
      <c r="A208" s="25">
        <f>IF($B208="","","CA-"&amp;TEXT(ROW()-4,"0000"))</f>
        <v/>
      </c>
      <c r="B208" s="141" t="n"/>
      <c r="C208" s="25" t="n"/>
      <c r="D208" s="25" t="n"/>
      <c r="E208" s="25" t="n"/>
      <c r="F208" s="25" t="n"/>
      <c r="G208" s="25" t="n"/>
      <c r="H208" s="25" t="n"/>
      <c r="I208" s="28" t="n"/>
      <c r="J208" s="28" t="n"/>
      <c r="K208" s="28" t="n"/>
      <c r="L208" s="25" t="n"/>
      <c r="M208" s="141" t="n"/>
      <c r="N208" s="25" t="n"/>
      <c r="O208" s="141" t="n"/>
      <c r="P208" s="25" t="n"/>
      <c r="Q208" s="139">
        <f>IF($M208="","",IF(OR($N208="已完成",$N208="已关闭"),IF($O208="",0,MAX(0,$O208-$M208)),MAX(0,TODAY()-$M208)))</f>
        <v/>
      </c>
      <c r="R208" s="139">
        <f>IF(AND($B208&lt;&gt;"",$O208&lt;&gt;""),$O208-$B208,"")</f>
        <v/>
      </c>
      <c r="S208" s="25" t="n"/>
    </row>
    <row r="209" ht="25" customHeight="1">
      <c r="A209" s="25">
        <f>IF($B209="","","CA-"&amp;TEXT(ROW()-4,"0000"))</f>
        <v/>
      </c>
      <c r="B209" s="141" t="n"/>
      <c r="C209" s="25" t="n"/>
      <c r="D209" s="25" t="n"/>
      <c r="E209" s="25" t="n"/>
      <c r="F209" s="25" t="n"/>
      <c r="G209" s="25" t="n"/>
      <c r="H209" s="25" t="n"/>
      <c r="I209" s="28" t="n"/>
      <c r="J209" s="28" t="n"/>
      <c r="K209" s="28" t="n"/>
      <c r="L209" s="25" t="n"/>
      <c r="M209" s="141" t="n"/>
      <c r="N209" s="25" t="n"/>
      <c r="O209" s="141" t="n"/>
      <c r="P209" s="25" t="n"/>
      <c r="Q209" s="139">
        <f>IF($M209="","",IF(OR($N209="已完成",$N209="已关闭"),IF($O209="",0,MAX(0,$O209-$M209)),MAX(0,TODAY()-$M209)))</f>
        <v/>
      </c>
      <c r="R209" s="139">
        <f>IF(AND($B209&lt;&gt;"",$O209&lt;&gt;""),$O209-$B209,"")</f>
        <v/>
      </c>
      <c r="S209" s="25" t="n"/>
    </row>
    <row r="210" ht="25" customHeight="1">
      <c r="A210" s="25">
        <f>IF($B210="","","CA-"&amp;TEXT(ROW()-4,"0000"))</f>
        <v/>
      </c>
      <c r="B210" s="141" t="n"/>
      <c r="C210" s="25" t="n"/>
      <c r="D210" s="25" t="n"/>
      <c r="E210" s="25" t="n"/>
      <c r="F210" s="25" t="n"/>
      <c r="G210" s="25" t="n"/>
      <c r="H210" s="25" t="n"/>
      <c r="I210" s="28" t="n"/>
      <c r="J210" s="28" t="n"/>
      <c r="K210" s="28" t="n"/>
      <c r="L210" s="25" t="n"/>
      <c r="M210" s="141" t="n"/>
      <c r="N210" s="25" t="n"/>
      <c r="O210" s="141" t="n"/>
      <c r="P210" s="25" t="n"/>
      <c r="Q210" s="139">
        <f>IF($M210="","",IF(OR($N210="已完成",$N210="已关闭"),IF($O210="",0,MAX(0,$O210-$M210)),MAX(0,TODAY()-$M210)))</f>
        <v/>
      </c>
      <c r="R210" s="139">
        <f>IF(AND($B210&lt;&gt;"",$O210&lt;&gt;""),$O210-$B210,"")</f>
        <v/>
      </c>
      <c r="S210" s="25" t="n"/>
    </row>
    <row r="211" ht="25" customHeight="1">
      <c r="A211" s="25">
        <f>IF($B211="","","CA-"&amp;TEXT(ROW()-4,"0000"))</f>
        <v/>
      </c>
      <c r="B211" s="141" t="n"/>
      <c r="C211" s="25" t="n"/>
      <c r="D211" s="25" t="n"/>
      <c r="E211" s="25" t="n"/>
      <c r="F211" s="25" t="n"/>
      <c r="G211" s="25" t="n"/>
      <c r="H211" s="25" t="n"/>
      <c r="I211" s="28" t="n"/>
      <c r="J211" s="28" t="n"/>
      <c r="K211" s="28" t="n"/>
      <c r="L211" s="25" t="n"/>
      <c r="M211" s="141" t="n"/>
      <c r="N211" s="25" t="n"/>
      <c r="O211" s="141" t="n"/>
      <c r="P211" s="25" t="n"/>
      <c r="Q211" s="139">
        <f>IF($M211="","",IF(OR($N211="已完成",$N211="已关闭"),IF($O211="",0,MAX(0,$O211-$M211)),MAX(0,TODAY()-$M211)))</f>
        <v/>
      </c>
      <c r="R211" s="139">
        <f>IF(AND($B211&lt;&gt;"",$O211&lt;&gt;""),$O211-$B211,"")</f>
        <v/>
      </c>
      <c r="S211" s="25" t="n"/>
    </row>
    <row r="212" ht="25" customHeight="1">
      <c r="A212" s="25">
        <f>IF($B212="","","CA-"&amp;TEXT(ROW()-4,"0000"))</f>
        <v/>
      </c>
      <c r="B212" s="141" t="n"/>
      <c r="C212" s="25" t="n"/>
      <c r="D212" s="25" t="n"/>
      <c r="E212" s="25" t="n"/>
      <c r="F212" s="25" t="n"/>
      <c r="G212" s="25" t="n"/>
      <c r="H212" s="25" t="n"/>
      <c r="I212" s="28" t="n"/>
      <c r="J212" s="28" t="n"/>
      <c r="K212" s="28" t="n"/>
      <c r="L212" s="25" t="n"/>
      <c r="M212" s="141" t="n"/>
      <c r="N212" s="25" t="n"/>
      <c r="O212" s="141" t="n"/>
      <c r="P212" s="25" t="n"/>
      <c r="Q212" s="139">
        <f>IF($M212="","",IF(OR($N212="已完成",$N212="已关闭"),IF($O212="",0,MAX(0,$O212-$M212)),MAX(0,TODAY()-$M212)))</f>
        <v/>
      </c>
      <c r="R212" s="139">
        <f>IF(AND($B212&lt;&gt;"",$O212&lt;&gt;""),$O212-$B212,"")</f>
        <v/>
      </c>
      <c r="S212" s="25" t="n"/>
    </row>
    <row r="213" ht="25" customHeight="1">
      <c r="A213" s="25">
        <f>IF($B213="","","CA-"&amp;TEXT(ROW()-4,"0000"))</f>
        <v/>
      </c>
      <c r="B213" s="141" t="n"/>
      <c r="C213" s="25" t="n"/>
      <c r="D213" s="25" t="n"/>
      <c r="E213" s="25" t="n"/>
      <c r="F213" s="25" t="n"/>
      <c r="G213" s="25" t="n"/>
      <c r="H213" s="25" t="n"/>
      <c r="I213" s="28" t="n"/>
      <c r="J213" s="28" t="n"/>
      <c r="K213" s="28" t="n"/>
      <c r="L213" s="25" t="n"/>
      <c r="M213" s="141" t="n"/>
      <c r="N213" s="25" t="n"/>
      <c r="O213" s="141" t="n"/>
      <c r="P213" s="25" t="n"/>
      <c r="Q213" s="139">
        <f>IF($M213="","",IF(OR($N213="已完成",$N213="已关闭"),IF($O213="",0,MAX(0,$O213-$M213)),MAX(0,TODAY()-$M213)))</f>
        <v/>
      </c>
      <c r="R213" s="139">
        <f>IF(AND($B213&lt;&gt;"",$O213&lt;&gt;""),$O213-$B213,"")</f>
        <v/>
      </c>
      <c r="S213" s="25" t="n"/>
    </row>
    <row r="214" ht="25" customHeight="1">
      <c r="A214" s="25">
        <f>IF($B214="","","CA-"&amp;TEXT(ROW()-4,"0000"))</f>
        <v/>
      </c>
      <c r="B214" s="141" t="n"/>
      <c r="C214" s="25" t="n"/>
      <c r="D214" s="25" t="n"/>
      <c r="E214" s="25" t="n"/>
      <c r="F214" s="25" t="n"/>
      <c r="G214" s="25" t="n"/>
      <c r="H214" s="25" t="n"/>
      <c r="I214" s="28" t="n"/>
      <c r="J214" s="28" t="n"/>
      <c r="K214" s="28" t="n"/>
      <c r="L214" s="25" t="n"/>
      <c r="M214" s="141" t="n"/>
      <c r="N214" s="25" t="n"/>
      <c r="O214" s="141" t="n"/>
      <c r="P214" s="25" t="n"/>
      <c r="Q214" s="139">
        <f>IF($M214="","",IF(OR($N214="已完成",$N214="已关闭"),IF($O214="",0,MAX(0,$O214-$M214)),MAX(0,TODAY()-$M214)))</f>
        <v/>
      </c>
      <c r="R214" s="139">
        <f>IF(AND($B214&lt;&gt;"",$O214&lt;&gt;""),$O214-$B214,"")</f>
        <v/>
      </c>
      <c r="S214" s="25" t="n"/>
    </row>
    <row r="215" ht="25" customHeight="1">
      <c r="A215" s="25">
        <f>IF($B215="","","CA-"&amp;TEXT(ROW()-4,"0000"))</f>
        <v/>
      </c>
      <c r="B215" s="141" t="n"/>
      <c r="C215" s="25" t="n"/>
      <c r="D215" s="25" t="n"/>
      <c r="E215" s="25" t="n"/>
      <c r="F215" s="25" t="n"/>
      <c r="G215" s="25" t="n"/>
      <c r="H215" s="25" t="n"/>
      <c r="I215" s="28" t="n"/>
      <c r="J215" s="28" t="n"/>
      <c r="K215" s="28" t="n"/>
      <c r="L215" s="25" t="n"/>
      <c r="M215" s="141" t="n"/>
      <c r="N215" s="25" t="n"/>
      <c r="O215" s="141" t="n"/>
      <c r="P215" s="25" t="n"/>
      <c r="Q215" s="139">
        <f>IF($M215="","",IF(OR($N215="已完成",$N215="已关闭"),IF($O215="",0,MAX(0,$O215-$M215)),MAX(0,TODAY()-$M215)))</f>
        <v/>
      </c>
      <c r="R215" s="139">
        <f>IF(AND($B215&lt;&gt;"",$O215&lt;&gt;""),$O215-$B215,"")</f>
        <v/>
      </c>
      <c r="S215" s="25" t="n"/>
    </row>
    <row r="216" ht="25" customHeight="1">
      <c r="A216" s="25">
        <f>IF($B216="","","CA-"&amp;TEXT(ROW()-4,"0000"))</f>
        <v/>
      </c>
      <c r="B216" s="141" t="n"/>
      <c r="C216" s="25" t="n"/>
      <c r="D216" s="25" t="n"/>
      <c r="E216" s="25" t="n"/>
      <c r="F216" s="25" t="n"/>
      <c r="G216" s="25" t="n"/>
      <c r="H216" s="25" t="n"/>
      <c r="I216" s="28" t="n"/>
      <c r="J216" s="28" t="n"/>
      <c r="K216" s="28" t="n"/>
      <c r="L216" s="25" t="n"/>
      <c r="M216" s="141" t="n"/>
      <c r="N216" s="25" t="n"/>
      <c r="O216" s="141" t="n"/>
      <c r="P216" s="25" t="n"/>
      <c r="Q216" s="139">
        <f>IF($M216="","",IF(OR($N216="已完成",$N216="已关闭"),IF($O216="",0,MAX(0,$O216-$M216)),MAX(0,TODAY()-$M216)))</f>
        <v/>
      </c>
      <c r="R216" s="139">
        <f>IF(AND($B216&lt;&gt;"",$O216&lt;&gt;""),$O216-$B216,"")</f>
        <v/>
      </c>
      <c r="S216" s="25" t="n"/>
    </row>
    <row r="217" ht="25" customHeight="1">
      <c r="A217" s="25">
        <f>IF($B217="","","CA-"&amp;TEXT(ROW()-4,"0000"))</f>
        <v/>
      </c>
      <c r="B217" s="141" t="n"/>
      <c r="C217" s="25" t="n"/>
      <c r="D217" s="25" t="n"/>
      <c r="E217" s="25" t="n"/>
      <c r="F217" s="25" t="n"/>
      <c r="G217" s="25" t="n"/>
      <c r="H217" s="25" t="n"/>
      <c r="I217" s="28" t="n"/>
      <c r="J217" s="28" t="n"/>
      <c r="K217" s="28" t="n"/>
      <c r="L217" s="25" t="n"/>
      <c r="M217" s="141" t="n"/>
      <c r="N217" s="25" t="n"/>
      <c r="O217" s="141" t="n"/>
      <c r="P217" s="25" t="n"/>
      <c r="Q217" s="139">
        <f>IF($M217="","",IF(OR($N217="已完成",$N217="已关闭"),IF($O217="",0,MAX(0,$O217-$M217)),MAX(0,TODAY()-$M217)))</f>
        <v/>
      </c>
      <c r="R217" s="139">
        <f>IF(AND($B217&lt;&gt;"",$O217&lt;&gt;""),$O217-$B217,"")</f>
        <v/>
      </c>
      <c r="S217" s="25" t="n"/>
    </row>
    <row r="218" ht="25" customHeight="1">
      <c r="A218" s="25">
        <f>IF($B218="","","CA-"&amp;TEXT(ROW()-4,"0000"))</f>
        <v/>
      </c>
      <c r="B218" s="141" t="n"/>
      <c r="C218" s="25" t="n"/>
      <c r="D218" s="25" t="n"/>
      <c r="E218" s="25" t="n"/>
      <c r="F218" s="25" t="n"/>
      <c r="G218" s="25" t="n"/>
      <c r="H218" s="25" t="n"/>
      <c r="I218" s="28" t="n"/>
      <c r="J218" s="28" t="n"/>
      <c r="K218" s="28" t="n"/>
      <c r="L218" s="25" t="n"/>
      <c r="M218" s="141" t="n"/>
      <c r="N218" s="25" t="n"/>
      <c r="O218" s="141" t="n"/>
      <c r="P218" s="25" t="n"/>
      <c r="Q218" s="139">
        <f>IF($M218="","",IF(OR($N218="已完成",$N218="已关闭"),IF($O218="",0,MAX(0,$O218-$M218)),MAX(0,TODAY()-$M218)))</f>
        <v/>
      </c>
      <c r="R218" s="139">
        <f>IF(AND($B218&lt;&gt;"",$O218&lt;&gt;""),$O218-$B218,"")</f>
        <v/>
      </c>
      <c r="S218" s="25" t="n"/>
    </row>
    <row r="219" ht="25" customHeight="1">
      <c r="A219" s="25">
        <f>IF($B219="","","CA-"&amp;TEXT(ROW()-4,"0000"))</f>
        <v/>
      </c>
      <c r="B219" s="141" t="n"/>
      <c r="C219" s="25" t="n"/>
      <c r="D219" s="25" t="n"/>
      <c r="E219" s="25" t="n"/>
      <c r="F219" s="25" t="n"/>
      <c r="G219" s="25" t="n"/>
      <c r="H219" s="25" t="n"/>
      <c r="I219" s="28" t="n"/>
      <c r="J219" s="28" t="n"/>
      <c r="K219" s="28" t="n"/>
      <c r="L219" s="25" t="n"/>
      <c r="M219" s="141" t="n"/>
      <c r="N219" s="25" t="n"/>
      <c r="O219" s="141" t="n"/>
      <c r="P219" s="25" t="n"/>
      <c r="Q219" s="139">
        <f>IF($M219="","",IF(OR($N219="已完成",$N219="已关闭"),IF($O219="",0,MAX(0,$O219-$M219)),MAX(0,TODAY()-$M219)))</f>
        <v/>
      </c>
      <c r="R219" s="139">
        <f>IF(AND($B219&lt;&gt;"",$O219&lt;&gt;""),$O219-$B219,"")</f>
        <v/>
      </c>
      <c r="S219" s="25" t="n"/>
    </row>
    <row r="220" ht="25" customHeight="1">
      <c r="A220" s="25">
        <f>IF($B220="","","CA-"&amp;TEXT(ROW()-4,"0000"))</f>
        <v/>
      </c>
      <c r="B220" s="141" t="n"/>
      <c r="C220" s="25" t="n"/>
      <c r="D220" s="25" t="n"/>
      <c r="E220" s="25" t="n"/>
      <c r="F220" s="25" t="n"/>
      <c r="G220" s="25" t="n"/>
      <c r="H220" s="25" t="n"/>
      <c r="I220" s="28" t="n"/>
      <c r="J220" s="28" t="n"/>
      <c r="K220" s="28" t="n"/>
      <c r="L220" s="25" t="n"/>
      <c r="M220" s="141" t="n"/>
      <c r="N220" s="25" t="n"/>
      <c r="O220" s="141" t="n"/>
      <c r="P220" s="25" t="n"/>
      <c r="Q220" s="139">
        <f>IF($M220="","",IF(OR($N220="已完成",$N220="已关闭"),IF($O220="",0,MAX(0,$O220-$M220)),MAX(0,TODAY()-$M220)))</f>
        <v/>
      </c>
      <c r="R220" s="139">
        <f>IF(AND($B220&lt;&gt;"",$O220&lt;&gt;""),$O220-$B220,"")</f>
        <v/>
      </c>
      <c r="S220" s="25" t="n"/>
    </row>
    <row r="221" ht="25" customHeight="1">
      <c r="A221" s="25">
        <f>IF($B221="","","CA-"&amp;TEXT(ROW()-4,"0000"))</f>
        <v/>
      </c>
      <c r="B221" s="141" t="n"/>
      <c r="C221" s="25" t="n"/>
      <c r="D221" s="25" t="n"/>
      <c r="E221" s="25" t="n"/>
      <c r="F221" s="25" t="n"/>
      <c r="G221" s="25" t="n"/>
      <c r="H221" s="25" t="n"/>
      <c r="I221" s="28" t="n"/>
      <c r="J221" s="28" t="n"/>
      <c r="K221" s="28" t="n"/>
      <c r="L221" s="25" t="n"/>
      <c r="M221" s="141" t="n"/>
      <c r="N221" s="25" t="n"/>
      <c r="O221" s="141" t="n"/>
      <c r="P221" s="25" t="n"/>
      <c r="Q221" s="139">
        <f>IF($M221="","",IF(OR($N221="已完成",$N221="已关闭"),IF($O221="",0,MAX(0,$O221-$M221)),MAX(0,TODAY()-$M221)))</f>
        <v/>
      </c>
      <c r="R221" s="139">
        <f>IF(AND($B221&lt;&gt;"",$O221&lt;&gt;""),$O221-$B221,"")</f>
        <v/>
      </c>
      <c r="S221" s="25" t="n"/>
    </row>
    <row r="222" ht="25" customHeight="1">
      <c r="A222" s="25">
        <f>IF($B222="","","CA-"&amp;TEXT(ROW()-4,"0000"))</f>
        <v/>
      </c>
      <c r="B222" s="141" t="n"/>
      <c r="C222" s="25" t="n"/>
      <c r="D222" s="25" t="n"/>
      <c r="E222" s="25" t="n"/>
      <c r="F222" s="25" t="n"/>
      <c r="G222" s="25" t="n"/>
      <c r="H222" s="25" t="n"/>
      <c r="I222" s="28" t="n"/>
      <c r="J222" s="28" t="n"/>
      <c r="K222" s="28" t="n"/>
      <c r="L222" s="25" t="n"/>
      <c r="M222" s="141" t="n"/>
      <c r="N222" s="25" t="n"/>
      <c r="O222" s="141" t="n"/>
      <c r="P222" s="25" t="n"/>
      <c r="Q222" s="139">
        <f>IF($M222="","",IF(OR($N222="已完成",$N222="已关闭"),IF($O222="",0,MAX(0,$O222-$M222)),MAX(0,TODAY()-$M222)))</f>
        <v/>
      </c>
      <c r="R222" s="139">
        <f>IF(AND($B222&lt;&gt;"",$O222&lt;&gt;""),$O222-$B222,"")</f>
        <v/>
      </c>
      <c r="S222" s="25" t="n"/>
    </row>
    <row r="223" ht="25" customHeight="1">
      <c r="A223" s="25">
        <f>IF($B223="","","CA-"&amp;TEXT(ROW()-4,"0000"))</f>
        <v/>
      </c>
      <c r="B223" s="141" t="n"/>
      <c r="C223" s="25" t="n"/>
      <c r="D223" s="25" t="n"/>
      <c r="E223" s="25" t="n"/>
      <c r="F223" s="25" t="n"/>
      <c r="G223" s="25" t="n"/>
      <c r="H223" s="25" t="n"/>
      <c r="I223" s="28" t="n"/>
      <c r="J223" s="28" t="n"/>
      <c r="K223" s="28" t="n"/>
      <c r="L223" s="25" t="n"/>
      <c r="M223" s="141" t="n"/>
      <c r="N223" s="25" t="n"/>
      <c r="O223" s="141" t="n"/>
      <c r="P223" s="25" t="n"/>
      <c r="Q223" s="139">
        <f>IF($M223="","",IF(OR($N223="已完成",$N223="已关闭"),IF($O223="",0,MAX(0,$O223-$M223)),MAX(0,TODAY()-$M223)))</f>
        <v/>
      </c>
      <c r="R223" s="139">
        <f>IF(AND($B223&lt;&gt;"",$O223&lt;&gt;""),$O223-$B223,"")</f>
        <v/>
      </c>
      <c r="S223" s="25" t="n"/>
    </row>
    <row r="224" ht="25" customHeight="1">
      <c r="A224" s="25">
        <f>IF($B224="","","CA-"&amp;TEXT(ROW()-4,"0000"))</f>
        <v/>
      </c>
      <c r="B224" s="141" t="n"/>
      <c r="C224" s="25" t="n"/>
      <c r="D224" s="25" t="n"/>
      <c r="E224" s="25" t="n"/>
      <c r="F224" s="25" t="n"/>
      <c r="G224" s="25" t="n"/>
      <c r="H224" s="25" t="n"/>
      <c r="I224" s="28" t="n"/>
      <c r="J224" s="28" t="n"/>
      <c r="K224" s="28" t="n"/>
      <c r="L224" s="25" t="n"/>
      <c r="M224" s="141" t="n"/>
      <c r="N224" s="25" t="n"/>
      <c r="O224" s="141" t="n"/>
      <c r="P224" s="25" t="n"/>
      <c r="Q224" s="139">
        <f>IF($M224="","",IF(OR($N224="已完成",$N224="已关闭"),IF($O224="",0,MAX(0,$O224-$M224)),MAX(0,TODAY()-$M224)))</f>
        <v/>
      </c>
      <c r="R224" s="139">
        <f>IF(AND($B224&lt;&gt;"",$O224&lt;&gt;""),$O224-$B224,"")</f>
        <v/>
      </c>
      <c r="S224" s="25" t="n"/>
    </row>
    <row r="225" ht="25" customHeight="1">
      <c r="A225" s="25">
        <f>IF($B225="","","CA-"&amp;TEXT(ROW()-4,"0000"))</f>
        <v/>
      </c>
      <c r="B225" s="141" t="n"/>
      <c r="C225" s="25" t="n"/>
      <c r="D225" s="25" t="n"/>
      <c r="E225" s="25" t="n"/>
      <c r="F225" s="25" t="n"/>
      <c r="G225" s="25" t="n"/>
      <c r="H225" s="25" t="n"/>
      <c r="I225" s="28" t="n"/>
      <c r="J225" s="28" t="n"/>
      <c r="K225" s="28" t="n"/>
      <c r="L225" s="25" t="n"/>
      <c r="M225" s="141" t="n"/>
      <c r="N225" s="25" t="n"/>
      <c r="O225" s="141" t="n"/>
      <c r="P225" s="25" t="n"/>
      <c r="Q225" s="139">
        <f>IF($M225="","",IF(OR($N225="已完成",$N225="已关闭"),IF($O225="",0,MAX(0,$O225-$M225)),MAX(0,TODAY()-$M225)))</f>
        <v/>
      </c>
      <c r="R225" s="139">
        <f>IF(AND($B225&lt;&gt;"",$O225&lt;&gt;""),$O225-$B225,"")</f>
        <v/>
      </c>
      <c r="S225" s="25" t="n"/>
    </row>
    <row r="226" ht="25" customHeight="1">
      <c r="A226" s="25">
        <f>IF($B226="","","CA-"&amp;TEXT(ROW()-4,"0000"))</f>
        <v/>
      </c>
      <c r="B226" s="141" t="n"/>
      <c r="C226" s="25" t="n"/>
      <c r="D226" s="25" t="n"/>
      <c r="E226" s="25" t="n"/>
      <c r="F226" s="25" t="n"/>
      <c r="G226" s="25" t="n"/>
      <c r="H226" s="25" t="n"/>
      <c r="I226" s="28" t="n"/>
      <c r="J226" s="28" t="n"/>
      <c r="K226" s="28" t="n"/>
      <c r="L226" s="25" t="n"/>
      <c r="M226" s="141" t="n"/>
      <c r="N226" s="25" t="n"/>
      <c r="O226" s="141" t="n"/>
      <c r="P226" s="25" t="n"/>
      <c r="Q226" s="139">
        <f>IF($M226="","",IF(OR($N226="已完成",$N226="已关闭"),IF($O226="",0,MAX(0,$O226-$M226)),MAX(0,TODAY()-$M226)))</f>
        <v/>
      </c>
      <c r="R226" s="139">
        <f>IF(AND($B226&lt;&gt;"",$O226&lt;&gt;""),$O226-$B226,"")</f>
        <v/>
      </c>
      <c r="S226" s="25" t="n"/>
    </row>
    <row r="227" ht="25" customHeight="1">
      <c r="A227" s="25">
        <f>IF($B227="","","CA-"&amp;TEXT(ROW()-4,"0000"))</f>
        <v/>
      </c>
      <c r="B227" s="141" t="n"/>
      <c r="C227" s="25" t="n"/>
      <c r="D227" s="25" t="n"/>
      <c r="E227" s="25" t="n"/>
      <c r="F227" s="25" t="n"/>
      <c r="G227" s="25" t="n"/>
      <c r="H227" s="25" t="n"/>
      <c r="I227" s="28" t="n"/>
      <c r="J227" s="28" t="n"/>
      <c r="K227" s="28" t="n"/>
      <c r="L227" s="25" t="n"/>
      <c r="M227" s="141" t="n"/>
      <c r="N227" s="25" t="n"/>
      <c r="O227" s="141" t="n"/>
      <c r="P227" s="25" t="n"/>
      <c r="Q227" s="139">
        <f>IF($M227="","",IF(OR($N227="已完成",$N227="已关闭"),IF($O227="",0,MAX(0,$O227-$M227)),MAX(0,TODAY()-$M227)))</f>
        <v/>
      </c>
      <c r="R227" s="139">
        <f>IF(AND($B227&lt;&gt;"",$O227&lt;&gt;""),$O227-$B227,"")</f>
        <v/>
      </c>
      <c r="S227" s="25" t="n"/>
    </row>
    <row r="228" ht="25" customHeight="1">
      <c r="A228" s="25">
        <f>IF($B228="","","CA-"&amp;TEXT(ROW()-4,"0000"))</f>
        <v/>
      </c>
      <c r="B228" s="141" t="n"/>
      <c r="C228" s="25" t="n"/>
      <c r="D228" s="25" t="n"/>
      <c r="E228" s="25" t="n"/>
      <c r="F228" s="25" t="n"/>
      <c r="G228" s="25" t="n"/>
      <c r="H228" s="25" t="n"/>
      <c r="I228" s="28" t="n"/>
      <c r="J228" s="28" t="n"/>
      <c r="K228" s="28" t="n"/>
      <c r="L228" s="25" t="n"/>
      <c r="M228" s="141" t="n"/>
      <c r="N228" s="25" t="n"/>
      <c r="O228" s="141" t="n"/>
      <c r="P228" s="25" t="n"/>
      <c r="Q228" s="139">
        <f>IF($M228="","",IF(OR($N228="已完成",$N228="已关闭"),IF($O228="",0,MAX(0,$O228-$M228)),MAX(0,TODAY()-$M228)))</f>
        <v/>
      </c>
      <c r="R228" s="139">
        <f>IF(AND($B228&lt;&gt;"",$O228&lt;&gt;""),$O228-$B228,"")</f>
        <v/>
      </c>
      <c r="S228" s="25" t="n"/>
    </row>
    <row r="229" ht="25" customHeight="1">
      <c r="A229" s="25">
        <f>IF($B229="","","CA-"&amp;TEXT(ROW()-4,"0000"))</f>
        <v/>
      </c>
      <c r="B229" s="141" t="n"/>
      <c r="C229" s="25" t="n"/>
      <c r="D229" s="25" t="n"/>
      <c r="E229" s="25" t="n"/>
      <c r="F229" s="25" t="n"/>
      <c r="G229" s="25" t="n"/>
      <c r="H229" s="25" t="n"/>
      <c r="I229" s="28" t="n"/>
      <c r="J229" s="28" t="n"/>
      <c r="K229" s="28" t="n"/>
      <c r="L229" s="25" t="n"/>
      <c r="M229" s="141" t="n"/>
      <c r="N229" s="25" t="n"/>
      <c r="O229" s="141" t="n"/>
      <c r="P229" s="25" t="n"/>
      <c r="Q229" s="139">
        <f>IF($M229="","",IF(OR($N229="已完成",$N229="已关闭"),IF($O229="",0,MAX(0,$O229-$M229)),MAX(0,TODAY()-$M229)))</f>
        <v/>
      </c>
      <c r="R229" s="139">
        <f>IF(AND($B229&lt;&gt;"",$O229&lt;&gt;""),$O229-$B229,"")</f>
        <v/>
      </c>
      <c r="S229" s="25" t="n"/>
    </row>
    <row r="230" ht="25" customHeight="1">
      <c r="A230" s="25">
        <f>IF($B230="","","CA-"&amp;TEXT(ROW()-4,"0000"))</f>
        <v/>
      </c>
      <c r="B230" s="141" t="n"/>
      <c r="C230" s="25" t="n"/>
      <c r="D230" s="25" t="n"/>
      <c r="E230" s="25" t="n"/>
      <c r="F230" s="25" t="n"/>
      <c r="G230" s="25" t="n"/>
      <c r="H230" s="25" t="n"/>
      <c r="I230" s="28" t="n"/>
      <c r="J230" s="28" t="n"/>
      <c r="K230" s="28" t="n"/>
      <c r="L230" s="25" t="n"/>
      <c r="M230" s="141" t="n"/>
      <c r="N230" s="25" t="n"/>
      <c r="O230" s="141" t="n"/>
      <c r="P230" s="25" t="n"/>
      <c r="Q230" s="139">
        <f>IF($M230="","",IF(OR($N230="已完成",$N230="已关闭"),IF($O230="",0,MAX(0,$O230-$M230)),MAX(0,TODAY()-$M230)))</f>
        <v/>
      </c>
      <c r="R230" s="139">
        <f>IF(AND($B230&lt;&gt;"",$O230&lt;&gt;""),$O230-$B230,"")</f>
        <v/>
      </c>
      <c r="S230" s="25" t="n"/>
    </row>
    <row r="231" ht="25" customHeight="1">
      <c r="A231" s="25">
        <f>IF($B231="","","CA-"&amp;TEXT(ROW()-4,"0000"))</f>
        <v/>
      </c>
      <c r="B231" s="141" t="n"/>
      <c r="C231" s="25" t="n"/>
      <c r="D231" s="25" t="n"/>
      <c r="E231" s="25" t="n"/>
      <c r="F231" s="25" t="n"/>
      <c r="G231" s="25" t="n"/>
      <c r="H231" s="25" t="n"/>
      <c r="I231" s="28" t="n"/>
      <c r="J231" s="28" t="n"/>
      <c r="K231" s="28" t="n"/>
      <c r="L231" s="25" t="n"/>
      <c r="M231" s="141" t="n"/>
      <c r="N231" s="25" t="n"/>
      <c r="O231" s="141" t="n"/>
      <c r="P231" s="25" t="n"/>
      <c r="Q231" s="139">
        <f>IF($M231="","",IF(OR($N231="已完成",$N231="已关闭"),IF($O231="",0,MAX(0,$O231-$M231)),MAX(0,TODAY()-$M231)))</f>
        <v/>
      </c>
      <c r="R231" s="139">
        <f>IF(AND($B231&lt;&gt;"",$O231&lt;&gt;""),$O231-$B231,"")</f>
        <v/>
      </c>
      <c r="S231" s="25" t="n"/>
    </row>
    <row r="232" ht="25" customHeight="1">
      <c r="A232" s="25">
        <f>IF($B232="","","CA-"&amp;TEXT(ROW()-4,"0000"))</f>
        <v/>
      </c>
      <c r="B232" s="141" t="n"/>
      <c r="C232" s="25" t="n"/>
      <c r="D232" s="25" t="n"/>
      <c r="E232" s="25" t="n"/>
      <c r="F232" s="25" t="n"/>
      <c r="G232" s="25" t="n"/>
      <c r="H232" s="25" t="n"/>
      <c r="I232" s="28" t="n"/>
      <c r="J232" s="28" t="n"/>
      <c r="K232" s="28" t="n"/>
      <c r="L232" s="25" t="n"/>
      <c r="M232" s="141" t="n"/>
      <c r="N232" s="25" t="n"/>
      <c r="O232" s="141" t="n"/>
      <c r="P232" s="25" t="n"/>
      <c r="Q232" s="139">
        <f>IF($M232="","",IF(OR($N232="已完成",$N232="已关闭"),IF($O232="",0,MAX(0,$O232-$M232)),MAX(0,TODAY()-$M232)))</f>
        <v/>
      </c>
      <c r="R232" s="139">
        <f>IF(AND($B232&lt;&gt;"",$O232&lt;&gt;""),$O232-$B232,"")</f>
        <v/>
      </c>
      <c r="S232" s="25" t="n"/>
    </row>
    <row r="233" ht="25" customHeight="1">
      <c r="A233" s="25">
        <f>IF($B233="","","CA-"&amp;TEXT(ROW()-4,"0000"))</f>
        <v/>
      </c>
      <c r="B233" s="141" t="n"/>
      <c r="C233" s="25" t="n"/>
      <c r="D233" s="25" t="n"/>
      <c r="E233" s="25" t="n"/>
      <c r="F233" s="25" t="n"/>
      <c r="G233" s="25" t="n"/>
      <c r="H233" s="25" t="n"/>
      <c r="I233" s="28" t="n"/>
      <c r="J233" s="28" t="n"/>
      <c r="K233" s="28" t="n"/>
      <c r="L233" s="25" t="n"/>
      <c r="M233" s="141" t="n"/>
      <c r="N233" s="25" t="n"/>
      <c r="O233" s="141" t="n"/>
      <c r="P233" s="25" t="n"/>
      <c r="Q233" s="139">
        <f>IF($M233="","",IF(OR($N233="已完成",$N233="已关闭"),IF($O233="",0,MAX(0,$O233-$M233)),MAX(0,TODAY()-$M233)))</f>
        <v/>
      </c>
      <c r="R233" s="139">
        <f>IF(AND($B233&lt;&gt;"",$O233&lt;&gt;""),$O233-$B233,"")</f>
        <v/>
      </c>
      <c r="S233" s="25" t="n"/>
    </row>
    <row r="234" ht="25" customHeight="1">
      <c r="A234" s="25">
        <f>IF($B234="","","CA-"&amp;TEXT(ROW()-4,"0000"))</f>
        <v/>
      </c>
      <c r="B234" s="141" t="n"/>
      <c r="C234" s="25" t="n"/>
      <c r="D234" s="25" t="n"/>
      <c r="E234" s="25" t="n"/>
      <c r="F234" s="25" t="n"/>
      <c r="G234" s="25" t="n"/>
      <c r="H234" s="25" t="n"/>
      <c r="I234" s="28" t="n"/>
      <c r="J234" s="28" t="n"/>
      <c r="K234" s="28" t="n"/>
      <c r="L234" s="25" t="n"/>
      <c r="M234" s="141" t="n"/>
      <c r="N234" s="25" t="n"/>
      <c r="O234" s="141" t="n"/>
      <c r="P234" s="25" t="n"/>
      <c r="Q234" s="139">
        <f>IF($M234="","",IF(OR($N234="已完成",$N234="已关闭"),IF($O234="",0,MAX(0,$O234-$M234)),MAX(0,TODAY()-$M234)))</f>
        <v/>
      </c>
      <c r="R234" s="139">
        <f>IF(AND($B234&lt;&gt;"",$O234&lt;&gt;""),$O234-$B234,"")</f>
        <v/>
      </c>
      <c r="S234" s="25" t="n"/>
    </row>
    <row r="235" ht="25" customHeight="1">
      <c r="A235" s="25">
        <f>IF($B235="","","CA-"&amp;TEXT(ROW()-4,"0000"))</f>
        <v/>
      </c>
      <c r="B235" s="141" t="n"/>
      <c r="C235" s="25" t="n"/>
      <c r="D235" s="25" t="n"/>
      <c r="E235" s="25" t="n"/>
      <c r="F235" s="25" t="n"/>
      <c r="G235" s="25" t="n"/>
      <c r="H235" s="25" t="n"/>
      <c r="I235" s="28" t="n"/>
      <c r="J235" s="28" t="n"/>
      <c r="K235" s="28" t="n"/>
      <c r="L235" s="25" t="n"/>
      <c r="M235" s="141" t="n"/>
      <c r="N235" s="25" t="n"/>
      <c r="O235" s="141" t="n"/>
      <c r="P235" s="25" t="n"/>
      <c r="Q235" s="139">
        <f>IF($M235="","",IF(OR($N235="已完成",$N235="已关闭"),IF($O235="",0,MAX(0,$O235-$M235)),MAX(0,TODAY()-$M235)))</f>
        <v/>
      </c>
      <c r="R235" s="139">
        <f>IF(AND($B235&lt;&gt;"",$O235&lt;&gt;""),$O235-$B235,"")</f>
        <v/>
      </c>
      <c r="S235" s="25" t="n"/>
    </row>
    <row r="236" ht="25" customHeight="1">
      <c r="A236" s="25">
        <f>IF($B236="","","CA-"&amp;TEXT(ROW()-4,"0000"))</f>
        <v/>
      </c>
      <c r="B236" s="141" t="n"/>
      <c r="C236" s="25" t="n"/>
      <c r="D236" s="25" t="n"/>
      <c r="E236" s="25" t="n"/>
      <c r="F236" s="25" t="n"/>
      <c r="G236" s="25" t="n"/>
      <c r="H236" s="25" t="n"/>
      <c r="I236" s="28" t="n"/>
      <c r="J236" s="28" t="n"/>
      <c r="K236" s="28" t="n"/>
      <c r="L236" s="25" t="n"/>
      <c r="M236" s="141" t="n"/>
      <c r="N236" s="25" t="n"/>
      <c r="O236" s="141" t="n"/>
      <c r="P236" s="25" t="n"/>
      <c r="Q236" s="139">
        <f>IF($M236="","",IF(OR($N236="已完成",$N236="已关闭"),IF($O236="",0,MAX(0,$O236-$M236)),MAX(0,TODAY()-$M236)))</f>
        <v/>
      </c>
      <c r="R236" s="139">
        <f>IF(AND($B236&lt;&gt;"",$O236&lt;&gt;""),$O236-$B236,"")</f>
        <v/>
      </c>
      <c r="S236" s="25" t="n"/>
    </row>
    <row r="237" ht="25" customHeight="1">
      <c r="A237" s="25">
        <f>IF($B237="","","CA-"&amp;TEXT(ROW()-4,"0000"))</f>
        <v/>
      </c>
      <c r="B237" s="141" t="n"/>
      <c r="C237" s="25" t="n"/>
      <c r="D237" s="25" t="n"/>
      <c r="E237" s="25" t="n"/>
      <c r="F237" s="25" t="n"/>
      <c r="G237" s="25" t="n"/>
      <c r="H237" s="25" t="n"/>
      <c r="I237" s="28" t="n"/>
      <c r="J237" s="28" t="n"/>
      <c r="K237" s="28" t="n"/>
      <c r="L237" s="25" t="n"/>
      <c r="M237" s="141" t="n"/>
      <c r="N237" s="25" t="n"/>
      <c r="O237" s="141" t="n"/>
      <c r="P237" s="25" t="n"/>
      <c r="Q237" s="139">
        <f>IF($M237="","",IF(OR($N237="已完成",$N237="已关闭"),IF($O237="",0,MAX(0,$O237-$M237)),MAX(0,TODAY()-$M237)))</f>
        <v/>
      </c>
      <c r="R237" s="139">
        <f>IF(AND($B237&lt;&gt;"",$O237&lt;&gt;""),$O237-$B237,"")</f>
        <v/>
      </c>
      <c r="S237" s="25" t="n"/>
    </row>
    <row r="238" ht="25" customHeight="1">
      <c r="A238" s="25">
        <f>IF($B238="","","CA-"&amp;TEXT(ROW()-4,"0000"))</f>
        <v/>
      </c>
      <c r="B238" s="141" t="n"/>
      <c r="C238" s="25" t="n"/>
      <c r="D238" s="25" t="n"/>
      <c r="E238" s="25" t="n"/>
      <c r="F238" s="25" t="n"/>
      <c r="G238" s="25" t="n"/>
      <c r="H238" s="25" t="n"/>
      <c r="I238" s="28" t="n"/>
      <c r="J238" s="28" t="n"/>
      <c r="K238" s="28" t="n"/>
      <c r="L238" s="25" t="n"/>
      <c r="M238" s="141" t="n"/>
      <c r="N238" s="25" t="n"/>
      <c r="O238" s="141" t="n"/>
      <c r="P238" s="25" t="n"/>
      <c r="Q238" s="139">
        <f>IF($M238="","",IF(OR($N238="已完成",$N238="已关闭"),IF($O238="",0,MAX(0,$O238-$M238)),MAX(0,TODAY()-$M238)))</f>
        <v/>
      </c>
      <c r="R238" s="139">
        <f>IF(AND($B238&lt;&gt;"",$O238&lt;&gt;""),$O238-$B238,"")</f>
        <v/>
      </c>
      <c r="S238" s="25" t="n"/>
    </row>
    <row r="239" ht="25" customHeight="1">
      <c r="A239" s="25">
        <f>IF($B239="","","CA-"&amp;TEXT(ROW()-4,"0000"))</f>
        <v/>
      </c>
      <c r="B239" s="141" t="n"/>
      <c r="C239" s="25" t="n"/>
      <c r="D239" s="25" t="n"/>
      <c r="E239" s="25" t="n"/>
      <c r="F239" s="25" t="n"/>
      <c r="G239" s="25" t="n"/>
      <c r="H239" s="25" t="n"/>
      <c r="I239" s="28" t="n"/>
      <c r="J239" s="28" t="n"/>
      <c r="K239" s="28" t="n"/>
      <c r="L239" s="25" t="n"/>
      <c r="M239" s="141" t="n"/>
      <c r="N239" s="25" t="n"/>
      <c r="O239" s="141" t="n"/>
      <c r="P239" s="25" t="n"/>
      <c r="Q239" s="139">
        <f>IF($M239="","",IF(OR($N239="已完成",$N239="已关闭"),IF($O239="",0,MAX(0,$O239-$M239)),MAX(0,TODAY()-$M239)))</f>
        <v/>
      </c>
      <c r="R239" s="139">
        <f>IF(AND($B239&lt;&gt;"",$O239&lt;&gt;""),$O239-$B239,"")</f>
        <v/>
      </c>
      <c r="S239" s="25" t="n"/>
    </row>
    <row r="240" ht="25" customHeight="1">
      <c r="A240" s="25">
        <f>IF($B240="","","CA-"&amp;TEXT(ROW()-4,"0000"))</f>
        <v/>
      </c>
      <c r="B240" s="141" t="n"/>
      <c r="C240" s="25" t="n"/>
      <c r="D240" s="25" t="n"/>
      <c r="E240" s="25" t="n"/>
      <c r="F240" s="25" t="n"/>
      <c r="G240" s="25" t="n"/>
      <c r="H240" s="25" t="n"/>
      <c r="I240" s="28" t="n"/>
      <c r="J240" s="28" t="n"/>
      <c r="K240" s="28" t="n"/>
      <c r="L240" s="25" t="n"/>
      <c r="M240" s="141" t="n"/>
      <c r="N240" s="25" t="n"/>
      <c r="O240" s="141" t="n"/>
      <c r="P240" s="25" t="n"/>
      <c r="Q240" s="139">
        <f>IF($M240="","",IF(OR($N240="已完成",$N240="已关闭"),IF($O240="",0,MAX(0,$O240-$M240)),MAX(0,TODAY()-$M240)))</f>
        <v/>
      </c>
      <c r="R240" s="139">
        <f>IF(AND($B240&lt;&gt;"",$O240&lt;&gt;""),$O240-$B240,"")</f>
        <v/>
      </c>
      <c r="S240" s="25" t="n"/>
    </row>
    <row r="241" ht="25" customHeight="1">
      <c r="A241" s="25">
        <f>IF($B241="","","CA-"&amp;TEXT(ROW()-4,"0000"))</f>
        <v/>
      </c>
      <c r="B241" s="141" t="n"/>
      <c r="C241" s="25" t="n"/>
      <c r="D241" s="25" t="n"/>
      <c r="E241" s="25" t="n"/>
      <c r="F241" s="25" t="n"/>
      <c r="G241" s="25" t="n"/>
      <c r="H241" s="25" t="n"/>
      <c r="I241" s="28" t="n"/>
      <c r="J241" s="28" t="n"/>
      <c r="K241" s="28" t="n"/>
      <c r="L241" s="25" t="n"/>
      <c r="M241" s="141" t="n"/>
      <c r="N241" s="25" t="n"/>
      <c r="O241" s="141" t="n"/>
      <c r="P241" s="25" t="n"/>
      <c r="Q241" s="139">
        <f>IF($M241="","",IF(OR($N241="已完成",$N241="已关闭"),IF($O241="",0,MAX(0,$O241-$M241)),MAX(0,TODAY()-$M241)))</f>
        <v/>
      </c>
      <c r="R241" s="139">
        <f>IF(AND($B241&lt;&gt;"",$O241&lt;&gt;""),$O241-$B241,"")</f>
        <v/>
      </c>
      <c r="S241" s="25" t="n"/>
    </row>
    <row r="242" ht="25" customHeight="1">
      <c r="A242" s="25">
        <f>IF($B242="","","CA-"&amp;TEXT(ROW()-4,"0000"))</f>
        <v/>
      </c>
      <c r="B242" s="141" t="n"/>
      <c r="C242" s="25" t="n"/>
      <c r="D242" s="25" t="n"/>
      <c r="E242" s="25" t="n"/>
      <c r="F242" s="25" t="n"/>
      <c r="G242" s="25" t="n"/>
      <c r="H242" s="25" t="n"/>
      <c r="I242" s="28" t="n"/>
      <c r="J242" s="28" t="n"/>
      <c r="K242" s="28" t="n"/>
      <c r="L242" s="25" t="n"/>
      <c r="M242" s="141" t="n"/>
      <c r="N242" s="25" t="n"/>
      <c r="O242" s="141" t="n"/>
      <c r="P242" s="25" t="n"/>
      <c r="Q242" s="139">
        <f>IF($M242="","",IF(OR($N242="已完成",$N242="已关闭"),IF($O242="",0,MAX(0,$O242-$M242)),MAX(0,TODAY()-$M242)))</f>
        <v/>
      </c>
      <c r="R242" s="139">
        <f>IF(AND($B242&lt;&gt;"",$O242&lt;&gt;""),$O242-$B242,"")</f>
        <v/>
      </c>
      <c r="S242" s="25" t="n"/>
    </row>
    <row r="243" ht="25" customHeight="1">
      <c r="A243" s="25">
        <f>IF($B243="","","CA-"&amp;TEXT(ROW()-4,"0000"))</f>
        <v/>
      </c>
      <c r="B243" s="141" t="n"/>
      <c r="C243" s="25" t="n"/>
      <c r="D243" s="25" t="n"/>
      <c r="E243" s="25" t="n"/>
      <c r="F243" s="25" t="n"/>
      <c r="G243" s="25" t="n"/>
      <c r="H243" s="25" t="n"/>
      <c r="I243" s="28" t="n"/>
      <c r="J243" s="28" t="n"/>
      <c r="K243" s="28" t="n"/>
      <c r="L243" s="25" t="n"/>
      <c r="M243" s="141" t="n"/>
      <c r="N243" s="25" t="n"/>
      <c r="O243" s="141" t="n"/>
      <c r="P243" s="25" t="n"/>
      <c r="Q243" s="139">
        <f>IF($M243="","",IF(OR($N243="已完成",$N243="已关闭"),IF($O243="",0,MAX(0,$O243-$M243)),MAX(0,TODAY()-$M243)))</f>
        <v/>
      </c>
      <c r="R243" s="139">
        <f>IF(AND($B243&lt;&gt;"",$O243&lt;&gt;""),$O243-$B243,"")</f>
        <v/>
      </c>
      <c r="S243" s="25" t="n"/>
    </row>
    <row r="244" ht="25" customHeight="1">
      <c r="A244" s="25">
        <f>IF($B244="","","CA-"&amp;TEXT(ROW()-4,"0000"))</f>
        <v/>
      </c>
      <c r="B244" s="141" t="n"/>
      <c r="C244" s="25" t="n"/>
      <c r="D244" s="25" t="n"/>
      <c r="E244" s="25" t="n"/>
      <c r="F244" s="25" t="n"/>
      <c r="G244" s="25" t="n"/>
      <c r="H244" s="25" t="n"/>
      <c r="I244" s="28" t="n"/>
      <c r="J244" s="28" t="n"/>
      <c r="K244" s="28" t="n"/>
      <c r="L244" s="25" t="n"/>
      <c r="M244" s="141" t="n"/>
      <c r="N244" s="25" t="n"/>
      <c r="O244" s="141" t="n"/>
      <c r="P244" s="25" t="n"/>
      <c r="Q244" s="139">
        <f>IF($M244="","",IF(OR($N244="已完成",$N244="已关闭"),IF($O244="",0,MAX(0,$O244-$M244)),MAX(0,TODAY()-$M244)))</f>
        <v/>
      </c>
      <c r="R244" s="139">
        <f>IF(AND($B244&lt;&gt;"",$O244&lt;&gt;""),$O244-$B244,"")</f>
        <v/>
      </c>
      <c r="S244" s="25" t="n"/>
    </row>
    <row r="245" ht="25" customHeight="1">
      <c r="A245" s="25">
        <f>IF($B245="","","CA-"&amp;TEXT(ROW()-4,"0000"))</f>
        <v/>
      </c>
      <c r="B245" s="141" t="n"/>
      <c r="C245" s="25" t="n"/>
      <c r="D245" s="25" t="n"/>
      <c r="E245" s="25" t="n"/>
      <c r="F245" s="25" t="n"/>
      <c r="G245" s="25" t="n"/>
      <c r="H245" s="25" t="n"/>
      <c r="I245" s="28" t="n"/>
      <c r="J245" s="28" t="n"/>
      <c r="K245" s="28" t="n"/>
      <c r="L245" s="25" t="n"/>
      <c r="M245" s="141" t="n"/>
      <c r="N245" s="25" t="n"/>
      <c r="O245" s="141" t="n"/>
      <c r="P245" s="25" t="n"/>
      <c r="Q245" s="139">
        <f>IF($M245="","",IF(OR($N245="已完成",$N245="已关闭"),IF($O245="",0,MAX(0,$O245-$M245)),MAX(0,TODAY()-$M245)))</f>
        <v/>
      </c>
      <c r="R245" s="139">
        <f>IF(AND($B245&lt;&gt;"",$O245&lt;&gt;""),$O245-$B245,"")</f>
        <v/>
      </c>
      <c r="S245" s="25" t="n"/>
    </row>
    <row r="246" ht="25" customHeight="1">
      <c r="A246" s="25">
        <f>IF($B246="","","CA-"&amp;TEXT(ROW()-4,"0000"))</f>
        <v/>
      </c>
      <c r="B246" s="141" t="n"/>
      <c r="C246" s="25" t="n"/>
      <c r="D246" s="25" t="n"/>
      <c r="E246" s="25" t="n"/>
      <c r="F246" s="25" t="n"/>
      <c r="G246" s="25" t="n"/>
      <c r="H246" s="25" t="n"/>
      <c r="I246" s="28" t="n"/>
      <c r="J246" s="28" t="n"/>
      <c r="K246" s="28" t="n"/>
      <c r="L246" s="25" t="n"/>
      <c r="M246" s="141" t="n"/>
      <c r="N246" s="25" t="n"/>
      <c r="O246" s="141" t="n"/>
      <c r="P246" s="25" t="n"/>
      <c r="Q246" s="139">
        <f>IF($M246="","",IF(OR($N246="已完成",$N246="已关闭"),IF($O246="",0,MAX(0,$O246-$M246)),MAX(0,TODAY()-$M246)))</f>
        <v/>
      </c>
      <c r="R246" s="139">
        <f>IF(AND($B246&lt;&gt;"",$O246&lt;&gt;""),$O246-$B246,"")</f>
        <v/>
      </c>
      <c r="S246" s="25" t="n"/>
    </row>
    <row r="247" ht="25" customHeight="1">
      <c r="A247" s="25">
        <f>IF($B247="","","CA-"&amp;TEXT(ROW()-4,"0000"))</f>
        <v/>
      </c>
      <c r="B247" s="141" t="n"/>
      <c r="C247" s="25" t="n"/>
      <c r="D247" s="25" t="n"/>
      <c r="E247" s="25" t="n"/>
      <c r="F247" s="25" t="n"/>
      <c r="G247" s="25" t="n"/>
      <c r="H247" s="25" t="n"/>
      <c r="I247" s="28" t="n"/>
      <c r="J247" s="28" t="n"/>
      <c r="K247" s="28" t="n"/>
      <c r="L247" s="25" t="n"/>
      <c r="M247" s="141" t="n"/>
      <c r="N247" s="25" t="n"/>
      <c r="O247" s="141" t="n"/>
      <c r="P247" s="25" t="n"/>
      <c r="Q247" s="139">
        <f>IF($M247="","",IF(OR($N247="已完成",$N247="已关闭"),IF($O247="",0,MAX(0,$O247-$M247)),MAX(0,TODAY()-$M247)))</f>
        <v/>
      </c>
      <c r="R247" s="139">
        <f>IF(AND($B247&lt;&gt;"",$O247&lt;&gt;""),$O247-$B247,"")</f>
        <v/>
      </c>
      <c r="S247" s="25" t="n"/>
    </row>
    <row r="248" ht="25" customHeight="1">
      <c r="A248" s="25">
        <f>IF($B248="","","CA-"&amp;TEXT(ROW()-4,"0000"))</f>
        <v/>
      </c>
      <c r="B248" s="141" t="n"/>
      <c r="C248" s="25" t="n"/>
      <c r="D248" s="25" t="n"/>
      <c r="E248" s="25" t="n"/>
      <c r="F248" s="25" t="n"/>
      <c r="G248" s="25" t="n"/>
      <c r="H248" s="25" t="n"/>
      <c r="I248" s="28" t="n"/>
      <c r="J248" s="28" t="n"/>
      <c r="K248" s="28" t="n"/>
      <c r="L248" s="25" t="n"/>
      <c r="M248" s="141" t="n"/>
      <c r="N248" s="25" t="n"/>
      <c r="O248" s="141" t="n"/>
      <c r="P248" s="25" t="n"/>
      <c r="Q248" s="139">
        <f>IF($M248="","",IF(OR($N248="已完成",$N248="已关闭"),IF($O248="",0,MAX(0,$O248-$M248)),MAX(0,TODAY()-$M248)))</f>
        <v/>
      </c>
      <c r="R248" s="139">
        <f>IF(AND($B248&lt;&gt;"",$O248&lt;&gt;""),$O248-$B248,"")</f>
        <v/>
      </c>
      <c r="S248" s="25" t="n"/>
    </row>
    <row r="249" ht="25" customHeight="1">
      <c r="A249" s="25">
        <f>IF($B249="","","CA-"&amp;TEXT(ROW()-4,"0000"))</f>
        <v/>
      </c>
      <c r="B249" s="141" t="n"/>
      <c r="C249" s="25" t="n"/>
      <c r="D249" s="25" t="n"/>
      <c r="E249" s="25" t="n"/>
      <c r="F249" s="25" t="n"/>
      <c r="G249" s="25" t="n"/>
      <c r="H249" s="25" t="n"/>
      <c r="I249" s="28" t="n"/>
      <c r="J249" s="28" t="n"/>
      <c r="K249" s="28" t="n"/>
      <c r="L249" s="25" t="n"/>
      <c r="M249" s="141" t="n"/>
      <c r="N249" s="25" t="n"/>
      <c r="O249" s="141" t="n"/>
      <c r="P249" s="25" t="n"/>
      <c r="Q249" s="139">
        <f>IF($M249="","",IF(OR($N249="已完成",$N249="已关闭"),IF($O249="",0,MAX(0,$O249-$M249)),MAX(0,TODAY()-$M249)))</f>
        <v/>
      </c>
      <c r="R249" s="139">
        <f>IF(AND($B249&lt;&gt;"",$O249&lt;&gt;""),$O249-$B249,"")</f>
        <v/>
      </c>
      <c r="S249" s="25" t="n"/>
    </row>
    <row r="250" ht="25" customHeight="1">
      <c r="A250" s="25">
        <f>IF($B250="","","CA-"&amp;TEXT(ROW()-4,"0000"))</f>
        <v/>
      </c>
      <c r="B250" s="141" t="n"/>
      <c r="C250" s="25" t="n"/>
      <c r="D250" s="25" t="n"/>
      <c r="E250" s="25" t="n"/>
      <c r="F250" s="25" t="n"/>
      <c r="G250" s="25" t="n"/>
      <c r="H250" s="25" t="n"/>
      <c r="I250" s="28" t="n"/>
      <c r="J250" s="28" t="n"/>
      <c r="K250" s="28" t="n"/>
      <c r="L250" s="25" t="n"/>
      <c r="M250" s="141" t="n"/>
      <c r="N250" s="25" t="n"/>
      <c r="O250" s="141" t="n"/>
      <c r="P250" s="25" t="n"/>
      <c r="Q250" s="139">
        <f>IF($M250="","",IF(OR($N250="已完成",$N250="已关闭"),IF($O250="",0,MAX(0,$O250-$M250)),MAX(0,TODAY()-$M250)))</f>
        <v/>
      </c>
      <c r="R250" s="139">
        <f>IF(AND($B250&lt;&gt;"",$O250&lt;&gt;""),$O250-$B250,"")</f>
        <v/>
      </c>
      <c r="S250" s="25" t="n"/>
    </row>
    <row r="251" ht="25" customHeight="1">
      <c r="A251" s="25">
        <f>IF($B251="","","CA-"&amp;TEXT(ROW()-4,"0000"))</f>
        <v/>
      </c>
      <c r="B251" s="141" t="n"/>
      <c r="C251" s="25" t="n"/>
      <c r="D251" s="25" t="n"/>
      <c r="E251" s="25" t="n"/>
      <c r="F251" s="25" t="n"/>
      <c r="G251" s="25" t="n"/>
      <c r="H251" s="25" t="n"/>
      <c r="I251" s="28" t="n"/>
      <c r="J251" s="28" t="n"/>
      <c r="K251" s="28" t="n"/>
      <c r="L251" s="25" t="n"/>
      <c r="M251" s="141" t="n"/>
      <c r="N251" s="25" t="n"/>
      <c r="O251" s="141" t="n"/>
      <c r="P251" s="25" t="n"/>
      <c r="Q251" s="139">
        <f>IF($M251="","",IF(OR($N251="已完成",$N251="已关闭"),IF($O251="",0,MAX(0,$O251-$M251)),MAX(0,TODAY()-$M251)))</f>
        <v/>
      </c>
      <c r="R251" s="139">
        <f>IF(AND($B251&lt;&gt;"",$O251&lt;&gt;""),$O251-$B251,"")</f>
        <v/>
      </c>
      <c r="S251" s="25" t="n"/>
    </row>
    <row r="252" ht="25" customHeight="1">
      <c r="A252" s="25">
        <f>IF($B252="","","CA-"&amp;TEXT(ROW()-4,"0000"))</f>
        <v/>
      </c>
      <c r="B252" s="141" t="n"/>
      <c r="C252" s="25" t="n"/>
      <c r="D252" s="25" t="n"/>
      <c r="E252" s="25" t="n"/>
      <c r="F252" s="25" t="n"/>
      <c r="G252" s="25" t="n"/>
      <c r="H252" s="25" t="n"/>
      <c r="I252" s="28" t="n"/>
      <c r="J252" s="28" t="n"/>
      <c r="K252" s="28" t="n"/>
      <c r="L252" s="25" t="n"/>
      <c r="M252" s="141" t="n"/>
      <c r="N252" s="25" t="n"/>
      <c r="O252" s="141" t="n"/>
      <c r="P252" s="25" t="n"/>
      <c r="Q252" s="139">
        <f>IF($M252="","",IF(OR($N252="已完成",$N252="已关闭"),IF($O252="",0,MAX(0,$O252-$M252)),MAX(0,TODAY()-$M252)))</f>
        <v/>
      </c>
      <c r="R252" s="139">
        <f>IF(AND($B252&lt;&gt;"",$O252&lt;&gt;""),$O252-$B252,"")</f>
        <v/>
      </c>
      <c r="S252" s="25" t="n"/>
    </row>
    <row r="253" ht="25" customHeight="1">
      <c r="A253" s="25">
        <f>IF($B253="","","CA-"&amp;TEXT(ROW()-4,"0000"))</f>
        <v/>
      </c>
      <c r="B253" s="141" t="n"/>
      <c r="C253" s="25" t="n"/>
      <c r="D253" s="25" t="n"/>
      <c r="E253" s="25" t="n"/>
      <c r="F253" s="25" t="n"/>
      <c r="G253" s="25" t="n"/>
      <c r="H253" s="25" t="n"/>
      <c r="I253" s="28" t="n"/>
      <c r="J253" s="28" t="n"/>
      <c r="K253" s="28" t="n"/>
      <c r="L253" s="25" t="n"/>
      <c r="M253" s="141" t="n"/>
      <c r="N253" s="25" t="n"/>
      <c r="O253" s="141" t="n"/>
      <c r="P253" s="25" t="n"/>
      <c r="Q253" s="139">
        <f>IF($M253="","",IF(OR($N253="已完成",$N253="已关闭"),IF($O253="",0,MAX(0,$O253-$M253)),MAX(0,TODAY()-$M253)))</f>
        <v/>
      </c>
      <c r="R253" s="139">
        <f>IF(AND($B253&lt;&gt;"",$O253&lt;&gt;""),$O253-$B253,"")</f>
        <v/>
      </c>
      <c r="S253" s="25" t="n"/>
    </row>
    <row r="254" ht="25" customHeight="1">
      <c r="A254" s="25">
        <f>IF($B254="","","CA-"&amp;TEXT(ROW()-4,"0000"))</f>
        <v/>
      </c>
      <c r="B254" s="141" t="n"/>
      <c r="C254" s="25" t="n"/>
      <c r="D254" s="25" t="n"/>
      <c r="E254" s="25" t="n"/>
      <c r="F254" s="25" t="n"/>
      <c r="G254" s="25" t="n"/>
      <c r="H254" s="25" t="n"/>
      <c r="I254" s="28" t="n"/>
      <c r="J254" s="28" t="n"/>
      <c r="K254" s="28" t="n"/>
      <c r="L254" s="25" t="n"/>
      <c r="M254" s="141" t="n"/>
      <c r="N254" s="25" t="n"/>
      <c r="O254" s="141" t="n"/>
      <c r="P254" s="25" t="n"/>
      <c r="Q254" s="139">
        <f>IF($M254="","",IF(OR($N254="已完成",$N254="已关闭"),IF($O254="",0,MAX(0,$O254-$M254)),MAX(0,TODAY()-$M254)))</f>
        <v/>
      </c>
      <c r="R254" s="139">
        <f>IF(AND($B254&lt;&gt;"",$O254&lt;&gt;""),$O254-$B254,"")</f>
        <v/>
      </c>
      <c r="S254" s="25" t="n"/>
    </row>
  </sheetData>
  <mergeCells count="2">
    <mergeCell ref="A2:S2"/>
    <mergeCell ref="A1:S1"/>
  </mergeCells>
  <conditionalFormatting sqref="N5:N254">
    <cfRule type="containsText" priority="1" operator="containsText" dxfId="0" text="已完成"/>
    <cfRule type="containsText" priority="2" operator="containsText" dxfId="0" text="已关闭"/>
    <cfRule type="containsText" priority="3" operator="containsText" dxfId="2" text="延期"/>
  </conditionalFormatting>
  <conditionalFormatting sqref="Q5:Q254">
    <cfRule type="cellIs" priority="4" operator="greaterThan" dxfId="2">
      <formula>0</formula>
    </cfRule>
  </conditionalFormatting>
  <dataValidations count="6">
    <dataValidation sqref="E5:E254" showDropDown="0" showInputMessage="0" showErrorMessage="0" allowBlank="1" type="list">
      <formula1>"客户服务,售后支持,现场服务,呼叫中心,物流/交付,线上服务,技术支持,门店/零售,B2B项目交付,医疗/咨询/教育,物业/设施管理,其他"</formula1>
    </dataValidation>
    <dataValidation sqref="F5:F254" showDropDown="0" showInputMessage="0" showErrorMessage="0" allowBlank="1" type="list">
      <formula1>"响应慢,态度/沟通,未解决,流程不合规,信息错误,交付延迟,投诉升级,系统/工具,人员培训,其他"</formula1>
    </dataValidation>
    <dataValidation sqref="G5:G254" showDropDown="0" showInputMessage="0" showErrorMessage="0" allowBlank="1" type="list">
      <formula1>"低,中,高,极高"</formula1>
    </dataValidation>
    <dataValidation sqref="H5:H254" showDropDown="0" showInputMessage="0" showErrorMessage="0" allowBlank="1" type="list">
      <formula1>"客户,质检,主管,员工,第三方,系统监控,其他"</formula1>
    </dataValidation>
    <dataValidation sqref="N5:N254" showDropDown="0" showInputMessage="0" showErrorMessage="0" allowBlank="1" type="list">
      <formula1>"待评估,处理中,已完成,已关闭,延期,取消"</formula1>
    </dataValidation>
    <dataValidation sqref="P5:P254" showDropDown="0" showInputMessage="0" showErrorMessage="0" allowBlank="1" type="list">
      <formula1>"有效,部分有效,无效,待验证"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U50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8" customWidth="1" min="8" max="8"/>
    <col width="12" customWidth="1" min="9" max="9"/>
    <col width="12" customWidth="1" min="10" max="10"/>
    <col width="12" customWidth="1" min="11" max="11"/>
    <col width="12" customWidth="1" min="12" max="12"/>
    <col width="18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</cols>
  <sheetData>
    <row r="1" ht="32" customHeight="1">
      <c r="A1" s="37" t="inlineStr">
        <is>
          <t>统计看板：服务质量评分与反馈闭环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22" customHeight="1">
      <c r="A2" s="11" t="inlineStr">
        <is>
          <t>看板自动汇总【评分记录】与【反馈与整改】前 250 行数据；如需扩展，请复制公式或增加行数。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56" t="inlineStr">
        <is>
          <t>统计年度</t>
        </is>
      </c>
      <c r="K3" s="72" t="n">
        <v>2026</v>
      </c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</row>
    <row r="4" ht="15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</row>
    <row r="5" ht="24" customHeight="1">
      <c r="A5" s="143" t="inlineStr">
        <is>
          <t>评分记录数</t>
        </is>
      </c>
      <c r="B5" s="144" t="n"/>
      <c r="C5" s="145" t="n"/>
      <c r="D5" s="143" t="inlineStr">
        <is>
          <t>平均得分</t>
        </is>
      </c>
      <c r="E5" s="144" t="n"/>
      <c r="F5" s="145" t="n"/>
      <c r="G5" s="143" t="inlineStr">
        <is>
          <t>优秀率</t>
        </is>
      </c>
      <c r="H5" s="144" t="n"/>
      <c r="I5" s="145" t="n"/>
      <c r="J5" s="143" t="inlineStr">
        <is>
          <t>低分记录数</t>
        </is>
      </c>
      <c r="K5" s="144" t="n"/>
      <c r="L5" s="145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</row>
    <row r="6" ht="24" customHeight="1">
      <c r="A6" s="146">
        <f>COUNT('评分记录'!$R$5:$R$254)</f>
        <v/>
      </c>
      <c r="B6" s="147" t="n"/>
      <c r="C6" s="148" t="n"/>
      <c r="D6" s="146">
        <f>IFERROR(ROUND(AVERAGE('评分记录'!$R$5:$R$254),1),"")</f>
        <v/>
      </c>
      <c r="E6" s="147" t="n"/>
      <c r="F6" s="148" t="n"/>
      <c r="G6" s="149">
        <f>IFERROR(COUNTIF('评分记录'!$S$5:$S$254,"优秀")/COUNT('评分记录'!$R$5:$R$254),0)</f>
        <v/>
      </c>
      <c r="H6" s="147" t="n"/>
      <c r="I6" s="148" t="n"/>
      <c r="J6" s="150">
        <f>COUNTIF('评分记录'!$S$5:$S$254,"需关注")+COUNTIF('评分记录'!$S$5:$S$254,"不合格")</f>
        <v/>
      </c>
      <c r="K6" s="147" t="n"/>
      <c r="L6" s="148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</row>
    <row r="7" ht="24" customHeight="1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</row>
    <row r="8" ht="24" customHeight="1">
      <c r="A8" s="143" t="inlineStr">
        <is>
          <t>升级率</t>
        </is>
      </c>
      <c r="B8" s="144" t="n"/>
      <c r="C8" s="145" t="n"/>
      <c r="D8" s="143" t="inlineStr">
        <is>
          <t>待处理整改</t>
        </is>
      </c>
      <c r="E8" s="144" t="n"/>
      <c r="F8" s="145" t="n"/>
      <c r="G8" s="143" t="inlineStr">
        <is>
          <t>逾期整改</t>
        </is>
      </c>
      <c r="H8" s="144" t="n"/>
      <c r="I8" s="145" t="n"/>
      <c r="J8" s="143" t="inlineStr">
        <is>
          <t>平均处理周期</t>
        </is>
      </c>
      <c r="K8" s="144" t="n"/>
      <c r="L8" s="145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</row>
    <row r="9" ht="24" customHeight="1">
      <c r="A9" s="149">
        <f>IFERROR(COUNTIF('评分记录'!$T$5:$T$254,"是")/COUNT('评分记录'!$R$5:$R$254),0)</f>
        <v/>
      </c>
      <c r="B9" s="147" t="n"/>
      <c r="C9" s="148" t="n"/>
      <c r="D9" s="146">
        <f>COUNTIF('反馈与整改'!$N$5:$N$254,"待评估")+COUNTIF('反馈与整改'!$N$5:$N$254,"处理中")+COUNTIF('反馈与整改'!$N$5:$N$254,"延期")</f>
        <v/>
      </c>
      <c r="E9" s="147" t="n"/>
      <c r="F9" s="148" t="n"/>
      <c r="G9" s="146">
        <f>COUNTIF('反馈与整改'!$Q$5:$Q$254,"&gt;0")</f>
        <v/>
      </c>
      <c r="H9" s="147" t="n"/>
      <c r="I9" s="148" t="n"/>
      <c r="J9" s="151">
        <f>IFERROR(ROUND(AVERAGE('反馈与整改'!$R$5:$R$254),1),"")</f>
        <v/>
      </c>
      <c r="K9" s="147" t="n"/>
      <c r="L9" s="148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</row>
    <row r="10" ht="15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</row>
    <row r="11" ht="15" customHeight="1">
      <c r="A11" s="135" t="inlineStr">
        <is>
          <t>按业务场景汇总</t>
        </is>
      </c>
      <c r="B11" s="136" t="n"/>
      <c r="C11" s="136" t="n"/>
      <c r="D11" s="136" t="n"/>
      <c r="E11" s="136" t="n"/>
      <c r="F11" s="137" t="n"/>
      <c r="G11" s="4" t="n"/>
      <c r="H11" s="135" t="inlineStr">
        <is>
          <t>按问题分类汇总</t>
        </is>
      </c>
      <c r="I11" s="136" t="n"/>
      <c r="J11" s="136" t="n"/>
      <c r="K11" s="137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</row>
    <row r="12" ht="22" customHeight="1">
      <c r="A12" s="46" t="inlineStr">
        <is>
          <t>业务场景</t>
        </is>
      </c>
      <c r="B12" s="46" t="inlineStr">
        <is>
          <t>评分数</t>
        </is>
      </c>
      <c r="C12" s="46" t="inlineStr">
        <is>
          <t>平均得分</t>
        </is>
      </c>
      <c r="D12" s="46" t="inlineStr">
        <is>
          <t>低分数</t>
        </is>
      </c>
      <c r="E12" s="46" t="inlineStr">
        <is>
          <t>升级数</t>
        </is>
      </c>
      <c r="F12" s="46" t="inlineStr">
        <is>
          <t>未结整改</t>
        </is>
      </c>
      <c r="G12" s="4" t="n"/>
      <c r="H12" s="46" t="inlineStr">
        <is>
          <t>问题分类</t>
        </is>
      </c>
      <c r="I12" s="46" t="inlineStr">
        <is>
          <t>未结数量</t>
        </is>
      </c>
      <c r="J12" s="46" t="inlineStr">
        <is>
          <t>逾期数量</t>
        </is>
      </c>
      <c r="K12" s="46" t="inlineStr">
        <is>
          <t>完成/关闭</t>
        </is>
      </c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</row>
    <row r="13" ht="22" customHeight="1">
      <c r="A13" s="25" t="inlineStr">
        <is>
          <t>客户服务</t>
        </is>
      </c>
      <c r="B13" s="25">
        <f>COUNTIF('评分记录'!$E$5:$E$254,$A13)</f>
        <v/>
      </c>
      <c r="C13" s="142">
        <f>IF($B13=0,"",ROUND(SUMIFS('评分记录'!$R$5:$R$254,'评分记录'!$E$5:$E$254,$A13)/$B13,1))</f>
        <v/>
      </c>
      <c r="D13" s="25">
        <f>COUNTIFS('评分记录'!$E$5:$E$254,$A13,'评分记录'!$S$5:$S$254,"需关注")+COUNTIFS('评分记录'!$E$5:$E$254,$A13,'评分记录'!$S$5:$S$254,"不合格")</f>
        <v/>
      </c>
      <c r="E13" s="25">
        <f>COUNTIFS('评分记录'!$E$5:$E$254,$A13,'评分记录'!$T$5:$T$254,"是")</f>
        <v/>
      </c>
      <c r="F13" s="25">
        <f>COUNTIFS('反馈与整改'!$E$5:$E$254,$A13,'反馈与整改'!$N$5:$N$254,"待评估")+COUNTIFS('反馈与整改'!$E$5:$E$254,$A13,'反馈与整改'!$N$5:$N$254,"处理中")+COUNTIFS('反馈与整改'!$E$5:$E$254,$A13,'反馈与整改'!$N$5:$N$254,"延期")</f>
        <v/>
      </c>
      <c r="G13" s="4" t="n"/>
      <c r="H13" s="25" t="inlineStr">
        <is>
          <t>响应慢</t>
        </is>
      </c>
      <c r="I13" s="25">
        <f>COUNTIFS('反馈与整改'!$F$5:$F$254,$H13,'反馈与整改'!$N$5:$N$254,"待评估")+COUNTIFS('反馈与整改'!$F$5:$F$254,$H13,'反馈与整改'!$N$5:$N$254,"处理中")+COUNTIFS('反馈与整改'!$F$5:$F$254,$H13,'反馈与整改'!$N$5:$N$254,"延期")</f>
        <v/>
      </c>
      <c r="J13" s="25">
        <f>COUNTIFS('反馈与整改'!$F$5:$F$254,$H13,'反馈与整改'!$Q$5:$Q$254,"&gt;0")</f>
        <v/>
      </c>
      <c r="K13" s="25">
        <f>COUNTIFS('反馈与整改'!$F$5:$F$254,$H13,'反馈与整改'!$N$5:$N$254,"已完成")+COUNTIFS('反馈与整改'!$F$5:$F$254,$H13,'反馈与整改'!$N$5:$N$254,"已关闭")</f>
        <v/>
      </c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</row>
    <row r="14" ht="22" customHeight="1">
      <c r="A14" s="25" t="inlineStr">
        <is>
          <t>售后支持</t>
        </is>
      </c>
      <c r="B14" s="25">
        <f>COUNTIF('评分记录'!$E$5:$E$254,$A14)</f>
        <v/>
      </c>
      <c r="C14" s="142">
        <f>IF($B14=0,"",ROUND(SUMIFS('评分记录'!$R$5:$R$254,'评分记录'!$E$5:$E$254,$A14)/$B14,1))</f>
        <v/>
      </c>
      <c r="D14" s="25">
        <f>COUNTIFS('评分记录'!$E$5:$E$254,$A14,'评分记录'!$S$5:$S$254,"需关注")+COUNTIFS('评分记录'!$E$5:$E$254,$A14,'评分记录'!$S$5:$S$254,"不合格")</f>
        <v/>
      </c>
      <c r="E14" s="25">
        <f>COUNTIFS('评分记录'!$E$5:$E$254,$A14,'评分记录'!$T$5:$T$254,"是")</f>
        <v/>
      </c>
      <c r="F14" s="25">
        <f>COUNTIFS('反馈与整改'!$E$5:$E$254,$A14,'反馈与整改'!$N$5:$N$254,"待评估")+COUNTIFS('反馈与整改'!$E$5:$E$254,$A14,'反馈与整改'!$N$5:$N$254,"处理中")+COUNTIFS('反馈与整改'!$E$5:$E$254,$A14,'反馈与整改'!$N$5:$N$254,"延期")</f>
        <v/>
      </c>
      <c r="G14" s="4" t="n"/>
      <c r="H14" s="25" t="inlineStr">
        <is>
          <t>态度/沟通</t>
        </is>
      </c>
      <c r="I14" s="25">
        <f>COUNTIFS('反馈与整改'!$F$5:$F$254,$H14,'反馈与整改'!$N$5:$N$254,"待评估")+COUNTIFS('反馈与整改'!$F$5:$F$254,$H14,'反馈与整改'!$N$5:$N$254,"处理中")+COUNTIFS('反馈与整改'!$F$5:$F$254,$H14,'反馈与整改'!$N$5:$N$254,"延期")</f>
        <v/>
      </c>
      <c r="J14" s="25">
        <f>COUNTIFS('反馈与整改'!$F$5:$F$254,$H14,'反馈与整改'!$Q$5:$Q$254,"&gt;0")</f>
        <v/>
      </c>
      <c r="K14" s="25">
        <f>COUNTIFS('反馈与整改'!$F$5:$F$254,$H14,'反馈与整改'!$N$5:$N$254,"已完成")+COUNTIFS('反馈与整改'!$F$5:$F$254,$H14,'反馈与整改'!$N$5:$N$254,"已关闭")</f>
        <v/>
      </c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</row>
    <row r="15" ht="22" customHeight="1">
      <c r="A15" s="25" t="inlineStr">
        <is>
          <t>现场服务</t>
        </is>
      </c>
      <c r="B15" s="25">
        <f>COUNTIF('评分记录'!$E$5:$E$254,$A15)</f>
        <v/>
      </c>
      <c r="C15" s="142">
        <f>IF($B15=0,"",ROUND(SUMIFS('评分记录'!$R$5:$R$254,'评分记录'!$E$5:$E$254,$A15)/$B15,1))</f>
        <v/>
      </c>
      <c r="D15" s="25">
        <f>COUNTIFS('评分记录'!$E$5:$E$254,$A15,'评分记录'!$S$5:$S$254,"需关注")+COUNTIFS('评分记录'!$E$5:$E$254,$A15,'评分记录'!$S$5:$S$254,"不合格")</f>
        <v/>
      </c>
      <c r="E15" s="25">
        <f>COUNTIFS('评分记录'!$E$5:$E$254,$A15,'评分记录'!$T$5:$T$254,"是")</f>
        <v/>
      </c>
      <c r="F15" s="25">
        <f>COUNTIFS('反馈与整改'!$E$5:$E$254,$A15,'反馈与整改'!$N$5:$N$254,"待评估")+COUNTIFS('反馈与整改'!$E$5:$E$254,$A15,'反馈与整改'!$N$5:$N$254,"处理中")+COUNTIFS('反馈与整改'!$E$5:$E$254,$A15,'反馈与整改'!$N$5:$N$254,"延期")</f>
        <v/>
      </c>
      <c r="G15" s="4" t="n"/>
      <c r="H15" s="25" t="inlineStr">
        <is>
          <t>未解决</t>
        </is>
      </c>
      <c r="I15" s="25">
        <f>COUNTIFS('反馈与整改'!$F$5:$F$254,$H15,'反馈与整改'!$N$5:$N$254,"待评估")+COUNTIFS('反馈与整改'!$F$5:$F$254,$H15,'反馈与整改'!$N$5:$N$254,"处理中")+COUNTIFS('反馈与整改'!$F$5:$F$254,$H15,'反馈与整改'!$N$5:$N$254,"延期")</f>
        <v/>
      </c>
      <c r="J15" s="25">
        <f>COUNTIFS('反馈与整改'!$F$5:$F$254,$H15,'反馈与整改'!$Q$5:$Q$254,"&gt;0")</f>
        <v/>
      </c>
      <c r="K15" s="25">
        <f>COUNTIFS('反馈与整改'!$F$5:$F$254,$H15,'反馈与整改'!$N$5:$N$254,"已完成")+COUNTIFS('反馈与整改'!$F$5:$F$254,$H15,'反馈与整改'!$N$5:$N$254,"已关闭")</f>
        <v/>
      </c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</row>
    <row r="16" ht="22" customHeight="1">
      <c r="A16" s="25" t="inlineStr">
        <is>
          <t>呼叫中心</t>
        </is>
      </c>
      <c r="B16" s="25">
        <f>COUNTIF('评分记录'!$E$5:$E$254,$A16)</f>
        <v/>
      </c>
      <c r="C16" s="142">
        <f>IF($B16=0,"",ROUND(SUMIFS('评分记录'!$R$5:$R$254,'评分记录'!$E$5:$E$254,$A16)/$B16,1))</f>
        <v/>
      </c>
      <c r="D16" s="25">
        <f>COUNTIFS('评分记录'!$E$5:$E$254,$A16,'评分记录'!$S$5:$S$254,"需关注")+COUNTIFS('评分记录'!$E$5:$E$254,$A16,'评分记录'!$S$5:$S$254,"不合格")</f>
        <v/>
      </c>
      <c r="E16" s="25">
        <f>COUNTIFS('评分记录'!$E$5:$E$254,$A16,'评分记录'!$T$5:$T$254,"是")</f>
        <v/>
      </c>
      <c r="F16" s="25">
        <f>COUNTIFS('反馈与整改'!$E$5:$E$254,$A16,'反馈与整改'!$N$5:$N$254,"待评估")+COUNTIFS('反馈与整改'!$E$5:$E$254,$A16,'反馈与整改'!$N$5:$N$254,"处理中")+COUNTIFS('反馈与整改'!$E$5:$E$254,$A16,'反馈与整改'!$N$5:$N$254,"延期")</f>
        <v/>
      </c>
      <c r="G16" s="4" t="n"/>
      <c r="H16" s="25" t="inlineStr">
        <is>
          <t>流程不合规</t>
        </is>
      </c>
      <c r="I16" s="25">
        <f>COUNTIFS('反馈与整改'!$F$5:$F$254,$H16,'反馈与整改'!$N$5:$N$254,"待评估")+COUNTIFS('反馈与整改'!$F$5:$F$254,$H16,'反馈与整改'!$N$5:$N$254,"处理中")+COUNTIFS('反馈与整改'!$F$5:$F$254,$H16,'反馈与整改'!$N$5:$N$254,"延期")</f>
        <v/>
      </c>
      <c r="J16" s="25">
        <f>COUNTIFS('反馈与整改'!$F$5:$F$254,$H16,'反馈与整改'!$Q$5:$Q$254,"&gt;0")</f>
        <v/>
      </c>
      <c r="K16" s="25">
        <f>COUNTIFS('反馈与整改'!$F$5:$F$254,$H16,'反馈与整改'!$N$5:$N$254,"已完成")+COUNTIFS('反馈与整改'!$F$5:$F$254,$H16,'反馈与整改'!$N$5:$N$254,"已关闭")</f>
        <v/>
      </c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</row>
    <row r="17" ht="22" customHeight="1">
      <c r="A17" s="25" t="inlineStr">
        <is>
          <t>物流/交付</t>
        </is>
      </c>
      <c r="B17" s="25">
        <f>COUNTIF('评分记录'!$E$5:$E$254,$A17)</f>
        <v/>
      </c>
      <c r="C17" s="142">
        <f>IF($B17=0,"",ROUND(SUMIFS('评分记录'!$R$5:$R$254,'评分记录'!$E$5:$E$254,$A17)/$B17,1))</f>
        <v/>
      </c>
      <c r="D17" s="25">
        <f>COUNTIFS('评分记录'!$E$5:$E$254,$A17,'评分记录'!$S$5:$S$254,"需关注")+COUNTIFS('评分记录'!$E$5:$E$254,$A17,'评分记录'!$S$5:$S$254,"不合格")</f>
        <v/>
      </c>
      <c r="E17" s="25">
        <f>COUNTIFS('评分记录'!$E$5:$E$254,$A17,'评分记录'!$T$5:$T$254,"是")</f>
        <v/>
      </c>
      <c r="F17" s="25">
        <f>COUNTIFS('反馈与整改'!$E$5:$E$254,$A17,'反馈与整改'!$N$5:$N$254,"待评估")+COUNTIFS('反馈与整改'!$E$5:$E$254,$A17,'反馈与整改'!$N$5:$N$254,"处理中")+COUNTIFS('反馈与整改'!$E$5:$E$254,$A17,'反馈与整改'!$N$5:$N$254,"延期")</f>
        <v/>
      </c>
      <c r="G17" s="4" t="n"/>
      <c r="H17" s="25" t="inlineStr">
        <is>
          <t>信息错误</t>
        </is>
      </c>
      <c r="I17" s="25">
        <f>COUNTIFS('反馈与整改'!$F$5:$F$254,$H17,'反馈与整改'!$N$5:$N$254,"待评估")+COUNTIFS('反馈与整改'!$F$5:$F$254,$H17,'反馈与整改'!$N$5:$N$254,"处理中")+COUNTIFS('反馈与整改'!$F$5:$F$254,$H17,'反馈与整改'!$N$5:$N$254,"延期")</f>
        <v/>
      </c>
      <c r="J17" s="25">
        <f>COUNTIFS('反馈与整改'!$F$5:$F$254,$H17,'反馈与整改'!$Q$5:$Q$254,"&gt;0")</f>
        <v/>
      </c>
      <c r="K17" s="25">
        <f>COUNTIFS('反馈与整改'!$F$5:$F$254,$H17,'反馈与整改'!$N$5:$N$254,"已完成")+COUNTIFS('反馈与整改'!$F$5:$F$254,$H17,'反馈与整改'!$N$5:$N$254,"已关闭")</f>
        <v/>
      </c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</row>
    <row r="18" ht="22" customHeight="1">
      <c r="A18" s="25" t="inlineStr">
        <is>
          <t>线上服务</t>
        </is>
      </c>
      <c r="B18" s="25">
        <f>COUNTIF('评分记录'!$E$5:$E$254,$A18)</f>
        <v/>
      </c>
      <c r="C18" s="142">
        <f>IF($B18=0,"",ROUND(SUMIFS('评分记录'!$R$5:$R$254,'评分记录'!$E$5:$E$254,$A18)/$B18,1))</f>
        <v/>
      </c>
      <c r="D18" s="25">
        <f>COUNTIFS('评分记录'!$E$5:$E$254,$A18,'评分记录'!$S$5:$S$254,"需关注")+COUNTIFS('评分记录'!$E$5:$E$254,$A18,'评分记录'!$S$5:$S$254,"不合格")</f>
        <v/>
      </c>
      <c r="E18" s="25">
        <f>COUNTIFS('评分记录'!$E$5:$E$254,$A18,'评分记录'!$T$5:$T$254,"是")</f>
        <v/>
      </c>
      <c r="F18" s="25">
        <f>COUNTIFS('反馈与整改'!$E$5:$E$254,$A18,'反馈与整改'!$N$5:$N$254,"待评估")+COUNTIFS('反馈与整改'!$E$5:$E$254,$A18,'反馈与整改'!$N$5:$N$254,"处理中")+COUNTIFS('反馈与整改'!$E$5:$E$254,$A18,'反馈与整改'!$N$5:$N$254,"延期")</f>
        <v/>
      </c>
      <c r="G18" s="4" t="n"/>
      <c r="H18" s="25" t="inlineStr">
        <is>
          <t>交付延迟</t>
        </is>
      </c>
      <c r="I18" s="25">
        <f>COUNTIFS('反馈与整改'!$F$5:$F$254,$H18,'反馈与整改'!$N$5:$N$254,"待评估")+COUNTIFS('反馈与整改'!$F$5:$F$254,$H18,'反馈与整改'!$N$5:$N$254,"处理中")+COUNTIFS('反馈与整改'!$F$5:$F$254,$H18,'反馈与整改'!$N$5:$N$254,"延期")</f>
        <v/>
      </c>
      <c r="J18" s="25">
        <f>COUNTIFS('反馈与整改'!$F$5:$F$254,$H18,'反馈与整改'!$Q$5:$Q$254,"&gt;0")</f>
        <v/>
      </c>
      <c r="K18" s="25">
        <f>COUNTIFS('反馈与整改'!$F$5:$F$254,$H18,'反馈与整改'!$N$5:$N$254,"已完成")+COUNTIFS('反馈与整改'!$F$5:$F$254,$H18,'反馈与整改'!$N$5:$N$254,"已关闭")</f>
        <v/>
      </c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</row>
    <row r="19" ht="22" customHeight="1">
      <c r="A19" s="25" t="inlineStr">
        <is>
          <t>技术支持</t>
        </is>
      </c>
      <c r="B19" s="25">
        <f>COUNTIF('评分记录'!$E$5:$E$254,$A19)</f>
        <v/>
      </c>
      <c r="C19" s="142">
        <f>IF($B19=0,"",ROUND(SUMIFS('评分记录'!$R$5:$R$254,'评分记录'!$E$5:$E$254,$A19)/$B19,1))</f>
        <v/>
      </c>
      <c r="D19" s="25">
        <f>COUNTIFS('评分记录'!$E$5:$E$254,$A19,'评分记录'!$S$5:$S$254,"需关注")+COUNTIFS('评分记录'!$E$5:$E$254,$A19,'评分记录'!$S$5:$S$254,"不合格")</f>
        <v/>
      </c>
      <c r="E19" s="25">
        <f>COUNTIFS('评分记录'!$E$5:$E$254,$A19,'评分记录'!$T$5:$T$254,"是")</f>
        <v/>
      </c>
      <c r="F19" s="25">
        <f>COUNTIFS('反馈与整改'!$E$5:$E$254,$A19,'反馈与整改'!$N$5:$N$254,"待评估")+COUNTIFS('反馈与整改'!$E$5:$E$254,$A19,'反馈与整改'!$N$5:$N$254,"处理中")+COUNTIFS('反馈与整改'!$E$5:$E$254,$A19,'反馈与整改'!$N$5:$N$254,"延期")</f>
        <v/>
      </c>
      <c r="G19" s="4" t="n"/>
      <c r="H19" s="25" t="inlineStr">
        <is>
          <t>投诉升级</t>
        </is>
      </c>
      <c r="I19" s="25">
        <f>COUNTIFS('反馈与整改'!$F$5:$F$254,$H19,'反馈与整改'!$N$5:$N$254,"待评估")+COUNTIFS('反馈与整改'!$F$5:$F$254,$H19,'反馈与整改'!$N$5:$N$254,"处理中")+COUNTIFS('反馈与整改'!$F$5:$F$254,$H19,'反馈与整改'!$N$5:$N$254,"延期")</f>
        <v/>
      </c>
      <c r="J19" s="25">
        <f>COUNTIFS('反馈与整改'!$F$5:$F$254,$H19,'反馈与整改'!$Q$5:$Q$254,"&gt;0")</f>
        <v/>
      </c>
      <c r="K19" s="25">
        <f>COUNTIFS('反馈与整改'!$F$5:$F$254,$H19,'反馈与整改'!$N$5:$N$254,"已完成")+COUNTIFS('反馈与整改'!$F$5:$F$254,$H19,'反馈与整改'!$N$5:$N$254,"已关闭")</f>
        <v/>
      </c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</row>
    <row r="20" ht="22" customHeight="1">
      <c r="A20" s="25" t="inlineStr">
        <is>
          <t>门店/零售</t>
        </is>
      </c>
      <c r="B20" s="25">
        <f>COUNTIF('评分记录'!$E$5:$E$254,$A20)</f>
        <v/>
      </c>
      <c r="C20" s="142">
        <f>IF($B20=0,"",ROUND(SUMIFS('评分记录'!$R$5:$R$254,'评分记录'!$E$5:$E$254,$A20)/$B20,1))</f>
        <v/>
      </c>
      <c r="D20" s="25">
        <f>COUNTIFS('评分记录'!$E$5:$E$254,$A20,'评分记录'!$S$5:$S$254,"需关注")+COUNTIFS('评分记录'!$E$5:$E$254,$A20,'评分记录'!$S$5:$S$254,"不合格")</f>
        <v/>
      </c>
      <c r="E20" s="25">
        <f>COUNTIFS('评分记录'!$E$5:$E$254,$A20,'评分记录'!$T$5:$T$254,"是")</f>
        <v/>
      </c>
      <c r="F20" s="25">
        <f>COUNTIFS('反馈与整改'!$E$5:$E$254,$A20,'反馈与整改'!$N$5:$N$254,"待评估")+COUNTIFS('反馈与整改'!$E$5:$E$254,$A20,'反馈与整改'!$N$5:$N$254,"处理中")+COUNTIFS('反馈与整改'!$E$5:$E$254,$A20,'反馈与整改'!$N$5:$N$254,"延期")</f>
        <v/>
      </c>
      <c r="G20" s="4" t="n"/>
      <c r="H20" s="25" t="inlineStr">
        <is>
          <t>系统/工具</t>
        </is>
      </c>
      <c r="I20" s="25">
        <f>COUNTIFS('反馈与整改'!$F$5:$F$254,$H20,'反馈与整改'!$N$5:$N$254,"待评估")+COUNTIFS('反馈与整改'!$F$5:$F$254,$H20,'反馈与整改'!$N$5:$N$254,"处理中")+COUNTIFS('反馈与整改'!$F$5:$F$254,$H20,'反馈与整改'!$N$5:$N$254,"延期")</f>
        <v/>
      </c>
      <c r="J20" s="25">
        <f>COUNTIFS('反馈与整改'!$F$5:$F$254,$H20,'反馈与整改'!$Q$5:$Q$254,"&gt;0")</f>
        <v/>
      </c>
      <c r="K20" s="25">
        <f>COUNTIFS('反馈与整改'!$F$5:$F$254,$H20,'反馈与整改'!$N$5:$N$254,"已完成")+COUNTIFS('反馈与整改'!$F$5:$F$254,$H20,'反馈与整改'!$N$5:$N$254,"已关闭")</f>
        <v/>
      </c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</row>
    <row r="21" ht="22" customHeight="1">
      <c r="A21" s="25" t="inlineStr">
        <is>
          <t>B2B项目交付</t>
        </is>
      </c>
      <c r="B21" s="25">
        <f>COUNTIF('评分记录'!$E$5:$E$254,$A21)</f>
        <v/>
      </c>
      <c r="C21" s="142">
        <f>IF($B21=0,"",ROUND(SUMIFS('评分记录'!$R$5:$R$254,'评分记录'!$E$5:$E$254,$A21)/$B21,1))</f>
        <v/>
      </c>
      <c r="D21" s="25">
        <f>COUNTIFS('评分记录'!$E$5:$E$254,$A21,'评分记录'!$S$5:$S$254,"需关注")+COUNTIFS('评分记录'!$E$5:$E$254,$A21,'评分记录'!$S$5:$S$254,"不合格")</f>
        <v/>
      </c>
      <c r="E21" s="25">
        <f>COUNTIFS('评分记录'!$E$5:$E$254,$A21,'评分记录'!$T$5:$T$254,"是")</f>
        <v/>
      </c>
      <c r="F21" s="25">
        <f>COUNTIFS('反馈与整改'!$E$5:$E$254,$A21,'反馈与整改'!$N$5:$N$254,"待评估")+COUNTIFS('反馈与整改'!$E$5:$E$254,$A21,'反馈与整改'!$N$5:$N$254,"处理中")+COUNTIFS('反馈与整改'!$E$5:$E$254,$A21,'反馈与整改'!$N$5:$N$254,"延期")</f>
        <v/>
      </c>
      <c r="G21" s="4" t="n"/>
      <c r="H21" s="25" t="inlineStr">
        <is>
          <t>人员培训</t>
        </is>
      </c>
      <c r="I21" s="25">
        <f>COUNTIFS('反馈与整改'!$F$5:$F$254,$H21,'反馈与整改'!$N$5:$N$254,"待评估")+COUNTIFS('反馈与整改'!$F$5:$F$254,$H21,'反馈与整改'!$N$5:$N$254,"处理中")+COUNTIFS('反馈与整改'!$F$5:$F$254,$H21,'反馈与整改'!$N$5:$N$254,"延期")</f>
        <v/>
      </c>
      <c r="J21" s="25">
        <f>COUNTIFS('反馈与整改'!$F$5:$F$254,$H21,'反馈与整改'!$Q$5:$Q$254,"&gt;0")</f>
        <v/>
      </c>
      <c r="K21" s="25">
        <f>COUNTIFS('反馈与整改'!$F$5:$F$254,$H21,'反馈与整改'!$N$5:$N$254,"已完成")+COUNTIFS('反馈与整改'!$F$5:$F$254,$H21,'反馈与整改'!$N$5:$N$254,"已关闭")</f>
        <v/>
      </c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</row>
    <row r="22" ht="22" customHeight="1">
      <c r="A22" s="25" t="inlineStr">
        <is>
          <t>医疗/咨询/教育</t>
        </is>
      </c>
      <c r="B22" s="25">
        <f>COUNTIF('评分记录'!$E$5:$E$254,$A22)</f>
        <v/>
      </c>
      <c r="C22" s="142">
        <f>IF($B22=0,"",ROUND(SUMIFS('评分记录'!$R$5:$R$254,'评分记录'!$E$5:$E$254,$A22)/$B22,1))</f>
        <v/>
      </c>
      <c r="D22" s="25">
        <f>COUNTIFS('评分记录'!$E$5:$E$254,$A22,'评分记录'!$S$5:$S$254,"需关注")+COUNTIFS('评分记录'!$E$5:$E$254,$A22,'评分记录'!$S$5:$S$254,"不合格")</f>
        <v/>
      </c>
      <c r="E22" s="25">
        <f>COUNTIFS('评分记录'!$E$5:$E$254,$A22,'评分记录'!$T$5:$T$254,"是")</f>
        <v/>
      </c>
      <c r="F22" s="25">
        <f>COUNTIFS('反馈与整改'!$E$5:$E$254,$A22,'反馈与整改'!$N$5:$N$254,"待评估")+COUNTIFS('反馈与整改'!$E$5:$E$254,$A22,'反馈与整改'!$N$5:$N$254,"处理中")+COUNTIFS('反馈与整改'!$E$5:$E$254,$A22,'反馈与整改'!$N$5:$N$254,"延期")</f>
        <v/>
      </c>
      <c r="G22" s="4" t="n"/>
      <c r="H22" s="25" t="inlineStr">
        <is>
          <t>其他</t>
        </is>
      </c>
      <c r="I22" s="25">
        <f>COUNTIFS('反馈与整改'!$F$5:$F$254,$H22,'反馈与整改'!$N$5:$N$254,"待评估")+COUNTIFS('反馈与整改'!$F$5:$F$254,$H22,'反馈与整改'!$N$5:$N$254,"处理中")+COUNTIFS('反馈与整改'!$F$5:$F$254,$H22,'反馈与整改'!$N$5:$N$254,"延期")</f>
        <v/>
      </c>
      <c r="J22" s="25">
        <f>COUNTIFS('反馈与整改'!$F$5:$F$254,$H22,'反馈与整改'!$Q$5:$Q$254,"&gt;0")</f>
        <v/>
      </c>
      <c r="K22" s="25">
        <f>COUNTIFS('反馈与整改'!$F$5:$F$254,$H22,'反馈与整改'!$N$5:$N$254,"已完成")+COUNTIFS('反馈与整改'!$F$5:$F$254,$H22,'反馈与整改'!$N$5:$N$254,"已关闭")</f>
        <v/>
      </c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</row>
    <row r="23" ht="22" customHeight="1">
      <c r="A23" s="25" t="inlineStr">
        <is>
          <t>物业/设施管理</t>
        </is>
      </c>
      <c r="B23" s="25">
        <f>COUNTIF('评分记录'!$E$5:$E$254,$A23)</f>
        <v/>
      </c>
      <c r="C23" s="142">
        <f>IF($B23=0,"",ROUND(SUMIFS('评分记录'!$R$5:$R$254,'评分记录'!$E$5:$E$254,$A23)/$B23,1))</f>
        <v/>
      </c>
      <c r="D23" s="25">
        <f>COUNTIFS('评分记录'!$E$5:$E$254,$A23,'评分记录'!$S$5:$S$254,"需关注")+COUNTIFS('评分记录'!$E$5:$E$254,$A23,'评分记录'!$S$5:$S$254,"不合格")</f>
        <v/>
      </c>
      <c r="E23" s="25">
        <f>COUNTIFS('评分记录'!$E$5:$E$254,$A23,'评分记录'!$T$5:$T$254,"是")</f>
        <v/>
      </c>
      <c r="F23" s="25">
        <f>COUNTIFS('反馈与整改'!$E$5:$E$254,$A23,'反馈与整改'!$N$5:$N$254,"待评估")+COUNTIFS('反馈与整改'!$E$5:$E$254,$A23,'反馈与整改'!$N$5:$N$254,"处理中")+COUNTIFS('反馈与整改'!$E$5:$E$254,$A23,'反馈与整改'!$N$5:$N$254,"延期")</f>
        <v/>
      </c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</row>
    <row r="24" ht="22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</row>
    <row r="25" ht="22" customHeight="1">
      <c r="A25" s="135" t="inlineStr">
        <is>
          <t>月度趋势</t>
        </is>
      </c>
      <c r="B25" s="136" t="n"/>
      <c r="C25" s="136" t="n"/>
      <c r="D25" s="136" t="n"/>
      <c r="E25" s="136" t="n"/>
      <c r="F25" s="137" t="n"/>
      <c r="G25" s="4" t="n"/>
      <c r="H25" s="135" t="inlineStr">
        <is>
          <t>整改状态</t>
        </is>
      </c>
      <c r="I25" s="137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</row>
    <row r="26" ht="22" customHeight="1">
      <c r="A26" s="126" t="inlineStr">
        <is>
          <t>月份</t>
        </is>
      </c>
      <c r="B26" s="126" t="inlineStr">
        <is>
          <t>评分数</t>
        </is>
      </c>
      <c r="C26" s="126" t="inlineStr">
        <is>
          <t>平均得分</t>
        </is>
      </c>
      <c r="D26" s="126" t="inlineStr">
        <is>
          <t>低分数</t>
        </is>
      </c>
      <c r="E26" s="126" t="inlineStr">
        <is>
          <t>整改完成</t>
        </is>
      </c>
      <c r="F26" s="126" t="inlineStr">
        <is>
          <t>逾期整改</t>
        </is>
      </c>
      <c r="G26" s="4" t="n"/>
      <c r="H26" s="126" t="inlineStr">
        <is>
          <t>状态</t>
        </is>
      </c>
      <c r="I26" s="126" t="inlineStr">
        <is>
          <t>数量</t>
        </is>
      </c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</row>
    <row r="27" ht="22" customHeight="1">
      <c r="A27" s="152">
        <f>TEXT(DATE($K$3,1,1),"yyyy-mm")</f>
        <v/>
      </c>
      <c r="B27" s="25">
        <f>COUNTIFS('评分记录'!$B$5:$B$254,"&gt;="&amp;DATE($K$3,1,1),'评分记录'!$B$5:$B$254,"&lt;"&amp;DATE($K$3,2,1))</f>
        <v/>
      </c>
      <c r="C27" s="142">
        <f>IF($B27=0,"",ROUND(SUMIFS('评分记录'!$R$5:$R$254,'评分记录'!$B$5:$B$254,"&gt;="&amp;DATE($K$3,1,1),'评分记录'!$B$5:$B$254,"&lt;"&amp;DATE($K$3,2,1))/$B27,1))</f>
        <v/>
      </c>
      <c r="D27" s="25">
        <f>COUNTIFS('评分记录'!$B$5:$B$254,"&gt;="&amp;DATE($K$3,1,1),'评分记录'!$B$5:$B$254,"&lt;"&amp;DATE($K$3,2,1),'评分记录'!$S$5:$S$254,"需关注")+COUNTIFS('评分记录'!$B$5:$B$254,"&gt;="&amp;DATE($K$3,1,1),'评分记录'!$B$5:$B$254,"&lt;"&amp;DATE($K$3,2,1),'评分记录'!$S$5:$S$254,"不合格")</f>
        <v/>
      </c>
      <c r="E27" s="25">
        <f>COUNTIFS('反馈与整改'!$O$5:$O$254,"&gt;="&amp;DATE($K$3,1,1),'反馈与整改'!$O$5:$O$254,"&lt;"&amp;DATE($K$3,2,1),'反馈与整改'!$N$5:$N$254,"已完成")+COUNTIFS('反馈与整改'!$O$5:$O$254,"&gt;="&amp;DATE($K$3,1,1),'反馈与整改'!$O$5:$O$254,"&lt;"&amp;DATE($K$3,2,1),'反馈与整改'!$N$5:$N$254,"已关闭")</f>
        <v/>
      </c>
      <c r="F27" s="25">
        <f>COUNTIFS('反馈与整改'!$M$5:$M$254,"&gt;="&amp;DATE($K$3,1,1),'反馈与整改'!$M$5:$M$254,"&lt;"&amp;DATE($K$3,2,1),'反馈与整改'!$Q$5:$Q$254,"&gt;0")</f>
        <v/>
      </c>
      <c r="G27" s="4" t="n"/>
      <c r="H27" s="25" t="inlineStr">
        <is>
          <t>待评估</t>
        </is>
      </c>
      <c r="I27" s="25">
        <f>COUNTIF('反馈与整改'!$N$5:$N$254,$H27)</f>
        <v/>
      </c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</row>
    <row r="28" ht="22" customHeight="1">
      <c r="A28" s="152">
        <f>TEXT(DATE($K$3,2,1),"yyyy-mm")</f>
        <v/>
      </c>
      <c r="B28" s="25">
        <f>COUNTIFS('评分记录'!$B$5:$B$254,"&gt;="&amp;DATE($K$3,2,1),'评分记录'!$B$5:$B$254,"&lt;"&amp;DATE($K$3,3,1))</f>
        <v/>
      </c>
      <c r="C28" s="142">
        <f>IF($B28=0,"",ROUND(SUMIFS('评分记录'!$R$5:$R$254,'评分记录'!$B$5:$B$254,"&gt;="&amp;DATE($K$3,2,1),'评分记录'!$B$5:$B$254,"&lt;"&amp;DATE($K$3,3,1))/$B28,1))</f>
        <v/>
      </c>
      <c r="D28" s="25">
        <f>COUNTIFS('评分记录'!$B$5:$B$254,"&gt;="&amp;DATE($K$3,2,1),'评分记录'!$B$5:$B$254,"&lt;"&amp;DATE($K$3,3,1),'评分记录'!$S$5:$S$254,"需关注")+COUNTIFS('评分记录'!$B$5:$B$254,"&gt;="&amp;DATE($K$3,2,1),'评分记录'!$B$5:$B$254,"&lt;"&amp;DATE($K$3,3,1),'评分记录'!$S$5:$S$254,"不合格")</f>
        <v/>
      </c>
      <c r="E28" s="25">
        <f>COUNTIFS('反馈与整改'!$O$5:$O$254,"&gt;="&amp;DATE($K$3,2,1),'反馈与整改'!$O$5:$O$254,"&lt;"&amp;DATE($K$3,3,1),'反馈与整改'!$N$5:$N$254,"已完成")+COUNTIFS('反馈与整改'!$O$5:$O$254,"&gt;="&amp;DATE($K$3,2,1),'反馈与整改'!$O$5:$O$254,"&lt;"&amp;DATE($K$3,3,1),'反馈与整改'!$N$5:$N$254,"已关闭")</f>
        <v/>
      </c>
      <c r="F28" s="25">
        <f>COUNTIFS('反馈与整改'!$M$5:$M$254,"&gt;="&amp;DATE($K$3,2,1),'反馈与整改'!$M$5:$M$254,"&lt;"&amp;DATE($K$3,3,1),'反馈与整改'!$Q$5:$Q$254,"&gt;0")</f>
        <v/>
      </c>
      <c r="G28" s="4" t="n"/>
      <c r="H28" s="25" t="inlineStr">
        <is>
          <t>处理中</t>
        </is>
      </c>
      <c r="I28" s="25">
        <f>COUNTIF('反馈与整改'!$N$5:$N$254,$H28)</f>
        <v/>
      </c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</row>
    <row r="29" ht="22" customHeight="1">
      <c r="A29" s="152">
        <f>TEXT(DATE($K$3,3,1),"yyyy-mm")</f>
        <v/>
      </c>
      <c r="B29" s="25">
        <f>COUNTIFS('评分记录'!$B$5:$B$254,"&gt;="&amp;DATE($K$3,3,1),'评分记录'!$B$5:$B$254,"&lt;"&amp;DATE($K$3,4,1))</f>
        <v/>
      </c>
      <c r="C29" s="142">
        <f>IF($B29=0,"",ROUND(SUMIFS('评分记录'!$R$5:$R$254,'评分记录'!$B$5:$B$254,"&gt;="&amp;DATE($K$3,3,1),'评分记录'!$B$5:$B$254,"&lt;"&amp;DATE($K$3,4,1))/$B29,1))</f>
        <v/>
      </c>
      <c r="D29" s="25">
        <f>COUNTIFS('评分记录'!$B$5:$B$254,"&gt;="&amp;DATE($K$3,3,1),'评分记录'!$B$5:$B$254,"&lt;"&amp;DATE($K$3,4,1),'评分记录'!$S$5:$S$254,"需关注")+COUNTIFS('评分记录'!$B$5:$B$254,"&gt;="&amp;DATE($K$3,3,1),'评分记录'!$B$5:$B$254,"&lt;"&amp;DATE($K$3,4,1),'评分记录'!$S$5:$S$254,"不合格")</f>
        <v/>
      </c>
      <c r="E29" s="25">
        <f>COUNTIFS('反馈与整改'!$O$5:$O$254,"&gt;="&amp;DATE($K$3,3,1),'反馈与整改'!$O$5:$O$254,"&lt;"&amp;DATE($K$3,4,1),'反馈与整改'!$N$5:$N$254,"已完成")+COUNTIFS('反馈与整改'!$O$5:$O$254,"&gt;="&amp;DATE($K$3,3,1),'反馈与整改'!$O$5:$O$254,"&lt;"&amp;DATE($K$3,4,1),'反馈与整改'!$N$5:$N$254,"已关闭")</f>
        <v/>
      </c>
      <c r="F29" s="25">
        <f>COUNTIFS('反馈与整改'!$M$5:$M$254,"&gt;="&amp;DATE($K$3,3,1),'反馈与整改'!$M$5:$M$254,"&lt;"&amp;DATE($K$3,4,1),'反馈与整改'!$Q$5:$Q$254,"&gt;0")</f>
        <v/>
      </c>
      <c r="G29" s="4" t="n"/>
      <c r="H29" s="25" t="inlineStr">
        <is>
          <t>已完成</t>
        </is>
      </c>
      <c r="I29" s="25">
        <f>COUNTIF('反馈与整改'!$N$5:$N$254,$H29)</f>
        <v/>
      </c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</row>
    <row r="30" ht="22" customHeight="1">
      <c r="A30" s="152">
        <f>TEXT(DATE($K$3,4,1),"yyyy-mm")</f>
        <v/>
      </c>
      <c r="B30" s="25">
        <f>COUNTIFS('评分记录'!$B$5:$B$254,"&gt;="&amp;DATE($K$3,4,1),'评分记录'!$B$5:$B$254,"&lt;"&amp;DATE($K$3,5,1))</f>
        <v/>
      </c>
      <c r="C30" s="142">
        <f>IF($B30=0,"",ROUND(SUMIFS('评分记录'!$R$5:$R$254,'评分记录'!$B$5:$B$254,"&gt;="&amp;DATE($K$3,4,1),'评分记录'!$B$5:$B$254,"&lt;"&amp;DATE($K$3,5,1))/$B30,1))</f>
        <v/>
      </c>
      <c r="D30" s="25">
        <f>COUNTIFS('评分记录'!$B$5:$B$254,"&gt;="&amp;DATE($K$3,4,1),'评分记录'!$B$5:$B$254,"&lt;"&amp;DATE($K$3,5,1),'评分记录'!$S$5:$S$254,"需关注")+COUNTIFS('评分记录'!$B$5:$B$254,"&gt;="&amp;DATE($K$3,4,1),'评分记录'!$B$5:$B$254,"&lt;"&amp;DATE($K$3,5,1),'评分记录'!$S$5:$S$254,"不合格")</f>
        <v/>
      </c>
      <c r="E30" s="25">
        <f>COUNTIFS('反馈与整改'!$O$5:$O$254,"&gt;="&amp;DATE($K$3,4,1),'反馈与整改'!$O$5:$O$254,"&lt;"&amp;DATE($K$3,5,1),'反馈与整改'!$N$5:$N$254,"已完成")+COUNTIFS('反馈与整改'!$O$5:$O$254,"&gt;="&amp;DATE($K$3,4,1),'反馈与整改'!$O$5:$O$254,"&lt;"&amp;DATE($K$3,5,1),'反馈与整改'!$N$5:$N$254,"已关闭")</f>
        <v/>
      </c>
      <c r="F30" s="25">
        <f>COUNTIFS('反馈与整改'!$M$5:$M$254,"&gt;="&amp;DATE($K$3,4,1),'反馈与整改'!$M$5:$M$254,"&lt;"&amp;DATE($K$3,5,1),'反馈与整改'!$Q$5:$Q$254,"&gt;0")</f>
        <v/>
      </c>
      <c r="G30" s="4" t="n"/>
      <c r="H30" s="25" t="inlineStr">
        <is>
          <t>已关闭</t>
        </is>
      </c>
      <c r="I30" s="25">
        <f>COUNTIF('反馈与整改'!$N$5:$N$254,$H30)</f>
        <v/>
      </c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</row>
    <row r="31" ht="22" customHeight="1">
      <c r="A31" s="152">
        <f>TEXT(DATE($K$3,5,1),"yyyy-mm")</f>
        <v/>
      </c>
      <c r="B31" s="25">
        <f>COUNTIFS('评分记录'!$B$5:$B$254,"&gt;="&amp;DATE($K$3,5,1),'评分记录'!$B$5:$B$254,"&lt;"&amp;DATE($K$3,6,1))</f>
        <v/>
      </c>
      <c r="C31" s="142">
        <f>IF($B31=0,"",ROUND(SUMIFS('评分记录'!$R$5:$R$254,'评分记录'!$B$5:$B$254,"&gt;="&amp;DATE($K$3,5,1),'评分记录'!$B$5:$B$254,"&lt;"&amp;DATE($K$3,6,1))/$B31,1))</f>
        <v/>
      </c>
      <c r="D31" s="25">
        <f>COUNTIFS('评分记录'!$B$5:$B$254,"&gt;="&amp;DATE($K$3,5,1),'评分记录'!$B$5:$B$254,"&lt;"&amp;DATE($K$3,6,1),'评分记录'!$S$5:$S$254,"需关注")+COUNTIFS('评分记录'!$B$5:$B$254,"&gt;="&amp;DATE($K$3,5,1),'评分记录'!$B$5:$B$254,"&lt;"&amp;DATE($K$3,6,1),'评分记录'!$S$5:$S$254,"不合格")</f>
        <v/>
      </c>
      <c r="E31" s="25">
        <f>COUNTIFS('反馈与整改'!$O$5:$O$254,"&gt;="&amp;DATE($K$3,5,1),'反馈与整改'!$O$5:$O$254,"&lt;"&amp;DATE($K$3,6,1),'反馈与整改'!$N$5:$N$254,"已完成")+COUNTIFS('反馈与整改'!$O$5:$O$254,"&gt;="&amp;DATE($K$3,5,1),'反馈与整改'!$O$5:$O$254,"&lt;"&amp;DATE($K$3,6,1),'反馈与整改'!$N$5:$N$254,"已关闭")</f>
        <v/>
      </c>
      <c r="F31" s="25">
        <f>COUNTIFS('反馈与整改'!$M$5:$M$254,"&gt;="&amp;DATE($K$3,5,1),'反馈与整改'!$M$5:$M$254,"&lt;"&amp;DATE($K$3,6,1),'反馈与整改'!$Q$5:$Q$254,"&gt;0")</f>
        <v/>
      </c>
      <c r="G31" s="4" t="n"/>
      <c r="H31" s="25" t="inlineStr">
        <is>
          <t>延期</t>
        </is>
      </c>
      <c r="I31" s="25">
        <f>COUNTIF('反馈与整改'!$N$5:$N$254,$H31)</f>
        <v/>
      </c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</row>
    <row r="32" ht="22" customHeight="1">
      <c r="A32" s="152">
        <f>TEXT(DATE($K$3,6,1),"yyyy-mm")</f>
        <v/>
      </c>
      <c r="B32" s="25">
        <f>COUNTIFS('评分记录'!$B$5:$B$254,"&gt;="&amp;DATE($K$3,6,1),'评分记录'!$B$5:$B$254,"&lt;"&amp;DATE($K$3,7,1))</f>
        <v/>
      </c>
      <c r="C32" s="142">
        <f>IF($B32=0,"",ROUND(SUMIFS('评分记录'!$R$5:$R$254,'评分记录'!$B$5:$B$254,"&gt;="&amp;DATE($K$3,6,1),'评分记录'!$B$5:$B$254,"&lt;"&amp;DATE($K$3,7,1))/$B32,1))</f>
        <v/>
      </c>
      <c r="D32" s="25">
        <f>COUNTIFS('评分记录'!$B$5:$B$254,"&gt;="&amp;DATE($K$3,6,1),'评分记录'!$B$5:$B$254,"&lt;"&amp;DATE($K$3,7,1),'评分记录'!$S$5:$S$254,"需关注")+COUNTIFS('评分记录'!$B$5:$B$254,"&gt;="&amp;DATE($K$3,6,1),'评分记录'!$B$5:$B$254,"&lt;"&amp;DATE($K$3,7,1),'评分记录'!$S$5:$S$254,"不合格")</f>
        <v/>
      </c>
      <c r="E32" s="25">
        <f>COUNTIFS('反馈与整改'!$O$5:$O$254,"&gt;="&amp;DATE($K$3,6,1),'反馈与整改'!$O$5:$O$254,"&lt;"&amp;DATE($K$3,7,1),'反馈与整改'!$N$5:$N$254,"已完成")+COUNTIFS('反馈与整改'!$O$5:$O$254,"&gt;="&amp;DATE($K$3,6,1),'反馈与整改'!$O$5:$O$254,"&lt;"&amp;DATE($K$3,7,1),'反馈与整改'!$N$5:$N$254,"已关闭")</f>
        <v/>
      </c>
      <c r="F32" s="25">
        <f>COUNTIFS('反馈与整改'!$M$5:$M$254,"&gt;="&amp;DATE($K$3,6,1),'反馈与整改'!$M$5:$M$254,"&lt;"&amp;DATE($K$3,7,1),'反馈与整改'!$Q$5:$Q$254,"&gt;0")</f>
        <v/>
      </c>
      <c r="G32" s="4" t="n"/>
      <c r="H32" s="25" t="inlineStr">
        <is>
          <t>取消</t>
        </is>
      </c>
      <c r="I32" s="25">
        <f>COUNTIF('反馈与整改'!$N$5:$N$254,$H32)</f>
        <v/>
      </c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</row>
    <row r="33" ht="22" customHeight="1">
      <c r="A33" s="152">
        <f>TEXT(DATE($K$3,7,1),"yyyy-mm")</f>
        <v/>
      </c>
      <c r="B33" s="25">
        <f>COUNTIFS('评分记录'!$B$5:$B$254,"&gt;="&amp;DATE($K$3,7,1),'评分记录'!$B$5:$B$254,"&lt;"&amp;DATE($K$3,8,1))</f>
        <v/>
      </c>
      <c r="C33" s="142">
        <f>IF($B33=0,"",ROUND(SUMIFS('评分记录'!$R$5:$R$254,'评分记录'!$B$5:$B$254,"&gt;="&amp;DATE($K$3,7,1),'评分记录'!$B$5:$B$254,"&lt;"&amp;DATE($K$3,8,1))/$B33,1))</f>
        <v/>
      </c>
      <c r="D33" s="25">
        <f>COUNTIFS('评分记录'!$B$5:$B$254,"&gt;="&amp;DATE($K$3,7,1),'评分记录'!$B$5:$B$254,"&lt;"&amp;DATE($K$3,8,1),'评分记录'!$S$5:$S$254,"需关注")+COUNTIFS('评分记录'!$B$5:$B$254,"&gt;="&amp;DATE($K$3,7,1),'评分记录'!$B$5:$B$254,"&lt;"&amp;DATE($K$3,8,1),'评分记录'!$S$5:$S$254,"不合格")</f>
        <v/>
      </c>
      <c r="E33" s="25">
        <f>COUNTIFS('反馈与整改'!$O$5:$O$254,"&gt;="&amp;DATE($K$3,7,1),'反馈与整改'!$O$5:$O$254,"&lt;"&amp;DATE($K$3,8,1),'反馈与整改'!$N$5:$N$254,"已完成")+COUNTIFS('反馈与整改'!$O$5:$O$254,"&gt;="&amp;DATE($K$3,7,1),'反馈与整改'!$O$5:$O$254,"&lt;"&amp;DATE($K$3,8,1),'反馈与整改'!$N$5:$N$254,"已关闭")</f>
        <v/>
      </c>
      <c r="F33" s="25">
        <f>COUNTIFS('反馈与整改'!$M$5:$M$254,"&gt;="&amp;DATE($K$3,7,1),'反馈与整改'!$M$5:$M$254,"&lt;"&amp;DATE($K$3,8,1),'反馈与整改'!$Q$5:$Q$254,"&gt;0")</f>
        <v/>
      </c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</row>
    <row r="34" ht="22" customHeight="1">
      <c r="A34" s="152">
        <f>TEXT(DATE($K$3,8,1),"yyyy-mm")</f>
        <v/>
      </c>
      <c r="B34" s="25">
        <f>COUNTIFS('评分记录'!$B$5:$B$254,"&gt;="&amp;DATE($K$3,8,1),'评分记录'!$B$5:$B$254,"&lt;"&amp;DATE($K$3,9,1))</f>
        <v/>
      </c>
      <c r="C34" s="142">
        <f>IF($B34=0,"",ROUND(SUMIFS('评分记录'!$R$5:$R$254,'评分记录'!$B$5:$B$254,"&gt;="&amp;DATE($K$3,8,1),'评分记录'!$B$5:$B$254,"&lt;"&amp;DATE($K$3,9,1))/$B34,1))</f>
        <v/>
      </c>
      <c r="D34" s="25">
        <f>COUNTIFS('评分记录'!$B$5:$B$254,"&gt;="&amp;DATE($K$3,8,1),'评分记录'!$B$5:$B$254,"&lt;"&amp;DATE($K$3,9,1),'评分记录'!$S$5:$S$254,"需关注")+COUNTIFS('评分记录'!$B$5:$B$254,"&gt;="&amp;DATE($K$3,8,1),'评分记录'!$B$5:$B$254,"&lt;"&amp;DATE($K$3,9,1),'评分记录'!$S$5:$S$254,"不合格")</f>
        <v/>
      </c>
      <c r="E34" s="25">
        <f>COUNTIFS('反馈与整改'!$O$5:$O$254,"&gt;="&amp;DATE($K$3,8,1),'反馈与整改'!$O$5:$O$254,"&lt;"&amp;DATE($K$3,9,1),'反馈与整改'!$N$5:$N$254,"已完成")+COUNTIFS('反馈与整改'!$O$5:$O$254,"&gt;="&amp;DATE($K$3,8,1),'反馈与整改'!$O$5:$O$254,"&lt;"&amp;DATE($K$3,9,1),'反馈与整改'!$N$5:$N$254,"已关闭")</f>
        <v/>
      </c>
      <c r="F34" s="25">
        <f>COUNTIFS('反馈与整改'!$M$5:$M$254,"&gt;="&amp;DATE($K$3,8,1),'反馈与整改'!$M$5:$M$254,"&lt;"&amp;DATE($K$3,9,1),'反馈与整改'!$Q$5:$Q$254,"&gt;0")</f>
        <v/>
      </c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</row>
    <row r="35" ht="22" customHeight="1">
      <c r="A35" s="152">
        <f>TEXT(DATE($K$3,9,1),"yyyy-mm")</f>
        <v/>
      </c>
      <c r="B35" s="25">
        <f>COUNTIFS('评分记录'!$B$5:$B$254,"&gt;="&amp;DATE($K$3,9,1),'评分记录'!$B$5:$B$254,"&lt;"&amp;DATE($K$3,10,1))</f>
        <v/>
      </c>
      <c r="C35" s="142">
        <f>IF($B35=0,"",ROUND(SUMIFS('评分记录'!$R$5:$R$254,'评分记录'!$B$5:$B$254,"&gt;="&amp;DATE($K$3,9,1),'评分记录'!$B$5:$B$254,"&lt;"&amp;DATE($K$3,10,1))/$B35,1))</f>
        <v/>
      </c>
      <c r="D35" s="25">
        <f>COUNTIFS('评分记录'!$B$5:$B$254,"&gt;="&amp;DATE($K$3,9,1),'评分记录'!$B$5:$B$254,"&lt;"&amp;DATE($K$3,10,1),'评分记录'!$S$5:$S$254,"需关注")+COUNTIFS('评分记录'!$B$5:$B$254,"&gt;="&amp;DATE($K$3,9,1),'评分记录'!$B$5:$B$254,"&lt;"&amp;DATE($K$3,10,1),'评分记录'!$S$5:$S$254,"不合格")</f>
        <v/>
      </c>
      <c r="E35" s="25">
        <f>COUNTIFS('反馈与整改'!$O$5:$O$254,"&gt;="&amp;DATE($K$3,9,1),'反馈与整改'!$O$5:$O$254,"&lt;"&amp;DATE($K$3,10,1),'反馈与整改'!$N$5:$N$254,"已完成")+COUNTIFS('反馈与整改'!$O$5:$O$254,"&gt;="&amp;DATE($K$3,9,1),'反馈与整改'!$O$5:$O$254,"&lt;"&amp;DATE($K$3,10,1),'反馈与整改'!$N$5:$N$254,"已关闭")</f>
        <v/>
      </c>
      <c r="F35" s="25">
        <f>COUNTIFS('反馈与整改'!$M$5:$M$254,"&gt;="&amp;DATE($K$3,9,1),'反馈与整改'!$M$5:$M$254,"&lt;"&amp;DATE($K$3,10,1),'反馈与整改'!$Q$5:$Q$254,"&gt;0")</f>
        <v/>
      </c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</row>
    <row r="36" ht="22" customHeight="1">
      <c r="A36" s="152">
        <f>TEXT(DATE($K$3,10,1),"yyyy-mm")</f>
        <v/>
      </c>
      <c r="B36" s="25">
        <f>COUNTIFS('评分记录'!$B$5:$B$254,"&gt;="&amp;DATE($K$3,10,1),'评分记录'!$B$5:$B$254,"&lt;"&amp;DATE($K$3,11,1))</f>
        <v/>
      </c>
      <c r="C36" s="142">
        <f>IF($B36=0,"",ROUND(SUMIFS('评分记录'!$R$5:$R$254,'评分记录'!$B$5:$B$254,"&gt;="&amp;DATE($K$3,10,1),'评分记录'!$B$5:$B$254,"&lt;"&amp;DATE($K$3,11,1))/$B36,1))</f>
        <v/>
      </c>
      <c r="D36" s="25">
        <f>COUNTIFS('评分记录'!$B$5:$B$254,"&gt;="&amp;DATE($K$3,10,1),'评分记录'!$B$5:$B$254,"&lt;"&amp;DATE($K$3,11,1),'评分记录'!$S$5:$S$254,"需关注")+COUNTIFS('评分记录'!$B$5:$B$254,"&gt;="&amp;DATE($K$3,10,1),'评分记录'!$B$5:$B$254,"&lt;"&amp;DATE($K$3,11,1),'评分记录'!$S$5:$S$254,"不合格")</f>
        <v/>
      </c>
      <c r="E36" s="25">
        <f>COUNTIFS('反馈与整改'!$O$5:$O$254,"&gt;="&amp;DATE($K$3,10,1),'反馈与整改'!$O$5:$O$254,"&lt;"&amp;DATE($K$3,11,1),'反馈与整改'!$N$5:$N$254,"已完成")+COUNTIFS('反馈与整改'!$O$5:$O$254,"&gt;="&amp;DATE($K$3,10,1),'反馈与整改'!$O$5:$O$254,"&lt;"&amp;DATE($K$3,11,1),'反馈与整改'!$N$5:$N$254,"已关闭")</f>
        <v/>
      </c>
      <c r="F36" s="25">
        <f>COUNTIFS('反馈与整改'!$M$5:$M$254,"&gt;="&amp;DATE($K$3,10,1),'反馈与整改'!$M$5:$M$254,"&lt;"&amp;DATE($K$3,11,1),'反馈与整改'!$Q$5:$Q$254,"&gt;0")</f>
        <v/>
      </c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</row>
    <row r="37" ht="22" customHeight="1">
      <c r="A37" s="152">
        <f>TEXT(DATE($K$3,11,1),"yyyy-mm")</f>
        <v/>
      </c>
      <c r="B37" s="25">
        <f>COUNTIFS('评分记录'!$B$5:$B$254,"&gt;="&amp;DATE($K$3,11,1),'评分记录'!$B$5:$B$254,"&lt;"&amp;DATE($K$3,12,1))</f>
        <v/>
      </c>
      <c r="C37" s="142">
        <f>IF($B37=0,"",ROUND(SUMIFS('评分记录'!$R$5:$R$254,'评分记录'!$B$5:$B$254,"&gt;="&amp;DATE($K$3,11,1),'评分记录'!$B$5:$B$254,"&lt;"&amp;DATE($K$3,12,1))/$B37,1))</f>
        <v/>
      </c>
      <c r="D37" s="25">
        <f>COUNTIFS('评分记录'!$B$5:$B$254,"&gt;="&amp;DATE($K$3,11,1),'评分记录'!$B$5:$B$254,"&lt;"&amp;DATE($K$3,12,1),'评分记录'!$S$5:$S$254,"需关注")+COUNTIFS('评分记录'!$B$5:$B$254,"&gt;="&amp;DATE($K$3,11,1),'评分记录'!$B$5:$B$254,"&lt;"&amp;DATE($K$3,12,1),'评分记录'!$S$5:$S$254,"不合格")</f>
        <v/>
      </c>
      <c r="E37" s="25">
        <f>COUNTIFS('反馈与整改'!$O$5:$O$254,"&gt;="&amp;DATE($K$3,11,1),'反馈与整改'!$O$5:$O$254,"&lt;"&amp;DATE($K$3,12,1),'反馈与整改'!$N$5:$N$254,"已完成")+COUNTIFS('反馈与整改'!$O$5:$O$254,"&gt;="&amp;DATE($K$3,11,1),'反馈与整改'!$O$5:$O$254,"&lt;"&amp;DATE($K$3,12,1),'反馈与整改'!$N$5:$N$254,"已关闭")</f>
        <v/>
      </c>
      <c r="F37" s="25">
        <f>COUNTIFS('反馈与整改'!$M$5:$M$254,"&gt;="&amp;DATE($K$3,11,1),'反馈与整改'!$M$5:$M$254,"&lt;"&amp;DATE($K$3,12,1),'反馈与整改'!$Q$5:$Q$254,"&gt;0")</f>
        <v/>
      </c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</row>
    <row r="38" ht="22" customHeight="1">
      <c r="A38" s="152">
        <f>TEXT(DATE($K$3,12,1),"yyyy-mm")</f>
        <v/>
      </c>
      <c r="B38" s="25">
        <f>COUNTIFS('评分记录'!$B$5:$B$254,"&gt;="&amp;DATE($K$3,12,1),'评分记录'!$B$5:$B$254,"&lt;"&amp;DATE($K$3,13,1))</f>
        <v/>
      </c>
      <c r="C38" s="142">
        <f>IF($B38=0,"",ROUND(SUMIFS('评分记录'!$R$5:$R$254,'评分记录'!$B$5:$B$254,"&gt;="&amp;DATE($K$3,12,1),'评分记录'!$B$5:$B$254,"&lt;"&amp;DATE($K$3,13,1))/$B38,1))</f>
        <v/>
      </c>
      <c r="D38" s="25">
        <f>COUNTIFS('评分记录'!$B$5:$B$254,"&gt;="&amp;DATE($K$3,12,1),'评分记录'!$B$5:$B$254,"&lt;"&amp;DATE($K$3,13,1),'评分记录'!$S$5:$S$254,"需关注")+COUNTIFS('评分记录'!$B$5:$B$254,"&gt;="&amp;DATE($K$3,12,1),'评分记录'!$B$5:$B$254,"&lt;"&amp;DATE($K$3,13,1),'评分记录'!$S$5:$S$254,"不合格")</f>
        <v/>
      </c>
      <c r="E38" s="25">
        <f>COUNTIFS('反馈与整改'!$O$5:$O$254,"&gt;="&amp;DATE($K$3,12,1),'反馈与整改'!$O$5:$O$254,"&lt;"&amp;DATE($K$3,13,1),'反馈与整改'!$N$5:$N$254,"已完成")+COUNTIFS('反馈与整改'!$O$5:$O$254,"&gt;="&amp;DATE($K$3,12,1),'反馈与整改'!$O$5:$O$254,"&lt;"&amp;DATE($K$3,13,1),'反馈与整改'!$N$5:$N$254,"已关闭")</f>
        <v/>
      </c>
      <c r="F38" s="25">
        <f>COUNTIFS('反馈与整改'!$M$5:$M$254,"&gt;="&amp;DATE($K$3,12,1),'反馈与整改'!$M$5:$M$254,"&lt;"&amp;DATE($K$3,13,1),'反馈与整改'!$Q$5:$Q$254,"&gt;0")</f>
        <v/>
      </c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</row>
  </sheetData>
  <mergeCells count="22">
    <mergeCell ref="J6:L6"/>
    <mergeCell ref="G6:I6"/>
    <mergeCell ref="H25:I25"/>
    <mergeCell ref="A2:U2"/>
    <mergeCell ref="A5:C5"/>
    <mergeCell ref="G5:I5"/>
    <mergeCell ref="A8:C8"/>
    <mergeCell ref="D9:F9"/>
    <mergeCell ref="D8:F8"/>
    <mergeCell ref="D5:F5"/>
    <mergeCell ref="A9:C9"/>
    <mergeCell ref="G9:I9"/>
    <mergeCell ref="J8:L8"/>
    <mergeCell ref="J5:L5"/>
    <mergeCell ref="A11:F11"/>
    <mergeCell ref="H11:K11"/>
    <mergeCell ref="A6:C6"/>
    <mergeCell ref="G8:I8"/>
    <mergeCell ref="J9:L9"/>
    <mergeCell ref="A1:U1"/>
    <mergeCell ref="D6:F6"/>
    <mergeCell ref="A25:F25"/>
  </mergeCells>
  <conditionalFormatting sqref="C13:C24">
    <cfRule type="colorScale" priority="1">
      <colorScale>
        <cfvo type="num" val="0"/>
        <cfvo type="num" val="75"/>
        <cfvo type="num" val="100"/>
        <color rgb="00FCA5A5"/>
        <color rgb="00FDE68A"/>
        <color rgb="00BBF7D0"/>
      </colorScale>
    </cfRule>
  </conditionalFormatting>
  <conditionalFormatting sqref="J13:J22">
    <cfRule type="cellIs" priority="2" operator="greaterThan" dxfId="2">
      <formula>0</formula>
    </cfRule>
  </conditionalFormatting>
  <dataValidations count="1">
    <dataValidation sqref="K3" showDropDown="0" showInputMessage="0" showErrorMessage="1" allowBlank="0" errorTitle="年度" error="请输入 2020-2035 之间的年份。" type="whole" errorStyle="warning" operator="between">
      <formula1>2020</formula1>
      <formula2>2035</formula2>
    </dataValidation>
  </dataValidations>
  <pageMargins left="0.7" right="0.7" top="0.75" bottom="0.75" header="0.3" footer="0.3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30" customWidth="1" min="3" max="3"/>
    <col width="30" customWidth="1" min="4" max="4"/>
    <col width="30" customWidth="1" min="5" max="5"/>
    <col width="30" customWidth="1" min="6" max="6"/>
    <col width="30" customWidth="1" min="7" max="7"/>
    <col width="28" customWidth="1" min="8" max="8"/>
  </cols>
  <sheetData>
    <row r="1" ht="32" customHeight="1">
      <c r="A1" s="37" t="inlineStr">
        <is>
          <t>场景评分指引：跨公司服务质量监控参考</t>
        </is>
      </c>
      <c r="B1" s="1" t="n"/>
      <c r="C1" s="1" t="n"/>
      <c r="D1" s="1" t="n"/>
      <c r="E1" s="1" t="n"/>
      <c r="F1" s="1" t="n"/>
      <c r="G1" s="1" t="n"/>
      <c r="H1" s="1" t="n"/>
    </row>
    <row r="2" ht="22" customHeight="1">
      <c r="A2" s="11" t="inlineStr">
        <is>
          <t>以下内容用于帮助不同类型公司快速定义抽样范围、评价重点和常见风险，可按自身流程修改。</t>
        </is>
      </c>
      <c r="B2" s="1" t="n"/>
      <c r="C2" s="1" t="n"/>
      <c r="D2" s="1" t="n"/>
      <c r="E2" s="1" t="n"/>
      <c r="F2" s="1" t="n"/>
      <c r="G2" s="1" t="n"/>
      <c r="H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</row>
    <row r="4" ht="34" customHeight="1">
      <c r="A4" s="46" t="inlineStr">
        <is>
          <t>业务场景</t>
        </is>
      </c>
      <c r="B4" s="46" t="inlineStr">
        <is>
          <t>适用示例</t>
        </is>
      </c>
      <c r="C4" s="46" t="inlineStr">
        <is>
          <t>核心关注点</t>
        </is>
      </c>
      <c r="D4" s="46" t="inlineStr">
        <is>
          <t>常见低分信号</t>
        </is>
      </c>
      <c r="E4" s="46" t="inlineStr">
        <is>
          <t>建议抽样方式</t>
        </is>
      </c>
      <c r="F4" s="46" t="inlineStr">
        <is>
          <t>可追加指标</t>
        </is>
      </c>
      <c r="G4" s="46" t="inlineStr">
        <is>
          <t>推荐整改动作</t>
        </is>
      </c>
      <c r="H4" s="46" t="inlineStr">
        <is>
          <t>备注</t>
        </is>
      </c>
    </row>
    <row r="5" ht="42" customHeight="1">
      <c r="A5" s="28" t="inlineStr">
        <is>
          <t>客户服务</t>
        </is>
      </c>
      <c r="B5" s="28" t="inlineStr">
        <is>
          <t>咨询、投诉、账单、会员、订单查询</t>
        </is>
      </c>
      <c r="C5" s="28" t="inlineStr">
        <is>
          <t>响应及时、沟通清晰、情绪安抚、记录完整</t>
        </is>
      </c>
      <c r="D5" s="28" t="inlineStr">
        <is>
          <t>等待过长、解释不一致、未确认客户需求</t>
        </is>
      </c>
      <c r="E5" s="28" t="inlineStr">
        <is>
          <t>按渠道/班次/人员随机抽检</t>
        </is>
      </c>
      <c r="F5" s="28" t="inlineStr">
        <is>
          <t>首次响应时长、满意度、投诉率</t>
        </is>
      </c>
      <c r="G5" s="28" t="inlineStr">
        <is>
          <t>优化话术、补充FAQ、回放复盘</t>
        </is>
      </c>
      <c r="H5" s="28" t="inlineStr">
        <is>
          <t>适合客服中心、互联网、电商</t>
        </is>
      </c>
    </row>
    <row r="6" ht="42" customHeight="1">
      <c r="A6" s="28" t="inlineStr">
        <is>
          <t>售后支持</t>
        </is>
      </c>
      <c r="B6" s="28" t="inlineStr">
        <is>
          <t>维修、退换货、保修、备件支持</t>
        </is>
      </c>
      <c r="C6" s="28" t="inlineStr">
        <is>
          <t>解决有效、过程透明、进度主动通知</t>
        </is>
      </c>
      <c r="D6" s="28" t="inlineStr">
        <is>
          <t>多次返修、承诺不兑现、客户重复催办</t>
        </is>
      </c>
      <c r="E6" s="28" t="inlineStr">
        <is>
          <t>按工单状态和问题等级抽样</t>
        </is>
      </c>
      <c r="F6" s="28" t="inlineStr">
        <is>
          <t>一次解决率、返修率、超时率</t>
        </is>
      </c>
      <c r="G6" s="28" t="inlineStr">
        <is>
          <t>建立节点提醒、明确责任链路</t>
        </is>
      </c>
      <c r="H6" s="28" t="inlineStr">
        <is>
          <t>适合制造、零售、设备服务</t>
        </is>
      </c>
    </row>
    <row r="7" ht="42" customHeight="1">
      <c r="A7" s="28" t="inlineStr">
        <is>
          <t>现场服务</t>
        </is>
      </c>
      <c r="B7" s="28" t="inlineStr">
        <is>
          <t>上门安装、巡检、维护、工程服务</t>
        </is>
      </c>
      <c r="C7" s="28" t="inlineStr">
        <is>
          <t>准时到场、安全合规、操作规范、记录完整</t>
        </is>
      </c>
      <c r="D7" s="28" t="inlineStr">
        <is>
          <t>迟到、未穿戴规范、服务记录缺失</t>
        </is>
      </c>
      <c r="E7" s="28" t="inlineStr">
        <is>
          <t>按区域/工程师/服务类型抽检</t>
        </is>
      </c>
      <c r="F7" s="28" t="inlineStr">
        <is>
          <t>准时率、返工率、安全事件</t>
        </is>
      </c>
      <c r="G7" s="28" t="inlineStr">
        <is>
          <t>现场检查表、标准作业培训</t>
        </is>
      </c>
      <c r="H7" s="28" t="inlineStr">
        <is>
          <t>适合工程、物业、设备运维</t>
        </is>
      </c>
    </row>
    <row r="8" ht="42" customHeight="1">
      <c r="A8" s="28" t="inlineStr">
        <is>
          <t>呼叫中心</t>
        </is>
      </c>
      <c r="B8" s="28" t="inlineStr">
        <is>
          <t>热线咨询、外呼回访、投诉受理</t>
        </is>
      </c>
      <c r="C8" s="28" t="inlineStr">
        <is>
          <t>排队体验、语音规范、信息准确、一次解决</t>
        </is>
      </c>
      <c r="D8" s="28" t="inlineStr">
        <is>
          <t>转接过多、语速过快、身份核验遗漏</t>
        </is>
      </c>
      <c r="E8" s="28" t="inlineStr">
        <is>
          <t>按录音、队列、峰值时段抽样</t>
        </is>
      </c>
      <c r="F8" s="28" t="inlineStr">
        <is>
          <t>平均应答时长、放弃率、转接率</t>
        </is>
      </c>
      <c r="G8" s="28" t="inlineStr">
        <is>
          <t>排班优化、知识库升级</t>
        </is>
      </c>
      <c r="H8" s="28" t="inlineStr">
        <is>
          <t>适合大规模客服运营</t>
        </is>
      </c>
    </row>
    <row r="9" ht="42" customHeight="1">
      <c r="A9" s="28" t="inlineStr">
        <is>
          <t>物流/交付</t>
        </is>
      </c>
      <c r="B9" s="28" t="inlineStr">
        <is>
          <t>仓配、配送、项目交付、安装交接</t>
        </is>
      </c>
      <c r="C9" s="28" t="inlineStr">
        <is>
          <t>交付及时、异常告知、交付完整、签收确认</t>
        </is>
      </c>
      <c r="D9" s="28" t="inlineStr">
        <is>
          <t>延迟未通知、包裹破损、交付资料不全</t>
        </is>
      </c>
      <c r="E9" s="28" t="inlineStr">
        <is>
          <t>按异常件/延期件/区域抽样</t>
        </is>
      </c>
      <c r="F9" s="28" t="inlineStr">
        <is>
          <t>准时交付率、破损率、异常关闭时长</t>
        </is>
      </c>
      <c r="G9" s="28" t="inlineStr">
        <is>
          <t>预警机制、跨部门责任闭环</t>
        </is>
      </c>
      <c r="H9" s="28" t="inlineStr">
        <is>
          <t>适合供应链、配送、B2B交付</t>
        </is>
      </c>
    </row>
    <row r="10" ht="42" customHeight="1">
      <c r="A10" s="28" t="inlineStr">
        <is>
          <t>线上服务</t>
        </is>
      </c>
      <c r="B10" s="28" t="inlineStr">
        <is>
          <t>App、小程序、自助服务、在线表单</t>
        </is>
      </c>
      <c r="C10" s="28" t="inlineStr">
        <is>
          <t>流程顺畅、提示清楚、问题可追踪</t>
        </is>
      </c>
      <c r="D10" s="28" t="inlineStr">
        <is>
          <t>页面提示误导、提交失败、用户不知道下一步</t>
        </is>
      </c>
      <c r="E10" s="28" t="inlineStr">
        <is>
          <t>按路径、入口、失败记录抽样</t>
        </is>
      </c>
      <c r="F10" s="28" t="inlineStr">
        <is>
          <t>自助完成率、失败率、NPS</t>
        </is>
      </c>
      <c r="G10" s="28" t="inlineStr">
        <is>
          <t>优化流程提示、增加兜底人工通道</t>
        </is>
      </c>
      <c r="H10" s="28" t="inlineStr">
        <is>
          <t>适合互联网、金融、公共服务</t>
        </is>
      </c>
    </row>
    <row r="11" ht="42" customHeight="1">
      <c r="A11" s="28" t="inlineStr">
        <is>
          <t>技术支持</t>
        </is>
      </c>
      <c r="B11" s="28" t="inlineStr">
        <is>
          <t>SaaS、软件、硬件、IT服务台</t>
        </is>
      </c>
      <c r="C11" s="28" t="inlineStr">
        <is>
          <t>定位准确、方案有效、知识沉淀、客户教育</t>
        </is>
      </c>
      <c r="D11" s="28" t="inlineStr">
        <is>
          <t>反复试错、缺少复盘、问题复发</t>
        </is>
      </c>
      <c r="E11" s="28" t="inlineStr">
        <is>
          <t>按故障类型/严重程度抽样</t>
        </is>
      </c>
      <c r="F11" s="28" t="inlineStr">
        <is>
          <t>MTTR、复发率、SLA达成率</t>
        </is>
      </c>
      <c r="G11" s="28" t="inlineStr">
        <is>
          <t>知识库沉淀、故障复盘机制</t>
        </is>
      </c>
      <c r="H11" s="28" t="inlineStr">
        <is>
          <t>适合科技、企业服务、IT运维</t>
        </is>
      </c>
    </row>
    <row r="12" ht="42" customHeight="1">
      <c r="A12" s="28" t="inlineStr">
        <is>
          <t>门店/零售</t>
        </is>
      </c>
      <c r="B12" s="28" t="inlineStr">
        <is>
          <t>导购、收银、退换货、会员服务</t>
        </is>
      </c>
      <c r="C12" s="28" t="inlineStr">
        <is>
          <t>接待主动、推荐专业、流程合规、体验一致</t>
        </is>
      </c>
      <c r="D12" s="28" t="inlineStr">
        <is>
          <t>冷漠、误导销售、退换货解释不清</t>
        </is>
      </c>
      <c r="E12" s="28" t="inlineStr">
        <is>
          <t>暗访+顾客反馈+门店巡检</t>
        </is>
      </c>
      <c r="F12" s="28" t="inlineStr">
        <is>
          <t>转化率、客诉率、回访满意度</t>
        </is>
      </c>
      <c r="G12" s="28" t="inlineStr">
        <is>
          <t>优秀案例复制、门店晨会训练</t>
        </is>
      </c>
      <c r="H12" s="28" t="inlineStr">
        <is>
          <t>适合零售、餐饮、连锁服务</t>
        </is>
      </c>
    </row>
    <row r="13" ht="42" customHeight="1">
      <c r="A13" s="28" t="inlineStr">
        <is>
          <t>B2B项目交付</t>
        </is>
      </c>
      <c r="B13" s="28" t="inlineStr">
        <is>
          <t>实施、培训、验收、客户成功</t>
        </is>
      </c>
      <c r="C13" s="28" t="inlineStr">
        <is>
          <t>需求确认、进度透明、资料完整、验收质量</t>
        </is>
      </c>
      <c r="D13" s="28" t="inlineStr">
        <is>
          <t>里程碑延期、资料反复补充、客户预期不一致</t>
        </is>
      </c>
      <c r="E13" s="28" t="inlineStr">
        <is>
          <t>按项目阶段/客户等级抽样</t>
        </is>
      </c>
      <c r="F13" s="28" t="inlineStr">
        <is>
          <t>里程碑达成率、验收一次通过率</t>
        </is>
      </c>
      <c r="G13" s="28" t="inlineStr">
        <is>
          <t>标准交付清单、阶段复盘</t>
        </is>
      </c>
      <c r="H13" s="28" t="inlineStr">
        <is>
          <t>适合咨询、软件、工程项目</t>
        </is>
      </c>
    </row>
    <row r="14" ht="42" customHeight="1">
      <c r="A14" s="28" t="inlineStr">
        <is>
          <t>医疗/咨询/教育</t>
        </is>
      </c>
      <c r="B14" s="28" t="inlineStr">
        <is>
          <t>预约、咨询、教学服务、随访</t>
        </is>
      </c>
      <c r="C14" s="28" t="inlineStr">
        <is>
          <t>专业解释、隐私保护、耐心沟通、合规记录</t>
        </is>
      </c>
      <c r="D14" s="28" t="inlineStr">
        <is>
          <t>信息不完整、隐私风险、解释过于专业难懂</t>
        </is>
      </c>
      <c r="E14" s="28" t="inlineStr">
        <is>
          <t>按人员/课程/服务环节抽样</t>
        </is>
      </c>
      <c r="F14" s="28" t="inlineStr">
        <is>
          <t>复访率、投诉率、满意度</t>
        </is>
      </c>
      <c r="G14" s="28" t="inlineStr">
        <is>
          <t>标准沟通模板、敏感问题培训</t>
        </is>
      </c>
      <c r="H14" s="28" t="inlineStr">
        <is>
          <t>适合专业服务机构</t>
        </is>
      </c>
    </row>
    <row r="15" ht="42" customHeight="1">
      <c r="A15" s="28" t="inlineStr">
        <is>
          <t>物业/设施管理</t>
        </is>
      </c>
      <c r="B15" s="28" t="inlineStr">
        <is>
          <t>报修、保洁、安保、设施维护</t>
        </is>
      </c>
      <c r="C15" s="28" t="inlineStr">
        <is>
          <t>响应速度、派单准确、完工质量、回访</t>
        </is>
      </c>
      <c r="D15" s="28" t="inlineStr">
        <is>
          <t>派单慢、完工未确认、同类问题反复</t>
        </is>
      </c>
      <c r="E15" s="28" t="inlineStr">
        <is>
          <t>按楼栋/问题类型/时段抽样</t>
        </is>
      </c>
      <c r="F15" s="28" t="inlineStr">
        <is>
          <t>完工时长、返修率、回访率</t>
        </is>
      </c>
      <c r="G15" s="28" t="inlineStr">
        <is>
          <t>工单提醒、供应商考核</t>
        </is>
      </c>
      <c r="H15" s="28" t="inlineStr">
        <is>
          <t>适合物业、园区、办公设施</t>
        </is>
      </c>
    </row>
    <row r="16" ht="15" customHeight="1">
      <c r="A16" s="4" t="n"/>
      <c r="B16" s="4" t="n"/>
      <c r="C16" s="4" t="n"/>
      <c r="D16" s="4" t="n"/>
      <c r="E16" s="4" t="n"/>
      <c r="F16" s="4" t="n"/>
      <c r="G16" s="4" t="n"/>
      <c r="H16" s="4" t="n"/>
    </row>
    <row r="17" ht="15" customHeight="1">
      <c r="A17" s="4" t="n"/>
      <c r="B17" s="4" t="n"/>
      <c r="C17" s="4" t="n"/>
      <c r="D17" s="4" t="n"/>
      <c r="E17" s="4" t="n"/>
      <c r="F17" s="4" t="n"/>
      <c r="G17" s="4" t="n"/>
      <c r="H17" s="4" t="n"/>
    </row>
    <row r="18" ht="15" customHeight="1">
      <c r="A18" s="4" t="n"/>
      <c r="B18" s="4" t="n"/>
      <c r="C18" s="4" t="n"/>
      <c r="D18" s="4" t="n"/>
      <c r="E18" s="4" t="n"/>
      <c r="F18" s="4" t="n"/>
      <c r="G18" s="4" t="n"/>
      <c r="H18" s="4" t="n"/>
    </row>
    <row r="19" ht="15" customHeight="1">
      <c r="A19" s="4" t="n"/>
      <c r="B19" s="4" t="n"/>
      <c r="C19" s="4" t="n"/>
      <c r="D19" s="4" t="n"/>
      <c r="E19" s="4" t="n"/>
      <c r="F19" s="4" t="n"/>
      <c r="G19" s="4" t="n"/>
      <c r="H19" s="4" t="n"/>
    </row>
    <row r="20" ht="15" customHeight="1">
      <c r="A20" s="4" t="n"/>
      <c r="B20" s="4" t="n"/>
      <c r="C20" s="4" t="n"/>
      <c r="D20" s="4" t="n"/>
      <c r="E20" s="4" t="n"/>
      <c r="F20" s="4" t="n"/>
      <c r="G20" s="4" t="n"/>
      <c r="H20" s="4" t="n"/>
    </row>
    <row r="21" ht="15" customHeight="1">
      <c r="A21" s="4" t="n"/>
      <c r="B21" s="4" t="n"/>
      <c r="C21" s="4" t="n"/>
      <c r="D21" s="4" t="n"/>
      <c r="E21" s="4" t="n"/>
      <c r="F21" s="4" t="n"/>
      <c r="G21" s="4" t="n"/>
      <c r="H21" s="4" t="n"/>
    </row>
    <row r="22" ht="15" customHeight="1">
      <c r="A22" s="4" t="n"/>
      <c r="B22" s="4" t="n"/>
      <c r="C22" s="4" t="n"/>
      <c r="D22" s="4" t="n"/>
      <c r="E22" s="4" t="n"/>
      <c r="F22" s="4" t="n"/>
      <c r="G22" s="4" t="n"/>
      <c r="H22" s="4" t="n"/>
    </row>
    <row r="23" ht="15" customHeight="1">
      <c r="A23" s="4" t="n"/>
      <c r="B23" s="4" t="n"/>
      <c r="C23" s="4" t="n"/>
      <c r="D23" s="4" t="n"/>
      <c r="E23" s="4" t="n"/>
      <c r="F23" s="4" t="n"/>
      <c r="G23" s="4" t="n"/>
      <c r="H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</row>
    <row r="25" ht="15" customHeight="1">
      <c r="A25" s="4" t="n"/>
      <c r="B25" s="4" t="n"/>
      <c r="C25" s="4" t="n"/>
      <c r="D25" s="4" t="n"/>
      <c r="E25" s="4" t="n"/>
      <c r="F25" s="4" t="n"/>
      <c r="G25" s="4" t="n"/>
      <c r="H25" s="4" t="n"/>
    </row>
    <row r="26" ht="15" customHeight="1">
      <c r="A26" s="4" t="n"/>
      <c r="B26" s="4" t="n"/>
      <c r="C26" s="4" t="n"/>
      <c r="D26" s="4" t="n"/>
      <c r="E26" s="4" t="n"/>
      <c r="F26" s="4" t="n"/>
      <c r="G26" s="4" t="n"/>
      <c r="H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</row>
    <row r="28" ht="15" customHeight="1">
      <c r="A28" s="4" t="n"/>
      <c r="B28" s="4" t="n"/>
      <c r="C28" s="4" t="n"/>
      <c r="D28" s="4" t="n"/>
      <c r="E28" s="4" t="n"/>
      <c r="F28" s="4" t="n"/>
      <c r="G28" s="4" t="n"/>
      <c r="H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</row>
    <row r="36" ht="15" customHeight="1">
      <c r="A36" s="4" t="n"/>
      <c r="B36" s="4" t="n"/>
      <c r="C36" s="4" t="n"/>
      <c r="D36" s="4" t="n"/>
      <c r="E36" s="4" t="n"/>
      <c r="F36" s="4" t="n"/>
      <c r="G36" s="4" t="n"/>
      <c r="H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</row>
  </sheetData>
  <mergeCells count="2">
    <mergeCell ref="A2:H2"/>
    <mergeCell ref="A1:H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服务质量监控评分与反馈表模板</dc:title>
  <dc:description xmlns:dc="http://purl.org/dc/elements/1.1/">适用于客服、售后、现场服务、物流交付、线上服务、技术支持、门店运营、项目交付等多种业务场景。</dc:description>
  <dcterms:created xmlns:dcterms="http://purl.org/dc/terms/" xmlns:xsi="http://www.w3.org/2001/XMLSchema-instance" xsi:type="dcterms:W3CDTF">2026-05-01T03:33:15Z</dcterms:created>
  <dcterms:modified xmlns:dcterms="http://purl.org/dc/terms/" xmlns:xsi="http://www.w3.org/2001/XMLSchema-instance" xsi:type="dcterms:W3CDTF">2026-05-01T03:33:15Z</dcterms:modified>
  <cp:category>Service Operations</cp:category>
</cp:coreProperties>
</file>