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利用ガイド" sheetId="1" state="visible" r:id="rId1"/>
    <sheet xmlns:r="http://schemas.openxmlformats.org/officeDocument/2006/relationships" name="設定項目" sheetId="2" state="visible" r:id="rId2"/>
    <sheet xmlns:r="http://schemas.openxmlformats.org/officeDocument/2006/relationships" name="評価記録" sheetId="3" state="visible" r:id="rId3"/>
    <sheet xmlns:r="http://schemas.openxmlformats.org/officeDocument/2006/relationships" name="フィードバック改善" sheetId="4" state="visible" r:id="rId4"/>
    <sheet xmlns:r="http://schemas.openxmlformats.org/officeDocument/2006/relationships" name="集計ダッシュボード" sheetId="5" state="visible" r:id="rId5"/>
    <sheet xmlns:r="http://schemas.openxmlformats.org/officeDocument/2006/relationships" name="場面別評価ガイド" sheetId="6" state="visible" r:id="rId6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yyyy-mm"/>
    <numFmt numFmtId="167" formatCode="yyyy/mm/dd"/>
  </numFmts>
  <fonts count="9">
    <font>
      <name val="Carlito"/>
      <sz val="11"/>
    </font>
    <font>
      <name val="Aptos"/>
      <color rgb="00334155"/>
      <sz val="10"/>
    </font>
    <font>
      <name val="Aptos"/>
      <b val="1"/>
      <color rgb="000F172A"/>
      <sz val="18"/>
    </font>
    <font>
      <name val="Aptos"/>
      <color rgb="00475569"/>
      <sz val="10"/>
    </font>
    <font>
      <name val="Aptos"/>
      <b val="1"/>
      <color rgb="000F172A"/>
      <sz val="11"/>
    </font>
    <font>
      <name val="Aptos"/>
      <b val="1"/>
      <color rgb="000F172A"/>
      <sz val="10"/>
    </font>
    <font>
      <name val="Aptos"/>
      <b val="1"/>
      <color rgb="000F172A"/>
      <sz val="17"/>
    </font>
    <font>
      <name val="Aptos"/>
      <b val="1"/>
      <color rgb="00334155"/>
      <sz val="10"/>
    </font>
    <font>
      <name val="Aptos"/>
      <b val="1"/>
      <color rgb="00475569"/>
      <sz val="10"/>
    </font>
  </fonts>
  <fills count="7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F1F5F9"/>
      </patternFill>
    </fill>
    <fill>
      <patternFill patternType="solid">
        <fgColor rgb="00D9EAFB"/>
      </patternFill>
    </fill>
    <fill>
      <patternFill patternType="solid">
        <fgColor rgb="00F8FAFC"/>
      </patternFill>
    </fill>
    <fill>
      <patternFill patternType="solid">
        <fgColor rgb="00FFFFFF"/>
      </patternFill>
    </fill>
  </fills>
  <borders count="25">
    <border/>
    <border/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  <bottom style="thin">
        <color rgb="00E2E8F0"/>
      </bottom>
    </border>
    <border>
      <top style="thin">
        <color rgb="00E2E8F0"/>
      </top>
      <bottom style="thin">
        <color rgb="00E2E8F0"/>
      </bottom>
    </border>
    <border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top style="thin">
        <color rgb="00E2E8F0"/>
      </top>
    </border>
    <border>
      <top style="thin">
        <color rgb="00E2E8F0"/>
      </top>
    </border>
    <border>
      <right style="thin">
        <color rgb="00E2E8F0"/>
      </right>
      <top style="thin">
        <color rgb="00E2E8F0"/>
      </top>
    </border>
    <border>
      <left style="thin">
        <color rgb="00E2E8F0"/>
      </left>
      <bottom style="thin">
        <color rgb="00E2E8F0"/>
      </bottom>
    </border>
    <border>
      <bottom style="thin">
        <color rgb="00E2E8F0"/>
      </bottom>
    </border>
    <border>
      <right style="thin">
        <color rgb="00E2E8F0"/>
      </right>
      <bottom style="thin">
        <color rgb="00E2E8F0"/>
      </bottom>
    </border>
    <border>
      <left style="thin">
        <color rgb="00E2E8F0"/>
      </left>
      <right style="thin">
        <color rgb="00E2E8F0"/>
      </right>
      <top style="thin">
        <color rgb="00E2E8F0"/>
      </top>
    </border>
    <border>
      <left style="thin">
        <color rgb="00E2E8F0"/>
      </left>
      <right style="thin">
        <color rgb="00E2E8F0"/>
      </right>
      <bottom style="thin">
        <color rgb="00E2E8F0"/>
      </bottom>
    </border>
    <border>
      <right style="thin">
        <color rgb="00E2E8F0"/>
      </right>
    </border>
  </borders>
  <cellStyleXfs count="1">
    <xf numFmtId="0" fontId="0" fillId="0" borderId="1"/>
  </cellStyleXfs>
  <cellXfs count="154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1" fillId="0" borderId="0" applyAlignment="1" pivotButton="0" quotePrefix="0" xfId="0">
      <alignment/>
    </xf>
    <xf numFmtId="0" fontId="1" fillId="0" borderId="1" applyAlignment="1" pivotButton="0" quotePrefix="0" xfId="0">
      <alignment/>
    </xf>
    <xf numFmtId="0" fontId="1" fillId="2" borderId="0" applyAlignment="1" pivotButton="0" quotePrefix="0" xfId="0">
      <alignment/>
    </xf>
    <xf numFmtId="0" fontId="1" fillId="2" borderId="1" applyAlignment="1" pivotButton="0" quotePrefix="0" xfId="0">
      <alignment/>
    </xf>
    <xf numFmtId="0" fontId="2" fillId="2" borderId="0" applyAlignment="1" pivotButton="0" quotePrefix="0" xfId="0">
      <alignment/>
    </xf>
    <xf numFmtId="0" fontId="2" fillId="2" borderId="1" applyAlignment="1" pivotButton="0" quotePrefix="0" xfId="0">
      <alignment/>
    </xf>
    <xf numFmtId="0" fontId="3" fillId="0" borderId="0" applyAlignment="1" pivotButton="0" quotePrefix="0" xfId="0">
      <alignment/>
    </xf>
    <xf numFmtId="0" fontId="3" fillId="0" borderId="1" applyAlignment="1" pivotButton="0" quotePrefix="0" xfId="0">
      <alignment/>
    </xf>
    <xf numFmtId="0" fontId="1" fillId="3" borderId="0" applyAlignment="1" pivotButton="0" quotePrefix="0" xfId="0">
      <alignment/>
    </xf>
    <xf numFmtId="0" fontId="1" fillId="3" borderId="1" applyAlignment="1" pivotButton="0" quotePrefix="0" xfId="0">
      <alignment/>
    </xf>
    <xf numFmtId="0" fontId="4" fillId="3" borderId="0" applyAlignment="1" pivotButton="0" quotePrefix="0" xfId="0">
      <alignment/>
    </xf>
    <xf numFmtId="0" fontId="4" fillId="3" borderId="1" applyAlignment="1" pivotButton="0" quotePrefix="0" xfId="0">
      <alignment/>
    </xf>
    <xf numFmtId="0" fontId="4" fillId="3" borderId="2" applyAlignment="1" pivotButton="0" quotePrefix="0" xfId="0">
      <alignment/>
    </xf>
    <xf numFmtId="0" fontId="4" fillId="3" borderId="3" applyAlignment="1" pivotButton="0" quotePrefix="0" xfId="0">
      <alignment/>
    </xf>
    <xf numFmtId="0" fontId="4" fillId="3" borderId="4" applyAlignment="1" pivotButton="0" quotePrefix="0" xfId="0">
      <alignment/>
    </xf>
    <xf numFmtId="0" fontId="4" fillId="3" borderId="5" applyAlignment="1" pivotButton="0" quotePrefix="0" xfId="0">
      <alignment/>
    </xf>
    <xf numFmtId="0" fontId="4" fillId="3" borderId="6" applyAlignment="1" pivotButton="0" quotePrefix="0" xfId="0">
      <alignment/>
    </xf>
    <xf numFmtId="0" fontId="4" fillId="3" borderId="7" applyAlignment="1" pivotButton="0" quotePrefix="0" xfId="0">
      <alignment/>
    </xf>
    <xf numFmtId="0" fontId="1" fillId="0" borderId="0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0" fontId="1" fillId="0" borderId="8" applyAlignment="1" pivotButton="0" quotePrefix="0" xfId="0">
      <alignment horizontal="center"/>
    </xf>
    <xf numFmtId="0" fontId="1" fillId="0" borderId="8" applyAlignment="1" pivotButton="0" quotePrefix="0" xfId="0">
      <alignment/>
    </xf>
    <xf numFmtId="0" fontId="1" fillId="0" borderId="9" applyAlignment="1" pivotButton="0" quotePrefix="0" xfId="0">
      <alignment horizontal="center"/>
    </xf>
    <xf numFmtId="0" fontId="1" fillId="0" borderId="9" applyAlignment="1" pivotButton="0" quotePrefix="0" xfId="0">
      <alignment/>
    </xf>
    <xf numFmtId="0" fontId="1" fillId="0" borderId="8" applyAlignment="1" pivotButton="0" quotePrefix="0" xfId="0">
      <alignment wrapText="1"/>
    </xf>
    <xf numFmtId="0" fontId="1" fillId="0" borderId="9" applyAlignment="1" pivotButton="0" quotePrefix="0" xfId="0">
      <alignment wrapText="1"/>
    </xf>
    <xf numFmtId="0" fontId="5" fillId="0" borderId="0" applyAlignment="1" pivotButton="0" quotePrefix="0" xfId="0">
      <alignment/>
    </xf>
    <xf numFmtId="0" fontId="5" fillId="0" borderId="1" applyAlignment="1" pivotButton="0" quotePrefix="0" xfId="0">
      <alignment/>
    </xf>
    <xf numFmtId="0" fontId="5" fillId="0" borderId="8" applyAlignment="1" pivotButton="0" quotePrefix="0" xfId="0">
      <alignment/>
    </xf>
    <xf numFmtId="0" fontId="5" fillId="0" borderId="9" applyAlignment="1" pivotButton="0" quotePrefix="0" xfId="0">
      <alignment/>
    </xf>
    <xf numFmtId="0" fontId="5" fillId="0" borderId="8" applyAlignment="1" pivotButton="0" quotePrefix="0" xfId="0">
      <alignment wrapText="1"/>
    </xf>
    <xf numFmtId="0" fontId="5" fillId="0" borderId="9" applyAlignment="1" pivotButton="0" quotePrefix="0" xfId="0">
      <alignment wrapText="1"/>
    </xf>
    <xf numFmtId="0" fontId="6" fillId="2" borderId="0" applyAlignment="1" pivotButton="0" quotePrefix="0" xfId="0">
      <alignment/>
    </xf>
    <xf numFmtId="0" fontId="6" fillId="2" borderId="1" applyAlignment="1" pivotButton="0" quotePrefix="0" xfId="0">
      <alignment/>
    </xf>
    <xf numFmtId="0" fontId="1" fillId="4" borderId="0" applyAlignment="1" pivotButton="0" quotePrefix="0" xfId="0">
      <alignment/>
    </xf>
    <xf numFmtId="0" fontId="1" fillId="4" borderId="1" applyAlignment="1" pivotButton="0" quotePrefix="0" xfId="0">
      <alignment/>
    </xf>
    <xf numFmtId="0" fontId="5" fillId="4" borderId="0" applyAlignment="1" pivotButton="0" quotePrefix="0" xfId="0">
      <alignment/>
    </xf>
    <xf numFmtId="0" fontId="5" fillId="4" borderId="1" applyAlignment="1" pivotButton="0" quotePrefix="0" xfId="0">
      <alignment/>
    </xf>
    <xf numFmtId="0" fontId="5" fillId="4" borderId="0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5" fillId="4" borderId="0" applyAlignment="1" pivotButton="0" quotePrefix="0" xfId="0">
      <alignment horizontal="center" wrapText="1"/>
    </xf>
    <xf numFmtId="0" fontId="5" fillId="4" borderId="1" applyAlignment="1" pivotButton="0" quotePrefix="0" xfId="0">
      <alignment horizontal="center" wrapText="1"/>
    </xf>
    <xf numFmtId="0" fontId="5" fillId="4" borderId="8" applyAlignment="1" pivotButton="0" quotePrefix="0" xfId="0">
      <alignment horizontal="center" wrapText="1"/>
    </xf>
    <xf numFmtId="0" fontId="5" fillId="4" borderId="9" applyAlignment="1" pivotButton="0" quotePrefix="0" xfId="0">
      <alignment horizontal="center" wrapText="1"/>
    </xf>
    <xf numFmtId="9" fontId="1" fillId="0" borderId="8" applyAlignment="1" pivotButton="0" quotePrefix="0" xfId="0">
      <alignment/>
    </xf>
    <xf numFmtId="9" fontId="1" fillId="0" borderId="9" applyAlignment="1" pivotButton="0" quotePrefix="0" xfId="0">
      <alignment/>
    </xf>
    <xf numFmtId="0" fontId="1" fillId="5" borderId="0" applyAlignment="1" pivotButton="0" quotePrefix="0" xfId="0">
      <alignment/>
    </xf>
    <xf numFmtId="0" fontId="1" fillId="5" borderId="1" applyAlignment="1" pivotButton="0" quotePrefix="0" xfId="0">
      <alignment/>
    </xf>
    <xf numFmtId="0" fontId="5" fillId="5" borderId="0" applyAlignment="1" pivotButton="0" quotePrefix="0" xfId="0">
      <alignment/>
    </xf>
    <xf numFmtId="0" fontId="5" fillId="5" borderId="1" applyAlignment="1" pivotButton="0" quotePrefix="0" xfId="0">
      <alignment/>
    </xf>
    <xf numFmtId="9" fontId="5" fillId="5" borderId="0" applyAlignment="1" pivotButton="0" quotePrefix="0" xfId="0">
      <alignment/>
    </xf>
    <xf numFmtId="9" fontId="5" fillId="5" borderId="1" applyAlignment="1" pivotButton="0" quotePrefix="0" xfId="0">
      <alignment/>
    </xf>
    <xf numFmtId="0" fontId="5" fillId="5" borderId="8" applyAlignment="1" pivotButton="0" quotePrefix="0" xfId="0">
      <alignment/>
    </xf>
    <xf numFmtId="9" fontId="5" fillId="5" borderId="8" applyAlignment="1" pivotButton="0" quotePrefix="0" xfId="0">
      <alignment/>
    </xf>
    <xf numFmtId="0" fontId="5" fillId="5" borderId="9" applyAlignment="1" pivotButton="0" quotePrefix="0" xfId="0">
      <alignment/>
    </xf>
    <xf numFmtId="9" fontId="5" fillId="5" borderId="9" applyAlignment="1" pivotButton="0" quotePrefix="0" xfId="0">
      <alignment/>
    </xf>
    <xf numFmtId="9" fontId="1" fillId="0" borderId="8" applyAlignment="1" pivotButton="0" quotePrefix="0" xfId="0">
      <alignment wrapText="1"/>
    </xf>
    <xf numFmtId="9" fontId="1" fillId="0" borderId="9" applyAlignment="1" pivotButton="0" quotePrefix="0" xfId="0">
      <alignment wrapText="1"/>
    </xf>
    <xf numFmtId="1" fontId="1" fillId="0" borderId="8" applyAlignment="1" pivotButton="0" quotePrefix="0" xfId="0">
      <alignment/>
    </xf>
    <xf numFmtId="1" fontId="1" fillId="0" borderId="9" applyAlignment="1" pivotButton="0" quotePrefix="0" xfId="0">
      <alignment/>
    </xf>
    <xf numFmtId="0" fontId="7" fillId="0" borderId="8" applyAlignment="1" pivotButton="0" quotePrefix="0" xfId="0">
      <alignment/>
    </xf>
    <xf numFmtId="0" fontId="7" fillId="0" borderId="9" applyAlignment="1" pivotButton="0" quotePrefix="0" xfId="0">
      <alignment/>
    </xf>
    <xf numFmtId="0" fontId="7" fillId="0" borderId="8" applyAlignment="1" pivotButton="0" quotePrefix="0" xfId="0">
      <alignment wrapText="1"/>
    </xf>
    <xf numFmtId="0" fontId="7" fillId="0" borderId="9" applyAlignment="1" pivotButton="0" quotePrefix="0" xfId="0">
      <alignment wrapText="1"/>
    </xf>
    <xf numFmtId="164" fontId="1" fillId="0" borderId="8" applyAlignment="1" pivotButton="0" quotePrefix="0" xfId="0">
      <alignment/>
    </xf>
    <xf numFmtId="164" fontId="1" fillId="0" borderId="9" applyAlignment="1" pivotButton="0" quotePrefix="0" xfId="0">
      <alignment/>
    </xf>
    <xf numFmtId="165" fontId="1" fillId="0" borderId="8" applyAlignment="1" pivotButton="0" quotePrefix="0" xfId="0">
      <alignment/>
    </xf>
    <xf numFmtId="165" fontId="1" fillId="0" borderId="9" applyAlignment="1" pivotButton="0" quotePrefix="0" xfId="0">
      <alignment/>
    </xf>
    <xf numFmtId="0" fontId="1" fillId="5" borderId="8" applyAlignment="1" pivotButton="0" quotePrefix="0" xfId="0">
      <alignment/>
    </xf>
    <xf numFmtId="0" fontId="1" fillId="5" borderId="9" applyAlignment="1" pivotButton="0" quotePrefix="0" xfId="0">
      <alignment/>
    </xf>
    <xf numFmtId="0" fontId="1" fillId="6" borderId="0" applyAlignment="1" pivotButton="0" quotePrefix="0" xfId="0">
      <alignment/>
    </xf>
    <xf numFmtId="0" fontId="1" fillId="6" borderId="1" applyAlignment="1" pivotButton="0" quotePrefix="0" xfId="0">
      <alignment/>
    </xf>
    <xf numFmtId="0" fontId="1" fillId="6" borderId="10" applyAlignment="1" pivotButton="0" quotePrefix="0" xfId="0">
      <alignment/>
    </xf>
    <xf numFmtId="0" fontId="1" fillId="6" borderId="11" applyAlignment="1" pivotButton="0" quotePrefix="0" xfId="0">
      <alignment/>
    </xf>
    <xf numFmtId="0" fontId="1" fillId="6" borderId="12" applyAlignment="1" pivotButton="0" quotePrefix="0" xfId="0">
      <alignment/>
    </xf>
    <xf numFmtId="0" fontId="1" fillId="6" borderId="13" applyAlignment="1" pivotButton="0" quotePrefix="0" xfId="0">
      <alignment/>
    </xf>
    <xf numFmtId="0" fontId="1" fillId="6" borderId="14" applyAlignment="1" pivotButton="0" quotePrefix="0" xfId="0">
      <alignment/>
    </xf>
    <xf numFmtId="0" fontId="1" fillId="6" borderId="15" applyAlignment="1" pivotButton="0" quotePrefix="0" xfId="0">
      <alignment/>
    </xf>
    <xf numFmtId="0" fontId="1" fillId="6" borderId="16" applyAlignment="1" pivotButton="0" quotePrefix="0" xfId="0">
      <alignment/>
    </xf>
    <xf numFmtId="0" fontId="1" fillId="6" borderId="17" applyAlignment="1" pivotButton="0" quotePrefix="0" xfId="0">
      <alignment/>
    </xf>
    <xf numFmtId="0" fontId="1" fillId="6" borderId="18" applyAlignment="1" pivotButton="0" quotePrefix="0" xfId="0">
      <alignment/>
    </xf>
    <xf numFmtId="0" fontId="1" fillId="6" borderId="19" applyAlignment="1" pivotButton="0" quotePrefix="0" xfId="0">
      <alignment/>
    </xf>
    <xf numFmtId="0" fontId="1" fillId="6" borderId="20" applyAlignment="1" pivotButton="0" quotePrefix="0" xfId="0">
      <alignment/>
    </xf>
    <xf numFmtId="0" fontId="1" fillId="6" borderId="21" applyAlignment="1" pivotButton="0" quotePrefix="0" xfId="0">
      <alignment/>
    </xf>
    <xf numFmtId="0" fontId="8" fillId="6" borderId="10" applyAlignment="1" pivotButton="0" quotePrefix="0" xfId="0">
      <alignment/>
    </xf>
    <xf numFmtId="0" fontId="8" fillId="6" borderId="11" applyAlignment="1" pivotButton="0" quotePrefix="0" xfId="0">
      <alignment/>
    </xf>
    <xf numFmtId="0" fontId="8" fillId="6" borderId="12" applyAlignment="1" pivotButton="0" quotePrefix="0" xfId="0">
      <alignment/>
    </xf>
    <xf numFmtId="0" fontId="8" fillId="6" borderId="16" applyAlignment="1" pivotButton="0" quotePrefix="0" xfId="0">
      <alignment/>
    </xf>
    <xf numFmtId="0" fontId="8" fillId="6" borderId="17" applyAlignment="1" pivotButton="0" quotePrefix="0" xfId="0">
      <alignment/>
    </xf>
    <xf numFmtId="0" fontId="8" fillId="6" borderId="18" applyAlignment="1" pivotButton="0" quotePrefix="0" xfId="0">
      <alignment/>
    </xf>
    <xf numFmtId="0" fontId="2" fillId="6" borderId="13" applyAlignment="1" pivotButton="0" quotePrefix="0" xfId="0">
      <alignment/>
    </xf>
    <xf numFmtId="0" fontId="2" fillId="6" borderId="14" applyAlignment="1" pivotButton="0" quotePrefix="0" xfId="0">
      <alignment/>
    </xf>
    <xf numFmtId="0" fontId="2" fillId="6" borderId="15" applyAlignment="1" pivotButton="0" quotePrefix="0" xfId="0">
      <alignment/>
    </xf>
    <xf numFmtId="0" fontId="2" fillId="6" borderId="19" applyAlignment="1" pivotButton="0" quotePrefix="0" xfId="0">
      <alignment/>
    </xf>
    <xf numFmtId="0" fontId="2" fillId="6" borderId="20" applyAlignment="1" pivotButton="0" quotePrefix="0" xfId="0">
      <alignment/>
    </xf>
    <xf numFmtId="0" fontId="2" fillId="6" borderId="21" applyAlignment="1" pivotButton="0" quotePrefix="0" xfId="0">
      <alignment/>
    </xf>
    <xf numFmtId="0" fontId="8" fillId="6" borderId="10" applyAlignment="1" pivotButton="0" quotePrefix="0" xfId="0">
      <alignment horizontal="center"/>
    </xf>
    <xf numFmtId="0" fontId="8" fillId="6" borderId="11" applyAlignment="1" pivotButton="0" quotePrefix="0" xfId="0">
      <alignment horizontal="center"/>
    </xf>
    <xf numFmtId="0" fontId="8" fillId="6" borderId="12" applyAlignment="1" pivotButton="0" quotePrefix="0" xfId="0">
      <alignment horizontal="center"/>
    </xf>
    <xf numFmtId="0" fontId="8" fillId="6" borderId="16" applyAlignment="1" pivotButton="0" quotePrefix="0" xfId="0">
      <alignment horizontal="center"/>
    </xf>
    <xf numFmtId="0" fontId="8" fillId="6" borderId="17" applyAlignment="1" pivotButton="0" quotePrefix="0" xfId="0">
      <alignment horizontal="center"/>
    </xf>
    <xf numFmtId="0" fontId="8" fillId="6" borderId="18" applyAlignment="1" pivotButton="0" quotePrefix="0" xfId="0">
      <alignment horizontal="center"/>
    </xf>
    <xf numFmtId="0" fontId="2" fillId="6" borderId="13" applyAlignment="1" pivotButton="0" quotePrefix="0" xfId="0">
      <alignment horizontal="center"/>
    </xf>
    <xf numFmtId="0" fontId="2" fillId="6" borderId="14" applyAlignment="1" pivotButton="0" quotePrefix="0" xfId="0">
      <alignment horizontal="center"/>
    </xf>
    <xf numFmtId="0" fontId="2" fillId="6" borderId="15" applyAlignment="1" pivotButton="0" quotePrefix="0" xfId="0">
      <alignment horizontal="center"/>
    </xf>
    <xf numFmtId="0" fontId="2" fillId="6" borderId="19" applyAlignment="1" pivotButton="0" quotePrefix="0" xfId="0">
      <alignment horizontal="center"/>
    </xf>
    <xf numFmtId="0" fontId="2" fillId="6" borderId="20" applyAlignment="1" pivotButton="0" quotePrefix="0" xfId="0">
      <alignment horizontal="center"/>
    </xf>
    <xf numFmtId="0" fontId="2" fillId="6" borderId="21" applyAlignment="1" pivotButton="0" quotePrefix="0" xfId="0">
      <alignment horizontal="center"/>
    </xf>
    <xf numFmtId="9" fontId="2" fillId="6" borderId="13" applyAlignment="1" pivotButton="0" quotePrefix="0" xfId="0">
      <alignment horizontal="center"/>
    </xf>
    <xf numFmtId="9" fontId="2" fillId="6" borderId="14" applyAlignment="1" pivotButton="0" quotePrefix="0" xfId="0">
      <alignment horizontal="center"/>
    </xf>
    <xf numFmtId="9" fontId="2" fillId="6" borderId="15" applyAlignment="1" pivotButton="0" quotePrefix="0" xfId="0">
      <alignment horizontal="center"/>
    </xf>
    <xf numFmtId="9" fontId="2" fillId="6" borderId="19" applyAlignment="1" pivotButton="0" quotePrefix="0" xfId="0">
      <alignment horizontal="center"/>
    </xf>
    <xf numFmtId="9" fontId="2" fillId="6" borderId="20" applyAlignment="1" pivotButton="0" quotePrefix="0" xfId="0">
      <alignment horizontal="center"/>
    </xf>
    <xf numFmtId="9" fontId="2" fillId="6" borderId="21" applyAlignment="1" pivotButton="0" quotePrefix="0" xfId="0">
      <alignment horizontal="center"/>
    </xf>
    <xf numFmtId="165" fontId="2" fillId="6" borderId="13" applyAlignment="1" pivotButton="0" quotePrefix="0" xfId="0">
      <alignment horizontal="center"/>
    </xf>
    <xf numFmtId="165" fontId="2" fillId="6" borderId="14" applyAlignment="1" pivotButton="0" quotePrefix="0" xfId="0">
      <alignment horizontal="center"/>
    </xf>
    <xf numFmtId="165" fontId="2" fillId="6" borderId="15" applyAlignment="1" pivotButton="0" quotePrefix="0" xfId="0">
      <alignment horizontal="center"/>
    </xf>
    <xf numFmtId="165" fontId="2" fillId="6" borderId="19" applyAlignment="1" pivotButton="0" quotePrefix="0" xfId="0">
      <alignment horizontal="center"/>
    </xf>
    <xf numFmtId="165" fontId="2" fillId="6" borderId="20" applyAlignment="1" pivotButton="0" quotePrefix="0" xfId="0">
      <alignment horizontal="center"/>
    </xf>
    <xf numFmtId="165" fontId="2" fillId="6" borderId="21" applyAlignment="1" pivotButton="0" quotePrefix="0" xfId="0">
      <alignment horizontal="center"/>
    </xf>
    <xf numFmtId="166" fontId="1" fillId="0" borderId="8" applyAlignment="1" pivotButton="0" quotePrefix="0" xfId="0">
      <alignment/>
    </xf>
    <xf numFmtId="166" fontId="1" fillId="0" borderId="9" applyAlignment="1" pivotButton="0" quotePrefix="0" xfId="0">
      <alignment/>
    </xf>
    <xf numFmtId="0" fontId="5" fillId="4" borderId="8" applyAlignment="1" pivotButton="0" quotePrefix="0" xfId="0">
      <alignment horizontal="center"/>
    </xf>
    <xf numFmtId="0" fontId="5" fillId="4" borderId="9" applyAlignment="1" pivotButton="0" quotePrefix="0" xfId="0">
      <alignment horizontal="center"/>
    </xf>
    <xf numFmtId="1" fontId="2" fillId="6" borderId="13" applyAlignment="1" pivotButton="0" quotePrefix="0" xfId="0">
      <alignment horizontal="center"/>
    </xf>
    <xf numFmtId="1" fontId="2" fillId="6" borderId="14" applyAlignment="1" pivotButton="0" quotePrefix="0" xfId="0">
      <alignment horizontal="center"/>
    </xf>
    <xf numFmtId="1" fontId="2" fillId="6" borderId="15" applyAlignment="1" pivotButton="0" quotePrefix="0" xfId="0">
      <alignment horizontal="center"/>
    </xf>
    <xf numFmtId="1" fontId="2" fillId="6" borderId="19" applyAlignment="1" pivotButton="0" quotePrefix="0" xfId="0">
      <alignment horizontal="center"/>
    </xf>
    <xf numFmtId="1" fontId="2" fillId="6" borderId="20" applyAlignment="1" pivotButton="0" quotePrefix="0" xfId="0">
      <alignment horizontal="center"/>
    </xf>
    <xf numFmtId="1" fontId="2" fillId="6" borderId="21" applyAlignment="1" pivotButton="0" quotePrefix="0" xfId="0">
      <alignment horizontal="center"/>
    </xf>
    <xf numFmtId="49" fontId="1" fillId="0" borderId="8" applyAlignment="1" pivotButton="0" quotePrefix="0" xfId="0">
      <alignment/>
    </xf>
    <xf numFmtId="0" fontId="4" fillId="3" borderId="9" applyAlignment="1" pivotButton="0" quotePrefix="0" xfId="0">
      <alignment/>
    </xf>
    <xf numFmtId="0" fontId="0" fillId="0" borderId="6" pivotButton="0" quotePrefix="0" xfId="0"/>
    <xf numFmtId="0" fontId="0" fillId="0" borderId="7" pivotButton="0" quotePrefix="0" xfId="0"/>
    <xf numFmtId="9" fontId="1" fillId="0" borderId="8" applyAlignment="1" pivotButton="0" quotePrefix="0" xfId="0">
      <alignment wrapText="1"/>
    </xf>
    <xf numFmtId="1" fontId="1" fillId="0" borderId="8" applyAlignment="1" pivotButton="0" quotePrefix="0" xfId="0">
      <alignment/>
    </xf>
    <xf numFmtId="9" fontId="5" fillId="5" borderId="8" applyAlignment="1" pivotButton="0" quotePrefix="0" xfId="0">
      <alignment/>
    </xf>
    <xf numFmtId="167" fontId="1" fillId="0" borderId="8" applyAlignment="1" pivotButton="0" quotePrefix="0" xfId="0">
      <alignment/>
    </xf>
    <xf numFmtId="165" fontId="1" fillId="0" borderId="8" applyAlignment="1" pivotButton="0" quotePrefix="0" xfId="0">
      <alignment/>
    </xf>
    <xf numFmtId="164" fontId="1" fillId="0" borderId="8" applyAlignment="1" pivotButton="0" quotePrefix="0" xfId="0">
      <alignment/>
    </xf>
    <xf numFmtId="0" fontId="8" fillId="6" borderId="22" applyAlignment="1" pivotButton="0" quotePrefix="0" xfId="0">
      <alignment horizontal="center"/>
    </xf>
    <xf numFmtId="0" fontId="0" fillId="0" borderId="17" pivotButton="0" quotePrefix="0" xfId="0"/>
    <xf numFmtId="0" fontId="0" fillId="0" borderId="18" pivotButton="0" quotePrefix="0" xfId="0"/>
    <xf numFmtId="0" fontId="2" fillId="6" borderId="23" applyAlignment="1" pivotButton="0" quotePrefix="0" xfId="0">
      <alignment horizontal="center"/>
    </xf>
    <xf numFmtId="0" fontId="0" fillId="0" borderId="20" pivotButton="0" quotePrefix="0" xfId="0"/>
    <xf numFmtId="0" fontId="0" fillId="0" borderId="21" pivotButton="0" quotePrefix="0" xfId="0"/>
    <xf numFmtId="9" fontId="2" fillId="6" borderId="23" applyAlignment="1" pivotButton="0" quotePrefix="0" xfId="0">
      <alignment horizontal="center"/>
    </xf>
    <xf numFmtId="1" fontId="2" fillId="6" borderId="23" applyAlignment="1" pivotButton="0" quotePrefix="0" xfId="0">
      <alignment horizontal="center"/>
    </xf>
    <xf numFmtId="165" fontId="2" fillId="6" borderId="23" applyAlignment="1" pivotButton="0" quotePrefix="0" xfId="0">
      <alignment horizontal="center"/>
    </xf>
    <xf numFmtId="49" fontId="1" fillId="0" borderId="8" applyAlignment="1" pivotButton="0" quotePrefix="0" xfId="0">
      <alignment/>
    </xf>
  </cellXfs>
  <cellStyles count="1">
    <cellStyle name="Normal" xfId="0"/>
  </cellStyles>
  <dxfs count="9"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各業務場面：評価数与平均点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評価数</v>
          </tx>
          <spPr>
            <a:ln xmlns:a="http://schemas.openxmlformats.org/drawingml/2006/main">
              <a:prstDash val="solid"/>
            </a:ln>
          </spPr>
          <cat>
            <strRef>
              <f>'集計ダッシュボード'!$A$13:$A$23</f>
              <strCache>
                <ptCount val="0"/>
              </strCache>
            </strRef>
          </cat>
          <val>
            <numRef>
              <f>'集計ダッシュボード'!$B$13:$B$23</f>
              <numCache>
                <ptCount val="0"/>
              </numCache>
            </numRef>
          </val>
        </ser>
        <ser>
          <idx val="1"/>
          <order val="1"/>
          <tx>
            <v>平均点</v>
          </tx>
          <spPr>
            <a:ln xmlns:a="http://schemas.openxmlformats.org/drawingml/2006/main">
              <a:prstDash val="solid"/>
            </a:ln>
          </spPr>
          <cat>
            <strRef>
              <f>'集計ダッシュボード'!$A$13:$A$23</f>
              <strCache>
                <ptCount val="0"/>
              </strCache>
            </strRef>
          </cat>
          <val>
            <numRef>
              <f>'集計ダッシュボード'!$C$13:$C$23</f>
              <numCache>
                <formatCode>0.0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月度评分趋势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評価数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'集計ダッシュボード'!$A$27:$A$38</f>
              <strCache>
                <ptCount val="0"/>
              </strCache>
            </strRef>
          </cat>
          <val>
            <numRef>
              <f>'集計ダッシュボード'!$B$27:$B$38</f>
              <numCache>
                <ptCount val="0"/>
              </numCache>
            </numRef>
          </val>
          <smooth val="0"/>
        </ser>
        <ser>
          <idx val="1"/>
          <order val="1"/>
          <tx>
            <v>平均点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'集計ダッシュボード'!$A$27:$A$38</f>
              <strCache>
                <ptCount val="0"/>
              </strCache>
            </strRef>
          </cat>
          <val>
            <numRef>
              <f>'集計ダッシュボード'!$C$27:$C$38</f>
              <numCache>
                <formatCode>0.0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yyyy-mm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/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4763">
              <a:solidFill>
                <a:srgbClr val="E2E8F0"/>
              </a:solidFill>
              <a:prstDash val="solid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改善状態分布</a:t>
            </a:r>
          </a:p>
        </rich>
      </tx>
      <overlay val="0"/>
    </title>
    <plotArea>
      <layout/>
      <doughnutChart>
        <varyColors val="1"/>
        <ser>
          <idx val="0"/>
          <order val="0"/>
          <tx>
            <v>件数</v>
          </tx>
          <spPr>
            <a:ln xmlns:a="http://schemas.openxmlformats.org/drawingml/2006/main">
              <a:prstDash val="solid"/>
            </a:ln>
          </spPr>
          <cat>
            <strRef>
              <f>'集計ダッシュボード'!$H$27:$H$32</f>
              <strCache>
                <ptCount val="0"/>
              </strCache>
            </strRef>
          </cat>
          <val>
            <numRef>
              <f>'集計ダッシュボード'!$I$27:$I$32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firstSliceAng val="0"/>
        <holeSize val="10"/>
      </doughnutChart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12</col>
      <colOff>0</colOff>
      <row>3</row>
      <rowOff>0</rowOff>
    </from>
    <to>
      <col>21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19</row>
      <rowOff>0</rowOff>
    </from>
    <to>
      <col>21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12</col>
      <colOff>0</colOff>
      <row>35</row>
      <rowOff>0</rowOff>
    </from>
    <to>
      <col>21</col>
      <colOff>0</colOff>
      <row>49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oreDimensionWeights" displayName="ScoreDimensionWeights" ref="A5:D13" headerRowCount="1">
  <tableColumns count="4">
    <tableColumn id="1" name="評価軸"/>
    <tableColumn id="2" name="評価説明"/>
    <tableColumn id="3" name="重み"/>
    <tableColumn id="4" name="採点のヒント"/>
  </tableColumns>
  <tableStyleInfo name="TableStyleMedium2" showRowStripes="1"/>
</table>
</file>

<file path=xl/tables/table2.xml><?xml version="1.0" encoding="utf-8"?>
<table xmlns="http://schemas.openxmlformats.org/spreadsheetml/2006/main" id="2" name="RatingThresholds" displayName="RatingThresholds" ref="F5:G9" headerRowCount="1">
  <tableColumns count="2">
    <tableColumn id="1" name="ランク"/>
    <tableColumn id="2" name="最低点"/>
  </tableColumns>
  <tableStyleInfo name="TableStyleMedium2" showRowStripes="1"/>
</table>
</file>

<file path=xl/tables/table3.xml><?xml version="1.0" encoding="utf-8"?>
<table xmlns="http://schemas.openxmlformats.org/spreadsheetml/2006/main" id="3" name="DropdownOptions" displayName="DropdownOptions" ref="I5:O17" headerRowCount="1">
  <tableColumns count="7">
    <tableColumn id="1" name="業務場面"/>
    <tableColumn id="2" name="サービスチャネル"/>
    <tableColumn id="3" name="顧客タイプ"/>
    <tableColumn id="4" name="課題レベル"/>
    <tableColumn id="5" name="課題分類"/>
    <tableColumn id="6" name="改善状態"/>
    <tableColumn id="7" name="検証結果"/>
  </tableColumns>
  <tableStyleInfo name="TableStyleMedium2" showRowStripes="1"/>
</table>
</file>

<file path=xl/tables/table4.xml><?xml version="1.0" encoding="utf-8"?>
<table xmlns="http://schemas.openxmlformats.org/spreadsheetml/2006/main" id="4" name="ScoreRecords" displayName="ScoreRecords" ref="A4:Y254" headerRowCount="1">
  <tableColumns count="25">
    <tableColumn id="1" name="記録ID"/>
    <tableColumn id="2" name="評価日"/>
    <tableColumn id="3" name="会社・ブランド"/>
    <tableColumn id="4" name="部門・店舗・プロジェクト"/>
    <tableColumn id="5" name="業務場面"/>
    <tableColumn id="6" name="サービスチャネル"/>
    <tableColumn id="7" name="顧客タイプ"/>
    <tableColumn id="8" name="担当者・チーム"/>
    <tableColumn id="9" name="顧客・チケット番号"/>
    <tableColumn id="10" name="課題レベル"/>
    <tableColumn id="11" name="応答の速さ_x000a_1-5"/>
    <tableColumn id="12" name="コミュニケーションの専門性_x000a_1-5"/>
    <tableColumn id="13" name="解決の有効性_x000a_1-5"/>
    <tableColumn id="14" name="サービス姿勢_x000a_1-5"/>
    <tableColumn id="15" name="手順遵守_x000a_1-5"/>
    <tableColumn id="16" name="初回解決・納品完全性_x000a_1-5"/>
    <tableColumn id="17" name="顧客満足度_x000a_1-5"/>
    <tableColumn id="18" name="加权得分_x000a_0-100"/>
    <tableColumn id="19" name="ランク"/>
    <tableColumn id="20" name="エスカレーション"/>
    <tableColumn id="21" name="評価者"/>
    <tableColumn id="22" name="顧客フィードバック要約"/>
    <tableColumn id="23" name="改善提案"/>
    <tableColumn id="24" name="関連改善ID"/>
    <tableColumn id="25" name="メモ"/>
  </tableColumns>
  <tableStyleInfo name="TableStyleMedium2" showRowStripes="1"/>
</table>
</file>

<file path=xl/tables/table5.xml><?xml version="1.0" encoding="utf-8"?>
<table xmlns="http://schemas.openxmlformats.org/spreadsheetml/2006/main" id="5" name="CorrectiveActions" displayName="CorrectiveActions" ref="A4:S254" headerRowCount="1">
  <tableColumns count="19">
    <tableColumn id="1" name="改善ID"/>
    <tableColumn id="2" name="起票日"/>
    <tableColumn id="3" name="元記録ID"/>
    <tableColumn id="4" name="会社・プロジェクト"/>
    <tableColumn id="5" name="業務場面"/>
    <tableColumn id="6" name="課題分類"/>
    <tableColumn id="7" name="重要度"/>
    <tableColumn id="8" name="フィードバック元"/>
    <tableColumn id="9" name="フィードバック内容"/>
    <tableColumn id="10" name="原因分析"/>
    <tableColumn id="11" name="改善対応"/>
    <tableColumn id="12" name="担当者"/>
    <tableColumn id="13" name="期限"/>
    <tableColumn id="14" name="状態"/>
    <tableColumn id="15" name="完了日"/>
    <tableColumn id="16" name="検証結果"/>
    <tableColumn id="17" name="遅延日数"/>
    <tableColumn id="18" name="対応期間（日）"/>
    <tableColumn id="19" name="メモ"/>
  </tableColumns>
  <tableStyleInfo name="TableStyleMedium2" showRowStripes="1"/>
</table>
</file>

<file path=xl/tables/table6.xml><?xml version="1.0" encoding="utf-8"?>
<table xmlns="http://schemas.openxmlformats.org/spreadsheetml/2006/main" id="6" name="ScenarioGuide" displayName="ScenarioGuide" ref="A4:H15" headerRowCount="1">
  <tableColumns count="8">
    <tableColumn id="1" name="業務場面"/>
    <tableColumn id="2" name="適用例"/>
    <tableColumn id="3" name="主な確認点"/>
    <tableColumn id="4" name="低評価になりやすい兆候"/>
    <tableColumn id="5" name="推奨サンプリング方法"/>
    <tableColumn id="6" name="追加できる指標"/>
    <tableColumn id="7" name="推奨改善アクション"/>
    <tableColumn id="8" name="メモ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18" customWidth="1" min="1" max="1"/>
    <col width="100" customWidth="1" min="2" max="2"/>
  </cols>
  <sheetData>
    <row r="1" ht="34" customHeight="1">
      <c r="A1" s="9" t="inlineStr">
        <is>
          <t>サービス品質モニタリング評価・フィードバック表テンプレート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15" customHeight="1">
      <c r="A2" s="11" t="inlineStr">
        <is>
          <t>カスタマーサポート、アフターサービス、現地対応、物流納品、オンラインサービス、技術サポート、店舗運営、プロジェクト納品など、幅広い業務場面で使えます。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</row>
    <row r="4" ht="15" customHeight="1">
      <c r="A4" s="135" t="inlineStr">
        <is>
          <t>利用手順</t>
        </is>
      </c>
      <c r="B4" s="136" t="n"/>
      <c r="C4" s="136" t="n"/>
      <c r="D4" s="136" t="n"/>
      <c r="E4" s="136" t="n"/>
      <c r="F4" s="136" t="n"/>
      <c r="G4" s="136" t="n"/>
      <c r="H4" s="136" t="n"/>
      <c r="I4" s="137" t="n"/>
    </row>
    <row r="5" ht="28" customHeight="1">
      <c r="A5" s="24" t="inlineStr">
        <is>
          <t>1</t>
        </is>
      </c>
      <c r="B5" s="28" t="inlineStr">
        <is>
          <t>「設定項目」で評価軸の重み、ランク判定しきい値、選択肢を確認します。</t>
        </is>
      </c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24" t="inlineStr">
        <is>
          <t>2</t>
        </is>
      </c>
      <c r="B6" s="28" t="inlineStr">
        <is>
          <t>「評価記録」に品質チェック、フォローアップ、抜き取り確認、顧客フィードバックごとの評価を入力します。評価欄は1から5の点数だけを入力します。</t>
        </is>
      </c>
      <c r="C6" s="4" t="n"/>
      <c r="D6" s="4" t="n"/>
      <c r="E6" s="4" t="n"/>
      <c r="F6" s="4" t="n"/>
      <c r="G6" s="4" t="n"/>
      <c r="H6" s="4" t="n"/>
      <c r="I6" s="4" t="n"/>
    </row>
    <row r="7" ht="28" customHeight="1">
      <c r="A7" s="24" t="inlineStr">
        <is>
          <t>3</t>
        </is>
      </c>
      <c r="B7" s="28" t="inlineStr">
        <is>
          <t>低評価、エスカレーション、苦情、手順逸脱の記録は「フィードバック改善」で改善の循環を作り、担当者、期限、状態、検証結果を追跡します。</t>
        </is>
      </c>
      <c r="C7" s="4" t="n"/>
      <c r="D7" s="4" t="n"/>
      <c r="E7" s="4" t="n"/>
      <c r="F7" s="4" t="n"/>
      <c r="G7" s="4" t="n"/>
      <c r="H7" s="4" t="n"/>
      <c r="I7" s="4" t="n"/>
    </row>
    <row r="8" ht="28" customHeight="1">
      <c r="A8" s="24" t="inlineStr">
        <is>
          <t>4</t>
        </is>
      </c>
      <c r="B8" s="28" t="inlineStr">
        <is>
          <t>「集計ダッシュボード」で件数、平均点、低評価件数、エスカレーション率、改善遅延、場面別比較、月次推移を確認します。</t>
        </is>
      </c>
      <c r="C8" s="4" t="n"/>
      <c r="D8" s="4" t="n"/>
      <c r="E8" s="4" t="n"/>
      <c r="F8" s="4" t="n"/>
      <c r="G8" s="4" t="n"/>
      <c r="H8" s="4" t="n"/>
      <c r="I8" s="4" t="n"/>
    </row>
    <row r="9" ht="28" customHeight="1">
      <c r="A9" s="24" t="inlineStr">
        <is>
          <t>5</t>
        </is>
      </c>
      <c r="B9" s="28" t="inlineStr">
        <is>
          <t>「場面別評価ガイド」を参考に、会社や業務タイプに合わせて評価基準を微調整します。</t>
        </is>
      </c>
      <c r="C9" s="4" t="n"/>
      <c r="D9" s="4" t="n"/>
      <c r="E9" s="4" t="n"/>
      <c r="F9" s="4" t="n"/>
      <c r="G9" s="4" t="n"/>
      <c r="H9" s="4" t="n"/>
      <c r="I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15" customHeight="1">
      <c r="A11" s="135" t="inlineStr">
        <is>
          <t>評価基準</t>
        </is>
      </c>
      <c r="B11" s="136" t="n"/>
      <c r="C11" s="136" t="n"/>
      <c r="D11" s="136" t="n"/>
      <c r="E11" s="136" t="n"/>
      <c r="F11" s="136" t="n"/>
      <c r="G11" s="136" t="n"/>
      <c r="H11" s="136" t="n"/>
      <c r="I11" s="137" t="n"/>
    </row>
    <row r="12" ht="28" customHeight="1">
      <c r="A12" s="34" t="inlineStr">
        <is>
          <t>評価範囲</t>
        </is>
      </c>
      <c r="B12" s="28" t="inlineStr">
        <is>
          <t>1 = 重大な未達、2 = 未達、3 = おおむね達成、4 = 良好、5 = 優秀。</t>
        </is>
      </c>
      <c r="C12" s="4" t="n"/>
      <c r="D12" s="4" t="n"/>
      <c r="E12" s="4" t="n"/>
      <c r="F12" s="4" t="n"/>
      <c r="G12" s="4" t="n"/>
      <c r="H12" s="4" t="n"/>
      <c r="I12" s="4" t="n"/>
    </row>
    <row r="13" ht="28" customHeight="1">
      <c r="A13" s="34" t="inlineStr">
        <is>
          <t>標準総合点</t>
        </is>
      </c>
      <c r="B13" s="28" t="inlineStr">
        <is>
          <t>各評価軸の重みに基づいて0から100点へ自動換算します。重みは「設定項目」で調整できます。</t>
        </is>
      </c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34" t="inlineStr">
        <is>
          <t>標準ランク</t>
        </is>
      </c>
      <c r="B14" s="28" t="inlineStr">
        <is>
          <t>優秀は90以上、良好は80以上、要注意は70以上、不合格は70未満です。しきい値は「設定項目」で調整できます。</t>
        </is>
      </c>
      <c r="C14" s="4" t="n"/>
      <c r="D14" s="4" t="n"/>
      <c r="E14" s="4" t="n"/>
      <c r="F14" s="4" t="n"/>
      <c r="G14" s="4" t="n"/>
      <c r="H14" s="4" t="n"/>
      <c r="I14" s="4" t="n"/>
    </row>
    <row r="15" ht="28" customHeight="1">
      <c r="A15" s="34" t="inlineStr">
        <is>
          <t>改善提案</t>
        </is>
      </c>
      <c r="B15" s="28" t="inlineStr">
        <is>
          <t>「要注意」「不合格」「エスカレーション=はい」の記録は改善の循環に移し、担当者と検証結果を設定することをおすすめします。</t>
        </is>
      </c>
      <c r="C15" s="4" t="n"/>
      <c r="D15" s="4" t="n"/>
      <c r="E15" s="4" t="n"/>
      <c r="F15" s="4" t="n"/>
      <c r="G15" s="4" t="n"/>
      <c r="H15" s="4" t="n"/>
      <c r="I15" s="4" t="n"/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 ht="15" customHeight="1">
      <c r="A17" s="135" t="inlineStr">
        <is>
          <t>シート構成</t>
        </is>
      </c>
      <c r="B17" s="136" t="n"/>
      <c r="C17" s="136" t="n"/>
      <c r="D17" s="136" t="n"/>
      <c r="E17" s="136" t="n"/>
      <c r="F17" s="136" t="n"/>
      <c r="G17" s="136" t="n"/>
      <c r="H17" s="136" t="n"/>
      <c r="I17" s="137" t="n"/>
    </row>
    <row r="18" ht="24" customHeight="1">
      <c r="A18" s="34" t="inlineStr">
        <is>
          <t>利用ガイド</t>
        </is>
      </c>
      <c r="B18" s="28" t="inlineStr">
        <is>
          <t>テンプレートの使い方、評価基準、参考情報。</t>
        </is>
      </c>
      <c r="C18" s="4" t="n"/>
      <c r="D18" s="4" t="n"/>
      <c r="E18" s="4" t="n"/>
      <c r="F18" s="4" t="n"/>
      <c r="G18" s="4" t="n"/>
      <c r="H18" s="4" t="n"/>
      <c r="I18" s="4" t="n"/>
    </row>
    <row r="19" ht="24" customHeight="1">
      <c r="A19" s="34" t="inlineStr">
        <is>
          <t>設定項目</t>
        </is>
      </c>
      <c r="B19" s="28" t="inlineStr">
        <is>
          <t>評価軸、重み、ランクしきい値、業務場面、選択肢。</t>
        </is>
      </c>
      <c r="C19" s="4" t="n"/>
      <c r="D19" s="4" t="n"/>
      <c r="E19" s="4" t="n"/>
      <c r="F19" s="4" t="n"/>
      <c r="G19" s="4" t="n"/>
      <c r="H19" s="4" t="n"/>
      <c r="I19" s="4" t="n"/>
    </row>
    <row r="20" ht="24" customHeight="1">
      <c r="A20" s="34" t="inlineStr">
        <is>
          <t>評価記録</t>
        </is>
      </c>
      <c r="B20" s="28" t="inlineStr">
        <is>
          <t>サービス品質評価の主表です。品質確認、フォローアップ、ミステリー調査、管理者抜き取り、顧客フィードバックの記録に使えます。</t>
        </is>
      </c>
      <c r="C20" s="4" t="n"/>
      <c r="D20" s="4" t="n"/>
      <c r="E20" s="4" t="n"/>
      <c r="F20" s="4" t="n"/>
      <c r="G20" s="4" t="n"/>
      <c r="H20" s="4" t="n"/>
      <c r="I20" s="4" t="n"/>
    </row>
    <row r="21" ht="24" customHeight="1">
      <c r="A21" s="34" t="inlineStr">
        <is>
          <t>フィードバック改善</t>
        </is>
      </c>
      <c r="B21" s="28" t="inlineStr">
        <is>
          <t>課題の循環管理表です。原因、対応、担当者、期限、遅延、検証結果を記録します。</t>
        </is>
      </c>
      <c r="C21" s="4" t="n"/>
      <c r="D21" s="4" t="n"/>
      <c r="E21" s="4" t="n"/>
      <c r="F21" s="4" t="n"/>
      <c r="G21" s="4" t="n"/>
      <c r="H21" s="4" t="n"/>
      <c r="I21" s="4" t="n"/>
    </row>
    <row r="22" ht="24" customHeight="1">
      <c r="A22" s="34" t="inlineStr">
        <is>
          <t>集計ダッシュボード</t>
        </is>
      </c>
      <c r="B22" s="28" t="inlineStr">
        <is>
          <t>主要指標、場面別比較、課題分類、改善状態、月次推移を自動集計します。</t>
        </is>
      </c>
      <c r="C22" s="4" t="n"/>
      <c r="D22" s="4" t="n"/>
      <c r="E22" s="4" t="n"/>
      <c r="F22" s="4" t="n"/>
      <c r="G22" s="4" t="n"/>
      <c r="H22" s="4" t="n"/>
      <c r="I22" s="4" t="n"/>
    </row>
    <row r="23" ht="24" customHeight="1">
      <c r="A23" s="34" t="inlineStr">
        <is>
          <t>場面別評価ガイド</t>
        </is>
      </c>
      <c r="B23" s="28" t="inlineStr">
        <is>
          <t>業界や業務をまたいで使える評価参考で、導入を早めます。</t>
        </is>
      </c>
      <c r="C23" s="4" t="n"/>
      <c r="D23" s="4" t="n"/>
      <c r="E23" s="4" t="n"/>
      <c r="F23" s="4" t="n"/>
      <c r="G23" s="4" t="n"/>
      <c r="H23" s="4" t="n"/>
      <c r="I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 ht="15" customHeight="1">
      <c r="A25" s="135" t="inlineStr">
        <is>
          <t>出典とメモ</t>
        </is>
      </c>
      <c r="B25" s="136" t="n"/>
      <c r="C25" s="136" t="n"/>
      <c r="D25" s="136" t="n"/>
      <c r="E25" s="136" t="n"/>
      <c r="F25" s="136" t="n"/>
      <c r="G25" s="136" t="n"/>
      <c r="H25" s="136" t="n"/>
      <c r="I25" s="137" t="n"/>
    </row>
    <row r="26" ht="28" customHeight="1">
      <c r="A26" s="32" t="inlineStr">
        <is>
          <t>依頼元ページ</t>
        </is>
      </c>
      <c r="B26" s="28" t="inlineStr">
        <is>
          <t>http://localhost:2020/zh/excel-templates/service-operations/service-quality-scorecard/</t>
        </is>
      </c>
      <c r="C26" s="4" t="n"/>
      <c r="D26" s="4" t="n"/>
      <c r="E26" s="4" t="n"/>
      <c r="F26" s="4" t="n"/>
      <c r="G26" s="4" t="n"/>
      <c r="H26" s="4" t="n"/>
      <c r="I26" s="4" t="n"/>
    </row>
    <row r="27" ht="28" customHeight="1">
      <c r="A27" s="32" t="inlineStr">
        <is>
          <t>公開参考情報</t>
        </is>
      </c>
      <c r="B27" s="28" t="inlineStr">
        <is>
          <t>https://excelbundle.com/service-spreadsheet/</t>
        </is>
      </c>
      <c r="C27" s="4" t="n"/>
      <c r="D27" s="4" t="n"/>
      <c r="E27" s="4" t="n"/>
      <c r="F27" s="4" t="n"/>
      <c r="G27" s="4" t="n"/>
      <c r="H27" s="4" t="n"/>
      <c r="I27" s="4" t="n"/>
    </row>
    <row r="28" ht="28" customHeight="1">
      <c r="A28" s="32" t="inlineStr">
        <is>
          <t>メモ</t>
        </is>
      </c>
      <c r="B28" s="28" t="inlineStr">
        <is>
          <t>このテンプレートは、サービス品質評価、フィードバックの循環、改善追跡、サービス場面への適用という実務要件を汎用化して設計しています。</t>
        </is>
      </c>
      <c r="C28" s="4" t="n"/>
      <c r="D28" s="4" t="n"/>
      <c r="E28" s="4" t="n"/>
      <c r="F28" s="4" t="n"/>
      <c r="G28" s="4" t="n"/>
      <c r="H28" s="4" t="n"/>
      <c r="I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</sheetData>
  <mergeCells count="6">
    <mergeCell ref="A25:I25"/>
    <mergeCell ref="A2:I2"/>
    <mergeCell ref="A11:I11"/>
    <mergeCell ref="A1:I1"/>
    <mergeCell ref="A17:I17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80"/>
  <sheetViews>
    <sheetView workbookViewId="0">
      <selection activeCell="A1" sqref="A1"/>
    </sheetView>
  </sheetViews>
  <sheetFormatPr baseColWidth="8" defaultRowHeight="15"/>
  <cols>
    <col width="20" customWidth="1" min="1" max="1"/>
    <col width="82" customWidth="1" min="2" max="2"/>
    <col width="12" customWidth="1" min="3" max="3"/>
    <col width="42" customWidth="1" min="4" max="4"/>
    <col width="16" customWidth="1" min="6" max="6"/>
    <col width="14" customWidth="1" min="7" max="7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</cols>
  <sheetData>
    <row r="1" ht="32" customHeight="1">
      <c r="A1" s="37" t="inlineStr">
        <is>
          <t>設定項目：評価軸、重み、しきい値、選択肢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15" customHeight="1">
      <c r="A2" s="11" t="inlineStr">
        <is>
          <t>自社の管理重点に合わせて重みとしきい値を調整してください。調整後は「評価記録」と「集計ダッシュボード」が自動更新されます。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</row>
    <row r="4" ht="15" customHeight="1">
      <c r="A4" s="135" t="inlineStr">
        <is>
          <t>評価軸の重み</t>
        </is>
      </c>
      <c r="B4" s="136" t="n"/>
      <c r="C4" s="136" t="n"/>
      <c r="D4" s="137" t="n"/>
      <c r="E4" s="4" t="n"/>
      <c r="F4" s="135" t="inlineStr">
        <is>
          <t>ランクしきい値</t>
        </is>
      </c>
      <c r="G4" s="137" t="n"/>
      <c r="H4" s="4" t="n"/>
      <c r="I4" s="135" t="inlineStr">
        <is>
          <t>選択肢（自社業務に合わせて追加・削除できます）</t>
        </is>
      </c>
      <c r="J4" s="136" t="n"/>
      <c r="K4" s="136" t="n"/>
      <c r="L4" s="136" t="n"/>
      <c r="M4" s="136" t="n"/>
      <c r="N4" s="136" t="n"/>
      <c r="O4" s="137" t="n"/>
    </row>
    <row r="5" ht="15" customHeight="1">
      <c r="A5" s="46" t="inlineStr">
        <is>
          <t>評価軸</t>
        </is>
      </c>
      <c r="B5" s="46" t="inlineStr">
        <is>
          <t>評価説明</t>
        </is>
      </c>
      <c r="C5" s="46" t="inlineStr">
        <is>
          <t>重み</t>
        </is>
      </c>
      <c r="D5" s="46" t="inlineStr">
        <is>
          <t>採点のヒント</t>
        </is>
      </c>
      <c r="E5" s="4" t="n"/>
      <c r="F5" s="46" t="inlineStr">
        <is>
          <t>ランク</t>
        </is>
      </c>
      <c r="G5" s="46" t="inlineStr">
        <is>
          <t>最低点</t>
        </is>
      </c>
      <c r="H5" s="4" t="n"/>
      <c r="I5" s="46" t="inlineStr">
        <is>
          <t>業務場面</t>
        </is>
      </c>
      <c r="J5" s="46" t="inlineStr">
        <is>
          <t>サービスチャネル</t>
        </is>
      </c>
      <c r="K5" s="46" t="inlineStr">
        <is>
          <t>顧客タイプ</t>
        </is>
      </c>
      <c r="L5" s="46" t="inlineStr">
        <is>
          <t>課題レベル</t>
        </is>
      </c>
      <c r="M5" s="46" t="inlineStr">
        <is>
          <t>課題分類</t>
        </is>
      </c>
      <c r="N5" s="46" t="inlineStr">
        <is>
          <t>改善状態</t>
        </is>
      </c>
      <c r="O5" s="46" t="inlineStr">
        <is>
          <t>検証結果</t>
        </is>
      </c>
    </row>
    <row r="6" ht="21" customHeight="1">
      <c r="A6" s="28" t="inlineStr">
        <is>
          <t>応答の速さ</t>
        </is>
      </c>
      <c r="B6" s="28" t="inlineStr">
        <is>
          <t>約束時間内に応答できたか、待ち時間が許容範囲かを確認します。</t>
        </is>
      </c>
      <c r="C6" s="138" t="n">
        <v>0.15</v>
      </c>
      <c r="D6" s="28" t="inlineStr">
        <is>
          <t>初回応答、待ち時間、遅延連絡に注目します。</t>
        </is>
      </c>
      <c r="E6" s="4" t="n"/>
      <c r="F6" s="25" t="inlineStr">
        <is>
          <t>優秀</t>
        </is>
      </c>
      <c r="G6" s="139" t="n">
        <v>90</v>
      </c>
      <c r="H6" s="4" t="n"/>
      <c r="I6" s="25" t="inlineStr">
        <is>
          <t>カスタマーサポート</t>
        </is>
      </c>
      <c r="J6" s="25" t="inlineStr">
        <is>
          <t>電話</t>
        </is>
      </c>
      <c r="K6" s="25" t="inlineStr">
        <is>
          <t>個人顧客</t>
        </is>
      </c>
      <c r="L6" s="25" t="inlineStr">
        <is>
          <t>通常</t>
        </is>
      </c>
      <c r="M6" s="25" t="inlineStr">
        <is>
          <t>応答遅延</t>
        </is>
      </c>
      <c r="N6" s="25" t="inlineStr">
        <is>
          <t>評価待ち</t>
        </is>
      </c>
      <c r="O6" s="25" t="inlineStr">
        <is>
          <t>有効</t>
        </is>
      </c>
    </row>
    <row r="7" ht="21" customHeight="1">
      <c r="A7" s="28" t="inlineStr">
        <is>
          <t>コミュニケーションの専門性</t>
        </is>
      </c>
      <c r="B7" s="28" t="inlineStr">
        <is>
          <t>説明が明確で、聞き取りが正確で、情報が十分で、言葉遣いが適切かを確認します。</t>
        </is>
      </c>
      <c r="C7" s="138" t="n">
        <v>0.15</v>
      </c>
      <c r="D7" s="28" t="inlineStr">
        <is>
          <t>言葉遣い、要望確認、説明の完全性に注目します。</t>
        </is>
      </c>
      <c r="E7" s="4" t="n"/>
      <c r="F7" s="25" t="inlineStr">
        <is>
          <t>良好</t>
        </is>
      </c>
      <c r="G7" s="139" t="n">
        <v>80</v>
      </c>
      <c r="H7" s="4" t="n"/>
      <c r="I7" s="25" t="inlineStr">
        <is>
          <t>アフターサービス</t>
        </is>
      </c>
      <c r="J7" s="25" t="inlineStr">
        <is>
          <t>チャット</t>
        </is>
      </c>
      <c r="K7" s="25" t="inlineStr">
        <is>
          <t>法人顧客</t>
        </is>
      </c>
      <c r="L7" s="25" t="inlineStr">
        <is>
          <t>重要</t>
        </is>
      </c>
      <c r="M7" s="25" t="inlineStr">
        <is>
          <t>態度・対話</t>
        </is>
      </c>
      <c r="N7" s="25" t="inlineStr">
        <is>
          <t>対応中</t>
        </is>
      </c>
      <c r="O7" s="25" t="inlineStr">
        <is>
          <t>一部有効</t>
        </is>
      </c>
    </row>
    <row r="8" ht="21" customHeight="1">
      <c r="A8" s="28" t="inlineStr">
        <is>
          <t>解決の有効性</t>
        </is>
      </c>
      <c r="B8" s="28" t="inlineStr">
        <is>
          <t>顧客課題を実際に解決したか、または納品目標を達成したかを確認します。</t>
        </is>
      </c>
      <c r="C8" s="138" t="n">
        <v>0.25</v>
      </c>
      <c r="D8" s="28" t="inlineStr">
        <is>
          <t>根本原因の解決、再発、チケット完了品質に注目します。</t>
        </is>
      </c>
      <c r="E8" s="4" t="n"/>
      <c r="F8" s="25" t="inlineStr">
        <is>
          <t>要注意</t>
        </is>
      </c>
      <c r="G8" s="139" t="n">
        <v>70</v>
      </c>
      <c r="H8" s="4" t="n"/>
      <c r="I8" s="25" t="inlineStr">
        <is>
          <t>現地対応</t>
        </is>
      </c>
      <c r="J8" s="25" t="inlineStr">
        <is>
          <t>メール</t>
        </is>
      </c>
      <c r="K8" s="25" t="inlineStr">
        <is>
          <t>社内顧客</t>
        </is>
      </c>
      <c r="L8" s="25" t="inlineStr">
        <is>
          <t>緊急</t>
        </is>
      </c>
      <c r="M8" s="25" t="inlineStr">
        <is>
          <t>未解決</t>
        </is>
      </c>
      <c r="N8" s="25" t="inlineStr">
        <is>
          <t>完了</t>
        </is>
      </c>
      <c r="O8" s="25" t="inlineStr">
        <is>
          <t>無効</t>
        </is>
      </c>
    </row>
    <row r="9" ht="21" customHeight="1">
      <c r="A9" s="28" t="inlineStr">
        <is>
          <t>サービス姿勢</t>
        </is>
      </c>
      <c r="B9" s="28" t="inlineStr">
        <is>
          <t>丁寧さ、敬意、共感、主体性を確認します。</t>
        </is>
      </c>
      <c r="C9" s="138" t="n">
        <v>0.1</v>
      </c>
      <c r="D9" s="28" t="inlineStr">
        <is>
          <t>感情面の対応、主体的な引き受け、責任回避の防止に注目します。</t>
        </is>
      </c>
      <c r="E9" s="4" t="n"/>
      <c r="F9" s="25" t="inlineStr">
        <is>
          <t>不合格</t>
        </is>
      </c>
      <c r="G9" s="139" t="n">
        <v>0</v>
      </c>
      <c r="H9" s="4" t="n"/>
      <c r="I9" s="25" t="inlineStr">
        <is>
          <t>コールセンター</t>
        </is>
      </c>
      <c r="J9" s="25" t="inlineStr">
        <is>
          <t>訪問対応</t>
        </is>
      </c>
      <c r="K9" s="25" t="inlineStr">
        <is>
          <t>パートナー</t>
        </is>
      </c>
      <c r="L9" s="25" t="inlineStr">
        <is>
          <t>重大</t>
        </is>
      </c>
      <c r="M9" s="25" t="inlineStr">
        <is>
          <t>手順不遵守</t>
        </is>
      </c>
      <c r="N9" s="25" t="inlineStr">
        <is>
          <t>クローズ</t>
        </is>
      </c>
      <c r="O9" s="25" t="inlineStr">
        <is>
          <t>検証待ち</t>
        </is>
      </c>
    </row>
    <row r="10" ht="21" customHeight="1">
      <c r="A10" s="28" t="inlineStr">
        <is>
          <t>手順遵守</t>
        </is>
      </c>
      <c r="B10" s="28" t="inlineStr">
        <is>
          <t>標準手順、社内規程、コンプライアンス要件に沿って実行されたかを確認します。</t>
        </is>
      </c>
      <c r="C10" s="138" t="n">
        <v>0.1</v>
      </c>
      <c r="D10" s="28" t="inlineStr">
        <is>
          <t>本人確認、記録の完全性、承認手続きに注目します。</t>
        </is>
      </c>
      <c r="E10" s="4" t="n"/>
      <c r="F10" s="4" t="n"/>
      <c r="G10" s="4" t="n"/>
      <c r="H10" s="4" t="n"/>
      <c r="I10" s="25" t="inlineStr">
        <is>
          <t>物流・納品</t>
        </is>
      </c>
      <c r="J10" s="25" t="inlineStr">
        <is>
          <t>アプリ・セルフサービスポータル</t>
        </is>
      </c>
      <c r="K10" s="25" t="inlineStr">
        <is>
          <t>サプライヤー</t>
        </is>
      </c>
      <c r="L10" s="25" t="str"/>
      <c r="M10" s="25" t="inlineStr">
        <is>
          <t>情報誤り</t>
        </is>
      </c>
      <c r="N10" s="25" t="inlineStr">
        <is>
          <t>延期</t>
        </is>
      </c>
      <c r="O10" s="25" t="str"/>
    </row>
    <row r="11" ht="21" customHeight="1">
      <c r="A11" s="28" t="inlineStr">
        <is>
          <t>初回解決・納品完全性</t>
        </is>
      </c>
      <c r="B11" s="28" t="inlineStr">
        <is>
          <t>一度で完了できたか、顧客との往復を減らせたかを確認します。</t>
        </is>
      </c>
      <c r="C11" s="138" t="n">
        <v>0.15</v>
      </c>
      <c r="D11" s="28" t="inlineStr">
        <is>
          <t>初回解決率、手戻り、追加資料回数に注目します。</t>
        </is>
      </c>
      <c r="E11" s="4" t="n"/>
      <c r="F11" s="4" t="n"/>
      <c r="G11" s="4" t="n"/>
      <c r="H11" s="4" t="n"/>
      <c r="I11" s="25" t="inlineStr">
        <is>
          <t>オンラインサービス</t>
        </is>
      </c>
      <c r="J11" s="25" t="inlineStr">
        <is>
          <t>SNS</t>
        </is>
      </c>
      <c r="K11" s="25" t="inlineStr">
        <is>
          <t>その他</t>
        </is>
      </c>
      <c r="L11" s="25" t="str"/>
      <c r="M11" s="25" t="inlineStr">
        <is>
          <t>納品遅延</t>
        </is>
      </c>
      <c r="N11" s="25" t="inlineStr">
        <is>
          <t>取消</t>
        </is>
      </c>
      <c r="O11" s="25" t="str"/>
    </row>
    <row r="12" ht="21" customHeight="1">
      <c r="A12" s="28" t="inlineStr">
        <is>
          <t>顧客満足度</t>
        </is>
      </c>
      <c r="B12" s="28" t="inlineStr">
        <is>
          <t>顧客の受け止め、フォローアップ結果、推奨意向を確認します。</t>
        </is>
      </c>
      <c r="C12" s="138" t="n">
        <v>0.1</v>
      </c>
      <c r="D12" s="28" t="inlineStr">
        <is>
          <t>満足度、苦情、称賛、再購入の兆候に注目します。</t>
        </is>
      </c>
      <c r="E12" s="4" t="n"/>
      <c r="F12" s="4" t="n"/>
      <c r="G12" s="4" t="n"/>
      <c r="H12" s="4" t="n"/>
      <c r="I12" s="25" t="inlineStr">
        <is>
          <t>技術サポート</t>
        </is>
      </c>
      <c r="J12" s="25" t="inlineStr">
        <is>
          <t>チケットシステム</t>
        </is>
      </c>
      <c r="K12" s="25" t="str"/>
      <c r="L12" s="25" t="str"/>
      <c r="M12" s="25" t="inlineStr">
        <is>
          <t>苦情エスカレーション</t>
        </is>
      </c>
      <c r="N12" s="25" t="str"/>
      <c r="O12" s="25" t="str"/>
    </row>
    <row r="13" ht="21" customHeight="1">
      <c r="A13" s="25" t="n"/>
      <c r="B13" s="56" t="inlineStr">
        <is>
          <t>重み合計</t>
        </is>
      </c>
      <c r="C13" s="140">
        <f>SUM(C6:C12)</f>
        <v/>
      </c>
      <c r="D13" s="25" t="n"/>
      <c r="E13" s="4" t="n"/>
      <c r="F13" s="4" t="n"/>
      <c r="G13" s="4" t="n"/>
      <c r="H13" s="4" t="n"/>
      <c r="I13" s="25" t="inlineStr">
        <is>
          <t>店舗・小売</t>
        </is>
      </c>
      <c r="J13" s="25" t="inlineStr">
        <is>
          <t>ビデオ会議</t>
        </is>
      </c>
      <c r="K13" s="25" t="str"/>
      <c r="L13" s="25" t="str"/>
      <c r="M13" s="25" t="inlineStr">
        <is>
          <t>システム・ツール</t>
        </is>
      </c>
      <c r="N13" s="25" t="str"/>
      <c r="O13" s="25" t="str"/>
    </row>
    <row r="14" ht="21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25" t="inlineStr">
        <is>
          <t>B2Bプロジェクト納品</t>
        </is>
      </c>
      <c r="J14" s="25" t="inlineStr">
        <is>
          <t>その他</t>
        </is>
      </c>
      <c r="K14" s="25" t="str"/>
      <c r="L14" s="25" t="str"/>
      <c r="M14" s="25" t="inlineStr">
        <is>
          <t>スタッフ教育</t>
        </is>
      </c>
      <c r="N14" s="25" t="str"/>
      <c r="O14" s="25" t="str"/>
    </row>
    <row r="15" ht="21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25" t="inlineStr">
        <is>
          <t>医療・コンサルティング・教育</t>
        </is>
      </c>
      <c r="J15" s="25" t="str"/>
      <c r="K15" s="25" t="str"/>
      <c r="L15" s="25" t="str"/>
      <c r="M15" s="25" t="inlineStr">
        <is>
          <t>その他</t>
        </is>
      </c>
      <c r="N15" s="25" t="str"/>
      <c r="O15" s="25" t="str"/>
    </row>
    <row r="16" ht="21" customHeight="1">
      <c r="A16" s="135" t="inlineStr">
        <is>
          <t>点数ランク説明</t>
        </is>
      </c>
      <c r="B16" s="136" t="n"/>
      <c r="C16" s="136" t="n"/>
      <c r="D16" s="137" t="n"/>
      <c r="E16" s="4" t="n"/>
      <c r="F16" s="4" t="n"/>
      <c r="G16" s="4" t="n"/>
      <c r="H16" s="4" t="n"/>
      <c r="I16" s="25" t="inlineStr">
        <is>
          <t>施設管理</t>
        </is>
      </c>
      <c r="J16" s="25" t="str"/>
      <c r="K16" s="25" t="str"/>
      <c r="L16" s="25" t="str"/>
      <c r="M16" s="25" t="str"/>
      <c r="N16" s="25" t="str"/>
      <c r="O16" s="25" t="str"/>
    </row>
    <row r="17" ht="24" customHeight="1">
      <c r="A17" s="66" t="inlineStr">
        <is>
          <t>5点</t>
        </is>
      </c>
      <c r="B17" s="28" t="inlineStr">
        <is>
          <t>基準を明確に上回っています。対応が主体的で完全であり、顧客体験が優れています。</t>
        </is>
      </c>
      <c r="C17" s="4" t="n"/>
      <c r="D17" s="4" t="n"/>
      <c r="E17" s="4" t="n"/>
      <c r="F17" s="4" t="n"/>
      <c r="G17" s="4" t="n"/>
      <c r="H17" s="4" t="n"/>
      <c r="I17" s="25" t="inlineStr">
        <is>
          <t>その他</t>
        </is>
      </c>
      <c r="J17" s="25" t="str"/>
      <c r="K17" s="25" t="str"/>
      <c r="L17" s="25" t="str"/>
      <c r="M17" s="25" t="str"/>
      <c r="N17" s="25" t="str"/>
      <c r="O17" s="25" t="str"/>
    </row>
    <row r="18" ht="24" customHeight="1">
      <c r="A18" s="66" t="inlineStr">
        <is>
          <t>4点</t>
        </is>
      </c>
      <c r="B18" s="28" t="inlineStr">
        <is>
          <t>基準を満たし、良好に対応しています。細部に少し改善余地があります。</t>
        </is>
      </c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</row>
    <row r="19" ht="24" customHeight="1">
      <c r="A19" s="66" t="inlineStr">
        <is>
          <t>3点</t>
        </is>
      </c>
      <c r="B19" s="28" t="inlineStr">
        <is>
          <t>おおむね基準を満たしています。大きな影響はありませんが、改善点があります。</t>
        </is>
      </c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</row>
    <row r="20" ht="24" customHeight="1">
      <c r="A20" s="66" t="inlineStr">
        <is>
          <t>2点</t>
        </is>
      </c>
      <c r="B20" s="28" t="inlineStr">
        <is>
          <t>基準を下回っています。顧客体験に影響が出た、または手戻りが必要です。</t>
        </is>
      </c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</row>
    <row r="21" ht="24" customHeight="1">
      <c r="A21" s="66" t="inlineStr">
        <is>
          <t>1点</t>
        </is>
      </c>
      <c r="B21" s="28" t="inlineStr">
        <is>
          <t>基準を大きく下回っています。苦情、重大な遅延、またはコンプライアンスリスクにつながっています。</t>
        </is>
      </c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</row>
  </sheetData>
  <mergeCells count="6">
    <mergeCell ref="F4:G4"/>
    <mergeCell ref="A2:O2"/>
    <mergeCell ref="A4:D4"/>
    <mergeCell ref="A1:O1"/>
    <mergeCell ref="I4:O4"/>
    <mergeCell ref="A16:D16"/>
  </mergeCells>
  <pageMargins left="0.7" right="0.7" top="0.75" bottom="0.75" header="0.3" footer="0.3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6" customWidth="1" min="3" max="3"/>
    <col width="18" customWidth="1" min="4" max="4"/>
    <col width="16" customWidth="1" min="5" max="5"/>
    <col width="14" customWidth="1" min="6" max="6"/>
    <col width="14" customWidth="1" min="7" max="7"/>
    <col width="18" customWidth="1" min="8" max="8"/>
    <col width="18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34" customWidth="1" min="22" max="22"/>
    <col width="34" customWidth="1" min="23" max="23"/>
    <col width="14" customWidth="1" min="24" max="24"/>
    <col width="20" customWidth="1" min="25" max="25"/>
  </cols>
  <sheetData>
    <row r="1" ht="32" customHeight="1">
      <c r="A1" s="37" t="inlineStr">
        <is>
          <t>評価記録：サービス品質モニタリング評価表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22" customHeight="1">
      <c r="A2" s="11" t="inlineStr">
        <is>
          <t>日付、場面、チャネル、顧客タイプ、1から5の評価を入力します。加重点とランクは自動計算されます。低評価やエスカレーション記録には改善対応を作ることをおすすめします。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</row>
    <row r="4" ht="34" customHeight="1">
      <c r="A4" s="46" t="inlineStr">
        <is>
          <t>記録ID</t>
        </is>
      </c>
      <c r="B4" s="46" t="inlineStr">
        <is>
          <t>評価日</t>
        </is>
      </c>
      <c r="C4" s="46" t="inlineStr">
        <is>
          <t>会社・ブランド</t>
        </is>
      </c>
      <c r="D4" s="46" t="inlineStr">
        <is>
          <t>部門・店舗・プロジェクト</t>
        </is>
      </c>
      <c r="E4" s="46" t="inlineStr">
        <is>
          <t>業務場面</t>
        </is>
      </c>
      <c r="F4" s="46" t="inlineStr">
        <is>
          <t>サービスチャネル</t>
        </is>
      </c>
      <c r="G4" s="46" t="inlineStr">
        <is>
          <t>顧客タイプ</t>
        </is>
      </c>
      <c r="H4" s="46" t="inlineStr">
        <is>
          <t>担当者・チーム</t>
        </is>
      </c>
      <c r="I4" s="46" t="inlineStr">
        <is>
          <t>顧客・チケット番号</t>
        </is>
      </c>
      <c r="J4" s="46" t="inlineStr">
        <is>
          <t>課題レベル</t>
        </is>
      </c>
      <c r="K4" s="46" t="inlineStr">
        <is>
          <t>応答の速さ
1-5</t>
        </is>
      </c>
      <c r="L4" s="46" t="inlineStr">
        <is>
          <t>コミュニケーションの専門性
1-5</t>
        </is>
      </c>
      <c r="M4" s="46" t="inlineStr">
        <is>
          <t>解決の有効性
1-5</t>
        </is>
      </c>
      <c r="N4" s="46" t="inlineStr">
        <is>
          <t>サービス姿勢
1-5</t>
        </is>
      </c>
      <c r="O4" s="46" t="inlineStr">
        <is>
          <t>手順遵守
1-5</t>
        </is>
      </c>
      <c r="P4" s="46" t="inlineStr">
        <is>
          <t>初回解決・納品完全性
1-5</t>
        </is>
      </c>
      <c r="Q4" s="46" t="inlineStr">
        <is>
          <t>顧客満足度
1-5</t>
        </is>
      </c>
      <c r="R4" s="46" t="inlineStr">
        <is>
          <t>加重点
0-100</t>
        </is>
      </c>
      <c r="S4" s="46" t="inlineStr">
        <is>
          <t>ランク</t>
        </is>
      </c>
      <c r="T4" s="46" t="inlineStr">
        <is>
          <t>エスカレーション</t>
        </is>
      </c>
      <c r="U4" s="46" t="inlineStr">
        <is>
          <t>評価者</t>
        </is>
      </c>
      <c r="V4" s="46" t="inlineStr">
        <is>
          <t>顧客フィードバック要約</t>
        </is>
      </c>
      <c r="W4" s="46" t="inlineStr">
        <is>
          <t>改善提案</t>
        </is>
      </c>
      <c r="X4" s="46" t="inlineStr">
        <is>
          <t>関連改善ID</t>
        </is>
      </c>
      <c r="Y4" s="46" t="inlineStr">
        <is>
          <t>メモ</t>
        </is>
      </c>
    </row>
    <row r="5" ht="24" customHeight="1">
      <c r="A5" s="25">
        <f>IF($B5="","","SQ-"&amp;TEXT(ROW()-4,"0000"))</f>
        <v/>
      </c>
      <c r="B5" s="141" t="n">
        <v>46034</v>
      </c>
      <c r="C5" s="25" t="inlineStr">
        <is>
          <t>桜サービス株式会社</t>
        </is>
      </c>
      <c r="D5" s="25" t="inlineStr">
        <is>
          <t>カスタマーサポートセンター</t>
        </is>
      </c>
      <c r="E5" s="25" t="inlineStr">
        <is>
          <t>カスタマーサポート</t>
        </is>
      </c>
      <c r="F5" s="25" t="inlineStr">
        <is>
          <t>チャット</t>
        </is>
      </c>
      <c r="G5" s="25" t="inlineStr">
        <is>
          <t>個人顧客</t>
        </is>
      </c>
      <c r="H5" s="25" t="inlineStr">
        <is>
          <t>一次対応チームA</t>
        </is>
      </c>
      <c r="I5" s="25" t="inlineStr">
        <is>
          <t>CS-20260112-01</t>
        </is>
      </c>
      <c r="J5" s="25" t="inlineStr">
        <is>
          <t>通常</t>
        </is>
      </c>
      <c r="K5" s="139" t="n">
        <v>5</v>
      </c>
      <c r="L5" s="139" t="n">
        <v>5</v>
      </c>
      <c r="M5" s="139" t="n">
        <v>5</v>
      </c>
      <c r="N5" s="139" t="n">
        <v>5</v>
      </c>
      <c r="O5" s="139" t="n">
        <v>5</v>
      </c>
      <c r="P5" s="139" t="n">
        <v>4</v>
      </c>
      <c r="Q5" s="139" t="n">
        <v>5</v>
      </c>
      <c r="R5" s="142">
        <f>IF(COUNT($K5:$Q5)&lt;7,"",ROUND(($K5*'設定項目'!$C$6+$L5*'設定項目'!$C$7+$M5*'設定項目'!$C$8+$N5*'設定項目'!$C$9+$O5*'設定項目'!$C$10+$P5*'設定項目'!$C$11+$Q5*'設定項目'!$C$12)*20,1))</f>
        <v/>
      </c>
      <c r="S5" s="25">
        <f>IF($R5="","",IF($R5&gt;='設定項目'!$G$6,"優秀",IF($R5&gt;='設定項目'!$G$7,"良好",IF($R5&gt;='設定項目'!$G$8,"要注意","不合格"))))</f>
        <v/>
      </c>
      <c r="T5" s="25" t="inlineStr">
        <is>
          <t>いいえ</t>
        </is>
      </c>
      <c r="U5" s="25" t="inlineStr">
        <is>
          <t>品質確認担当01</t>
        </is>
      </c>
      <c r="V5" s="28" t="inlineStr">
        <is>
          <t>顧客が請求内容を問い合わせ、応答が速く説明も明確でした。</t>
        </is>
      </c>
      <c r="W5" s="28" t="inlineStr">
        <is>
          <t>よくある質問の応対文を整備します。</t>
        </is>
      </c>
      <c r="X5" s="25" t="str"/>
      <c r="Y5" s="25" t="str"/>
    </row>
    <row r="6" ht="24" customHeight="1">
      <c r="A6" s="25">
        <f>IF($B6="","","SQ-"&amp;TEXT(ROW()-4,"0000"))</f>
        <v/>
      </c>
      <c r="B6" s="141" t="n">
        <v>46041</v>
      </c>
      <c r="C6" s="25" t="inlineStr">
        <is>
          <t>桜サービス株式会社</t>
        </is>
      </c>
      <c r="D6" s="25" t="inlineStr">
        <is>
          <t>アフター修理</t>
        </is>
      </c>
      <c r="E6" s="25" t="inlineStr">
        <is>
          <t>アフターサービス</t>
        </is>
      </c>
      <c r="F6" s="25" t="inlineStr">
        <is>
          <t>電話</t>
        </is>
      </c>
      <c r="G6" s="25" t="inlineStr">
        <is>
          <t>個人顧客</t>
        </is>
      </c>
      <c r="H6" s="25" t="inlineStr">
        <is>
          <t>アフターサービスチームB</t>
        </is>
      </c>
      <c r="I6" s="25" t="inlineStr">
        <is>
          <t>AS-20260119-02</t>
        </is>
      </c>
      <c r="J6" s="25" t="inlineStr">
        <is>
          <t>重要</t>
        </is>
      </c>
      <c r="K6" s="139" t="n">
        <v>3</v>
      </c>
      <c r="L6" s="139" t="n">
        <v>4</v>
      </c>
      <c r="M6" s="139" t="n">
        <v>3</v>
      </c>
      <c r="N6" s="139" t="n">
        <v>4</v>
      </c>
      <c r="O6" s="139" t="n">
        <v>3</v>
      </c>
      <c r="P6" s="139" t="n">
        <v>3</v>
      </c>
      <c r="Q6" s="139" t="n">
        <v>3</v>
      </c>
      <c r="R6" s="142">
        <f>IF(COUNT($K6:$Q6)&lt;7,"",ROUND(($K6*'設定項目'!$C$6+$L6*'設定項目'!$C$7+$M6*'設定項目'!$C$8+$N6*'設定項目'!$C$9+$O6*'設定項目'!$C$10+$P6*'設定項目'!$C$11+$Q6*'設定項目'!$C$12)*20,1))</f>
        <v/>
      </c>
      <c r="S6" s="25">
        <f>IF($R6="","",IF($R6&gt;='設定項目'!$G$6,"優秀",IF($R6&gt;='設定項目'!$G$7,"良好",IF($R6&gt;='設定項目'!$G$8,"要注意","不合格"))))</f>
        <v/>
      </c>
      <c r="T6" s="25" t="inlineStr">
        <is>
          <t>はい</t>
        </is>
      </c>
      <c r="U6" s="25" t="inlineStr">
        <is>
          <t>マネージャー01</t>
        </is>
      </c>
      <c r="V6" s="28" t="inlineStr">
        <is>
          <t>修理進捗の説明が不十分で、顧客から再度連絡がありました。</t>
        </is>
      </c>
      <c r="W6" s="28" t="inlineStr">
        <is>
          <t>修理マイルストーン通知を追加します。</t>
        </is>
      </c>
      <c r="X6" s="25" t="inlineStr">
        <is>
          <t>CA-0001</t>
        </is>
      </c>
      <c r="Y6" s="25" t="str"/>
    </row>
    <row r="7" ht="24" customHeight="1">
      <c r="A7" s="25">
        <f>IF($B7="","","SQ-"&amp;TEXT(ROW()-4,"0000"))</f>
        <v/>
      </c>
      <c r="B7" s="141" t="n">
        <v>46056</v>
      </c>
      <c r="C7" s="25" t="inlineStr">
        <is>
          <t>東都フィールドサービス</t>
        </is>
      </c>
      <c r="D7" s="25" t="inlineStr">
        <is>
          <t>首都圏プロジェクトチーム</t>
        </is>
      </c>
      <c r="E7" s="25" t="inlineStr">
        <is>
          <t>現地対応</t>
        </is>
      </c>
      <c r="F7" s="25" t="inlineStr">
        <is>
          <t>訪問対応</t>
        </is>
      </c>
      <c r="G7" s="25" t="inlineStr">
        <is>
          <t>法人顧客</t>
        </is>
      </c>
      <c r="H7" s="25" t="inlineStr">
        <is>
          <t>エンジニアC</t>
        </is>
      </c>
      <c r="I7" s="25" t="inlineStr">
        <is>
          <t>FS-20260203-03</t>
        </is>
      </c>
      <c r="J7" s="25" t="inlineStr">
        <is>
          <t>通常</t>
        </is>
      </c>
      <c r="K7" s="139" t="n">
        <v>4</v>
      </c>
      <c r="L7" s="139" t="n">
        <v>4</v>
      </c>
      <c r="M7" s="139" t="n">
        <v>4</v>
      </c>
      <c r="N7" s="139" t="n">
        <v>4</v>
      </c>
      <c r="O7" s="139" t="n">
        <v>5</v>
      </c>
      <c r="P7" s="139" t="n">
        <v>4</v>
      </c>
      <c r="Q7" s="139" t="n">
        <v>4</v>
      </c>
      <c r="R7" s="142">
        <f>IF(COUNT($K7:$Q7)&lt;7,"",ROUND(($K7*'設定項目'!$C$6+$L7*'設定項目'!$C$7+$M7*'設定項目'!$C$8+$N7*'設定項目'!$C$9+$O7*'設定項目'!$C$10+$P7*'設定項目'!$C$11+$Q7*'設定項目'!$C$12)*20,1))</f>
        <v/>
      </c>
      <c r="S7" s="25">
        <f>IF($R7="","",IF($R7&gt;='設定項目'!$G$6,"優秀",IF($R7&gt;='設定項目'!$G$7,"良好",IF($R7&gt;='設定項目'!$G$8,"要注意","不合格"))))</f>
        <v/>
      </c>
      <c r="T7" s="25" t="inlineStr">
        <is>
          <t>いいえ</t>
        </is>
      </c>
      <c r="U7" s="25" t="inlineStr">
        <is>
          <t>品質確認担当02</t>
        </is>
      </c>
      <c r="V7" s="28" t="inlineStr">
        <is>
          <t>現地対応は迅速で、記録もおおむね完全でした。</t>
        </is>
      </c>
      <c r="W7" s="28" t="inlineStr">
        <is>
          <t>顧客署名による確認を強化します。</t>
        </is>
      </c>
      <c r="X7" s="25" t="str"/>
      <c r="Y7" s="25" t="str"/>
    </row>
    <row r="8" ht="24" customHeight="1">
      <c r="A8" s="25">
        <f>IF($B8="","","SQ-"&amp;TEXT(ROW()-4,"0000"))</f>
        <v/>
      </c>
      <c r="B8" s="141" t="n">
        <v>46070</v>
      </c>
      <c r="C8" s="25" t="inlineStr">
        <is>
          <t>東都フィールドサービス</t>
        </is>
      </c>
      <c r="D8" s="25" t="inlineStr">
        <is>
          <t>配送センター</t>
        </is>
      </c>
      <c r="E8" s="25" t="inlineStr">
        <is>
          <t>物流・納品</t>
        </is>
      </c>
      <c r="F8" s="25" t="inlineStr">
        <is>
          <t>チケットシステム</t>
        </is>
      </c>
      <c r="G8" s="25" t="inlineStr">
        <is>
          <t>法人顧客</t>
        </is>
      </c>
      <c r="H8" s="25" t="inlineStr">
        <is>
          <t>配送チームD</t>
        </is>
      </c>
      <c r="I8" s="25" t="inlineStr">
        <is>
          <t>DL-20260217-04</t>
        </is>
      </c>
      <c r="J8" s="25" t="inlineStr">
        <is>
          <t>重大</t>
        </is>
      </c>
      <c r="K8" s="139" t="n">
        <v>2</v>
      </c>
      <c r="L8" s="139" t="n">
        <v>3</v>
      </c>
      <c r="M8" s="139" t="n">
        <v>2</v>
      </c>
      <c r="N8" s="139" t="n">
        <v>3</v>
      </c>
      <c r="O8" s="139" t="n">
        <v>3</v>
      </c>
      <c r="P8" s="139" t="n">
        <v>2</v>
      </c>
      <c r="Q8" s="139" t="n">
        <v>2</v>
      </c>
      <c r="R8" s="142">
        <f>IF(COUNT($K8:$Q8)&lt;7,"",ROUND(($K8*'設定項目'!$C$6+$L8*'設定項目'!$C$7+$M8*'設定項目'!$C$8+$N8*'設定項目'!$C$9+$O8*'設定項目'!$C$10+$P8*'設定項目'!$C$11+$Q8*'設定項目'!$C$12)*20,1))</f>
        <v/>
      </c>
      <c r="S8" s="25">
        <f>IF($R8="","",IF($R8&gt;='設定項目'!$G$6,"優秀",IF($R8&gt;='設定項目'!$G$7,"良好",IF($R8&gt;='設定項目'!$G$8,"要注意","不合格"))))</f>
        <v/>
      </c>
      <c r="T8" s="25" t="inlineStr">
        <is>
          <t>はい</t>
        </is>
      </c>
      <c r="U8" s="25" t="inlineStr">
        <is>
          <t>カスタマーサクセス01</t>
        </is>
      </c>
      <c r="V8" s="28" t="inlineStr">
        <is>
          <t>納品が遅れ、連絡も遅かったため苦情につながりました。</t>
        </is>
      </c>
      <c r="W8" s="28" t="inlineStr">
        <is>
          <t>異常の早期警告と能動的な通知の仕組みを作ります。</t>
        </is>
      </c>
      <c r="X8" s="25" t="inlineStr">
        <is>
          <t>CA-0002</t>
        </is>
      </c>
      <c r="Y8" s="25" t="str"/>
    </row>
    <row r="9" ht="24" customHeight="1">
      <c r="A9" s="25">
        <f>IF($B9="","","SQ-"&amp;TEXT(ROW()-4,"0000"))</f>
        <v/>
      </c>
      <c r="B9" s="141" t="n">
        <v>46086</v>
      </c>
      <c r="C9" s="25" t="inlineStr">
        <is>
          <t>青葉クラウド株式会社</t>
        </is>
      </c>
      <c r="D9" s="25" t="inlineStr">
        <is>
          <t>SaaSサポート</t>
        </is>
      </c>
      <c r="E9" s="25" t="inlineStr">
        <is>
          <t>技術サポート</t>
        </is>
      </c>
      <c r="F9" s="25" t="inlineStr">
        <is>
          <t>ビデオ会議</t>
        </is>
      </c>
      <c r="G9" s="25" t="inlineStr">
        <is>
          <t>法人顧客</t>
        </is>
      </c>
      <c r="H9" s="25" t="inlineStr">
        <is>
          <t>技術サポートE</t>
        </is>
      </c>
      <c r="I9" s="25" t="inlineStr">
        <is>
          <t>TS-20260305-05</t>
        </is>
      </c>
      <c r="J9" s="25" t="inlineStr">
        <is>
          <t>緊急</t>
        </is>
      </c>
      <c r="K9" s="139" t="n">
        <v>4</v>
      </c>
      <c r="L9" s="139" t="n">
        <v>5</v>
      </c>
      <c r="M9" s="139" t="n">
        <v>4</v>
      </c>
      <c r="N9" s="139" t="n">
        <v>4</v>
      </c>
      <c r="O9" s="139" t="n">
        <v>4</v>
      </c>
      <c r="P9" s="139" t="n">
        <v>4</v>
      </c>
      <c r="Q9" s="139" t="n">
        <v>5</v>
      </c>
      <c r="R9" s="142">
        <f>IF(COUNT($K9:$Q9)&lt;7,"",ROUND(($K9*'設定項目'!$C$6+$L9*'設定項目'!$C$7+$M9*'設定項目'!$C$8+$N9*'設定項目'!$C$9+$O9*'設定項目'!$C$10+$P9*'設定項目'!$C$11+$Q9*'設定項目'!$C$12)*20,1))</f>
        <v/>
      </c>
      <c r="S9" s="25">
        <f>IF($R9="","",IF($R9&gt;='設定項目'!$G$6,"優秀",IF($R9&gt;='設定項目'!$G$7,"良好",IF($R9&gt;='設定項目'!$G$8,"要注意","不合格"))))</f>
        <v/>
      </c>
      <c r="T9" s="25" t="inlineStr">
        <is>
          <t>いいえ</t>
        </is>
      </c>
      <c r="U9" s="25" t="inlineStr">
        <is>
          <t>品質確認担当03</t>
        </is>
      </c>
      <c r="V9" s="28" t="inlineStr">
        <is>
          <t>リモート切り分けが専門的で、顧客は満足していました。</t>
        </is>
      </c>
      <c r="W9" s="28" t="inlineStr">
        <is>
          <t>障害切り分けチェックリストを作成します。</t>
        </is>
      </c>
      <c r="X9" s="25" t="str"/>
      <c r="Y9" s="25" t="str"/>
    </row>
    <row r="10" ht="24" customHeight="1">
      <c r="A10" s="25">
        <f>IF($B10="","","SQ-"&amp;TEXT(ROW()-4,"0000"))</f>
        <v/>
      </c>
      <c r="B10" s="141" t="n">
        <v>46103</v>
      </c>
      <c r="C10" s="25" t="inlineStr">
        <is>
          <t>青葉クラウド株式会社</t>
        </is>
      </c>
      <c r="D10" s="25" t="inlineStr">
        <is>
          <t>オンライン運用</t>
        </is>
      </c>
      <c r="E10" s="25" t="inlineStr">
        <is>
          <t>オンラインサービス</t>
        </is>
      </c>
      <c r="F10" s="25" t="inlineStr">
        <is>
          <t>アプリ・セルフサービスポータル</t>
        </is>
      </c>
      <c r="G10" s="25" t="inlineStr">
        <is>
          <t>個人顧客</t>
        </is>
      </c>
      <c r="H10" s="25" t="inlineStr">
        <is>
          <t>オンライン運用F</t>
        </is>
      </c>
      <c r="I10" s="25" t="inlineStr">
        <is>
          <t>ON-20260322-06</t>
        </is>
      </c>
      <c r="J10" s="25" t="inlineStr">
        <is>
          <t>通常</t>
        </is>
      </c>
      <c r="K10" s="139" t="n">
        <v>5</v>
      </c>
      <c r="L10" s="139" t="n">
        <v>4</v>
      </c>
      <c r="M10" s="139" t="n">
        <v>4</v>
      </c>
      <c r="N10" s="139" t="n">
        <v>4</v>
      </c>
      <c r="O10" s="139" t="n">
        <v>4</v>
      </c>
      <c r="P10" s="139" t="n">
        <v>4</v>
      </c>
      <c r="Q10" s="139" t="n">
        <v>4</v>
      </c>
      <c r="R10" s="142">
        <f>IF(COUNT($K10:$Q10)&lt;7,"",ROUND(($K10*'設定項目'!$C$6+$L10*'設定項目'!$C$7+$M10*'設定項目'!$C$8+$N10*'設定項目'!$C$9+$O10*'設定項目'!$C$10+$P10*'設定項目'!$C$11+$Q10*'設定項目'!$C$12)*20,1))</f>
        <v/>
      </c>
      <c r="S10" s="25">
        <f>IF($R10="","",IF($R10&gt;='設定項目'!$G$6,"優秀",IF($R10&gt;='設定項目'!$G$7,"良好",IF($R10&gt;='設定項目'!$G$8,"要注意","不合格"))))</f>
        <v/>
      </c>
      <c r="T10" s="25" t="inlineStr">
        <is>
          <t>いいえ</t>
        </is>
      </c>
      <c r="U10" s="25" t="inlineStr">
        <is>
          <t>品質確認担当01</t>
        </is>
      </c>
      <c r="V10" s="28" t="inlineStr">
        <is>
          <t>セルフサービス手順は明確ですが、一部の案内は改善できます。</t>
        </is>
      </c>
      <c r="W10" s="28" t="inlineStr">
        <is>
          <t>画面上の案内を改善します。</t>
        </is>
      </c>
      <c r="X10" s="25" t="str"/>
      <c r="Y10" s="25" t="str"/>
    </row>
    <row r="11" ht="24" customHeight="1">
      <c r="A11" s="25">
        <f>IF($B11="","","SQ-"&amp;TEXT(ROW()-4,"0000"))</f>
        <v/>
      </c>
      <c r="B11" s="141" t="n">
        <v>46114</v>
      </c>
      <c r="C11" s="25" t="inlineStr">
        <is>
          <t>桜サービス株式会社</t>
        </is>
      </c>
      <c r="D11" s="25" t="inlineStr">
        <is>
          <t>コールセンター</t>
        </is>
      </c>
      <c r="E11" s="25" t="inlineStr">
        <is>
          <t>コールセンター</t>
        </is>
      </c>
      <c r="F11" s="25" t="inlineStr">
        <is>
          <t>電話</t>
        </is>
      </c>
      <c r="G11" s="25" t="inlineStr">
        <is>
          <t>個人顧客</t>
        </is>
      </c>
      <c r="H11" s="25" t="inlineStr">
        <is>
          <t>オペレーターG</t>
        </is>
      </c>
      <c r="I11" s="25" t="inlineStr">
        <is>
          <t>CC-20260402-07</t>
        </is>
      </c>
      <c r="J11" s="25" t="inlineStr">
        <is>
          <t>重要</t>
        </is>
      </c>
      <c r="K11" s="139" t="n">
        <v>3</v>
      </c>
      <c r="L11" s="139" t="n">
        <v>3</v>
      </c>
      <c r="M11" s="139" t="n">
        <v>3</v>
      </c>
      <c r="N11" s="139" t="n">
        <v>4</v>
      </c>
      <c r="O11" s="139" t="n">
        <v>4</v>
      </c>
      <c r="P11" s="139" t="n">
        <v>3</v>
      </c>
      <c r="Q11" s="139" t="n">
        <v>3</v>
      </c>
      <c r="R11" s="142">
        <f>IF(COUNT($K11:$Q11)&lt;7,"",ROUND(($K11*'設定項目'!$C$6+$L11*'設定項目'!$C$7+$M11*'設定項目'!$C$8+$N11*'設定項目'!$C$9+$O11*'設定項目'!$C$10+$P11*'設定項目'!$C$11+$Q11*'設定項目'!$C$12)*20,1))</f>
        <v/>
      </c>
      <c r="S11" s="25">
        <f>IF($R11="","",IF($R11&gt;='設定項目'!$G$6,"優秀",IF($R11&gt;='設定項目'!$G$7,"良好",IF($R11&gt;='設定項目'!$G$8,"要注意","不合格"))))</f>
        <v/>
      </c>
      <c r="T11" s="25" t="inlineStr">
        <is>
          <t>はい</t>
        </is>
      </c>
      <c r="U11" s="25" t="inlineStr">
        <is>
          <t>マネージャー02</t>
        </is>
      </c>
      <c r="V11" s="28" t="inlineStr">
        <is>
          <t>待ち時間が長く、初回解決が不十分でした。</t>
        </is>
      </c>
      <c r="W11" s="28" t="inlineStr">
        <is>
          <t>シフト配置とナレッジベースを見直します。</t>
        </is>
      </c>
      <c r="X11" s="25" t="inlineStr">
        <is>
          <t>CA-0003</t>
        </is>
      </c>
      <c r="Y11" s="25" t="str"/>
    </row>
    <row r="12" ht="24" customHeight="1">
      <c r="A12" s="25">
        <f>IF($B12="","","SQ-"&amp;TEXT(ROW()-4,"0000"))</f>
        <v/>
      </c>
      <c r="B12" s="141" t="n">
        <v>46127</v>
      </c>
      <c r="C12" s="25" t="inlineStr">
        <is>
          <t>みどりリテール株式会社</t>
        </is>
      </c>
      <c r="D12" s="25" t="inlineStr">
        <is>
          <t>銀座店</t>
        </is>
      </c>
      <c r="E12" s="25" t="inlineStr">
        <is>
          <t>店舗・小売</t>
        </is>
      </c>
      <c r="F12" s="25" t="inlineStr">
        <is>
          <t>訪問対応</t>
        </is>
      </c>
      <c r="G12" s="25" t="inlineStr">
        <is>
          <t>個人顧客</t>
        </is>
      </c>
      <c r="H12" s="25" t="inlineStr">
        <is>
          <t>店舗チームH</t>
        </is>
      </c>
      <c r="I12" s="25" t="inlineStr">
        <is>
          <t>RS-20260415-08</t>
        </is>
      </c>
      <c r="J12" s="25" t="inlineStr">
        <is>
          <t>通常</t>
        </is>
      </c>
      <c r="K12" s="139" t="n">
        <v>5</v>
      </c>
      <c r="L12" s="139" t="n">
        <v>4</v>
      </c>
      <c r="M12" s="139" t="n">
        <v>5</v>
      </c>
      <c r="N12" s="139" t="n">
        <v>5</v>
      </c>
      <c r="O12" s="139" t="n">
        <v>5</v>
      </c>
      <c r="P12" s="139" t="n">
        <v>5</v>
      </c>
      <c r="Q12" s="139" t="n">
        <v>5</v>
      </c>
      <c r="R12" s="142">
        <f>IF(COUNT($K12:$Q12)&lt;7,"",ROUND(($K12*'設定項目'!$C$6+$L12*'設定項目'!$C$7+$M12*'設定項目'!$C$8+$N12*'設定項目'!$C$9+$O12*'設定項目'!$C$10+$P12*'設定項目'!$C$11+$Q12*'設定項目'!$C$12)*20,1))</f>
        <v/>
      </c>
      <c r="S12" s="25">
        <f>IF($R12="","",IF($R12&gt;='設定項目'!$G$6,"優秀",IF($R12&gt;='設定項目'!$G$7,"良好",IF($R12&gt;='設定項目'!$G$8,"要注意","不合格"))))</f>
        <v/>
      </c>
      <c r="T12" s="25" t="inlineStr">
        <is>
          <t>いいえ</t>
        </is>
      </c>
      <c r="U12" s="25" t="inlineStr">
        <is>
          <t>ミステリー調査員01</t>
        </is>
      </c>
      <c r="V12" s="28" t="inlineStr">
        <is>
          <t>対応が主体的で、商品説明も十分でした。</t>
        </is>
      </c>
      <c r="W12" s="28" t="inlineStr">
        <is>
          <t>優れた接客事例を横展開します。</t>
        </is>
      </c>
      <c r="X12" s="25" t="str"/>
      <c r="Y12" s="25" t="str"/>
    </row>
    <row r="13" ht="24" customHeight="1">
      <c r="A13" s="25">
        <f>IF($B13="","","SQ-"&amp;TEXT(ROW()-4,"0000"))</f>
        <v/>
      </c>
      <c r="B13" s="141" t="n">
        <v>46133</v>
      </c>
      <c r="C13" s="25" t="inlineStr">
        <is>
          <t>日本プロジェクトパートナーズ</t>
        </is>
      </c>
      <c r="D13" s="25" t="inlineStr">
        <is>
          <t>導入プロジェクトP1</t>
        </is>
      </c>
      <c r="E13" s="25" t="inlineStr">
        <is>
          <t>B2Bプロジェクト納品</t>
        </is>
      </c>
      <c r="F13" s="25" t="inlineStr">
        <is>
          <t>メール</t>
        </is>
      </c>
      <c r="G13" s="25" t="inlineStr">
        <is>
          <t>法人顧客</t>
        </is>
      </c>
      <c r="H13" s="25" t="inlineStr">
        <is>
          <t>プロジェクトマネージャーI</t>
        </is>
      </c>
      <c r="I13" s="25" t="inlineStr">
        <is>
          <t>PJ-20260421-09</t>
        </is>
      </c>
      <c r="J13" s="25" t="inlineStr">
        <is>
          <t>緊急</t>
        </is>
      </c>
      <c r="K13" s="139" t="n">
        <v>4</v>
      </c>
      <c r="L13" s="139" t="n">
        <v>4</v>
      </c>
      <c r="M13" s="139" t="n">
        <v>3</v>
      </c>
      <c r="N13" s="139" t="n">
        <v>4</v>
      </c>
      <c r="O13" s="139" t="n">
        <v>3</v>
      </c>
      <c r="P13" s="139" t="n">
        <v>3</v>
      </c>
      <c r="Q13" s="139" t="n">
        <v>3</v>
      </c>
      <c r="R13" s="142">
        <f>IF(COUNT($K13:$Q13)&lt;7,"",ROUND(($K13*'設定項目'!$C$6+$L13*'設定項目'!$C$7+$M13*'設定項目'!$C$8+$N13*'設定項目'!$C$9+$O13*'設定項目'!$C$10+$P13*'設定項目'!$C$11+$Q13*'設定項目'!$C$12)*20,1))</f>
        <v/>
      </c>
      <c r="S13" s="25">
        <f>IF($R13="","",IF($R13&gt;='設定項目'!$G$6,"優秀",IF($R13&gt;='設定項目'!$G$7,"良好",IF($R13&gt;='設定項目'!$G$8,"要注意","不合格"))))</f>
        <v/>
      </c>
      <c r="T13" s="25" t="inlineStr">
        <is>
          <t>はい</t>
        </is>
      </c>
      <c r="U13" s="25" t="inlineStr">
        <is>
          <t>PMO</t>
        </is>
      </c>
      <c r="V13" s="28" t="inlineStr">
        <is>
          <t>納品資料の追加が複数回発生し、顧客検収に影響しました。</t>
        </is>
      </c>
      <c r="W13" s="28" t="inlineStr">
        <is>
          <t>納品チェックリストと段階検収を明確にします。</t>
        </is>
      </c>
      <c r="X13" s="25" t="inlineStr">
        <is>
          <t>CA-0004</t>
        </is>
      </c>
      <c r="Y13" s="25" t="str"/>
    </row>
    <row r="14" ht="24" customHeight="1">
      <c r="A14" s="25">
        <f>IF($B14="","","SQ-"&amp;TEXT(ROW()-4,"0000"))</f>
        <v/>
      </c>
      <c r="B14" s="141" t="n">
        <v>46136</v>
      </c>
      <c r="C14" s="25" t="inlineStr">
        <is>
          <t>白樺コンサルティング</t>
        </is>
      </c>
      <c r="D14" s="25" t="inlineStr">
        <is>
          <t>相談窓口</t>
        </is>
      </c>
      <c r="E14" s="25" t="inlineStr">
        <is>
          <t>医療・コンサルティング・教育</t>
        </is>
      </c>
      <c r="F14" s="25" t="inlineStr">
        <is>
          <t>訪問対応</t>
        </is>
      </c>
      <c r="G14" s="25" t="inlineStr">
        <is>
          <t>個人顧客</t>
        </is>
      </c>
      <c r="H14" s="25" t="inlineStr">
        <is>
          <t>コンサルタントJ</t>
        </is>
      </c>
      <c r="I14" s="25" t="inlineStr">
        <is>
          <t>HC-20260424-10</t>
        </is>
      </c>
      <c r="J14" s="25" t="inlineStr">
        <is>
          <t>通常</t>
        </is>
      </c>
      <c r="K14" s="139" t="n">
        <v>4</v>
      </c>
      <c r="L14" s="139" t="n">
        <v>5</v>
      </c>
      <c r="M14" s="139" t="n">
        <v>4</v>
      </c>
      <c r="N14" s="139" t="n">
        <v>5</v>
      </c>
      <c r="O14" s="139" t="n">
        <v>5</v>
      </c>
      <c r="P14" s="139" t="n">
        <v>4</v>
      </c>
      <c r="Q14" s="139" t="n">
        <v>5</v>
      </c>
      <c r="R14" s="142">
        <f>IF(COUNT($K14:$Q14)&lt;7,"",ROUND(($K14*'設定項目'!$C$6+$L14*'設定項目'!$C$7+$M14*'設定項目'!$C$8+$N14*'設定項目'!$C$9+$O14*'設定項目'!$C$10+$P14*'設定項目'!$C$11+$Q14*'設定項目'!$C$12)*20,1))</f>
        <v/>
      </c>
      <c r="S14" s="25">
        <f>IF($R14="","",IF($R14&gt;='設定項目'!$G$6,"優秀",IF($R14&gt;='設定項目'!$G$7,"良好",IF($R14&gt;='設定項目'!$G$8,"要注意","不合格"))))</f>
        <v/>
      </c>
      <c r="T14" s="25" t="inlineStr">
        <is>
          <t>いいえ</t>
        </is>
      </c>
      <c r="U14" s="25" t="inlineStr">
        <is>
          <t>品質確認担当04</t>
        </is>
      </c>
      <c r="V14" s="28" t="inlineStr">
        <is>
          <t>丁寧に対話し、説明も十分でした。</t>
        </is>
      </c>
      <c r="W14" s="28" t="inlineStr">
        <is>
          <t>顧客向け説明資料のひな形を保管します。</t>
        </is>
      </c>
      <c r="X14" s="25" t="str"/>
      <c r="Y14" s="25" t="str"/>
    </row>
    <row r="15" ht="24" customHeight="1">
      <c r="A15" s="25">
        <f>IF($B15="","","SQ-"&amp;TEXT(ROW()-4,"0000"))</f>
        <v/>
      </c>
      <c r="B15" s="141" t="n">
        <v>46139</v>
      </c>
      <c r="C15" s="25" t="inlineStr">
        <is>
          <t>ひかりファシリティーズ</t>
        </is>
      </c>
      <c r="D15" s="25" t="inlineStr">
        <is>
          <t>施設サポート</t>
        </is>
      </c>
      <c r="E15" s="25" t="inlineStr">
        <is>
          <t>施設管理</t>
        </is>
      </c>
      <c r="F15" s="25" t="inlineStr">
        <is>
          <t>電話</t>
        </is>
      </c>
      <c r="G15" s="25" t="inlineStr">
        <is>
          <t>社内顧客</t>
        </is>
      </c>
      <c r="H15" s="25" t="inlineStr">
        <is>
          <t>施設サポートK</t>
        </is>
      </c>
      <c r="I15" s="25" t="inlineStr">
        <is>
          <t>PM-20260427-11</t>
        </is>
      </c>
      <c r="J15" s="25" t="inlineStr">
        <is>
          <t>重要</t>
        </is>
      </c>
      <c r="K15" s="139" t="n">
        <v>3</v>
      </c>
      <c r="L15" s="139" t="n">
        <v>3</v>
      </c>
      <c r="M15" s="139" t="n">
        <v>4</v>
      </c>
      <c r="N15" s="139" t="n">
        <v>3</v>
      </c>
      <c r="O15" s="139" t="n">
        <v>4</v>
      </c>
      <c r="P15" s="139" t="n">
        <v>3</v>
      </c>
      <c r="Q15" s="139" t="n">
        <v>3</v>
      </c>
      <c r="R15" s="142">
        <f>IF(COUNT($K15:$Q15)&lt;7,"",ROUND(($K15*'設定項目'!$C$6+$L15*'設定項目'!$C$7+$M15*'設定項目'!$C$8+$N15*'設定項目'!$C$9+$O15*'設定項目'!$C$10+$P15*'設定項目'!$C$11+$Q15*'設定項目'!$C$12)*20,1))</f>
        <v/>
      </c>
      <c r="S15" s="25">
        <f>IF($R15="","",IF($R15&gt;='設定項目'!$G$6,"優秀",IF($R15&gt;='設定項目'!$G$7,"良好",IF($R15&gt;='設定項目'!$G$8,"要注意","不合格"))))</f>
        <v/>
      </c>
      <c r="T15" s="25" t="inlineStr">
        <is>
          <t>いいえ</t>
        </is>
      </c>
      <c r="U15" s="25" t="inlineStr">
        <is>
          <t>品質確認担当05</t>
        </is>
      </c>
      <c r="V15" s="28" t="inlineStr">
        <is>
          <t>修理手配の応答は通常程度で、フォローアップが遅れました。</t>
        </is>
      </c>
      <c r="W15" s="28" t="inlineStr">
        <is>
          <t>フォローアップのリマインダーを設定します。</t>
        </is>
      </c>
      <c r="X15" s="25" t="inlineStr">
        <is>
          <t>CA-0005</t>
        </is>
      </c>
      <c r="Y15" s="25" t="str"/>
    </row>
    <row r="16" ht="24" customHeight="1">
      <c r="A16" s="25">
        <f>IF($B16="","","SQ-"&amp;TEXT(ROW()-4,"0000"))</f>
        <v/>
      </c>
      <c r="B16" s="141" t="n">
        <v>46141</v>
      </c>
      <c r="C16" s="25" t="inlineStr">
        <is>
          <t>青葉クラウド株式会社</t>
        </is>
      </c>
      <c r="D16" s="25" t="inlineStr">
        <is>
          <t>SaaSサポート</t>
        </is>
      </c>
      <c r="E16" s="25" t="inlineStr">
        <is>
          <t>技術サポート</t>
        </is>
      </c>
      <c r="F16" s="25" t="inlineStr">
        <is>
          <t>チケットシステム</t>
        </is>
      </c>
      <c r="G16" s="25" t="inlineStr">
        <is>
          <t>法人顧客</t>
        </is>
      </c>
      <c r="H16" s="25" t="inlineStr">
        <is>
          <t>技術サポートL</t>
        </is>
      </c>
      <c r="I16" s="25" t="inlineStr">
        <is>
          <t>TS-20260429-12</t>
        </is>
      </c>
      <c r="J16" s="25" t="inlineStr">
        <is>
          <t>通常</t>
        </is>
      </c>
      <c r="K16" s="139" t="n">
        <v>5</v>
      </c>
      <c r="L16" s="139" t="n">
        <v>5</v>
      </c>
      <c r="M16" s="139" t="n">
        <v>5</v>
      </c>
      <c r="N16" s="139" t="n">
        <v>5</v>
      </c>
      <c r="O16" s="139" t="n">
        <v>4</v>
      </c>
      <c r="P16" s="139" t="n">
        <v>5</v>
      </c>
      <c r="Q16" s="139" t="n">
        <v>5</v>
      </c>
      <c r="R16" s="142">
        <f>IF(COUNT($K16:$Q16)&lt;7,"",ROUND(($K16*'設定項目'!$C$6+$L16*'設定項目'!$C$7+$M16*'設定項目'!$C$8+$N16*'設定項目'!$C$9+$O16*'設定項目'!$C$10+$P16*'設定項目'!$C$11+$Q16*'設定項目'!$C$12)*20,1))</f>
        <v/>
      </c>
      <c r="S16" s="25">
        <f>IF($R16="","",IF($R16&gt;='設定項目'!$G$6,"優秀",IF($R16&gt;='設定項目'!$G$7,"良好",IF($R16&gt;='設定項目'!$G$8,"要注意","不合格"))))</f>
        <v/>
      </c>
      <c r="T16" s="25" t="inlineStr">
        <is>
          <t>いいえ</t>
        </is>
      </c>
      <c r="U16" s="25" t="inlineStr">
        <is>
          <t>品質確認担当03</t>
        </is>
      </c>
      <c r="V16" s="28" t="inlineStr">
        <is>
          <t>課題を一度で解決し、顧客から称賛されました。</t>
        </is>
      </c>
      <c r="W16" s="28" t="inlineStr">
        <is>
          <t>優良事例としてナレッジベースに登録します。</t>
        </is>
      </c>
      <c r="X16" s="25" t="str"/>
      <c r="Y16" s="25" t="str"/>
    </row>
    <row r="17" ht="24" customHeight="1">
      <c r="A17" s="25">
        <f>IF($B17="","","SQ-"&amp;TEXT(ROW()-4,"0000"))</f>
        <v/>
      </c>
      <c r="B17" s="143" t="n"/>
      <c r="C17" s="25" t="n"/>
      <c r="D17" s="25" t="n"/>
      <c r="E17" s="25" t="n"/>
      <c r="F17" s="25" t="n"/>
      <c r="G17" s="25" t="n"/>
      <c r="H17" s="25" t="n"/>
      <c r="I17" s="25" t="n"/>
      <c r="J17" s="25" t="n"/>
      <c r="K17" s="139" t="n"/>
      <c r="L17" s="139" t="n"/>
      <c r="M17" s="139" t="n"/>
      <c r="N17" s="139" t="n"/>
      <c r="O17" s="139" t="n"/>
      <c r="P17" s="139" t="n"/>
      <c r="Q17" s="139" t="n"/>
      <c r="R17" s="142">
        <f>IF(COUNT($K17:$Q17)&lt;7,"",ROUND(($K17*'設定項目'!$C$6+$L17*'設定項目'!$C$7+$M17*'設定項目'!$C$8+$N17*'設定項目'!$C$9+$O17*'設定項目'!$C$10+$P17*'設定項目'!$C$11+$Q17*'設定項目'!$C$12)*20,1))</f>
        <v/>
      </c>
      <c r="S17" s="25">
        <f>IF($R17="","",IF($R17&gt;='設定項目'!$G$6,"優秀",IF($R17&gt;='設定項目'!$G$7,"良好",IF($R17&gt;='設定項目'!$G$8,"要注意","不合格"))))</f>
        <v/>
      </c>
      <c r="T17" s="25" t="n"/>
      <c r="U17" s="25" t="n"/>
      <c r="V17" s="28" t="n"/>
      <c r="W17" s="28" t="n"/>
      <c r="X17" s="25" t="n"/>
      <c r="Y17" s="25" t="n"/>
    </row>
    <row r="18" ht="24" customHeight="1">
      <c r="A18" s="25">
        <f>IF($B18="","","SQ-"&amp;TEXT(ROW()-4,"0000"))</f>
        <v/>
      </c>
      <c r="B18" s="143" t="n"/>
      <c r="C18" s="25" t="n"/>
      <c r="D18" s="25" t="n"/>
      <c r="E18" s="25" t="n"/>
      <c r="F18" s="25" t="n"/>
      <c r="G18" s="25" t="n"/>
      <c r="H18" s="25" t="n"/>
      <c r="I18" s="25" t="n"/>
      <c r="J18" s="25" t="n"/>
      <c r="K18" s="139" t="n"/>
      <c r="L18" s="139" t="n"/>
      <c r="M18" s="139" t="n"/>
      <c r="N18" s="139" t="n"/>
      <c r="O18" s="139" t="n"/>
      <c r="P18" s="139" t="n"/>
      <c r="Q18" s="139" t="n"/>
      <c r="R18" s="142">
        <f>IF(COUNT($K18:$Q18)&lt;7,"",ROUND(($K18*'設定項目'!$C$6+$L18*'設定項目'!$C$7+$M18*'設定項目'!$C$8+$N18*'設定項目'!$C$9+$O18*'設定項目'!$C$10+$P18*'設定項目'!$C$11+$Q18*'設定項目'!$C$12)*20,1))</f>
        <v/>
      </c>
      <c r="S18" s="25">
        <f>IF($R18="","",IF($R18&gt;='設定項目'!$G$6,"優秀",IF($R18&gt;='設定項目'!$G$7,"良好",IF($R18&gt;='設定項目'!$G$8,"要注意","不合格"))))</f>
        <v/>
      </c>
      <c r="T18" s="25" t="n"/>
      <c r="U18" s="25" t="n"/>
      <c r="V18" s="28" t="n"/>
      <c r="W18" s="28" t="n"/>
      <c r="X18" s="25" t="n"/>
      <c r="Y18" s="25" t="n"/>
    </row>
    <row r="19" ht="24" customHeight="1">
      <c r="A19" s="25">
        <f>IF($B19="","","SQ-"&amp;TEXT(ROW()-4,"0000"))</f>
        <v/>
      </c>
      <c r="B19" s="143" t="n"/>
      <c r="C19" s="25" t="n"/>
      <c r="D19" s="25" t="n"/>
      <c r="E19" s="25" t="n"/>
      <c r="F19" s="25" t="n"/>
      <c r="G19" s="25" t="n"/>
      <c r="H19" s="25" t="n"/>
      <c r="I19" s="25" t="n"/>
      <c r="J19" s="25" t="n"/>
      <c r="K19" s="139" t="n"/>
      <c r="L19" s="139" t="n"/>
      <c r="M19" s="139" t="n"/>
      <c r="N19" s="139" t="n"/>
      <c r="O19" s="139" t="n"/>
      <c r="P19" s="139" t="n"/>
      <c r="Q19" s="139" t="n"/>
      <c r="R19" s="142">
        <f>IF(COUNT($K19:$Q19)&lt;7,"",ROUND(($K19*'設定項目'!$C$6+$L19*'設定項目'!$C$7+$M19*'設定項目'!$C$8+$N19*'設定項目'!$C$9+$O19*'設定項目'!$C$10+$P19*'設定項目'!$C$11+$Q19*'設定項目'!$C$12)*20,1))</f>
        <v/>
      </c>
      <c r="S19" s="25">
        <f>IF($R19="","",IF($R19&gt;='設定項目'!$G$6,"優秀",IF($R19&gt;='設定項目'!$G$7,"良好",IF($R19&gt;='設定項目'!$G$8,"要注意","不合格"))))</f>
        <v/>
      </c>
      <c r="T19" s="25" t="n"/>
      <c r="U19" s="25" t="n"/>
      <c r="V19" s="28" t="n"/>
      <c r="W19" s="28" t="n"/>
      <c r="X19" s="25" t="n"/>
      <c r="Y19" s="25" t="n"/>
    </row>
    <row r="20" ht="24" customHeight="1">
      <c r="A20" s="25">
        <f>IF($B20="","","SQ-"&amp;TEXT(ROW()-4,"0000"))</f>
        <v/>
      </c>
      <c r="B20" s="143" t="n"/>
      <c r="C20" s="25" t="n"/>
      <c r="D20" s="25" t="n"/>
      <c r="E20" s="25" t="n"/>
      <c r="F20" s="25" t="n"/>
      <c r="G20" s="25" t="n"/>
      <c r="H20" s="25" t="n"/>
      <c r="I20" s="25" t="n"/>
      <c r="J20" s="25" t="n"/>
      <c r="K20" s="139" t="n"/>
      <c r="L20" s="139" t="n"/>
      <c r="M20" s="139" t="n"/>
      <c r="N20" s="139" t="n"/>
      <c r="O20" s="139" t="n"/>
      <c r="P20" s="139" t="n"/>
      <c r="Q20" s="139" t="n"/>
      <c r="R20" s="142">
        <f>IF(COUNT($K20:$Q20)&lt;7,"",ROUND(($K20*'設定項目'!$C$6+$L20*'設定項目'!$C$7+$M20*'設定項目'!$C$8+$N20*'設定項目'!$C$9+$O20*'設定項目'!$C$10+$P20*'設定項目'!$C$11+$Q20*'設定項目'!$C$12)*20,1))</f>
        <v/>
      </c>
      <c r="S20" s="25">
        <f>IF($R20="","",IF($R20&gt;='設定項目'!$G$6,"優秀",IF($R20&gt;='設定項目'!$G$7,"良好",IF($R20&gt;='設定項目'!$G$8,"要注意","不合格"))))</f>
        <v/>
      </c>
      <c r="T20" s="25" t="n"/>
      <c r="U20" s="25" t="n"/>
      <c r="V20" s="28" t="n"/>
      <c r="W20" s="28" t="n"/>
      <c r="X20" s="25" t="n"/>
      <c r="Y20" s="25" t="n"/>
    </row>
    <row r="21" ht="24" customHeight="1">
      <c r="A21" s="25">
        <f>IF($B21="","","SQ-"&amp;TEXT(ROW()-4,"0000"))</f>
        <v/>
      </c>
      <c r="B21" s="143" t="n"/>
      <c r="C21" s="25" t="n"/>
      <c r="D21" s="25" t="n"/>
      <c r="E21" s="25" t="n"/>
      <c r="F21" s="25" t="n"/>
      <c r="G21" s="25" t="n"/>
      <c r="H21" s="25" t="n"/>
      <c r="I21" s="25" t="n"/>
      <c r="J21" s="25" t="n"/>
      <c r="K21" s="139" t="n"/>
      <c r="L21" s="139" t="n"/>
      <c r="M21" s="139" t="n"/>
      <c r="N21" s="139" t="n"/>
      <c r="O21" s="139" t="n"/>
      <c r="P21" s="139" t="n"/>
      <c r="Q21" s="139" t="n"/>
      <c r="R21" s="142">
        <f>IF(COUNT($K21:$Q21)&lt;7,"",ROUND(($K21*'設定項目'!$C$6+$L21*'設定項目'!$C$7+$M21*'設定項目'!$C$8+$N21*'設定項目'!$C$9+$O21*'設定項目'!$C$10+$P21*'設定項目'!$C$11+$Q21*'設定項目'!$C$12)*20,1))</f>
        <v/>
      </c>
      <c r="S21" s="25">
        <f>IF($R21="","",IF($R21&gt;='設定項目'!$G$6,"優秀",IF($R21&gt;='設定項目'!$G$7,"良好",IF($R21&gt;='設定項目'!$G$8,"要注意","不合格"))))</f>
        <v/>
      </c>
      <c r="T21" s="25" t="n"/>
      <c r="U21" s="25" t="n"/>
      <c r="V21" s="28" t="n"/>
      <c r="W21" s="28" t="n"/>
      <c r="X21" s="25" t="n"/>
      <c r="Y21" s="25" t="n"/>
    </row>
    <row r="22" ht="24" customHeight="1">
      <c r="A22" s="25">
        <f>IF($B22="","","SQ-"&amp;TEXT(ROW()-4,"0000"))</f>
        <v/>
      </c>
      <c r="B22" s="143" t="n"/>
      <c r="C22" s="25" t="n"/>
      <c r="D22" s="25" t="n"/>
      <c r="E22" s="25" t="n"/>
      <c r="F22" s="25" t="n"/>
      <c r="G22" s="25" t="n"/>
      <c r="H22" s="25" t="n"/>
      <c r="I22" s="25" t="n"/>
      <c r="J22" s="25" t="n"/>
      <c r="K22" s="139" t="n"/>
      <c r="L22" s="139" t="n"/>
      <c r="M22" s="139" t="n"/>
      <c r="N22" s="139" t="n"/>
      <c r="O22" s="139" t="n"/>
      <c r="P22" s="139" t="n"/>
      <c r="Q22" s="139" t="n"/>
      <c r="R22" s="142">
        <f>IF(COUNT($K22:$Q22)&lt;7,"",ROUND(($K22*'設定項目'!$C$6+$L22*'設定項目'!$C$7+$M22*'設定項目'!$C$8+$N22*'設定項目'!$C$9+$O22*'設定項目'!$C$10+$P22*'設定項目'!$C$11+$Q22*'設定項目'!$C$12)*20,1))</f>
        <v/>
      </c>
      <c r="S22" s="25">
        <f>IF($R22="","",IF($R22&gt;='設定項目'!$G$6,"優秀",IF($R22&gt;='設定項目'!$G$7,"良好",IF($R22&gt;='設定項目'!$G$8,"要注意","不合格"))))</f>
        <v/>
      </c>
      <c r="T22" s="25" t="n"/>
      <c r="U22" s="25" t="n"/>
      <c r="V22" s="28" t="n"/>
      <c r="W22" s="28" t="n"/>
      <c r="X22" s="25" t="n"/>
      <c r="Y22" s="25" t="n"/>
    </row>
    <row r="23" ht="24" customHeight="1">
      <c r="A23" s="25">
        <f>IF($B23="","","SQ-"&amp;TEXT(ROW()-4,"0000"))</f>
        <v/>
      </c>
      <c r="B23" s="143" t="n"/>
      <c r="C23" s="25" t="n"/>
      <c r="D23" s="25" t="n"/>
      <c r="E23" s="25" t="n"/>
      <c r="F23" s="25" t="n"/>
      <c r="G23" s="25" t="n"/>
      <c r="H23" s="25" t="n"/>
      <c r="I23" s="25" t="n"/>
      <c r="J23" s="25" t="n"/>
      <c r="K23" s="139" t="n"/>
      <c r="L23" s="139" t="n"/>
      <c r="M23" s="139" t="n"/>
      <c r="N23" s="139" t="n"/>
      <c r="O23" s="139" t="n"/>
      <c r="P23" s="139" t="n"/>
      <c r="Q23" s="139" t="n"/>
      <c r="R23" s="142">
        <f>IF(COUNT($K23:$Q23)&lt;7,"",ROUND(($K23*'設定項目'!$C$6+$L23*'設定項目'!$C$7+$M23*'設定項目'!$C$8+$N23*'設定項目'!$C$9+$O23*'設定項目'!$C$10+$P23*'設定項目'!$C$11+$Q23*'設定項目'!$C$12)*20,1))</f>
        <v/>
      </c>
      <c r="S23" s="25">
        <f>IF($R23="","",IF($R23&gt;='設定項目'!$G$6,"優秀",IF($R23&gt;='設定項目'!$G$7,"良好",IF($R23&gt;='設定項目'!$G$8,"要注意","不合格"))))</f>
        <v/>
      </c>
      <c r="T23" s="25" t="n"/>
      <c r="U23" s="25" t="n"/>
      <c r="V23" s="28" t="n"/>
      <c r="W23" s="28" t="n"/>
      <c r="X23" s="25" t="n"/>
      <c r="Y23" s="25" t="n"/>
    </row>
    <row r="24" ht="24" customHeight="1">
      <c r="A24" s="25">
        <f>IF($B24="","","SQ-"&amp;TEXT(ROW()-4,"0000"))</f>
        <v/>
      </c>
      <c r="B24" s="143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139" t="n"/>
      <c r="L24" s="139" t="n"/>
      <c r="M24" s="139" t="n"/>
      <c r="N24" s="139" t="n"/>
      <c r="O24" s="139" t="n"/>
      <c r="P24" s="139" t="n"/>
      <c r="Q24" s="139" t="n"/>
      <c r="R24" s="142">
        <f>IF(COUNT($K24:$Q24)&lt;7,"",ROUND(($K24*'設定項目'!$C$6+$L24*'設定項目'!$C$7+$M24*'設定項目'!$C$8+$N24*'設定項目'!$C$9+$O24*'設定項目'!$C$10+$P24*'設定項目'!$C$11+$Q24*'設定項目'!$C$12)*20,1))</f>
        <v/>
      </c>
      <c r="S24" s="25">
        <f>IF($R24="","",IF($R24&gt;='設定項目'!$G$6,"優秀",IF($R24&gt;='設定項目'!$G$7,"良好",IF($R24&gt;='設定項目'!$G$8,"要注意","不合格"))))</f>
        <v/>
      </c>
      <c r="T24" s="25" t="n"/>
      <c r="U24" s="25" t="n"/>
      <c r="V24" s="28" t="n"/>
      <c r="W24" s="28" t="n"/>
      <c r="X24" s="25" t="n"/>
      <c r="Y24" s="25" t="n"/>
    </row>
    <row r="25" ht="24" customHeight="1">
      <c r="A25" s="25">
        <f>IF($B25="","","SQ-"&amp;TEXT(ROW()-4,"0000"))</f>
        <v/>
      </c>
      <c r="B25" s="143" t="n"/>
      <c r="C25" s="25" t="n"/>
      <c r="D25" s="25" t="n"/>
      <c r="E25" s="25" t="n"/>
      <c r="F25" s="25" t="n"/>
      <c r="G25" s="25" t="n"/>
      <c r="H25" s="25" t="n"/>
      <c r="I25" s="25" t="n"/>
      <c r="J25" s="25" t="n"/>
      <c r="K25" s="139" t="n"/>
      <c r="L25" s="139" t="n"/>
      <c r="M25" s="139" t="n"/>
      <c r="N25" s="139" t="n"/>
      <c r="O25" s="139" t="n"/>
      <c r="P25" s="139" t="n"/>
      <c r="Q25" s="139" t="n"/>
      <c r="R25" s="142">
        <f>IF(COUNT($K25:$Q25)&lt;7,"",ROUND(($K25*'設定項目'!$C$6+$L25*'設定項目'!$C$7+$M25*'設定項目'!$C$8+$N25*'設定項目'!$C$9+$O25*'設定項目'!$C$10+$P25*'設定項目'!$C$11+$Q25*'設定項目'!$C$12)*20,1))</f>
        <v/>
      </c>
      <c r="S25" s="25">
        <f>IF($R25="","",IF($R25&gt;='設定項目'!$G$6,"優秀",IF($R25&gt;='設定項目'!$G$7,"良好",IF($R25&gt;='設定項目'!$G$8,"要注意","不合格"))))</f>
        <v/>
      </c>
      <c r="T25" s="25" t="n"/>
      <c r="U25" s="25" t="n"/>
      <c r="V25" s="28" t="n"/>
      <c r="W25" s="28" t="n"/>
      <c r="X25" s="25" t="n"/>
      <c r="Y25" s="25" t="n"/>
    </row>
    <row r="26" ht="24" customHeight="1">
      <c r="A26" s="25">
        <f>IF($B26="","","SQ-"&amp;TEXT(ROW()-4,"0000"))</f>
        <v/>
      </c>
      <c r="B26" s="143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139" t="n"/>
      <c r="L26" s="139" t="n"/>
      <c r="M26" s="139" t="n"/>
      <c r="N26" s="139" t="n"/>
      <c r="O26" s="139" t="n"/>
      <c r="P26" s="139" t="n"/>
      <c r="Q26" s="139" t="n"/>
      <c r="R26" s="142">
        <f>IF(COUNT($K26:$Q26)&lt;7,"",ROUND(($K26*'設定項目'!$C$6+$L26*'設定項目'!$C$7+$M26*'設定項目'!$C$8+$N26*'設定項目'!$C$9+$O26*'設定項目'!$C$10+$P26*'設定項目'!$C$11+$Q26*'設定項目'!$C$12)*20,1))</f>
        <v/>
      </c>
      <c r="S26" s="25">
        <f>IF($R26="","",IF($R26&gt;='設定項目'!$G$6,"優秀",IF($R26&gt;='設定項目'!$G$7,"良好",IF($R26&gt;='設定項目'!$G$8,"要注意","不合格"))))</f>
        <v/>
      </c>
      <c r="T26" s="25" t="n"/>
      <c r="U26" s="25" t="n"/>
      <c r="V26" s="28" t="n"/>
      <c r="W26" s="28" t="n"/>
      <c r="X26" s="25" t="n"/>
      <c r="Y26" s="25" t="n"/>
    </row>
    <row r="27" ht="24" customHeight="1">
      <c r="A27" s="25">
        <f>IF($B27="","","SQ-"&amp;TEXT(ROW()-4,"0000"))</f>
        <v/>
      </c>
      <c r="B27" s="143" t="n"/>
      <c r="C27" s="25" t="n"/>
      <c r="D27" s="25" t="n"/>
      <c r="E27" s="25" t="n"/>
      <c r="F27" s="25" t="n"/>
      <c r="G27" s="25" t="n"/>
      <c r="H27" s="25" t="n"/>
      <c r="I27" s="25" t="n"/>
      <c r="J27" s="25" t="n"/>
      <c r="K27" s="139" t="n"/>
      <c r="L27" s="139" t="n"/>
      <c r="M27" s="139" t="n"/>
      <c r="N27" s="139" t="n"/>
      <c r="O27" s="139" t="n"/>
      <c r="P27" s="139" t="n"/>
      <c r="Q27" s="139" t="n"/>
      <c r="R27" s="142">
        <f>IF(COUNT($K27:$Q27)&lt;7,"",ROUND(($K27*'設定項目'!$C$6+$L27*'設定項目'!$C$7+$M27*'設定項目'!$C$8+$N27*'設定項目'!$C$9+$O27*'設定項目'!$C$10+$P27*'設定項目'!$C$11+$Q27*'設定項目'!$C$12)*20,1))</f>
        <v/>
      </c>
      <c r="S27" s="25">
        <f>IF($R27="","",IF($R27&gt;='設定項目'!$G$6,"優秀",IF($R27&gt;='設定項目'!$G$7,"良好",IF($R27&gt;='設定項目'!$G$8,"要注意","不合格"))))</f>
        <v/>
      </c>
      <c r="T27" s="25" t="n"/>
      <c r="U27" s="25" t="n"/>
      <c r="V27" s="28" t="n"/>
      <c r="W27" s="28" t="n"/>
      <c r="X27" s="25" t="n"/>
      <c r="Y27" s="25" t="n"/>
    </row>
    <row r="28" ht="24" customHeight="1">
      <c r="A28" s="25">
        <f>IF($B28="","","SQ-"&amp;TEXT(ROW()-4,"0000"))</f>
        <v/>
      </c>
      <c r="B28" s="143" t="n"/>
      <c r="C28" s="25" t="n"/>
      <c r="D28" s="25" t="n"/>
      <c r="E28" s="25" t="n"/>
      <c r="F28" s="25" t="n"/>
      <c r="G28" s="25" t="n"/>
      <c r="H28" s="25" t="n"/>
      <c r="I28" s="25" t="n"/>
      <c r="J28" s="25" t="n"/>
      <c r="K28" s="139" t="n"/>
      <c r="L28" s="139" t="n"/>
      <c r="M28" s="139" t="n"/>
      <c r="N28" s="139" t="n"/>
      <c r="O28" s="139" t="n"/>
      <c r="P28" s="139" t="n"/>
      <c r="Q28" s="139" t="n"/>
      <c r="R28" s="142">
        <f>IF(COUNT($K28:$Q28)&lt;7,"",ROUND(($K28*'設定項目'!$C$6+$L28*'設定項目'!$C$7+$M28*'設定項目'!$C$8+$N28*'設定項目'!$C$9+$O28*'設定項目'!$C$10+$P28*'設定項目'!$C$11+$Q28*'設定項目'!$C$12)*20,1))</f>
        <v/>
      </c>
      <c r="S28" s="25">
        <f>IF($R28="","",IF($R28&gt;='設定項目'!$G$6,"優秀",IF($R28&gt;='設定項目'!$G$7,"良好",IF($R28&gt;='設定項目'!$G$8,"要注意","不合格"))))</f>
        <v/>
      </c>
      <c r="T28" s="25" t="n"/>
      <c r="U28" s="25" t="n"/>
      <c r="V28" s="28" t="n"/>
      <c r="W28" s="28" t="n"/>
      <c r="X28" s="25" t="n"/>
      <c r="Y28" s="25" t="n"/>
    </row>
    <row r="29" ht="24" customHeight="1">
      <c r="A29" s="25">
        <f>IF($B29="","","SQ-"&amp;TEXT(ROW()-4,"0000"))</f>
        <v/>
      </c>
      <c r="B29" s="143" t="n"/>
      <c r="C29" s="25" t="n"/>
      <c r="D29" s="25" t="n"/>
      <c r="E29" s="25" t="n"/>
      <c r="F29" s="25" t="n"/>
      <c r="G29" s="25" t="n"/>
      <c r="H29" s="25" t="n"/>
      <c r="I29" s="25" t="n"/>
      <c r="J29" s="25" t="n"/>
      <c r="K29" s="139" t="n"/>
      <c r="L29" s="139" t="n"/>
      <c r="M29" s="139" t="n"/>
      <c r="N29" s="139" t="n"/>
      <c r="O29" s="139" t="n"/>
      <c r="P29" s="139" t="n"/>
      <c r="Q29" s="139" t="n"/>
      <c r="R29" s="142">
        <f>IF(COUNT($K29:$Q29)&lt;7,"",ROUND(($K29*'設定項目'!$C$6+$L29*'設定項目'!$C$7+$M29*'設定項目'!$C$8+$N29*'設定項目'!$C$9+$O29*'設定項目'!$C$10+$P29*'設定項目'!$C$11+$Q29*'設定項目'!$C$12)*20,1))</f>
        <v/>
      </c>
      <c r="S29" s="25">
        <f>IF($R29="","",IF($R29&gt;='設定項目'!$G$6,"優秀",IF($R29&gt;='設定項目'!$G$7,"良好",IF($R29&gt;='設定項目'!$G$8,"要注意","不合格"))))</f>
        <v/>
      </c>
      <c r="T29" s="25" t="n"/>
      <c r="U29" s="25" t="n"/>
      <c r="V29" s="28" t="n"/>
      <c r="W29" s="28" t="n"/>
      <c r="X29" s="25" t="n"/>
      <c r="Y29" s="25" t="n"/>
    </row>
    <row r="30" ht="24" customHeight="1">
      <c r="A30" s="25">
        <f>IF($B30="","","SQ-"&amp;TEXT(ROW()-4,"0000"))</f>
        <v/>
      </c>
      <c r="B30" s="143" t="n"/>
      <c r="C30" s="25" t="n"/>
      <c r="D30" s="25" t="n"/>
      <c r="E30" s="25" t="n"/>
      <c r="F30" s="25" t="n"/>
      <c r="G30" s="25" t="n"/>
      <c r="H30" s="25" t="n"/>
      <c r="I30" s="25" t="n"/>
      <c r="J30" s="25" t="n"/>
      <c r="K30" s="139" t="n"/>
      <c r="L30" s="139" t="n"/>
      <c r="M30" s="139" t="n"/>
      <c r="N30" s="139" t="n"/>
      <c r="O30" s="139" t="n"/>
      <c r="P30" s="139" t="n"/>
      <c r="Q30" s="139" t="n"/>
      <c r="R30" s="142">
        <f>IF(COUNT($K30:$Q30)&lt;7,"",ROUND(($K30*'設定項目'!$C$6+$L30*'設定項目'!$C$7+$M30*'設定項目'!$C$8+$N30*'設定項目'!$C$9+$O30*'設定項目'!$C$10+$P30*'設定項目'!$C$11+$Q30*'設定項目'!$C$12)*20,1))</f>
        <v/>
      </c>
      <c r="S30" s="25">
        <f>IF($R30="","",IF($R30&gt;='設定項目'!$G$6,"優秀",IF($R30&gt;='設定項目'!$G$7,"良好",IF($R30&gt;='設定項目'!$G$8,"要注意","不合格"))))</f>
        <v/>
      </c>
      <c r="T30" s="25" t="n"/>
      <c r="U30" s="25" t="n"/>
      <c r="V30" s="28" t="n"/>
      <c r="W30" s="28" t="n"/>
      <c r="X30" s="25" t="n"/>
      <c r="Y30" s="25" t="n"/>
    </row>
    <row r="31" ht="24" customHeight="1">
      <c r="A31" s="25">
        <f>IF($B31="","","SQ-"&amp;TEXT(ROW()-4,"0000"))</f>
        <v/>
      </c>
      <c r="B31" s="143" t="n"/>
      <c r="C31" s="25" t="n"/>
      <c r="D31" s="25" t="n"/>
      <c r="E31" s="25" t="n"/>
      <c r="F31" s="25" t="n"/>
      <c r="G31" s="25" t="n"/>
      <c r="H31" s="25" t="n"/>
      <c r="I31" s="25" t="n"/>
      <c r="J31" s="25" t="n"/>
      <c r="K31" s="139" t="n"/>
      <c r="L31" s="139" t="n"/>
      <c r="M31" s="139" t="n"/>
      <c r="N31" s="139" t="n"/>
      <c r="O31" s="139" t="n"/>
      <c r="P31" s="139" t="n"/>
      <c r="Q31" s="139" t="n"/>
      <c r="R31" s="142">
        <f>IF(COUNT($K31:$Q31)&lt;7,"",ROUND(($K31*'設定項目'!$C$6+$L31*'設定項目'!$C$7+$M31*'設定項目'!$C$8+$N31*'設定項目'!$C$9+$O31*'設定項目'!$C$10+$P31*'設定項目'!$C$11+$Q31*'設定項目'!$C$12)*20,1))</f>
        <v/>
      </c>
      <c r="S31" s="25">
        <f>IF($R31="","",IF($R31&gt;='設定項目'!$G$6,"優秀",IF($R31&gt;='設定項目'!$G$7,"良好",IF($R31&gt;='設定項目'!$G$8,"要注意","不合格"))))</f>
        <v/>
      </c>
      <c r="T31" s="25" t="n"/>
      <c r="U31" s="25" t="n"/>
      <c r="V31" s="28" t="n"/>
      <c r="W31" s="28" t="n"/>
      <c r="X31" s="25" t="n"/>
      <c r="Y31" s="25" t="n"/>
    </row>
    <row r="32" ht="24" customHeight="1">
      <c r="A32" s="25">
        <f>IF($B32="","","SQ-"&amp;TEXT(ROW()-4,"0000"))</f>
        <v/>
      </c>
      <c r="B32" s="143" t="n"/>
      <c r="C32" s="25" t="n"/>
      <c r="D32" s="25" t="n"/>
      <c r="E32" s="25" t="n"/>
      <c r="F32" s="25" t="n"/>
      <c r="G32" s="25" t="n"/>
      <c r="H32" s="25" t="n"/>
      <c r="I32" s="25" t="n"/>
      <c r="J32" s="25" t="n"/>
      <c r="K32" s="139" t="n"/>
      <c r="L32" s="139" t="n"/>
      <c r="M32" s="139" t="n"/>
      <c r="N32" s="139" t="n"/>
      <c r="O32" s="139" t="n"/>
      <c r="P32" s="139" t="n"/>
      <c r="Q32" s="139" t="n"/>
      <c r="R32" s="142">
        <f>IF(COUNT($K32:$Q32)&lt;7,"",ROUND(($K32*'設定項目'!$C$6+$L32*'設定項目'!$C$7+$M32*'設定項目'!$C$8+$N32*'設定項目'!$C$9+$O32*'設定項目'!$C$10+$P32*'設定項目'!$C$11+$Q32*'設定項目'!$C$12)*20,1))</f>
        <v/>
      </c>
      <c r="S32" s="25">
        <f>IF($R32="","",IF($R32&gt;='設定項目'!$G$6,"優秀",IF($R32&gt;='設定項目'!$G$7,"良好",IF($R32&gt;='設定項目'!$G$8,"要注意","不合格"))))</f>
        <v/>
      </c>
      <c r="T32" s="25" t="n"/>
      <c r="U32" s="25" t="n"/>
      <c r="V32" s="28" t="n"/>
      <c r="W32" s="28" t="n"/>
      <c r="X32" s="25" t="n"/>
      <c r="Y32" s="25" t="n"/>
    </row>
    <row r="33" ht="24" customHeight="1">
      <c r="A33" s="25">
        <f>IF($B33="","","SQ-"&amp;TEXT(ROW()-4,"0000"))</f>
        <v/>
      </c>
      <c r="B33" s="143" t="n"/>
      <c r="C33" s="25" t="n"/>
      <c r="D33" s="25" t="n"/>
      <c r="E33" s="25" t="n"/>
      <c r="F33" s="25" t="n"/>
      <c r="G33" s="25" t="n"/>
      <c r="H33" s="25" t="n"/>
      <c r="I33" s="25" t="n"/>
      <c r="J33" s="25" t="n"/>
      <c r="K33" s="139" t="n"/>
      <c r="L33" s="139" t="n"/>
      <c r="M33" s="139" t="n"/>
      <c r="N33" s="139" t="n"/>
      <c r="O33" s="139" t="n"/>
      <c r="P33" s="139" t="n"/>
      <c r="Q33" s="139" t="n"/>
      <c r="R33" s="142">
        <f>IF(COUNT($K33:$Q33)&lt;7,"",ROUND(($K33*'設定項目'!$C$6+$L33*'設定項目'!$C$7+$M33*'設定項目'!$C$8+$N33*'設定項目'!$C$9+$O33*'設定項目'!$C$10+$P33*'設定項目'!$C$11+$Q33*'設定項目'!$C$12)*20,1))</f>
        <v/>
      </c>
      <c r="S33" s="25">
        <f>IF($R33="","",IF($R33&gt;='設定項目'!$G$6,"優秀",IF($R33&gt;='設定項目'!$G$7,"良好",IF($R33&gt;='設定項目'!$G$8,"要注意","不合格"))))</f>
        <v/>
      </c>
      <c r="T33" s="25" t="n"/>
      <c r="U33" s="25" t="n"/>
      <c r="V33" s="28" t="n"/>
      <c r="W33" s="28" t="n"/>
      <c r="X33" s="25" t="n"/>
      <c r="Y33" s="25" t="n"/>
    </row>
    <row r="34" ht="24" customHeight="1">
      <c r="A34" s="25">
        <f>IF($B34="","","SQ-"&amp;TEXT(ROW()-4,"0000"))</f>
        <v/>
      </c>
      <c r="B34" s="143" t="n"/>
      <c r="C34" s="25" t="n"/>
      <c r="D34" s="25" t="n"/>
      <c r="E34" s="25" t="n"/>
      <c r="F34" s="25" t="n"/>
      <c r="G34" s="25" t="n"/>
      <c r="H34" s="25" t="n"/>
      <c r="I34" s="25" t="n"/>
      <c r="J34" s="25" t="n"/>
      <c r="K34" s="139" t="n"/>
      <c r="L34" s="139" t="n"/>
      <c r="M34" s="139" t="n"/>
      <c r="N34" s="139" t="n"/>
      <c r="O34" s="139" t="n"/>
      <c r="P34" s="139" t="n"/>
      <c r="Q34" s="139" t="n"/>
      <c r="R34" s="142">
        <f>IF(COUNT($K34:$Q34)&lt;7,"",ROUND(($K34*'設定項目'!$C$6+$L34*'設定項目'!$C$7+$M34*'設定項目'!$C$8+$N34*'設定項目'!$C$9+$O34*'設定項目'!$C$10+$P34*'設定項目'!$C$11+$Q34*'設定項目'!$C$12)*20,1))</f>
        <v/>
      </c>
      <c r="S34" s="25">
        <f>IF($R34="","",IF($R34&gt;='設定項目'!$G$6,"優秀",IF($R34&gt;='設定項目'!$G$7,"良好",IF($R34&gt;='設定項目'!$G$8,"要注意","不合格"))))</f>
        <v/>
      </c>
      <c r="T34" s="25" t="n"/>
      <c r="U34" s="25" t="n"/>
      <c r="V34" s="28" t="n"/>
      <c r="W34" s="28" t="n"/>
      <c r="X34" s="25" t="n"/>
      <c r="Y34" s="25" t="n"/>
    </row>
    <row r="35" ht="24" customHeight="1">
      <c r="A35" s="25">
        <f>IF($B35="","","SQ-"&amp;TEXT(ROW()-4,"0000"))</f>
        <v/>
      </c>
      <c r="B35" s="143" t="n"/>
      <c r="C35" s="25" t="n"/>
      <c r="D35" s="25" t="n"/>
      <c r="E35" s="25" t="n"/>
      <c r="F35" s="25" t="n"/>
      <c r="G35" s="25" t="n"/>
      <c r="H35" s="25" t="n"/>
      <c r="I35" s="25" t="n"/>
      <c r="J35" s="25" t="n"/>
      <c r="K35" s="139" t="n"/>
      <c r="L35" s="139" t="n"/>
      <c r="M35" s="139" t="n"/>
      <c r="N35" s="139" t="n"/>
      <c r="O35" s="139" t="n"/>
      <c r="P35" s="139" t="n"/>
      <c r="Q35" s="139" t="n"/>
      <c r="R35" s="142">
        <f>IF(COUNT($K35:$Q35)&lt;7,"",ROUND(($K35*'設定項目'!$C$6+$L35*'設定項目'!$C$7+$M35*'設定項目'!$C$8+$N35*'設定項目'!$C$9+$O35*'設定項目'!$C$10+$P35*'設定項目'!$C$11+$Q35*'設定項目'!$C$12)*20,1))</f>
        <v/>
      </c>
      <c r="S35" s="25">
        <f>IF($R35="","",IF($R35&gt;='設定項目'!$G$6,"優秀",IF($R35&gt;='設定項目'!$G$7,"良好",IF($R35&gt;='設定項目'!$G$8,"要注意","不合格"))))</f>
        <v/>
      </c>
      <c r="T35" s="25" t="n"/>
      <c r="U35" s="25" t="n"/>
      <c r="V35" s="28" t="n"/>
      <c r="W35" s="28" t="n"/>
      <c r="X35" s="25" t="n"/>
      <c r="Y35" s="25" t="n"/>
    </row>
    <row r="36" ht="24" customHeight="1">
      <c r="A36" s="25">
        <f>IF($B36="","","SQ-"&amp;TEXT(ROW()-4,"0000"))</f>
        <v/>
      </c>
      <c r="B36" s="143" t="n"/>
      <c r="C36" s="25" t="n"/>
      <c r="D36" s="25" t="n"/>
      <c r="E36" s="25" t="n"/>
      <c r="F36" s="25" t="n"/>
      <c r="G36" s="25" t="n"/>
      <c r="H36" s="25" t="n"/>
      <c r="I36" s="25" t="n"/>
      <c r="J36" s="25" t="n"/>
      <c r="K36" s="139" t="n"/>
      <c r="L36" s="139" t="n"/>
      <c r="M36" s="139" t="n"/>
      <c r="N36" s="139" t="n"/>
      <c r="O36" s="139" t="n"/>
      <c r="P36" s="139" t="n"/>
      <c r="Q36" s="139" t="n"/>
      <c r="R36" s="142">
        <f>IF(COUNT($K36:$Q36)&lt;7,"",ROUND(($K36*'設定項目'!$C$6+$L36*'設定項目'!$C$7+$M36*'設定項目'!$C$8+$N36*'設定項目'!$C$9+$O36*'設定項目'!$C$10+$P36*'設定項目'!$C$11+$Q36*'設定項目'!$C$12)*20,1))</f>
        <v/>
      </c>
      <c r="S36" s="25">
        <f>IF($R36="","",IF($R36&gt;='設定項目'!$G$6,"優秀",IF($R36&gt;='設定項目'!$G$7,"良好",IF($R36&gt;='設定項目'!$G$8,"要注意","不合格"))))</f>
        <v/>
      </c>
      <c r="T36" s="25" t="n"/>
      <c r="U36" s="25" t="n"/>
      <c r="V36" s="28" t="n"/>
      <c r="W36" s="28" t="n"/>
      <c r="X36" s="25" t="n"/>
      <c r="Y36" s="25" t="n"/>
    </row>
    <row r="37" ht="24" customHeight="1">
      <c r="A37" s="25">
        <f>IF($B37="","","SQ-"&amp;TEXT(ROW()-4,"0000"))</f>
        <v/>
      </c>
      <c r="B37" s="143" t="n"/>
      <c r="C37" s="25" t="n"/>
      <c r="D37" s="25" t="n"/>
      <c r="E37" s="25" t="n"/>
      <c r="F37" s="25" t="n"/>
      <c r="G37" s="25" t="n"/>
      <c r="H37" s="25" t="n"/>
      <c r="I37" s="25" t="n"/>
      <c r="J37" s="25" t="n"/>
      <c r="K37" s="139" t="n"/>
      <c r="L37" s="139" t="n"/>
      <c r="M37" s="139" t="n"/>
      <c r="N37" s="139" t="n"/>
      <c r="O37" s="139" t="n"/>
      <c r="P37" s="139" t="n"/>
      <c r="Q37" s="139" t="n"/>
      <c r="R37" s="142">
        <f>IF(COUNT($K37:$Q37)&lt;7,"",ROUND(($K37*'設定項目'!$C$6+$L37*'設定項目'!$C$7+$M37*'設定項目'!$C$8+$N37*'設定項目'!$C$9+$O37*'設定項目'!$C$10+$P37*'設定項目'!$C$11+$Q37*'設定項目'!$C$12)*20,1))</f>
        <v/>
      </c>
      <c r="S37" s="25">
        <f>IF($R37="","",IF($R37&gt;='設定項目'!$G$6,"優秀",IF($R37&gt;='設定項目'!$G$7,"良好",IF($R37&gt;='設定項目'!$G$8,"要注意","不合格"))))</f>
        <v/>
      </c>
      <c r="T37" s="25" t="n"/>
      <c r="U37" s="25" t="n"/>
      <c r="V37" s="28" t="n"/>
      <c r="W37" s="28" t="n"/>
      <c r="X37" s="25" t="n"/>
      <c r="Y37" s="25" t="n"/>
    </row>
    <row r="38" ht="24" customHeight="1">
      <c r="A38" s="25">
        <f>IF($B38="","","SQ-"&amp;TEXT(ROW()-4,"0000"))</f>
        <v/>
      </c>
      <c r="B38" s="143" t="n"/>
      <c r="C38" s="25" t="n"/>
      <c r="D38" s="25" t="n"/>
      <c r="E38" s="25" t="n"/>
      <c r="F38" s="25" t="n"/>
      <c r="G38" s="25" t="n"/>
      <c r="H38" s="25" t="n"/>
      <c r="I38" s="25" t="n"/>
      <c r="J38" s="25" t="n"/>
      <c r="K38" s="139" t="n"/>
      <c r="L38" s="139" t="n"/>
      <c r="M38" s="139" t="n"/>
      <c r="N38" s="139" t="n"/>
      <c r="O38" s="139" t="n"/>
      <c r="P38" s="139" t="n"/>
      <c r="Q38" s="139" t="n"/>
      <c r="R38" s="142">
        <f>IF(COUNT($K38:$Q38)&lt;7,"",ROUND(($K38*'設定項目'!$C$6+$L38*'設定項目'!$C$7+$M38*'設定項目'!$C$8+$N38*'設定項目'!$C$9+$O38*'設定項目'!$C$10+$P38*'設定項目'!$C$11+$Q38*'設定項目'!$C$12)*20,1))</f>
        <v/>
      </c>
      <c r="S38" s="25">
        <f>IF($R38="","",IF($R38&gt;='設定項目'!$G$6,"優秀",IF($R38&gt;='設定項目'!$G$7,"良好",IF($R38&gt;='設定項目'!$G$8,"要注意","不合格"))))</f>
        <v/>
      </c>
      <c r="T38" s="25" t="n"/>
      <c r="U38" s="25" t="n"/>
      <c r="V38" s="28" t="n"/>
      <c r="W38" s="28" t="n"/>
      <c r="X38" s="25" t="n"/>
      <c r="Y38" s="25" t="n"/>
    </row>
    <row r="39" ht="24" customHeight="1">
      <c r="A39" s="25">
        <f>IF($B39="","","SQ-"&amp;TEXT(ROW()-4,"0000"))</f>
        <v/>
      </c>
      <c r="B39" s="143" t="n"/>
      <c r="C39" s="25" t="n"/>
      <c r="D39" s="25" t="n"/>
      <c r="E39" s="25" t="n"/>
      <c r="F39" s="25" t="n"/>
      <c r="G39" s="25" t="n"/>
      <c r="H39" s="25" t="n"/>
      <c r="I39" s="25" t="n"/>
      <c r="J39" s="25" t="n"/>
      <c r="K39" s="139" t="n"/>
      <c r="L39" s="139" t="n"/>
      <c r="M39" s="139" t="n"/>
      <c r="N39" s="139" t="n"/>
      <c r="O39" s="139" t="n"/>
      <c r="P39" s="139" t="n"/>
      <c r="Q39" s="139" t="n"/>
      <c r="R39" s="142">
        <f>IF(COUNT($K39:$Q39)&lt;7,"",ROUND(($K39*'設定項目'!$C$6+$L39*'設定項目'!$C$7+$M39*'設定項目'!$C$8+$N39*'設定項目'!$C$9+$O39*'設定項目'!$C$10+$P39*'設定項目'!$C$11+$Q39*'設定項目'!$C$12)*20,1))</f>
        <v/>
      </c>
      <c r="S39" s="25">
        <f>IF($R39="","",IF($R39&gt;='設定項目'!$G$6,"優秀",IF($R39&gt;='設定項目'!$G$7,"良好",IF($R39&gt;='設定項目'!$G$8,"要注意","不合格"))))</f>
        <v/>
      </c>
      <c r="T39" s="25" t="n"/>
      <c r="U39" s="25" t="n"/>
      <c r="V39" s="28" t="n"/>
      <c r="W39" s="28" t="n"/>
      <c r="X39" s="25" t="n"/>
      <c r="Y39" s="25" t="n"/>
    </row>
    <row r="40" ht="24" customHeight="1">
      <c r="A40" s="25">
        <f>IF($B40="","","SQ-"&amp;TEXT(ROW()-4,"0000"))</f>
        <v/>
      </c>
      <c r="B40" s="143" t="n"/>
      <c r="C40" s="25" t="n"/>
      <c r="D40" s="25" t="n"/>
      <c r="E40" s="25" t="n"/>
      <c r="F40" s="25" t="n"/>
      <c r="G40" s="25" t="n"/>
      <c r="H40" s="25" t="n"/>
      <c r="I40" s="25" t="n"/>
      <c r="J40" s="25" t="n"/>
      <c r="K40" s="139" t="n"/>
      <c r="L40" s="139" t="n"/>
      <c r="M40" s="139" t="n"/>
      <c r="N40" s="139" t="n"/>
      <c r="O40" s="139" t="n"/>
      <c r="P40" s="139" t="n"/>
      <c r="Q40" s="139" t="n"/>
      <c r="R40" s="142">
        <f>IF(COUNT($K40:$Q40)&lt;7,"",ROUND(($K40*'設定項目'!$C$6+$L40*'設定項目'!$C$7+$M40*'設定項目'!$C$8+$N40*'設定項目'!$C$9+$O40*'設定項目'!$C$10+$P40*'設定項目'!$C$11+$Q40*'設定項目'!$C$12)*20,1))</f>
        <v/>
      </c>
      <c r="S40" s="25">
        <f>IF($R40="","",IF($R40&gt;='設定項目'!$G$6,"優秀",IF($R40&gt;='設定項目'!$G$7,"良好",IF($R40&gt;='設定項目'!$G$8,"要注意","不合格"))))</f>
        <v/>
      </c>
      <c r="T40" s="25" t="n"/>
      <c r="U40" s="25" t="n"/>
      <c r="V40" s="28" t="n"/>
      <c r="W40" s="28" t="n"/>
      <c r="X40" s="25" t="n"/>
      <c r="Y40" s="25" t="n"/>
    </row>
    <row r="41" ht="24" customHeight="1">
      <c r="A41" s="25">
        <f>IF($B41="","","SQ-"&amp;TEXT(ROW()-4,"0000"))</f>
        <v/>
      </c>
      <c r="B41" s="143" t="n"/>
      <c r="C41" s="25" t="n"/>
      <c r="D41" s="25" t="n"/>
      <c r="E41" s="25" t="n"/>
      <c r="F41" s="25" t="n"/>
      <c r="G41" s="25" t="n"/>
      <c r="H41" s="25" t="n"/>
      <c r="I41" s="25" t="n"/>
      <c r="J41" s="25" t="n"/>
      <c r="K41" s="139" t="n"/>
      <c r="L41" s="139" t="n"/>
      <c r="M41" s="139" t="n"/>
      <c r="N41" s="139" t="n"/>
      <c r="O41" s="139" t="n"/>
      <c r="P41" s="139" t="n"/>
      <c r="Q41" s="139" t="n"/>
      <c r="R41" s="142">
        <f>IF(COUNT($K41:$Q41)&lt;7,"",ROUND(($K41*'設定項目'!$C$6+$L41*'設定項目'!$C$7+$M41*'設定項目'!$C$8+$N41*'設定項目'!$C$9+$O41*'設定項目'!$C$10+$P41*'設定項目'!$C$11+$Q41*'設定項目'!$C$12)*20,1))</f>
        <v/>
      </c>
      <c r="S41" s="25">
        <f>IF($R41="","",IF($R41&gt;='設定項目'!$G$6,"優秀",IF($R41&gt;='設定項目'!$G$7,"良好",IF($R41&gt;='設定項目'!$G$8,"要注意","不合格"))))</f>
        <v/>
      </c>
      <c r="T41" s="25" t="n"/>
      <c r="U41" s="25" t="n"/>
      <c r="V41" s="28" t="n"/>
      <c r="W41" s="28" t="n"/>
      <c r="X41" s="25" t="n"/>
      <c r="Y41" s="25" t="n"/>
    </row>
    <row r="42" ht="24" customHeight="1">
      <c r="A42" s="25">
        <f>IF($B42="","","SQ-"&amp;TEXT(ROW()-4,"0000"))</f>
        <v/>
      </c>
      <c r="B42" s="143" t="n"/>
      <c r="C42" s="25" t="n"/>
      <c r="D42" s="25" t="n"/>
      <c r="E42" s="25" t="n"/>
      <c r="F42" s="25" t="n"/>
      <c r="G42" s="25" t="n"/>
      <c r="H42" s="25" t="n"/>
      <c r="I42" s="25" t="n"/>
      <c r="J42" s="25" t="n"/>
      <c r="K42" s="139" t="n"/>
      <c r="L42" s="139" t="n"/>
      <c r="M42" s="139" t="n"/>
      <c r="N42" s="139" t="n"/>
      <c r="O42" s="139" t="n"/>
      <c r="P42" s="139" t="n"/>
      <c r="Q42" s="139" t="n"/>
      <c r="R42" s="142">
        <f>IF(COUNT($K42:$Q42)&lt;7,"",ROUND(($K42*'設定項目'!$C$6+$L42*'設定項目'!$C$7+$M42*'設定項目'!$C$8+$N42*'設定項目'!$C$9+$O42*'設定項目'!$C$10+$P42*'設定項目'!$C$11+$Q42*'設定項目'!$C$12)*20,1))</f>
        <v/>
      </c>
      <c r="S42" s="25">
        <f>IF($R42="","",IF($R42&gt;='設定項目'!$G$6,"優秀",IF($R42&gt;='設定項目'!$G$7,"良好",IF($R42&gt;='設定項目'!$G$8,"要注意","不合格"))))</f>
        <v/>
      </c>
      <c r="T42" s="25" t="n"/>
      <c r="U42" s="25" t="n"/>
      <c r="V42" s="28" t="n"/>
      <c r="W42" s="28" t="n"/>
      <c r="X42" s="25" t="n"/>
      <c r="Y42" s="25" t="n"/>
    </row>
    <row r="43" ht="24" customHeight="1">
      <c r="A43" s="25">
        <f>IF($B43="","","SQ-"&amp;TEXT(ROW()-4,"0000"))</f>
        <v/>
      </c>
      <c r="B43" s="143" t="n"/>
      <c r="C43" s="25" t="n"/>
      <c r="D43" s="25" t="n"/>
      <c r="E43" s="25" t="n"/>
      <c r="F43" s="25" t="n"/>
      <c r="G43" s="25" t="n"/>
      <c r="H43" s="25" t="n"/>
      <c r="I43" s="25" t="n"/>
      <c r="J43" s="25" t="n"/>
      <c r="K43" s="139" t="n"/>
      <c r="L43" s="139" t="n"/>
      <c r="M43" s="139" t="n"/>
      <c r="N43" s="139" t="n"/>
      <c r="O43" s="139" t="n"/>
      <c r="P43" s="139" t="n"/>
      <c r="Q43" s="139" t="n"/>
      <c r="R43" s="142">
        <f>IF(COUNT($K43:$Q43)&lt;7,"",ROUND(($K43*'設定項目'!$C$6+$L43*'設定項目'!$C$7+$M43*'設定項目'!$C$8+$N43*'設定項目'!$C$9+$O43*'設定項目'!$C$10+$P43*'設定項目'!$C$11+$Q43*'設定項目'!$C$12)*20,1))</f>
        <v/>
      </c>
      <c r="S43" s="25">
        <f>IF($R43="","",IF($R43&gt;='設定項目'!$G$6,"優秀",IF($R43&gt;='設定項目'!$G$7,"良好",IF($R43&gt;='設定項目'!$G$8,"要注意","不合格"))))</f>
        <v/>
      </c>
      <c r="T43" s="25" t="n"/>
      <c r="U43" s="25" t="n"/>
      <c r="V43" s="28" t="n"/>
      <c r="W43" s="28" t="n"/>
      <c r="X43" s="25" t="n"/>
      <c r="Y43" s="25" t="n"/>
    </row>
    <row r="44" ht="24" customHeight="1">
      <c r="A44" s="25">
        <f>IF($B44="","","SQ-"&amp;TEXT(ROW()-4,"0000"))</f>
        <v/>
      </c>
      <c r="B44" s="143" t="n"/>
      <c r="C44" s="25" t="n"/>
      <c r="D44" s="25" t="n"/>
      <c r="E44" s="25" t="n"/>
      <c r="F44" s="25" t="n"/>
      <c r="G44" s="25" t="n"/>
      <c r="H44" s="25" t="n"/>
      <c r="I44" s="25" t="n"/>
      <c r="J44" s="25" t="n"/>
      <c r="K44" s="139" t="n"/>
      <c r="L44" s="139" t="n"/>
      <c r="M44" s="139" t="n"/>
      <c r="N44" s="139" t="n"/>
      <c r="O44" s="139" t="n"/>
      <c r="P44" s="139" t="n"/>
      <c r="Q44" s="139" t="n"/>
      <c r="R44" s="142">
        <f>IF(COUNT($K44:$Q44)&lt;7,"",ROUND(($K44*'設定項目'!$C$6+$L44*'設定項目'!$C$7+$M44*'設定項目'!$C$8+$N44*'設定項目'!$C$9+$O44*'設定項目'!$C$10+$P44*'設定項目'!$C$11+$Q44*'設定項目'!$C$12)*20,1))</f>
        <v/>
      </c>
      <c r="S44" s="25">
        <f>IF($R44="","",IF($R44&gt;='設定項目'!$G$6,"優秀",IF($R44&gt;='設定項目'!$G$7,"良好",IF($R44&gt;='設定項目'!$G$8,"要注意","不合格"))))</f>
        <v/>
      </c>
      <c r="T44" s="25" t="n"/>
      <c r="U44" s="25" t="n"/>
      <c r="V44" s="28" t="n"/>
      <c r="W44" s="28" t="n"/>
      <c r="X44" s="25" t="n"/>
      <c r="Y44" s="25" t="n"/>
    </row>
    <row r="45" ht="24" customHeight="1">
      <c r="A45" s="25">
        <f>IF($B45="","","SQ-"&amp;TEXT(ROW()-4,"0000"))</f>
        <v/>
      </c>
      <c r="B45" s="143" t="n"/>
      <c r="C45" s="25" t="n"/>
      <c r="D45" s="25" t="n"/>
      <c r="E45" s="25" t="n"/>
      <c r="F45" s="25" t="n"/>
      <c r="G45" s="25" t="n"/>
      <c r="H45" s="25" t="n"/>
      <c r="I45" s="25" t="n"/>
      <c r="J45" s="25" t="n"/>
      <c r="K45" s="139" t="n"/>
      <c r="L45" s="139" t="n"/>
      <c r="M45" s="139" t="n"/>
      <c r="N45" s="139" t="n"/>
      <c r="O45" s="139" t="n"/>
      <c r="P45" s="139" t="n"/>
      <c r="Q45" s="139" t="n"/>
      <c r="R45" s="142">
        <f>IF(COUNT($K45:$Q45)&lt;7,"",ROUND(($K45*'設定項目'!$C$6+$L45*'設定項目'!$C$7+$M45*'設定項目'!$C$8+$N45*'設定項目'!$C$9+$O45*'設定項目'!$C$10+$P45*'設定項目'!$C$11+$Q45*'設定項目'!$C$12)*20,1))</f>
        <v/>
      </c>
      <c r="S45" s="25">
        <f>IF($R45="","",IF($R45&gt;='設定項目'!$G$6,"優秀",IF($R45&gt;='設定項目'!$G$7,"良好",IF($R45&gt;='設定項目'!$G$8,"要注意","不合格"))))</f>
        <v/>
      </c>
      <c r="T45" s="25" t="n"/>
      <c r="U45" s="25" t="n"/>
      <c r="V45" s="28" t="n"/>
      <c r="W45" s="28" t="n"/>
      <c r="X45" s="25" t="n"/>
      <c r="Y45" s="25" t="n"/>
    </row>
    <row r="46" ht="24" customHeight="1">
      <c r="A46" s="25">
        <f>IF($B46="","","SQ-"&amp;TEXT(ROW()-4,"0000"))</f>
        <v/>
      </c>
      <c r="B46" s="143" t="n"/>
      <c r="C46" s="25" t="n"/>
      <c r="D46" s="25" t="n"/>
      <c r="E46" s="25" t="n"/>
      <c r="F46" s="25" t="n"/>
      <c r="G46" s="25" t="n"/>
      <c r="H46" s="25" t="n"/>
      <c r="I46" s="25" t="n"/>
      <c r="J46" s="25" t="n"/>
      <c r="K46" s="139" t="n"/>
      <c r="L46" s="139" t="n"/>
      <c r="M46" s="139" t="n"/>
      <c r="N46" s="139" t="n"/>
      <c r="O46" s="139" t="n"/>
      <c r="P46" s="139" t="n"/>
      <c r="Q46" s="139" t="n"/>
      <c r="R46" s="142">
        <f>IF(COUNT($K46:$Q46)&lt;7,"",ROUND(($K46*'設定項目'!$C$6+$L46*'設定項目'!$C$7+$M46*'設定項目'!$C$8+$N46*'設定項目'!$C$9+$O46*'設定項目'!$C$10+$P46*'設定項目'!$C$11+$Q46*'設定項目'!$C$12)*20,1))</f>
        <v/>
      </c>
      <c r="S46" s="25">
        <f>IF($R46="","",IF($R46&gt;='設定項目'!$G$6,"優秀",IF($R46&gt;='設定項目'!$G$7,"良好",IF($R46&gt;='設定項目'!$G$8,"要注意","不合格"))))</f>
        <v/>
      </c>
      <c r="T46" s="25" t="n"/>
      <c r="U46" s="25" t="n"/>
      <c r="V46" s="28" t="n"/>
      <c r="W46" s="28" t="n"/>
      <c r="X46" s="25" t="n"/>
      <c r="Y46" s="25" t="n"/>
    </row>
    <row r="47" ht="24" customHeight="1">
      <c r="A47" s="25">
        <f>IF($B47="","","SQ-"&amp;TEXT(ROW()-4,"0000"))</f>
        <v/>
      </c>
      <c r="B47" s="143" t="n"/>
      <c r="C47" s="25" t="n"/>
      <c r="D47" s="25" t="n"/>
      <c r="E47" s="25" t="n"/>
      <c r="F47" s="25" t="n"/>
      <c r="G47" s="25" t="n"/>
      <c r="H47" s="25" t="n"/>
      <c r="I47" s="25" t="n"/>
      <c r="J47" s="25" t="n"/>
      <c r="K47" s="139" t="n"/>
      <c r="L47" s="139" t="n"/>
      <c r="M47" s="139" t="n"/>
      <c r="N47" s="139" t="n"/>
      <c r="O47" s="139" t="n"/>
      <c r="P47" s="139" t="n"/>
      <c r="Q47" s="139" t="n"/>
      <c r="R47" s="142">
        <f>IF(COUNT($K47:$Q47)&lt;7,"",ROUND(($K47*'設定項目'!$C$6+$L47*'設定項目'!$C$7+$M47*'設定項目'!$C$8+$N47*'設定項目'!$C$9+$O47*'設定項目'!$C$10+$P47*'設定項目'!$C$11+$Q47*'設定項目'!$C$12)*20,1))</f>
        <v/>
      </c>
      <c r="S47" s="25">
        <f>IF($R47="","",IF($R47&gt;='設定項目'!$G$6,"優秀",IF($R47&gt;='設定項目'!$G$7,"良好",IF($R47&gt;='設定項目'!$G$8,"要注意","不合格"))))</f>
        <v/>
      </c>
      <c r="T47" s="25" t="n"/>
      <c r="U47" s="25" t="n"/>
      <c r="V47" s="28" t="n"/>
      <c r="W47" s="28" t="n"/>
      <c r="X47" s="25" t="n"/>
      <c r="Y47" s="25" t="n"/>
    </row>
    <row r="48" ht="24" customHeight="1">
      <c r="A48" s="25">
        <f>IF($B48="","","SQ-"&amp;TEXT(ROW()-4,"0000"))</f>
        <v/>
      </c>
      <c r="B48" s="143" t="n"/>
      <c r="C48" s="25" t="n"/>
      <c r="D48" s="25" t="n"/>
      <c r="E48" s="25" t="n"/>
      <c r="F48" s="25" t="n"/>
      <c r="G48" s="25" t="n"/>
      <c r="H48" s="25" t="n"/>
      <c r="I48" s="25" t="n"/>
      <c r="J48" s="25" t="n"/>
      <c r="K48" s="139" t="n"/>
      <c r="L48" s="139" t="n"/>
      <c r="M48" s="139" t="n"/>
      <c r="N48" s="139" t="n"/>
      <c r="O48" s="139" t="n"/>
      <c r="P48" s="139" t="n"/>
      <c r="Q48" s="139" t="n"/>
      <c r="R48" s="142">
        <f>IF(COUNT($K48:$Q48)&lt;7,"",ROUND(($K48*'設定項目'!$C$6+$L48*'設定項目'!$C$7+$M48*'設定項目'!$C$8+$N48*'設定項目'!$C$9+$O48*'設定項目'!$C$10+$P48*'設定項目'!$C$11+$Q48*'設定項目'!$C$12)*20,1))</f>
        <v/>
      </c>
      <c r="S48" s="25">
        <f>IF($R48="","",IF($R48&gt;='設定項目'!$G$6,"優秀",IF($R48&gt;='設定項目'!$G$7,"良好",IF($R48&gt;='設定項目'!$G$8,"要注意","不合格"))))</f>
        <v/>
      </c>
      <c r="T48" s="25" t="n"/>
      <c r="U48" s="25" t="n"/>
      <c r="V48" s="28" t="n"/>
      <c r="W48" s="28" t="n"/>
      <c r="X48" s="25" t="n"/>
      <c r="Y48" s="25" t="n"/>
    </row>
    <row r="49" ht="24" customHeight="1">
      <c r="A49" s="25">
        <f>IF($B49="","","SQ-"&amp;TEXT(ROW()-4,"0000"))</f>
        <v/>
      </c>
      <c r="B49" s="143" t="n"/>
      <c r="C49" s="25" t="n"/>
      <c r="D49" s="25" t="n"/>
      <c r="E49" s="25" t="n"/>
      <c r="F49" s="25" t="n"/>
      <c r="G49" s="25" t="n"/>
      <c r="H49" s="25" t="n"/>
      <c r="I49" s="25" t="n"/>
      <c r="J49" s="25" t="n"/>
      <c r="K49" s="139" t="n"/>
      <c r="L49" s="139" t="n"/>
      <c r="M49" s="139" t="n"/>
      <c r="N49" s="139" t="n"/>
      <c r="O49" s="139" t="n"/>
      <c r="P49" s="139" t="n"/>
      <c r="Q49" s="139" t="n"/>
      <c r="R49" s="142">
        <f>IF(COUNT($K49:$Q49)&lt;7,"",ROUND(($K49*'設定項目'!$C$6+$L49*'設定項目'!$C$7+$M49*'設定項目'!$C$8+$N49*'設定項目'!$C$9+$O49*'設定項目'!$C$10+$P49*'設定項目'!$C$11+$Q49*'設定項目'!$C$12)*20,1))</f>
        <v/>
      </c>
      <c r="S49" s="25">
        <f>IF($R49="","",IF($R49&gt;='設定項目'!$G$6,"優秀",IF($R49&gt;='設定項目'!$G$7,"良好",IF($R49&gt;='設定項目'!$G$8,"要注意","不合格"))))</f>
        <v/>
      </c>
      <c r="T49" s="25" t="n"/>
      <c r="U49" s="25" t="n"/>
      <c r="V49" s="28" t="n"/>
      <c r="W49" s="28" t="n"/>
      <c r="X49" s="25" t="n"/>
      <c r="Y49" s="25" t="n"/>
    </row>
    <row r="50" ht="24" customHeight="1">
      <c r="A50" s="25">
        <f>IF($B50="","","SQ-"&amp;TEXT(ROW()-4,"0000"))</f>
        <v/>
      </c>
      <c r="B50" s="143" t="n"/>
      <c r="C50" s="25" t="n"/>
      <c r="D50" s="25" t="n"/>
      <c r="E50" s="25" t="n"/>
      <c r="F50" s="25" t="n"/>
      <c r="G50" s="25" t="n"/>
      <c r="H50" s="25" t="n"/>
      <c r="I50" s="25" t="n"/>
      <c r="J50" s="25" t="n"/>
      <c r="K50" s="139" t="n"/>
      <c r="L50" s="139" t="n"/>
      <c r="M50" s="139" t="n"/>
      <c r="N50" s="139" t="n"/>
      <c r="O50" s="139" t="n"/>
      <c r="P50" s="139" t="n"/>
      <c r="Q50" s="139" t="n"/>
      <c r="R50" s="142">
        <f>IF(COUNT($K50:$Q50)&lt;7,"",ROUND(($K50*'設定項目'!$C$6+$L50*'設定項目'!$C$7+$M50*'設定項目'!$C$8+$N50*'設定項目'!$C$9+$O50*'設定項目'!$C$10+$P50*'設定項目'!$C$11+$Q50*'設定項目'!$C$12)*20,1))</f>
        <v/>
      </c>
      <c r="S50" s="25">
        <f>IF($R50="","",IF($R50&gt;='設定項目'!$G$6,"優秀",IF($R50&gt;='設定項目'!$G$7,"良好",IF($R50&gt;='設定項目'!$G$8,"要注意","不合格"))))</f>
        <v/>
      </c>
      <c r="T50" s="25" t="n"/>
      <c r="U50" s="25" t="n"/>
      <c r="V50" s="28" t="n"/>
      <c r="W50" s="28" t="n"/>
      <c r="X50" s="25" t="n"/>
      <c r="Y50" s="25" t="n"/>
    </row>
    <row r="51" ht="24" customHeight="1">
      <c r="A51" s="25">
        <f>IF($B51="","","SQ-"&amp;TEXT(ROW()-4,"0000"))</f>
        <v/>
      </c>
      <c r="B51" s="143" t="n"/>
      <c r="C51" s="25" t="n"/>
      <c r="D51" s="25" t="n"/>
      <c r="E51" s="25" t="n"/>
      <c r="F51" s="25" t="n"/>
      <c r="G51" s="25" t="n"/>
      <c r="H51" s="25" t="n"/>
      <c r="I51" s="25" t="n"/>
      <c r="J51" s="25" t="n"/>
      <c r="K51" s="139" t="n"/>
      <c r="L51" s="139" t="n"/>
      <c r="M51" s="139" t="n"/>
      <c r="N51" s="139" t="n"/>
      <c r="O51" s="139" t="n"/>
      <c r="P51" s="139" t="n"/>
      <c r="Q51" s="139" t="n"/>
      <c r="R51" s="142">
        <f>IF(COUNT($K51:$Q51)&lt;7,"",ROUND(($K51*'設定項目'!$C$6+$L51*'設定項目'!$C$7+$M51*'設定項目'!$C$8+$N51*'設定項目'!$C$9+$O51*'設定項目'!$C$10+$P51*'設定項目'!$C$11+$Q51*'設定項目'!$C$12)*20,1))</f>
        <v/>
      </c>
      <c r="S51" s="25">
        <f>IF($R51="","",IF($R51&gt;='設定項目'!$G$6,"優秀",IF($R51&gt;='設定項目'!$G$7,"良好",IF($R51&gt;='設定項目'!$G$8,"要注意","不合格"))))</f>
        <v/>
      </c>
      <c r="T51" s="25" t="n"/>
      <c r="U51" s="25" t="n"/>
      <c r="V51" s="28" t="n"/>
      <c r="W51" s="28" t="n"/>
      <c r="X51" s="25" t="n"/>
      <c r="Y51" s="25" t="n"/>
    </row>
    <row r="52" ht="24" customHeight="1">
      <c r="A52" s="25">
        <f>IF($B52="","","SQ-"&amp;TEXT(ROW()-4,"0000"))</f>
        <v/>
      </c>
      <c r="B52" s="143" t="n"/>
      <c r="C52" s="25" t="n"/>
      <c r="D52" s="25" t="n"/>
      <c r="E52" s="25" t="n"/>
      <c r="F52" s="25" t="n"/>
      <c r="G52" s="25" t="n"/>
      <c r="H52" s="25" t="n"/>
      <c r="I52" s="25" t="n"/>
      <c r="J52" s="25" t="n"/>
      <c r="K52" s="139" t="n"/>
      <c r="L52" s="139" t="n"/>
      <c r="M52" s="139" t="n"/>
      <c r="N52" s="139" t="n"/>
      <c r="O52" s="139" t="n"/>
      <c r="P52" s="139" t="n"/>
      <c r="Q52" s="139" t="n"/>
      <c r="R52" s="142">
        <f>IF(COUNT($K52:$Q52)&lt;7,"",ROUND(($K52*'設定項目'!$C$6+$L52*'設定項目'!$C$7+$M52*'設定項目'!$C$8+$N52*'設定項目'!$C$9+$O52*'設定項目'!$C$10+$P52*'設定項目'!$C$11+$Q52*'設定項目'!$C$12)*20,1))</f>
        <v/>
      </c>
      <c r="S52" s="25">
        <f>IF($R52="","",IF($R52&gt;='設定項目'!$G$6,"優秀",IF($R52&gt;='設定項目'!$G$7,"良好",IF($R52&gt;='設定項目'!$G$8,"要注意","不合格"))))</f>
        <v/>
      </c>
      <c r="T52" s="25" t="n"/>
      <c r="U52" s="25" t="n"/>
      <c r="V52" s="28" t="n"/>
      <c r="W52" s="28" t="n"/>
      <c r="X52" s="25" t="n"/>
      <c r="Y52" s="25" t="n"/>
    </row>
    <row r="53" ht="24" customHeight="1">
      <c r="A53" s="25">
        <f>IF($B53="","","SQ-"&amp;TEXT(ROW()-4,"0000"))</f>
        <v/>
      </c>
      <c r="B53" s="143" t="n"/>
      <c r="C53" s="25" t="n"/>
      <c r="D53" s="25" t="n"/>
      <c r="E53" s="25" t="n"/>
      <c r="F53" s="25" t="n"/>
      <c r="G53" s="25" t="n"/>
      <c r="H53" s="25" t="n"/>
      <c r="I53" s="25" t="n"/>
      <c r="J53" s="25" t="n"/>
      <c r="K53" s="139" t="n"/>
      <c r="L53" s="139" t="n"/>
      <c r="M53" s="139" t="n"/>
      <c r="N53" s="139" t="n"/>
      <c r="O53" s="139" t="n"/>
      <c r="P53" s="139" t="n"/>
      <c r="Q53" s="139" t="n"/>
      <c r="R53" s="142">
        <f>IF(COUNT($K53:$Q53)&lt;7,"",ROUND(($K53*'設定項目'!$C$6+$L53*'設定項目'!$C$7+$M53*'設定項目'!$C$8+$N53*'設定項目'!$C$9+$O53*'設定項目'!$C$10+$P53*'設定項目'!$C$11+$Q53*'設定項目'!$C$12)*20,1))</f>
        <v/>
      </c>
      <c r="S53" s="25">
        <f>IF($R53="","",IF($R53&gt;='設定項目'!$G$6,"優秀",IF($R53&gt;='設定項目'!$G$7,"良好",IF($R53&gt;='設定項目'!$G$8,"要注意","不合格"))))</f>
        <v/>
      </c>
      <c r="T53" s="25" t="n"/>
      <c r="U53" s="25" t="n"/>
      <c r="V53" s="28" t="n"/>
      <c r="W53" s="28" t="n"/>
      <c r="X53" s="25" t="n"/>
      <c r="Y53" s="25" t="n"/>
    </row>
    <row r="54" ht="24" customHeight="1">
      <c r="A54" s="25">
        <f>IF($B54="","","SQ-"&amp;TEXT(ROW()-4,"0000"))</f>
        <v/>
      </c>
      <c r="B54" s="143" t="n"/>
      <c r="C54" s="25" t="n"/>
      <c r="D54" s="25" t="n"/>
      <c r="E54" s="25" t="n"/>
      <c r="F54" s="25" t="n"/>
      <c r="G54" s="25" t="n"/>
      <c r="H54" s="25" t="n"/>
      <c r="I54" s="25" t="n"/>
      <c r="J54" s="25" t="n"/>
      <c r="K54" s="139" t="n"/>
      <c r="L54" s="139" t="n"/>
      <c r="M54" s="139" t="n"/>
      <c r="N54" s="139" t="n"/>
      <c r="O54" s="139" t="n"/>
      <c r="P54" s="139" t="n"/>
      <c r="Q54" s="139" t="n"/>
      <c r="R54" s="142">
        <f>IF(COUNT($K54:$Q54)&lt;7,"",ROUND(($K54*'設定項目'!$C$6+$L54*'設定項目'!$C$7+$M54*'設定項目'!$C$8+$N54*'設定項目'!$C$9+$O54*'設定項目'!$C$10+$P54*'設定項目'!$C$11+$Q54*'設定項目'!$C$12)*20,1))</f>
        <v/>
      </c>
      <c r="S54" s="25">
        <f>IF($R54="","",IF($R54&gt;='設定項目'!$G$6,"優秀",IF($R54&gt;='設定項目'!$G$7,"良好",IF($R54&gt;='設定項目'!$G$8,"要注意","不合格"))))</f>
        <v/>
      </c>
      <c r="T54" s="25" t="n"/>
      <c r="U54" s="25" t="n"/>
      <c r="V54" s="28" t="n"/>
      <c r="W54" s="28" t="n"/>
      <c r="X54" s="25" t="n"/>
      <c r="Y54" s="25" t="n"/>
    </row>
    <row r="55" ht="24" customHeight="1">
      <c r="A55" s="25">
        <f>IF($B55="","","SQ-"&amp;TEXT(ROW()-4,"0000"))</f>
        <v/>
      </c>
      <c r="B55" s="143" t="n"/>
      <c r="C55" s="25" t="n"/>
      <c r="D55" s="25" t="n"/>
      <c r="E55" s="25" t="n"/>
      <c r="F55" s="25" t="n"/>
      <c r="G55" s="25" t="n"/>
      <c r="H55" s="25" t="n"/>
      <c r="I55" s="25" t="n"/>
      <c r="J55" s="25" t="n"/>
      <c r="K55" s="139" t="n"/>
      <c r="L55" s="139" t="n"/>
      <c r="M55" s="139" t="n"/>
      <c r="N55" s="139" t="n"/>
      <c r="O55" s="139" t="n"/>
      <c r="P55" s="139" t="n"/>
      <c r="Q55" s="139" t="n"/>
      <c r="R55" s="142">
        <f>IF(COUNT($K55:$Q55)&lt;7,"",ROUND(($K55*'設定項目'!$C$6+$L55*'設定項目'!$C$7+$M55*'設定項目'!$C$8+$N55*'設定項目'!$C$9+$O55*'設定項目'!$C$10+$P55*'設定項目'!$C$11+$Q55*'設定項目'!$C$12)*20,1))</f>
        <v/>
      </c>
      <c r="S55" s="25">
        <f>IF($R55="","",IF($R55&gt;='設定項目'!$G$6,"優秀",IF($R55&gt;='設定項目'!$G$7,"良好",IF($R55&gt;='設定項目'!$G$8,"要注意","不合格"))))</f>
        <v/>
      </c>
      <c r="T55" s="25" t="n"/>
      <c r="U55" s="25" t="n"/>
      <c r="V55" s="28" t="n"/>
      <c r="W55" s="28" t="n"/>
      <c r="X55" s="25" t="n"/>
      <c r="Y55" s="25" t="n"/>
    </row>
    <row r="56" ht="24" customHeight="1">
      <c r="A56" s="25">
        <f>IF($B56="","","SQ-"&amp;TEXT(ROW()-4,"0000"))</f>
        <v/>
      </c>
      <c r="B56" s="143" t="n"/>
      <c r="C56" s="25" t="n"/>
      <c r="D56" s="25" t="n"/>
      <c r="E56" s="25" t="n"/>
      <c r="F56" s="25" t="n"/>
      <c r="G56" s="25" t="n"/>
      <c r="H56" s="25" t="n"/>
      <c r="I56" s="25" t="n"/>
      <c r="J56" s="25" t="n"/>
      <c r="K56" s="139" t="n"/>
      <c r="L56" s="139" t="n"/>
      <c r="M56" s="139" t="n"/>
      <c r="N56" s="139" t="n"/>
      <c r="O56" s="139" t="n"/>
      <c r="P56" s="139" t="n"/>
      <c r="Q56" s="139" t="n"/>
      <c r="R56" s="142">
        <f>IF(COUNT($K56:$Q56)&lt;7,"",ROUND(($K56*'設定項目'!$C$6+$L56*'設定項目'!$C$7+$M56*'設定項目'!$C$8+$N56*'設定項目'!$C$9+$O56*'設定項目'!$C$10+$P56*'設定項目'!$C$11+$Q56*'設定項目'!$C$12)*20,1))</f>
        <v/>
      </c>
      <c r="S56" s="25">
        <f>IF($R56="","",IF($R56&gt;='設定項目'!$G$6,"優秀",IF($R56&gt;='設定項目'!$G$7,"良好",IF($R56&gt;='設定項目'!$G$8,"要注意","不合格"))))</f>
        <v/>
      </c>
      <c r="T56" s="25" t="n"/>
      <c r="U56" s="25" t="n"/>
      <c r="V56" s="28" t="n"/>
      <c r="W56" s="28" t="n"/>
      <c r="X56" s="25" t="n"/>
      <c r="Y56" s="25" t="n"/>
    </row>
    <row r="57" ht="24" customHeight="1">
      <c r="A57" s="25">
        <f>IF($B57="","","SQ-"&amp;TEXT(ROW()-4,"0000"))</f>
        <v/>
      </c>
      <c r="B57" s="143" t="n"/>
      <c r="C57" s="25" t="n"/>
      <c r="D57" s="25" t="n"/>
      <c r="E57" s="25" t="n"/>
      <c r="F57" s="25" t="n"/>
      <c r="G57" s="25" t="n"/>
      <c r="H57" s="25" t="n"/>
      <c r="I57" s="25" t="n"/>
      <c r="J57" s="25" t="n"/>
      <c r="K57" s="139" t="n"/>
      <c r="L57" s="139" t="n"/>
      <c r="M57" s="139" t="n"/>
      <c r="N57" s="139" t="n"/>
      <c r="O57" s="139" t="n"/>
      <c r="P57" s="139" t="n"/>
      <c r="Q57" s="139" t="n"/>
      <c r="R57" s="142">
        <f>IF(COUNT($K57:$Q57)&lt;7,"",ROUND(($K57*'設定項目'!$C$6+$L57*'設定項目'!$C$7+$M57*'設定項目'!$C$8+$N57*'設定項目'!$C$9+$O57*'設定項目'!$C$10+$P57*'設定項目'!$C$11+$Q57*'設定項目'!$C$12)*20,1))</f>
        <v/>
      </c>
      <c r="S57" s="25">
        <f>IF($R57="","",IF($R57&gt;='設定項目'!$G$6,"優秀",IF($R57&gt;='設定項目'!$G$7,"良好",IF($R57&gt;='設定項目'!$G$8,"要注意","不合格"))))</f>
        <v/>
      </c>
      <c r="T57" s="25" t="n"/>
      <c r="U57" s="25" t="n"/>
      <c r="V57" s="28" t="n"/>
      <c r="W57" s="28" t="n"/>
      <c r="X57" s="25" t="n"/>
      <c r="Y57" s="25" t="n"/>
    </row>
    <row r="58" ht="24" customHeight="1">
      <c r="A58" s="25">
        <f>IF($B58="","","SQ-"&amp;TEXT(ROW()-4,"0000"))</f>
        <v/>
      </c>
      <c r="B58" s="143" t="n"/>
      <c r="C58" s="25" t="n"/>
      <c r="D58" s="25" t="n"/>
      <c r="E58" s="25" t="n"/>
      <c r="F58" s="25" t="n"/>
      <c r="G58" s="25" t="n"/>
      <c r="H58" s="25" t="n"/>
      <c r="I58" s="25" t="n"/>
      <c r="J58" s="25" t="n"/>
      <c r="K58" s="139" t="n"/>
      <c r="L58" s="139" t="n"/>
      <c r="M58" s="139" t="n"/>
      <c r="N58" s="139" t="n"/>
      <c r="O58" s="139" t="n"/>
      <c r="P58" s="139" t="n"/>
      <c r="Q58" s="139" t="n"/>
      <c r="R58" s="142">
        <f>IF(COUNT($K58:$Q58)&lt;7,"",ROUND(($K58*'設定項目'!$C$6+$L58*'設定項目'!$C$7+$M58*'設定項目'!$C$8+$N58*'設定項目'!$C$9+$O58*'設定項目'!$C$10+$P58*'設定項目'!$C$11+$Q58*'設定項目'!$C$12)*20,1))</f>
        <v/>
      </c>
      <c r="S58" s="25">
        <f>IF($R58="","",IF($R58&gt;='設定項目'!$G$6,"優秀",IF($R58&gt;='設定項目'!$G$7,"良好",IF($R58&gt;='設定項目'!$G$8,"要注意","不合格"))))</f>
        <v/>
      </c>
      <c r="T58" s="25" t="n"/>
      <c r="U58" s="25" t="n"/>
      <c r="V58" s="28" t="n"/>
      <c r="W58" s="28" t="n"/>
      <c r="X58" s="25" t="n"/>
      <c r="Y58" s="25" t="n"/>
    </row>
    <row r="59" ht="24" customHeight="1">
      <c r="A59" s="25">
        <f>IF($B59="","","SQ-"&amp;TEXT(ROW()-4,"0000"))</f>
        <v/>
      </c>
      <c r="B59" s="143" t="n"/>
      <c r="C59" s="25" t="n"/>
      <c r="D59" s="25" t="n"/>
      <c r="E59" s="25" t="n"/>
      <c r="F59" s="25" t="n"/>
      <c r="G59" s="25" t="n"/>
      <c r="H59" s="25" t="n"/>
      <c r="I59" s="25" t="n"/>
      <c r="J59" s="25" t="n"/>
      <c r="K59" s="139" t="n"/>
      <c r="L59" s="139" t="n"/>
      <c r="M59" s="139" t="n"/>
      <c r="N59" s="139" t="n"/>
      <c r="O59" s="139" t="n"/>
      <c r="P59" s="139" t="n"/>
      <c r="Q59" s="139" t="n"/>
      <c r="R59" s="142">
        <f>IF(COUNT($K59:$Q59)&lt;7,"",ROUND(($K59*'設定項目'!$C$6+$L59*'設定項目'!$C$7+$M59*'設定項目'!$C$8+$N59*'設定項目'!$C$9+$O59*'設定項目'!$C$10+$P59*'設定項目'!$C$11+$Q59*'設定項目'!$C$12)*20,1))</f>
        <v/>
      </c>
      <c r="S59" s="25">
        <f>IF($R59="","",IF($R59&gt;='設定項目'!$G$6,"優秀",IF($R59&gt;='設定項目'!$G$7,"良好",IF($R59&gt;='設定項目'!$G$8,"要注意","不合格"))))</f>
        <v/>
      </c>
      <c r="T59" s="25" t="n"/>
      <c r="U59" s="25" t="n"/>
      <c r="V59" s="28" t="n"/>
      <c r="W59" s="28" t="n"/>
      <c r="X59" s="25" t="n"/>
      <c r="Y59" s="25" t="n"/>
    </row>
    <row r="60" ht="24" customHeight="1">
      <c r="A60" s="25">
        <f>IF($B60="","","SQ-"&amp;TEXT(ROW()-4,"0000"))</f>
        <v/>
      </c>
      <c r="B60" s="143" t="n"/>
      <c r="C60" s="25" t="n"/>
      <c r="D60" s="25" t="n"/>
      <c r="E60" s="25" t="n"/>
      <c r="F60" s="25" t="n"/>
      <c r="G60" s="25" t="n"/>
      <c r="H60" s="25" t="n"/>
      <c r="I60" s="25" t="n"/>
      <c r="J60" s="25" t="n"/>
      <c r="K60" s="139" t="n"/>
      <c r="L60" s="139" t="n"/>
      <c r="M60" s="139" t="n"/>
      <c r="N60" s="139" t="n"/>
      <c r="O60" s="139" t="n"/>
      <c r="P60" s="139" t="n"/>
      <c r="Q60" s="139" t="n"/>
      <c r="R60" s="142">
        <f>IF(COUNT($K60:$Q60)&lt;7,"",ROUND(($K60*'設定項目'!$C$6+$L60*'設定項目'!$C$7+$M60*'設定項目'!$C$8+$N60*'設定項目'!$C$9+$O60*'設定項目'!$C$10+$P60*'設定項目'!$C$11+$Q60*'設定項目'!$C$12)*20,1))</f>
        <v/>
      </c>
      <c r="S60" s="25">
        <f>IF($R60="","",IF($R60&gt;='設定項目'!$G$6,"優秀",IF($R60&gt;='設定項目'!$G$7,"良好",IF($R60&gt;='設定項目'!$G$8,"要注意","不合格"))))</f>
        <v/>
      </c>
      <c r="T60" s="25" t="n"/>
      <c r="U60" s="25" t="n"/>
      <c r="V60" s="28" t="n"/>
      <c r="W60" s="28" t="n"/>
      <c r="X60" s="25" t="n"/>
      <c r="Y60" s="25" t="n"/>
    </row>
    <row r="61" ht="24" customHeight="1">
      <c r="A61" s="25">
        <f>IF($B61="","","SQ-"&amp;TEXT(ROW()-4,"0000"))</f>
        <v/>
      </c>
      <c r="B61" s="143" t="n"/>
      <c r="C61" s="25" t="n"/>
      <c r="D61" s="25" t="n"/>
      <c r="E61" s="25" t="n"/>
      <c r="F61" s="25" t="n"/>
      <c r="G61" s="25" t="n"/>
      <c r="H61" s="25" t="n"/>
      <c r="I61" s="25" t="n"/>
      <c r="J61" s="25" t="n"/>
      <c r="K61" s="139" t="n"/>
      <c r="L61" s="139" t="n"/>
      <c r="M61" s="139" t="n"/>
      <c r="N61" s="139" t="n"/>
      <c r="O61" s="139" t="n"/>
      <c r="P61" s="139" t="n"/>
      <c r="Q61" s="139" t="n"/>
      <c r="R61" s="142">
        <f>IF(COUNT($K61:$Q61)&lt;7,"",ROUND(($K61*'設定項目'!$C$6+$L61*'設定項目'!$C$7+$M61*'設定項目'!$C$8+$N61*'設定項目'!$C$9+$O61*'設定項目'!$C$10+$P61*'設定項目'!$C$11+$Q61*'設定項目'!$C$12)*20,1))</f>
        <v/>
      </c>
      <c r="S61" s="25">
        <f>IF($R61="","",IF($R61&gt;='設定項目'!$G$6,"優秀",IF($R61&gt;='設定項目'!$G$7,"良好",IF($R61&gt;='設定項目'!$G$8,"要注意","不合格"))))</f>
        <v/>
      </c>
      <c r="T61" s="25" t="n"/>
      <c r="U61" s="25" t="n"/>
      <c r="V61" s="28" t="n"/>
      <c r="W61" s="28" t="n"/>
      <c r="X61" s="25" t="n"/>
      <c r="Y61" s="25" t="n"/>
    </row>
    <row r="62" ht="24" customHeight="1">
      <c r="A62" s="25">
        <f>IF($B62="","","SQ-"&amp;TEXT(ROW()-4,"0000"))</f>
        <v/>
      </c>
      <c r="B62" s="143" t="n"/>
      <c r="C62" s="25" t="n"/>
      <c r="D62" s="25" t="n"/>
      <c r="E62" s="25" t="n"/>
      <c r="F62" s="25" t="n"/>
      <c r="G62" s="25" t="n"/>
      <c r="H62" s="25" t="n"/>
      <c r="I62" s="25" t="n"/>
      <c r="J62" s="25" t="n"/>
      <c r="K62" s="139" t="n"/>
      <c r="L62" s="139" t="n"/>
      <c r="M62" s="139" t="n"/>
      <c r="N62" s="139" t="n"/>
      <c r="O62" s="139" t="n"/>
      <c r="P62" s="139" t="n"/>
      <c r="Q62" s="139" t="n"/>
      <c r="R62" s="142">
        <f>IF(COUNT($K62:$Q62)&lt;7,"",ROUND(($K62*'設定項目'!$C$6+$L62*'設定項目'!$C$7+$M62*'設定項目'!$C$8+$N62*'設定項目'!$C$9+$O62*'設定項目'!$C$10+$P62*'設定項目'!$C$11+$Q62*'設定項目'!$C$12)*20,1))</f>
        <v/>
      </c>
      <c r="S62" s="25">
        <f>IF($R62="","",IF($R62&gt;='設定項目'!$G$6,"優秀",IF($R62&gt;='設定項目'!$G$7,"良好",IF($R62&gt;='設定項目'!$G$8,"要注意","不合格"))))</f>
        <v/>
      </c>
      <c r="T62" s="25" t="n"/>
      <c r="U62" s="25" t="n"/>
      <c r="V62" s="28" t="n"/>
      <c r="W62" s="28" t="n"/>
      <c r="X62" s="25" t="n"/>
      <c r="Y62" s="25" t="n"/>
    </row>
    <row r="63" ht="24" customHeight="1">
      <c r="A63" s="25">
        <f>IF($B63="","","SQ-"&amp;TEXT(ROW()-4,"0000"))</f>
        <v/>
      </c>
      <c r="B63" s="143" t="n"/>
      <c r="C63" s="25" t="n"/>
      <c r="D63" s="25" t="n"/>
      <c r="E63" s="25" t="n"/>
      <c r="F63" s="25" t="n"/>
      <c r="G63" s="25" t="n"/>
      <c r="H63" s="25" t="n"/>
      <c r="I63" s="25" t="n"/>
      <c r="J63" s="25" t="n"/>
      <c r="K63" s="139" t="n"/>
      <c r="L63" s="139" t="n"/>
      <c r="M63" s="139" t="n"/>
      <c r="N63" s="139" t="n"/>
      <c r="O63" s="139" t="n"/>
      <c r="P63" s="139" t="n"/>
      <c r="Q63" s="139" t="n"/>
      <c r="R63" s="142">
        <f>IF(COUNT($K63:$Q63)&lt;7,"",ROUND(($K63*'設定項目'!$C$6+$L63*'設定項目'!$C$7+$M63*'設定項目'!$C$8+$N63*'設定項目'!$C$9+$O63*'設定項目'!$C$10+$P63*'設定項目'!$C$11+$Q63*'設定項目'!$C$12)*20,1))</f>
        <v/>
      </c>
      <c r="S63" s="25">
        <f>IF($R63="","",IF($R63&gt;='設定項目'!$G$6,"優秀",IF($R63&gt;='設定項目'!$G$7,"良好",IF($R63&gt;='設定項目'!$G$8,"要注意","不合格"))))</f>
        <v/>
      </c>
      <c r="T63" s="25" t="n"/>
      <c r="U63" s="25" t="n"/>
      <c r="V63" s="28" t="n"/>
      <c r="W63" s="28" t="n"/>
      <c r="X63" s="25" t="n"/>
      <c r="Y63" s="25" t="n"/>
    </row>
    <row r="64" ht="24" customHeight="1">
      <c r="A64" s="25">
        <f>IF($B64="","","SQ-"&amp;TEXT(ROW()-4,"0000"))</f>
        <v/>
      </c>
      <c r="B64" s="143" t="n"/>
      <c r="C64" s="25" t="n"/>
      <c r="D64" s="25" t="n"/>
      <c r="E64" s="25" t="n"/>
      <c r="F64" s="25" t="n"/>
      <c r="G64" s="25" t="n"/>
      <c r="H64" s="25" t="n"/>
      <c r="I64" s="25" t="n"/>
      <c r="J64" s="25" t="n"/>
      <c r="K64" s="139" t="n"/>
      <c r="L64" s="139" t="n"/>
      <c r="M64" s="139" t="n"/>
      <c r="N64" s="139" t="n"/>
      <c r="O64" s="139" t="n"/>
      <c r="P64" s="139" t="n"/>
      <c r="Q64" s="139" t="n"/>
      <c r="R64" s="142">
        <f>IF(COUNT($K64:$Q64)&lt;7,"",ROUND(($K64*'設定項目'!$C$6+$L64*'設定項目'!$C$7+$M64*'設定項目'!$C$8+$N64*'設定項目'!$C$9+$O64*'設定項目'!$C$10+$P64*'設定項目'!$C$11+$Q64*'設定項目'!$C$12)*20,1))</f>
        <v/>
      </c>
      <c r="S64" s="25">
        <f>IF($R64="","",IF($R64&gt;='設定項目'!$G$6,"優秀",IF($R64&gt;='設定項目'!$G$7,"良好",IF($R64&gt;='設定項目'!$G$8,"要注意","不合格"))))</f>
        <v/>
      </c>
      <c r="T64" s="25" t="n"/>
      <c r="U64" s="25" t="n"/>
      <c r="V64" s="28" t="n"/>
      <c r="W64" s="28" t="n"/>
      <c r="X64" s="25" t="n"/>
      <c r="Y64" s="25" t="n"/>
    </row>
    <row r="65" ht="24" customHeight="1">
      <c r="A65" s="25">
        <f>IF($B65="","","SQ-"&amp;TEXT(ROW()-4,"0000"))</f>
        <v/>
      </c>
      <c r="B65" s="143" t="n"/>
      <c r="C65" s="25" t="n"/>
      <c r="D65" s="25" t="n"/>
      <c r="E65" s="25" t="n"/>
      <c r="F65" s="25" t="n"/>
      <c r="G65" s="25" t="n"/>
      <c r="H65" s="25" t="n"/>
      <c r="I65" s="25" t="n"/>
      <c r="J65" s="25" t="n"/>
      <c r="K65" s="139" t="n"/>
      <c r="L65" s="139" t="n"/>
      <c r="M65" s="139" t="n"/>
      <c r="N65" s="139" t="n"/>
      <c r="O65" s="139" t="n"/>
      <c r="P65" s="139" t="n"/>
      <c r="Q65" s="139" t="n"/>
      <c r="R65" s="142">
        <f>IF(COUNT($K65:$Q65)&lt;7,"",ROUND(($K65*'設定項目'!$C$6+$L65*'設定項目'!$C$7+$M65*'設定項目'!$C$8+$N65*'設定項目'!$C$9+$O65*'設定項目'!$C$10+$P65*'設定項目'!$C$11+$Q65*'設定項目'!$C$12)*20,1))</f>
        <v/>
      </c>
      <c r="S65" s="25">
        <f>IF($R65="","",IF($R65&gt;='設定項目'!$G$6,"優秀",IF($R65&gt;='設定項目'!$G$7,"良好",IF($R65&gt;='設定項目'!$G$8,"要注意","不合格"))))</f>
        <v/>
      </c>
      <c r="T65" s="25" t="n"/>
      <c r="U65" s="25" t="n"/>
      <c r="V65" s="28" t="n"/>
      <c r="W65" s="28" t="n"/>
      <c r="X65" s="25" t="n"/>
      <c r="Y65" s="25" t="n"/>
    </row>
    <row r="66" ht="24" customHeight="1">
      <c r="A66" s="25">
        <f>IF($B66="","","SQ-"&amp;TEXT(ROW()-4,"0000"))</f>
        <v/>
      </c>
      <c r="B66" s="143" t="n"/>
      <c r="C66" s="25" t="n"/>
      <c r="D66" s="25" t="n"/>
      <c r="E66" s="25" t="n"/>
      <c r="F66" s="25" t="n"/>
      <c r="G66" s="25" t="n"/>
      <c r="H66" s="25" t="n"/>
      <c r="I66" s="25" t="n"/>
      <c r="J66" s="25" t="n"/>
      <c r="K66" s="139" t="n"/>
      <c r="L66" s="139" t="n"/>
      <c r="M66" s="139" t="n"/>
      <c r="N66" s="139" t="n"/>
      <c r="O66" s="139" t="n"/>
      <c r="P66" s="139" t="n"/>
      <c r="Q66" s="139" t="n"/>
      <c r="R66" s="142">
        <f>IF(COUNT($K66:$Q66)&lt;7,"",ROUND(($K66*'設定項目'!$C$6+$L66*'設定項目'!$C$7+$M66*'設定項目'!$C$8+$N66*'設定項目'!$C$9+$O66*'設定項目'!$C$10+$P66*'設定項目'!$C$11+$Q66*'設定項目'!$C$12)*20,1))</f>
        <v/>
      </c>
      <c r="S66" s="25">
        <f>IF($R66="","",IF($R66&gt;='設定項目'!$G$6,"優秀",IF($R66&gt;='設定項目'!$G$7,"良好",IF($R66&gt;='設定項目'!$G$8,"要注意","不合格"))))</f>
        <v/>
      </c>
      <c r="T66" s="25" t="n"/>
      <c r="U66" s="25" t="n"/>
      <c r="V66" s="28" t="n"/>
      <c r="W66" s="28" t="n"/>
      <c r="X66" s="25" t="n"/>
      <c r="Y66" s="25" t="n"/>
    </row>
    <row r="67" ht="24" customHeight="1">
      <c r="A67" s="25">
        <f>IF($B67="","","SQ-"&amp;TEXT(ROW()-4,"0000"))</f>
        <v/>
      </c>
      <c r="B67" s="143" t="n"/>
      <c r="C67" s="25" t="n"/>
      <c r="D67" s="25" t="n"/>
      <c r="E67" s="25" t="n"/>
      <c r="F67" s="25" t="n"/>
      <c r="G67" s="25" t="n"/>
      <c r="H67" s="25" t="n"/>
      <c r="I67" s="25" t="n"/>
      <c r="J67" s="25" t="n"/>
      <c r="K67" s="139" t="n"/>
      <c r="L67" s="139" t="n"/>
      <c r="M67" s="139" t="n"/>
      <c r="N67" s="139" t="n"/>
      <c r="O67" s="139" t="n"/>
      <c r="P67" s="139" t="n"/>
      <c r="Q67" s="139" t="n"/>
      <c r="R67" s="142">
        <f>IF(COUNT($K67:$Q67)&lt;7,"",ROUND(($K67*'設定項目'!$C$6+$L67*'設定項目'!$C$7+$M67*'設定項目'!$C$8+$N67*'設定項目'!$C$9+$O67*'設定項目'!$C$10+$P67*'設定項目'!$C$11+$Q67*'設定項目'!$C$12)*20,1))</f>
        <v/>
      </c>
      <c r="S67" s="25">
        <f>IF($R67="","",IF($R67&gt;='設定項目'!$G$6,"優秀",IF($R67&gt;='設定項目'!$G$7,"良好",IF($R67&gt;='設定項目'!$G$8,"要注意","不合格"))))</f>
        <v/>
      </c>
      <c r="T67" s="25" t="n"/>
      <c r="U67" s="25" t="n"/>
      <c r="V67" s="28" t="n"/>
      <c r="W67" s="28" t="n"/>
      <c r="X67" s="25" t="n"/>
      <c r="Y67" s="25" t="n"/>
    </row>
    <row r="68" ht="24" customHeight="1">
      <c r="A68" s="25">
        <f>IF($B68="","","SQ-"&amp;TEXT(ROW()-4,"0000"))</f>
        <v/>
      </c>
      <c r="B68" s="143" t="n"/>
      <c r="C68" s="25" t="n"/>
      <c r="D68" s="25" t="n"/>
      <c r="E68" s="25" t="n"/>
      <c r="F68" s="25" t="n"/>
      <c r="G68" s="25" t="n"/>
      <c r="H68" s="25" t="n"/>
      <c r="I68" s="25" t="n"/>
      <c r="J68" s="25" t="n"/>
      <c r="K68" s="139" t="n"/>
      <c r="L68" s="139" t="n"/>
      <c r="M68" s="139" t="n"/>
      <c r="N68" s="139" t="n"/>
      <c r="O68" s="139" t="n"/>
      <c r="P68" s="139" t="n"/>
      <c r="Q68" s="139" t="n"/>
      <c r="R68" s="142">
        <f>IF(COUNT($K68:$Q68)&lt;7,"",ROUND(($K68*'設定項目'!$C$6+$L68*'設定項目'!$C$7+$M68*'設定項目'!$C$8+$N68*'設定項目'!$C$9+$O68*'設定項目'!$C$10+$P68*'設定項目'!$C$11+$Q68*'設定項目'!$C$12)*20,1))</f>
        <v/>
      </c>
      <c r="S68" s="25">
        <f>IF($R68="","",IF($R68&gt;='設定項目'!$G$6,"優秀",IF($R68&gt;='設定項目'!$G$7,"良好",IF($R68&gt;='設定項目'!$G$8,"要注意","不合格"))))</f>
        <v/>
      </c>
      <c r="T68" s="25" t="n"/>
      <c r="U68" s="25" t="n"/>
      <c r="V68" s="28" t="n"/>
      <c r="W68" s="28" t="n"/>
      <c r="X68" s="25" t="n"/>
      <c r="Y68" s="25" t="n"/>
    </row>
    <row r="69" ht="24" customHeight="1">
      <c r="A69" s="25">
        <f>IF($B69="","","SQ-"&amp;TEXT(ROW()-4,"0000"))</f>
        <v/>
      </c>
      <c r="B69" s="143" t="n"/>
      <c r="C69" s="25" t="n"/>
      <c r="D69" s="25" t="n"/>
      <c r="E69" s="25" t="n"/>
      <c r="F69" s="25" t="n"/>
      <c r="G69" s="25" t="n"/>
      <c r="H69" s="25" t="n"/>
      <c r="I69" s="25" t="n"/>
      <c r="J69" s="25" t="n"/>
      <c r="K69" s="139" t="n"/>
      <c r="L69" s="139" t="n"/>
      <c r="M69" s="139" t="n"/>
      <c r="N69" s="139" t="n"/>
      <c r="O69" s="139" t="n"/>
      <c r="P69" s="139" t="n"/>
      <c r="Q69" s="139" t="n"/>
      <c r="R69" s="142">
        <f>IF(COUNT($K69:$Q69)&lt;7,"",ROUND(($K69*'設定項目'!$C$6+$L69*'設定項目'!$C$7+$M69*'設定項目'!$C$8+$N69*'設定項目'!$C$9+$O69*'設定項目'!$C$10+$P69*'設定項目'!$C$11+$Q69*'設定項目'!$C$12)*20,1))</f>
        <v/>
      </c>
      <c r="S69" s="25">
        <f>IF($R69="","",IF($R69&gt;='設定項目'!$G$6,"優秀",IF($R69&gt;='設定項目'!$G$7,"良好",IF($R69&gt;='設定項目'!$G$8,"要注意","不合格"))))</f>
        <v/>
      </c>
      <c r="T69" s="25" t="n"/>
      <c r="U69" s="25" t="n"/>
      <c r="V69" s="28" t="n"/>
      <c r="W69" s="28" t="n"/>
      <c r="X69" s="25" t="n"/>
      <c r="Y69" s="25" t="n"/>
    </row>
    <row r="70" ht="24" customHeight="1">
      <c r="A70" s="25">
        <f>IF($B70="","","SQ-"&amp;TEXT(ROW()-4,"0000"))</f>
        <v/>
      </c>
      <c r="B70" s="143" t="n"/>
      <c r="C70" s="25" t="n"/>
      <c r="D70" s="25" t="n"/>
      <c r="E70" s="25" t="n"/>
      <c r="F70" s="25" t="n"/>
      <c r="G70" s="25" t="n"/>
      <c r="H70" s="25" t="n"/>
      <c r="I70" s="25" t="n"/>
      <c r="J70" s="25" t="n"/>
      <c r="K70" s="139" t="n"/>
      <c r="L70" s="139" t="n"/>
      <c r="M70" s="139" t="n"/>
      <c r="N70" s="139" t="n"/>
      <c r="O70" s="139" t="n"/>
      <c r="P70" s="139" t="n"/>
      <c r="Q70" s="139" t="n"/>
      <c r="R70" s="142">
        <f>IF(COUNT($K70:$Q70)&lt;7,"",ROUND(($K70*'設定項目'!$C$6+$L70*'設定項目'!$C$7+$M70*'設定項目'!$C$8+$N70*'設定項目'!$C$9+$O70*'設定項目'!$C$10+$P70*'設定項目'!$C$11+$Q70*'設定項目'!$C$12)*20,1))</f>
        <v/>
      </c>
      <c r="S70" s="25">
        <f>IF($R70="","",IF($R70&gt;='設定項目'!$G$6,"優秀",IF($R70&gt;='設定項目'!$G$7,"良好",IF($R70&gt;='設定項目'!$G$8,"要注意","不合格"))))</f>
        <v/>
      </c>
      <c r="T70" s="25" t="n"/>
      <c r="U70" s="25" t="n"/>
      <c r="V70" s="28" t="n"/>
      <c r="W70" s="28" t="n"/>
      <c r="X70" s="25" t="n"/>
      <c r="Y70" s="25" t="n"/>
    </row>
    <row r="71" ht="24" customHeight="1">
      <c r="A71" s="25">
        <f>IF($B71="","","SQ-"&amp;TEXT(ROW()-4,"0000"))</f>
        <v/>
      </c>
      <c r="B71" s="143" t="n"/>
      <c r="C71" s="25" t="n"/>
      <c r="D71" s="25" t="n"/>
      <c r="E71" s="25" t="n"/>
      <c r="F71" s="25" t="n"/>
      <c r="G71" s="25" t="n"/>
      <c r="H71" s="25" t="n"/>
      <c r="I71" s="25" t="n"/>
      <c r="J71" s="25" t="n"/>
      <c r="K71" s="139" t="n"/>
      <c r="L71" s="139" t="n"/>
      <c r="M71" s="139" t="n"/>
      <c r="N71" s="139" t="n"/>
      <c r="O71" s="139" t="n"/>
      <c r="P71" s="139" t="n"/>
      <c r="Q71" s="139" t="n"/>
      <c r="R71" s="142">
        <f>IF(COUNT($K71:$Q71)&lt;7,"",ROUND(($K71*'設定項目'!$C$6+$L71*'設定項目'!$C$7+$M71*'設定項目'!$C$8+$N71*'設定項目'!$C$9+$O71*'設定項目'!$C$10+$P71*'設定項目'!$C$11+$Q71*'設定項目'!$C$12)*20,1))</f>
        <v/>
      </c>
      <c r="S71" s="25">
        <f>IF($R71="","",IF($R71&gt;='設定項目'!$G$6,"優秀",IF($R71&gt;='設定項目'!$G$7,"良好",IF($R71&gt;='設定項目'!$G$8,"要注意","不合格"))))</f>
        <v/>
      </c>
      <c r="T71" s="25" t="n"/>
      <c r="U71" s="25" t="n"/>
      <c r="V71" s="28" t="n"/>
      <c r="W71" s="28" t="n"/>
      <c r="X71" s="25" t="n"/>
      <c r="Y71" s="25" t="n"/>
    </row>
    <row r="72" ht="24" customHeight="1">
      <c r="A72" s="25">
        <f>IF($B72="","","SQ-"&amp;TEXT(ROW()-4,"0000"))</f>
        <v/>
      </c>
      <c r="B72" s="143" t="n"/>
      <c r="C72" s="25" t="n"/>
      <c r="D72" s="25" t="n"/>
      <c r="E72" s="25" t="n"/>
      <c r="F72" s="25" t="n"/>
      <c r="G72" s="25" t="n"/>
      <c r="H72" s="25" t="n"/>
      <c r="I72" s="25" t="n"/>
      <c r="J72" s="25" t="n"/>
      <c r="K72" s="139" t="n"/>
      <c r="L72" s="139" t="n"/>
      <c r="M72" s="139" t="n"/>
      <c r="N72" s="139" t="n"/>
      <c r="O72" s="139" t="n"/>
      <c r="P72" s="139" t="n"/>
      <c r="Q72" s="139" t="n"/>
      <c r="R72" s="142">
        <f>IF(COUNT($K72:$Q72)&lt;7,"",ROUND(($K72*'設定項目'!$C$6+$L72*'設定項目'!$C$7+$M72*'設定項目'!$C$8+$N72*'設定項目'!$C$9+$O72*'設定項目'!$C$10+$P72*'設定項目'!$C$11+$Q72*'設定項目'!$C$12)*20,1))</f>
        <v/>
      </c>
      <c r="S72" s="25">
        <f>IF($R72="","",IF($R72&gt;='設定項目'!$G$6,"優秀",IF($R72&gt;='設定項目'!$G$7,"良好",IF($R72&gt;='設定項目'!$G$8,"要注意","不合格"))))</f>
        <v/>
      </c>
      <c r="T72" s="25" t="n"/>
      <c r="U72" s="25" t="n"/>
      <c r="V72" s="28" t="n"/>
      <c r="W72" s="28" t="n"/>
      <c r="X72" s="25" t="n"/>
      <c r="Y72" s="25" t="n"/>
    </row>
    <row r="73" ht="24" customHeight="1">
      <c r="A73" s="25">
        <f>IF($B73="","","SQ-"&amp;TEXT(ROW()-4,"0000"))</f>
        <v/>
      </c>
      <c r="B73" s="143" t="n"/>
      <c r="C73" s="25" t="n"/>
      <c r="D73" s="25" t="n"/>
      <c r="E73" s="25" t="n"/>
      <c r="F73" s="25" t="n"/>
      <c r="G73" s="25" t="n"/>
      <c r="H73" s="25" t="n"/>
      <c r="I73" s="25" t="n"/>
      <c r="J73" s="25" t="n"/>
      <c r="K73" s="139" t="n"/>
      <c r="L73" s="139" t="n"/>
      <c r="M73" s="139" t="n"/>
      <c r="N73" s="139" t="n"/>
      <c r="O73" s="139" t="n"/>
      <c r="P73" s="139" t="n"/>
      <c r="Q73" s="139" t="n"/>
      <c r="R73" s="142">
        <f>IF(COUNT($K73:$Q73)&lt;7,"",ROUND(($K73*'設定項目'!$C$6+$L73*'設定項目'!$C$7+$M73*'設定項目'!$C$8+$N73*'設定項目'!$C$9+$O73*'設定項目'!$C$10+$P73*'設定項目'!$C$11+$Q73*'設定項目'!$C$12)*20,1))</f>
        <v/>
      </c>
      <c r="S73" s="25">
        <f>IF($R73="","",IF($R73&gt;='設定項目'!$G$6,"優秀",IF($R73&gt;='設定項目'!$G$7,"良好",IF($R73&gt;='設定項目'!$G$8,"要注意","不合格"))))</f>
        <v/>
      </c>
      <c r="T73" s="25" t="n"/>
      <c r="U73" s="25" t="n"/>
      <c r="V73" s="28" t="n"/>
      <c r="W73" s="28" t="n"/>
      <c r="X73" s="25" t="n"/>
      <c r="Y73" s="25" t="n"/>
    </row>
    <row r="74" ht="24" customHeight="1">
      <c r="A74" s="25">
        <f>IF($B74="","","SQ-"&amp;TEXT(ROW()-4,"0000"))</f>
        <v/>
      </c>
      <c r="B74" s="143" t="n"/>
      <c r="C74" s="25" t="n"/>
      <c r="D74" s="25" t="n"/>
      <c r="E74" s="25" t="n"/>
      <c r="F74" s="25" t="n"/>
      <c r="G74" s="25" t="n"/>
      <c r="H74" s="25" t="n"/>
      <c r="I74" s="25" t="n"/>
      <c r="J74" s="25" t="n"/>
      <c r="K74" s="139" t="n"/>
      <c r="L74" s="139" t="n"/>
      <c r="M74" s="139" t="n"/>
      <c r="N74" s="139" t="n"/>
      <c r="O74" s="139" t="n"/>
      <c r="P74" s="139" t="n"/>
      <c r="Q74" s="139" t="n"/>
      <c r="R74" s="142">
        <f>IF(COUNT($K74:$Q74)&lt;7,"",ROUND(($K74*'設定項目'!$C$6+$L74*'設定項目'!$C$7+$M74*'設定項目'!$C$8+$N74*'設定項目'!$C$9+$O74*'設定項目'!$C$10+$P74*'設定項目'!$C$11+$Q74*'設定項目'!$C$12)*20,1))</f>
        <v/>
      </c>
      <c r="S74" s="25">
        <f>IF($R74="","",IF($R74&gt;='設定項目'!$G$6,"優秀",IF($R74&gt;='設定項目'!$G$7,"良好",IF($R74&gt;='設定項目'!$G$8,"要注意","不合格"))))</f>
        <v/>
      </c>
      <c r="T74" s="25" t="n"/>
      <c r="U74" s="25" t="n"/>
      <c r="V74" s="28" t="n"/>
      <c r="W74" s="28" t="n"/>
      <c r="X74" s="25" t="n"/>
      <c r="Y74" s="25" t="n"/>
    </row>
    <row r="75" ht="24" customHeight="1">
      <c r="A75" s="25">
        <f>IF($B75="","","SQ-"&amp;TEXT(ROW()-4,"0000"))</f>
        <v/>
      </c>
      <c r="B75" s="143" t="n"/>
      <c r="C75" s="25" t="n"/>
      <c r="D75" s="25" t="n"/>
      <c r="E75" s="25" t="n"/>
      <c r="F75" s="25" t="n"/>
      <c r="G75" s="25" t="n"/>
      <c r="H75" s="25" t="n"/>
      <c r="I75" s="25" t="n"/>
      <c r="J75" s="25" t="n"/>
      <c r="K75" s="139" t="n"/>
      <c r="L75" s="139" t="n"/>
      <c r="M75" s="139" t="n"/>
      <c r="N75" s="139" t="n"/>
      <c r="O75" s="139" t="n"/>
      <c r="P75" s="139" t="n"/>
      <c r="Q75" s="139" t="n"/>
      <c r="R75" s="142">
        <f>IF(COUNT($K75:$Q75)&lt;7,"",ROUND(($K75*'設定項目'!$C$6+$L75*'設定項目'!$C$7+$M75*'設定項目'!$C$8+$N75*'設定項目'!$C$9+$O75*'設定項目'!$C$10+$P75*'設定項目'!$C$11+$Q75*'設定項目'!$C$12)*20,1))</f>
        <v/>
      </c>
      <c r="S75" s="25">
        <f>IF($R75="","",IF($R75&gt;='設定項目'!$G$6,"優秀",IF($R75&gt;='設定項目'!$G$7,"良好",IF($R75&gt;='設定項目'!$G$8,"要注意","不合格"))))</f>
        <v/>
      </c>
      <c r="T75" s="25" t="n"/>
      <c r="U75" s="25" t="n"/>
      <c r="V75" s="28" t="n"/>
      <c r="W75" s="28" t="n"/>
      <c r="X75" s="25" t="n"/>
      <c r="Y75" s="25" t="n"/>
    </row>
    <row r="76" ht="24" customHeight="1">
      <c r="A76" s="25">
        <f>IF($B76="","","SQ-"&amp;TEXT(ROW()-4,"0000"))</f>
        <v/>
      </c>
      <c r="B76" s="143" t="n"/>
      <c r="C76" s="25" t="n"/>
      <c r="D76" s="25" t="n"/>
      <c r="E76" s="25" t="n"/>
      <c r="F76" s="25" t="n"/>
      <c r="G76" s="25" t="n"/>
      <c r="H76" s="25" t="n"/>
      <c r="I76" s="25" t="n"/>
      <c r="J76" s="25" t="n"/>
      <c r="K76" s="139" t="n"/>
      <c r="L76" s="139" t="n"/>
      <c r="M76" s="139" t="n"/>
      <c r="N76" s="139" t="n"/>
      <c r="O76" s="139" t="n"/>
      <c r="P76" s="139" t="n"/>
      <c r="Q76" s="139" t="n"/>
      <c r="R76" s="142">
        <f>IF(COUNT($K76:$Q76)&lt;7,"",ROUND(($K76*'設定項目'!$C$6+$L76*'設定項目'!$C$7+$M76*'設定項目'!$C$8+$N76*'設定項目'!$C$9+$O76*'設定項目'!$C$10+$P76*'設定項目'!$C$11+$Q76*'設定項目'!$C$12)*20,1))</f>
        <v/>
      </c>
      <c r="S76" s="25">
        <f>IF($R76="","",IF($R76&gt;='設定項目'!$G$6,"優秀",IF($R76&gt;='設定項目'!$G$7,"良好",IF($R76&gt;='設定項目'!$G$8,"要注意","不合格"))))</f>
        <v/>
      </c>
      <c r="T76" s="25" t="n"/>
      <c r="U76" s="25" t="n"/>
      <c r="V76" s="28" t="n"/>
      <c r="W76" s="28" t="n"/>
      <c r="X76" s="25" t="n"/>
      <c r="Y76" s="25" t="n"/>
    </row>
    <row r="77" ht="24" customHeight="1">
      <c r="A77" s="25">
        <f>IF($B77="","","SQ-"&amp;TEXT(ROW()-4,"0000"))</f>
        <v/>
      </c>
      <c r="B77" s="143" t="n"/>
      <c r="C77" s="25" t="n"/>
      <c r="D77" s="25" t="n"/>
      <c r="E77" s="25" t="n"/>
      <c r="F77" s="25" t="n"/>
      <c r="G77" s="25" t="n"/>
      <c r="H77" s="25" t="n"/>
      <c r="I77" s="25" t="n"/>
      <c r="J77" s="25" t="n"/>
      <c r="K77" s="139" t="n"/>
      <c r="L77" s="139" t="n"/>
      <c r="M77" s="139" t="n"/>
      <c r="N77" s="139" t="n"/>
      <c r="O77" s="139" t="n"/>
      <c r="P77" s="139" t="n"/>
      <c r="Q77" s="139" t="n"/>
      <c r="R77" s="142">
        <f>IF(COUNT($K77:$Q77)&lt;7,"",ROUND(($K77*'設定項目'!$C$6+$L77*'設定項目'!$C$7+$M77*'設定項目'!$C$8+$N77*'設定項目'!$C$9+$O77*'設定項目'!$C$10+$P77*'設定項目'!$C$11+$Q77*'設定項目'!$C$12)*20,1))</f>
        <v/>
      </c>
      <c r="S77" s="25">
        <f>IF($R77="","",IF($R77&gt;='設定項目'!$G$6,"優秀",IF($R77&gt;='設定項目'!$G$7,"良好",IF($R77&gt;='設定項目'!$G$8,"要注意","不合格"))))</f>
        <v/>
      </c>
      <c r="T77" s="25" t="n"/>
      <c r="U77" s="25" t="n"/>
      <c r="V77" s="28" t="n"/>
      <c r="W77" s="28" t="n"/>
      <c r="X77" s="25" t="n"/>
      <c r="Y77" s="25" t="n"/>
    </row>
    <row r="78" ht="24" customHeight="1">
      <c r="A78" s="25">
        <f>IF($B78="","","SQ-"&amp;TEXT(ROW()-4,"0000"))</f>
        <v/>
      </c>
      <c r="B78" s="143" t="n"/>
      <c r="C78" s="25" t="n"/>
      <c r="D78" s="25" t="n"/>
      <c r="E78" s="25" t="n"/>
      <c r="F78" s="25" t="n"/>
      <c r="G78" s="25" t="n"/>
      <c r="H78" s="25" t="n"/>
      <c r="I78" s="25" t="n"/>
      <c r="J78" s="25" t="n"/>
      <c r="K78" s="139" t="n"/>
      <c r="L78" s="139" t="n"/>
      <c r="M78" s="139" t="n"/>
      <c r="N78" s="139" t="n"/>
      <c r="O78" s="139" t="n"/>
      <c r="P78" s="139" t="n"/>
      <c r="Q78" s="139" t="n"/>
      <c r="R78" s="142">
        <f>IF(COUNT($K78:$Q78)&lt;7,"",ROUND(($K78*'設定項目'!$C$6+$L78*'設定項目'!$C$7+$M78*'設定項目'!$C$8+$N78*'設定項目'!$C$9+$O78*'設定項目'!$C$10+$P78*'設定項目'!$C$11+$Q78*'設定項目'!$C$12)*20,1))</f>
        <v/>
      </c>
      <c r="S78" s="25">
        <f>IF($R78="","",IF($R78&gt;='設定項目'!$G$6,"優秀",IF($R78&gt;='設定項目'!$G$7,"良好",IF($R78&gt;='設定項目'!$G$8,"要注意","不合格"))))</f>
        <v/>
      </c>
      <c r="T78" s="25" t="n"/>
      <c r="U78" s="25" t="n"/>
      <c r="V78" s="28" t="n"/>
      <c r="W78" s="28" t="n"/>
      <c r="X78" s="25" t="n"/>
      <c r="Y78" s="25" t="n"/>
    </row>
    <row r="79" ht="24" customHeight="1">
      <c r="A79" s="25">
        <f>IF($B79="","","SQ-"&amp;TEXT(ROW()-4,"0000"))</f>
        <v/>
      </c>
      <c r="B79" s="143" t="n"/>
      <c r="C79" s="25" t="n"/>
      <c r="D79" s="25" t="n"/>
      <c r="E79" s="25" t="n"/>
      <c r="F79" s="25" t="n"/>
      <c r="G79" s="25" t="n"/>
      <c r="H79" s="25" t="n"/>
      <c r="I79" s="25" t="n"/>
      <c r="J79" s="25" t="n"/>
      <c r="K79" s="139" t="n"/>
      <c r="L79" s="139" t="n"/>
      <c r="M79" s="139" t="n"/>
      <c r="N79" s="139" t="n"/>
      <c r="O79" s="139" t="n"/>
      <c r="P79" s="139" t="n"/>
      <c r="Q79" s="139" t="n"/>
      <c r="R79" s="142">
        <f>IF(COUNT($K79:$Q79)&lt;7,"",ROUND(($K79*'設定項目'!$C$6+$L79*'設定項目'!$C$7+$M79*'設定項目'!$C$8+$N79*'設定項目'!$C$9+$O79*'設定項目'!$C$10+$P79*'設定項目'!$C$11+$Q79*'設定項目'!$C$12)*20,1))</f>
        <v/>
      </c>
      <c r="S79" s="25">
        <f>IF($R79="","",IF($R79&gt;='設定項目'!$G$6,"優秀",IF($R79&gt;='設定項目'!$G$7,"良好",IF($R79&gt;='設定項目'!$G$8,"要注意","不合格"))))</f>
        <v/>
      </c>
      <c r="T79" s="25" t="n"/>
      <c r="U79" s="25" t="n"/>
      <c r="V79" s="28" t="n"/>
      <c r="W79" s="28" t="n"/>
      <c r="X79" s="25" t="n"/>
      <c r="Y79" s="25" t="n"/>
    </row>
    <row r="80" ht="24" customHeight="1">
      <c r="A80" s="25">
        <f>IF($B80="","","SQ-"&amp;TEXT(ROW()-4,"0000"))</f>
        <v/>
      </c>
      <c r="B80" s="143" t="n"/>
      <c r="C80" s="25" t="n"/>
      <c r="D80" s="25" t="n"/>
      <c r="E80" s="25" t="n"/>
      <c r="F80" s="25" t="n"/>
      <c r="G80" s="25" t="n"/>
      <c r="H80" s="25" t="n"/>
      <c r="I80" s="25" t="n"/>
      <c r="J80" s="25" t="n"/>
      <c r="K80" s="139" t="n"/>
      <c r="L80" s="139" t="n"/>
      <c r="M80" s="139" t="n"/>
      <c r="N80" s="139" t="n"/>
      <c r="O80" s="139" t="n"/>
      <c r="P80" s="139" t="n"/>
      <c r="Q80" s="139" t="n"/>
      <c r="R80" s="142">
        <f>IF(COUNT($K80:$Q80)&lt;7,"",ROUND(($K80*'設定項目'!$C$6+$L80*'設定項目'!$C$7+$M80*'設定項目'!$C$8+$N80*'設定項目'!$C$9+$O80*'設定項目'!$C$10+$P80*'設定項目'!$C$11+$Q80*'設定項目'!$C$12)*20,1))</f>
        <v/>
      </c>
      <c r="S80" s="25">
        <f>IF($R80="","",IF($R80&gt;='設定項目'!$G$6,"優秀",IF($R80&gt;='設定項目'!$G$7,"良好",IF($R80&gt;='設定項目'!$G$8,"要注意","不合格"))))</f>
        <v/>
      </c>
      <c r="T80" s="25" t="n"/>
      <c r="U80" s="25" t="n"/>
      <c r="V80" s="28" t="n"/>
      <c r="W80" s="28" t="n"/>
      <c r="X80" s="25" t="n"/>
      <c r="Y80" s="25" t="n"/>
    </row>
    <row r="81" ht="24" customHeight="1">
      <c r="A81" s="25">
        <f>IF($B81="","","SQ-"&amp;TEXT(ROW()-4,"0000"))</f>
        <v/>
      </c>
      <c r="B81" s="143" t="n"/>
      <c r="C81" s="25" t="n"/>
      <c r="D81" s="25" t="n"/>
      <c r="E81" s="25" t="n"/>
      <c r="F81" s="25" t="n"/>
      <c r="G81" s="25" t="n"/>
      <c r="H81" s="25" t="n"/>
      <c r="I81" s="25" t="n"/>
      <c r="J81" s="25" t="n"/>
      <c r="K81" s="139" t="n"/>
      <c r="L81" s="139" t="n"/>
      <c r="M81" s="139" t="n"/>
      <c r="N81" s="139" t="n"/>
      <c r="O81" s="139" t="n"/>
      <c r="P81" s="139" t="n"/>
      <c r="Q81" s="139" t="n"/>
      <c r="R81" s="142">
        <f>IF(COUNT($K81:$Q81)&lt;7,"",ROUND(($K81*'設定項目'!$C$6+$L81*'設定項目'!$C$7+$M81*'設定項目'!$C$8+$N81*'設定項目'!$C$9+$O81*'設定項目'!$C$10+$P81*'設定項目'!$C$11+$Q81*'設定項目'!$C$12)*20,1))</f>
        <v/>
      </c>
      <c r="S81" s="25">
        <f>IF($R81="","",IF($R81&gt;='設定項目'!$G$6,"優秀",IF($R81&gt;='設定項目'!$G$7,"良好",IF($R81&gt;='設定項目'!$G$8,"要注意","不合格"))))</f>
        <v/>
      </c>
      <c r="T81" s="25" t="n"/>
      <c r="U81" s="25" t="n"/>
      <c r="V81" s="28" t="n"/>
      <c r="W81" s="28" t="n"/>
      <c r="X81" s="25" t="n"/>
      <c r="Y81" s="25" t="n"/>
    </row>
    <row r="82" ht="24" customHeight="1">
      <c r="A82" s="25">
        <f>IF($B82="","","SQ-"&amp;TEXT(ROW()-4,"0000"))</f>
        <v/>
      </c>
      <c r="B82" s="143" t="n"/>
      <c r="C82" s="25" t="n"/>
      <c r="D82" s="25" t="n"/>
      <c r="E82" s="25" t="n"/>
      <c r="F82" s="25" t="n"/>
      <c r="G82" s="25" t="n"/>
      <c r="H82" s="25" t="n"/>
      <c r="I82" s="25" t="n"/>
      <c r="J82" s="25" t="n"/>
      <c r="K82" s="139" t="n"/>
      <c r="L82" s="139" t="n"/>
      <c r="M82" s="139" t="n"/>
      <c r="N82" s="139" t="n"/>
      <c r="O82" s="139" t="n"/>
      <c r="P82" s="139" t="n"/>
      <c r="Q82" s="139" t="n"/>
      <c r="R82" s="142">
        <f>IF(COUNT($K82:$Q82)&lt;7,"",ROUND(($K82*'設定項目'!$C$6+$L82*'設定項目'!$C$7+$M82*'設定項目'!$C$8+$N82*'設定項目'!$C$9+$O82*'設定項目'!$C$10+$P82*'設定項目'!$C$11+$Q82*'設定項目'!$C$12)*20,1))</f>
        <v/>
      </c>
      <c r="S82" s="25">
        <f>IF($R82="","",IF($R82&gt;='設定項目'!$G$6,"優秀",IF($R82&gt;='設定項目'!$G$7,"良好",IF($R82&gt;='設定項目'!$G$8,"要注意","不合格"))))</f>
        <v/>
      </c>
      <c r="T82" s="25" t="n"/>
      <c r="U82" s="25" t="n"/>
      <c r="V82" s="28" t="n"/>
      <c r="W82" s="28" t="n"/>
      <c r="X82" s="25" t="n"/>
      <c r="Y82" s="25" t="n"/>
    </row>
    <row r="83" ht="24" customHeight="1">
      <c r="A83" s="25">
        <f>IF($B83="","","SQ-"&amp;TEXT(ROW()-4,"0000"))</f>
        <v/>
      </c>
      <c r="B83" s="143" t="n"/>
      <c r="C83" s="25" t="n"/>
      <c r="D83" s="25" t="n"/>
      <c r="E83" s="25" t="n"/>
      <c r="F83" s="25" t="n"/>
      <c r="G83" s="25" t="n"/>
      <c r="H83" s="25" t="n"/>
      <c r="I83" s="25" t="n"/>
      <c r="J83" s="25" t="n"/>
      <c r="K83" s="139" t="n"/>
      <c r="L83" s="139" t="n"/>
      <c r="M83" s="139" t="n"/>
      <c r="N83" s="139" t="n"/>
      <c r="O83" s="139" t="n"/>
      <c r="P83" s="139" t="n"/>
      <c r="Q83" s="139" t="n"/>
      <c r="R83" s="142">
        <f>IF(COUNT($K83:$Q83)&lt;7,"",ROUND(($K83*'設定項目'!$C$6+$L83*'設定項目'!$C$7+$M83*'設定項目'!$C$8+$N83*'設定項目'!$C$9+$O83*'設定項目'!$C$10+$P83*'設定項目'!$C$11+$Q83*'設定項目'!$C$12)*20,1))</f>
        <v/>
      </c>
      <c r="S83" s="25">
        <f>IF($R83="","",IF($R83&gt;='設定項目'!$G$6,"優秀",IF($R83&gt;='設定項目'!$G$7,"良好",IF($R83&gt;='設定項目'!$G$8,"要注意","不合格"))))</f>
        <v/>
      </c>
      <c r="T83" s="25" t="n"/>
      <c r="U83" s="25" t="n"/>
      <c r="V83" s="28" t="n"/>
      <c r="W83" s="28" t="n"/>
      <c r="X83" s="25" t="n"/>
      <c r="Y83" s="25" t="n"/>
    </row>
    <row r="84" ht="24" customHeight="1">
      <c r="A84" s="25">
        <f>IF($B84="","","SQ-"&amp;TEXT(ROW()-4,"0000"))</f>
        <v/>
      </c>
      <c r="B84" s="143" t="n"/>
      <c r="C84" s="25" t="n"/>
      <c r="D84" s="25" t="n"/>
      <c r="E84" s="25" t="n"/>
      <c r="F84" s="25" t="n"/>
      <c r="G84" s="25" t="n"/>
      <c r="H84" s="25" t="n"/>
      <c r="I84" s="25" t="n"/>
      <c r="J84" s="25" t="n"/>
      <c r="K84" s="139" t="n"/>
      <c r="L84" s="139" t="n"/>
      <c r="M84" s="139" t="n"/>
      <c r="N84" s="139" t="n"/>
      <c r="O84" s="139" t="n"/>
      <c r="P84" s="139" t="n"/>
      <c r="Q84" s="139" t="n"/>
      <c r="R84" s="142">
        <f>IF(COUNT($K84:$Q84)&lt;7,"",ROUND(($K84*'設定項目'!$C$6+$L84*'設定項目'!$C$7+$M84*'設定項目'!$C$8+$N84*'設定項目'!$C$9+$O84*'設定項目'!$C$10+$P84*'設定項目'!$C$11+$Q84*'設定項目'!$C$12)*20,1))</f>
        <v/>
      </c>
      <c r="S84" s="25">
        <f>IF($R84="","",IF($R84&gt;='設定項目'!$G$6,"優秀",IF($R84&gt;='設定項目'!$G$7,"良好",IF($R84&gt;='設定項目'!$G$8,"要注意","不合格"))))</f>
        <v/>
      </c>
      <c r="T84" s="25" t="n"/>
      <c r="U84" s="25" t="n"/>
      <c r="V84" s="28" t="n"/>
      <c r="W84" s="28" t="n"/>
      <c r="X84" s="25" t="n"/>
      <c r="Y84" s="25" t="n"/>
    </row>
    <row r="85" ht="24" customHeight="1">
      <c r="A85" s="25">
        <f>IF($B85="","","SQ-"&amp;TEXT(ROW()-4,"0000"))</f>
        <v/>
      </c>
      <c r="B85" s="143" t="n"/>
      <c r="C85" s="25" t="n"/>
      <c r="D85" s="25" t="n"/>
      <c r="E85" s="25" t="n"/>
      <c r="F85" s="25" t="n"/>
      <c r="G85" s="25" t="n"/>
      <c r="H85" s="25" t="n"/>
      <c r="I85" s="25" t="n"/>
      <c r="J85" s="25" t="n"/>
      <c r="K85" s="139" t="n"/>
      <c r="L85" s="139" t="n"/>
      <c r="M85" s="139" t="n"/>
      <c r="N85" s="139" t="n"/>
      <c r="O85" s="139" t="n"/>
      <c r="P85" s="139" t="n"/>
      <c r="Q85" s="139" t="n"/>
      <c r="R85" s="142">
        <f>IF(COUNT($K85:$Q85)&lt;7,"",ROUND(($K85*'設定項目'!$C$6+$L85*'設定項目'!$C$7+$M85*'設定項目'!$C$8+$N85*'設定項目'!$C$9+$O85*'設定項目'!$C$10+$P85*'設定項目'!$C$11+$Q85*'設定項目'!$C$12)*20,1))</f>
        <v/>
      </c>
      <c r="S85" s="25">
        <f>IF($R85="","",IF($R85&gt;='設定項目'!$G$6,"優秀",IF($R85&gt;='設定項目'!$G$7,"良好",IF($R85&gt;='設定項目'!$G$8,"要注意","不合格"))))</f>
        <v/>
      </c>
      <c r="T85" s="25" t="n"/>
      <c r="U85" s="25" t="n"/>
      <c r="V85" s="28" t="n"/>
      <c r="W85" s="28" t="n"/>
      <c r="X85" s="25" t="n"/>
      <c r="Y85" s="25" t="n"/>
    </row>
    <row r="86" ht="24" customHeight="1">
      <c r="A86" s="25">
        <f>IF($B86="","","SQ-"&amp;TEXT(ROW()-4,"0000"))</f>
        <v/>
      </c>
      <c r="B86" s="143" t="n"/>
      <c r="C86" s="25" t="n"/>
      <c r="D86" s="25" t="n"/>
      <c r="E86" s="25" t="n"/>
      <c r="F86" s="25" t="n"/>
      <c r="G86" s="25" t="n"/>
      <c r="H86" s="25" t="n"/>
      <c r="I86" s="25" t="n"/>
      <c r="J86" s="25" t="n"/>
      <c r="K86" s="139" t="n"/>
      <c r="L86" s="139" t="n"/>
      <c r="M86" s="139" t="n"/>
      <c r="N86" s="139" t="n"/>
      <c r="O86" s="139" t="n"/>
      <c r="P86" s="139" t="n"/>
      <c r="Q86" s="139" t="n"/>
      <c r="R86" s="142">
        <f>IF(COUNT($K86:$Q86)&lt;7,"",ROUND(($K86*'設定項目'!$C$6+$L86*'設定項目'!$C$7+$M86*'設定項目'!$C$8+$N86*'設定項目'!$C$9+$O86*'設定項目'!$C$10+$P86*'設定項目'!$C$11+$Q86*'設定項目'!$C$12)*20,1))</f>
        <v/>
      </c>
      <c r="S86" s="25">
        <f>IF($R86="","",IF($R86&gt;='設定項目'!$G$6,"優秀",IF($R86&gt;='設定項目'!$G$7,"良好",IF($R86&gt;='設定項目'!$G$8,"要注意","不合格"))))</f>
        <v/>
      </c>
      <c r="T86" s="25" t="n"/>
      <c r="U86" s="25" t="n"/>
      <c r="V86" s="28" t="n"/>
      <c r="W86" s="28" t="n"/>
      <c r="X86" s="25" t="n"/>
      <c r="Y86" s="25" t="n"/>
    </row>
    <row r="87" ht="24" customHeight="1">
      <c r="A87" s="25">
        <f>IF($B87="","","SQ-"&amp;TEXT(ROW()-4,"0000"))</f>
        <v/>
      </c>
      <c r="B87" s="143" t="n"/>
      <c r="C87" s="25" t="n"/>
      <c r="D87" s="25" t="n"/>
      <c r="E87" s="25" t="n"/>
      <c r="F87" s="25" t="n"/>
      <c r="G87" s="25" t="n"/>
      <c r="H87" s="25" t="n"/>
      <c r="I87" s="25" t="n"/>
      <c r="J87" s="25" t="n"/>
      <c r="K87" s="139" t="n"/>
      <c r="L87" s="139" t="n"/>
      <c r="M87" s="139" t="n"/>
      <c r="N87" s="139" t="n"/>
      <c r="O87" s="139" t="n"/>
      <c r="P87" s="139" t="n"/>
      <c r="Q87" s="139" t="n"/>
      <c r="R87" s="142">
        <f>IF(COUNT($K87:$Q87)&lt;7,"",ROUND(($K87*'設定項目'!$C$6+$L87*'設定項目'!$C$7+$M87*'設定項目'!$C$8+$N87*'設定項目'!$C$9+$O87*'設定項目'!$C$10+$P87*'設定項目'!$C$11+$Q87*'設定項目'!$C$12)*20,1))</f>
        <v/>
      </c>
      <c r="S87" s="25">
        <f>IF($R87="","",IF($R87&gt;='設定項目'!$G$6,"優秀",IF($R87&gt;='設定項目'!$G$7,"良好",IF($R87&gt;='設定項目'!$G$8,"要注意","不合格"))))</f>
        <v/>
      </c>
      <c r="T87" s="25" t="n"/>
      <c r="U87" s="25" t="n"/>
      <c r="V87" s="28" t="n"/>
      <c r="W87" s="28" t="n"/>
      <c r="X87" s="25" t="n"/>
      <c r="Y87" s="25" t="n"/>
    </row>
    <row r="88" ht="24" customHeight="1">
      <c r="A88" s="25">
        <f>IF($B88="","","SQ-"&amp;TEXT(ROW()-4,"0000"))</f>
        <v/>
      </c>
      <c r="B88" s="143" t="n"/>
      <c r="C88" s="25" t="n"/>
      <c r="D88" s="25" t="n"/>
      <c r="E88" s="25" t="n"/>
      <c r="F88" s="25" t="n"/>
      <c r="G88" s="25" t="n"/>
      <c r="H88" s="25" t="n"/>
      <c r="I88" s="25" t="n"/>
      <c r="J88" s="25" t="n"/>
      <c r="K88" s="139" t="n"/>
      <c r="L88" s="139" t="n"/>
      <c r="M88" s="139" t="n"/>
      <c r="N88" s="139" t="n"/>
      <c r="O88" s="139" t="n"/>
      <c r="P88" s="139" t="n"/>
      <c r="Q88" s="139" t="n"/>
      <c r="R88" s="142">
        <f>IF(COUNT($K88:$Q88)&lt;7,"",ROUND(($K88*'設定項目'!$C$6+$L88*'設定項目'!$C$7+$M88*'設定項目'!$C$8+$N88*'設定項目'!$C$9+$O88*'設定項目'!$C$10+$P88*'設定項目'!$C$11+$Q88*'設定項目'!$C$12)*20,1))</f>
        <v/>
      </c>
      <c r="S88" s="25">
        <f>IF($R88="","",IF($R88&gt;='設定項目'!$G$6,"優秀",IF($R88&gt;='設定項目'!$G$7,"良好",IF($R88&gt;='設定項目'!$G$8,"要注意","不合格"))))</f>
        <v/>
      </c>
      <c r="T88" s="25" t="n"/>
      <c r="U88" s="25" t="n"/>
      <c r="V88" s="28" t="n"/>
      <c r="W88" s="28" t="n"/>
      <c r="X88" s="25" t="n"/>
      <c r="Y88" s="25" t="n"/>
    </row>
    <row r="89" ht="24" customHeight="1">
      <c r="A89" s="25">
        <f>IF($B89="","","SQ-"&amp;TEXT(ROW()-4,"0000"))</f>
        <v/>
      </c>
      <c r="B89" s="143" t="n"/>
      <c r="C89" s="25" t="n"/>
      <c r="D89" s="25" t="n"/>
      <c r="E89" s="25" t="n"/>
      <c r="F89" s="25" t="n"/>
      <c r="G89" s="25" t="n"/>
      <c r="H89" s="25" t="n"/>
      <c r="I89" s="25" t="n"/>
      <c r="J89" s="25" t="n"/>
      <c r="K89" s="139" t="n"/>
      <c r="L89" s="139" t="n"/>
      <c r="M89" s="139" t="n"/>
      <c r="N89" s="139" t="n"/>
      <c r="O89" s="139" t="n"/>
      <c r="P89" s="139" t="n"/>
      <c r="Q89" s="139" t="n"/>
      <c r="R89" s="142">
        <f>IF(COUNT($K89:$Q89)&lt;7,"",ROUND(($K89*'設定項目'!$C$6+$L89*'設定項目'!$C$7+$M89*'設定項目'!$C$8+$N89*'設定項目'!$C$9+$O89*'設定項目'!$C$10+$P89*'設定項目'!$C$11+$Q89*'設定項目'!$C$12)*20,1))</f>
        <v/>
      </c>
      <c r="S89" s="25">
        <f>IF($R89="","",IF($R89&gt;='設定項目'!$G$6,"優秀",IF($R89&gt;='設定項目'!$G$7,"良好",IF($R89&gt;='設定項目'!$G$8,"要注意","不合格"))))</f>
        <v/>
      </c>
      <c r="T89" s="25" t="n"/>
      <c r="U89" s="25" t="n"/>
      <c r="V89" s="28" t="n"/>
      <c r="W89" s="28" t="n"/>
      <c r="X89" s="25" t="n"/>
      <c r="Y89" s="25" t="n"/>
    </row>
    <row r="90" ht="24" customHeight="1">
      <c r="A90" s="25">
        <f>IF($B90="","","SQ-"&amp;TEXT(ROW()-4,"0000"))</f>
        <v/>
      </c>
      <c r="B90" s="143" t="n"/>
      <c r="C90" s="25" t="n"/>
      <c r="D90" s="25" t="n"/>
      <c r="E90" s="25" t="n"/>
      <c r="F90" s="25" t="n"/>
      <c r="G90" s="25" t="n"/>
      <c r="H90" s="25" t="n"/>
      <c r="I90" s="25" t="n"/>
      <c r="J90" s="25" t="n"/>
      <c r="K90" s="139" t="n"/>
      <c r="L90" s="139" t="n"/>
      <c r="M90" s="139" t="n"/>
      <c r="N90" s="139" t="n"/>
      <c r="O90" s="139" t="n"/>
      <c r="P90" s="139" t="n"/>
      <c r="Q90" s="139" t="n"/>
      <c r="R90" s="142">
        <f>IF(COUNT($K90:$Q90)&lt;7,"",ROUND(($K90*'設定項目'!$C$6+$L90*'設定項目'!$C$7+$M90*'設定項目'!$C$8+$N90*'設定項目'!$C$9+$O90*'設定項目'!$C$10+$P90*'設定項目'!$C$11+$Q90*'設定項目'!$C$12)*20,1))</f>
        <v/>
      </c>
      <c r="S90" s="25">
        <f>IF($R90="","",IF($R90&gt;='設定項目'!$G$6,"優秀",IF($R90&gt;='設定項目'!$G$7,"良好",IF($R90&gt;='設定項目'!$G$8,"要注意","不合格"))))</f>
        <v/>
      </c>
      <c r="T90" s="25" t="n"/>
      <c r="U90" s="25" t="n"/>
      <c r="V90" s="28" t="n"/>
      <c r="W90" s="28" t="n"/>
      <c r="X90" s="25" t="n"/>
      <c r="Y90" s="25" t="n"/>
    </row>
    <row r="91" ht="24" customHeight="1">
      <c r="A91" s="25">
        <f>IF($B91="","","SQ-"&amp;TEXT(ROW()-4,"0000"))</f>
        <v/>
      </c>
      <c r="B91" s="143" t="n"/>
      <c r="C91" s="25" t="n"/>
      <c r="D91" s="25" t="n"/>
      <c r="E91" s="25" t="n"/>
      <c r="F91" s="25" t="n"/>
      <c r="G91" s="25" t="n"/>
      <c r="H91" s="25" t="n"/>
      <c r="I91" s="25" t="n"/>
      <c r="J91" s="25" t="n"/>
      <c r="K91" s="139" t="n"/>
      <c r="L91" s="139" t="n"/>
      <c r="M91" s="139" t="n"/>
      <c r="N91" s="139" t="n"/>
      <c r="O91" s="139" t="n"/>
      <c r="P91" s="139" t="n"/>
      <c r="Q91" s="139" t="n"/>
      <c r="R91" s="142">
        <f>IF(COUNT($K91:$Q91)&lt;7,"",ROUND(($K91*'設定項目'!$C$6+$L91*'設定項目'!$C$7+$M91*'設定項目'!$C$8+$N91*'設定項目'!$C$9+$O91*'設定項目'!$C$10+$P91*'設定項目'!$C$11+$Q91*'設定項目'!$C$12)*20,1))</f>
        <v/>
      </c>
      <c r="S91" s="25">
        <f>IF($R91="","",IF($R91&gt;='設定項目'!$G$6,"優秀",IF($R91&gt;='設定項目'!$G$7,"良好",IF($R91&gt;='設定項目'!$G$8,"要注意","不合格"))))</f>
        <v/>
      </c>
      <c r="T91" s="25" t="n"/>
      <c r="U91" s="25" t="n"/>
      <c r="V91" s="28" t="n"/>
      <c r="W91" s="28" t="n"/>
      <c r="X91" s="25" t="n"/>
      <c r="Y91" s="25" t="n"/>
    </row>
    <row r="92" ht="24" customHeight="1">
      <c r="A92" s="25">
        <f>IF($B92="","","SQ-"&amp;TEXT(ROW()-4,"0000"))</f>
        <v/>
      </c>
      <c r="B92" s="143" t="n"/>
      <c r="C92" s="25" t="n"/>
      <c r="D92" s="25" t="n"/>
      <c r="E92" s="25" t="n"/>
      <c r="F92" s="25" t="n"/>
      <c r="G92" s="25" t="n"/>
      <c r="H92" s="25" t="n"/>
      <c r="I92" s="25" t="n"/>
      <c r="J92" s="25" t="n"/>
      <c r="K92" s="139" t="n"/>
      <c r="L92" s="139" t="n"/>
      <c r="M92" s="139" t="n"/>
      <c r="N92" s="139" t="n"/>
      <c r="O92" s="139" t="n"/>
      <c r="P92" s="139" t="n"/>
      <c r="Q92" s="139" t="n"/>
      <c r="R92" s="142">
        <f>IF(COUNT($K92:$Q92)&lt;7,"",ROUND(($K92*'設定項目'!$C$6+$L92*'設定項目'!$C$7+$M92*'設定項目'!$C$8+$N92*'設定項目'!$C$9+$O92*'設定項目'!$C$10+$P92*'設定項目'!$C$11+$Q92*'設定項目'!$C$12)*20,1))</f>
        <v/>
      </c>
      <c r="S92" s="25">
        <f>IF($R92="","",IF($R92&gt;='設定項目'!$G$6,"優秀",IF($R92&gt;='設定項目'!$G$7,"良好",IF($R92&gt;='設定項目'!$G$8,"要注意","不合格"))))</f>
        <v/>
      </c>
      <c r="T92" s="25" t="n"/>
      <c r="U92" s="25" t="n"/>
      <c r="V92" s="28" t="n"/>
      <c r="W92" s="28" t="n"/>
      <c r="X92" s="25" t="n"/>
      <c r="Y92" s="25" t="n"/>
    </row>
    <row r="93" ht="24" customHeight="1">
      <c r="A93" s="25">
        <f>IF($B93="","","SQ-"&amp;TEXT(ROW()-4,"0000"))</f>
        <v/>
      </c>
      <c r="B93" s="143" t="n"/>
      <c r="C93" s="25" t="n"/>
      <c r="D93" s="25" t="n"/>
      <c r="E93" s="25" t="n"/>
      <c r="F93" s="25" t="n"/>
      <c r="G93" s="25" t="n"/>
      <c r="H93" s="25" t="n"/>
      <c r="I93" s="25" t="n"/>
      <c r="J93" s="25" t="n"/>
      <c r="K93" s="139" t="n"/>
      <c r="L93" s="139" t="n"/>
      <c r="M93" s="139" t="n"/>
      <c r="N93" s="139" t="n"/>
      <c r="O93" s="139" t="n"/>
      <c r="P93" s="139" t="n"/>
      <c r="Q93" s="139" t="n"/>
      <c r="R93" s="142">
        <f>IF(COUNT($K93:$Q93)&lt;7,"",ROUND(($K93*'設定項目'!$C$6+$L93*'設定項目'!$C$7+$M93*'設定項目'!$C$8+$N93*'設定項目'!$C$9+$O93*'設定項目'!$C$10+$P93*'設定項目'!$C$11+$Q93*'設定項目'!$C$12)*20,1))</f>
        <v/>
      </c>
      <c r="S93" s="25">
        <f>IF($R93="","",IF($R93&gt;='設定項目'!$G$6,"優秀",IF($R93&gt;='設定項目'!$G$7,"良好",IF($R93&gt;='設定項目'!$G$8,"要注意","不合格"))))</f>
        <v/>
      </c>
      <c r="T93" s="25" t="n"/>
      <c r="U93" s="25" t="n"/>
      <c r="V93" s="28" t="n"/>
      <c r="W93" s="28" t="n"/>
      <c r="X93" s="25" t="n"/>
      <c r="Y93" s="25" t="n"/>
    </row>
    <row r="94" ht="24" customHeight="1">
      <c r="A94" s="25">
        <f>IF($B94="","","SQ-"&amp;TEXT(ROW()-4,"0000"))</f>
        <v/>
      </c>
      <c r="B94" s="143" t="n"/>
      <c r="C94" s="25" t="n"/>
      <c r="D94" s="25" t="n"/>
      <c r="E94" s="25" t="n"/>
      <c r="F94" s="25" t="n"/>
      <c r="G94" s="25" t="n"/>
      <c r="H94" s="25" t="n"/>
      <c r="I94" s="25" t="n"/>
      <c r="J94" s="25" t="n"/>
      <c r="K94" s="139" t="n"/>
      <c r="L94" s="139" t="n"/>
      <c r="M94" s="139" t="n"/>
      <c r="N94" s="139" t="n"/>
      <c r="O94" s="139" t="n"/>
      <c r="P94" s="139" t="n"/>
      <c r="Q94" s="139" t="n"/>
      <c r="R94" s="142">
        <f>IF(COUNT($K94:$Q94)&lt;7,"",ROUND(($K94*'設定項目'!$C$6+$L94*'設定項目'!$C$7+$M94*'設定項目'!$C$8+$N94*'設定項目'!$C$9+$O94*'設定項目'!$C$10+$P94*'設定項目'!$C$11+$Q94*'設定項目'!$C$12)*20,1))</f>
        <v/>
      </c>
      <c r="S94" s="25">
        <f>IF($R94="","",IF($R94&gt;='設定項目'!$G$6,"優秀",IF($R94&gt;='設定項目'!$G$7,"良好",IF($R94&gt;='設定項目'!$G$8,"要注意","不合格"))))</f>
        <v/>
      </c>
      <c r="T94" s="25" t="n"/>
      <c r="U94" s="25" t="n"/>
      <c r="V94" s="28" t="n"/>
      <c r="W94" s="28" t="n"/>
      <c r="X94" s="25" t="n"/>
      <c r="Y94" s="25" t="n"/>
    </row>
    <row r="95" ht="24" customHeight="1">
      <c r="A95" s="25">
        <f>IF($B95="","","SQ-"&amp;TEXT(ROW()-4,"0000"))</f>
        <v/>
      </c>
      <c r="B95" s="143" t="n"/>
      <c r="C95" s="25" t="n"/>
      <c r="D95" s="25" t="n"/>
      <c r="E95" s="25" t="n"/>
      <c r="F95" s="25" t="n"/>
      <c r="G95" s="25" t="n"/>
      <c r="H95" s="25" t="n"/>
      <c r="I95" s="25" t="n"/>
      <c r="J95" s="25" t="n"/>
      <c r="K95" s="139" t="n"/>
      <c r="L95" s="139" t="n"/>
      <c r="M95" s="139" t="n"/>
      <c r="N95" s="139" t="n"/>
      <c r="O95" s="139" t="n"/>
      <c r="P95" s="139" t="n"/>
      <c r="Q95" s="139" t="n"/>
      <c r="R95" s="142">
        <f>IF(COUNT($K95:$Q95)&lt;7,"",ROUND(($K95*'設定項目'!$C$6+$L95*'設定項目'!$C$7+$M95*'設定項目'!$C$8+$N95*'設定項目'!$C$9+$O95*'設定項目'!$C$10+$P95*'設定項目'!$C$11+$Q95*'設定項目'!$C$12)*20,1))</f>
        <v/>
      </c>
      <c r="S95" s="25">
        <f>IF($R95="","",IF($R95&gt;='設定項目'!$G$6,"優秀",IF($R95&gt;='設定項目'!$G$7,"良好",IF($R95&gt;='設定項目'!$G$8,"要注意","不合格"))))</f>
        <v/>
      </c>
      <c r="T95" s="25" t="n"/>
      <c r="U95" s="25" t="n"/>
      <c r="V95" s="28" t="n"/>
      <c r="W95" s="28" t="n"/>
      <c r="X95" s="25" t="n"/>
      <c r="Y95" s="25" t="n"/>
    </row>
    <row r="96" ht="24" customHeight="1">
      <c r="A96" s="25">
        <f>IF($B96="","","SQ-"&amp;TEXT(ROW()-4,"0000"))</f>
        <v/>
      </c>
      <c r="B96" s="143" t="n"/>
      <c r="C96" s="25" t="n"/>
      <c r="D96" s="25" t="n"/>
      <c r="E96" s="25" t="n"/>
      <c r="F96" s="25" t="n"/>
      <c r="G96" s="25" t="n"/>
      <c r="H96" s="25" t="n"/>
      <c r="I96" s="25" t="n"/>
      <c r="J96" s="25" t="n"/>
      <c r="K96" s="139" t="n"/>
      <c r="L96" s="139" t="n"/>
      <c r="M96" s="139" t="n"/>
      <c r="N96" s="139" t="n"/>
      <c r="O96" s="139" t="n"/>
      <c r="P96" s="139" t="n"/>
      <c r="Q96" s="139" t="n"/>
      <c r="R96" s="142">
        <f>IF(COUNT($K96:$Q96)&lt;7,"",ROUND(($K96*'設定項目'!$C$6+$L96*'設定項目'!$C$7+$M96*'設定項目'!$C$8+$N96*'設定項目'!$C$9+$O96*'設定項目'!$C$10+$P96*'設定項目'!$C$11+$Q96*'設定項目'!$C$12)*20,1))</f>
        <v/>
      </c>
      <c r="S96" s="25">
        <f>IF($R96="","",IF($R96&gt;='設定項目'!$G$6,"優秀",IF($R96&gt;='設定項目'!$G$7,"良好",IF($R96&gt;='設定項目'!$G$8,"要注意","不合格"))))</f>
        <v/>
      </c>
      <c r="T96" s="25" t="n"/>
      <c r="U96" s="25" t="n"/>
      <c r="V96" s="28" t="n"/>
      <c r="W96" s="28" t="n"/>
      <c r="X96" s="25" t="n"/>
      <c r="Y96" s="25" t="n"/>
    </row>
    <row r="97" ht="24" customHeight="1">
      <c r="A97" s="25">
        <f>IF($B97="","","SQ-"&amp;TEXT(ROW()-4,"0000"))</f>
        <v/>
      </c>
      <c r="B97" s="143" t="n"/>
      <c r="C97" s="25" t="n"/>
      <c r="D97" s="25" t="n"/>
      <c r="E97" s="25" t="n"/>
      <c r="F97" s="25" t="n"/>
      <c r="G97" s="25" t="n"/>
      <c r="H97" s="25" t="n"/>
      <c r="I97" s="25" t="n"/>
      <c r="J97" s="25" t="n"/>
      <c r="K97" s="139" t="n"/>
      <c r="L97" s="139" t="n"/>
      <c r="M97" s="139" t="n"/>
      <c r="N97" s="139" t="n"/>
      <c r="O97" s="139" t="n"/>
      <c r="P97" s="139" t="n"/>
      <c r="Q97" s="139" t="n"/>
      <c r="R97" s="142">
        <f>IF(COUNT($K97:$Q97)&lt;7,"",ROUND(($K97*'設定項目'!$C$6+$L97*'設定項目'!$C$7+$M97*'設定項目'!$C$8+$N97*'設定項目'!$C$9+$O97*'設定項目'!$C$10+$P97*'設定項目'!$C$11+$Q97*'設定項目'!$C$12)*20,1))</f>
        <v/>
      </c>
      <c r="S97" s="25">
        <f>IF($R97="","",IF($R97&gt;='設定項目'!$G$6,"優秀",IF($R97&gt;='設定項目'!$G$7,"良好",IF($R97&gt;='設定項目'!$G$8,"要注意","不合格"))))</f>
        <v/>
      </c>
      <c r="T97" s="25" t="n"/>
      <c r="U97" s="25" t="n"/>
      <c r="V97" s="28" t="n"/>
      <c r="W97" s="28" t="n"/>
      <c r="X97" s="25" t="n"/>
      <c r="Y97" s="25" t="n"/>
    </row>
    <row r="98" ht="24" customHeight="1">
      <c r="A98" s="25">
        <f>IF($B98="","","SQ-"&amp;TEXT(ROW()-4,"0000"))</f>
        <v/>
      </c>
      <c r="B98" s="143" t="n"/>
      <c r="C98" s="25" t="n"/>
      <c r="D98" s="25" t="n"/>
      <c r="E98" s="25" t="n"/>
      <c r="F98" s="25" t="n"/>
      <c r="G98" s="25" t="n"/>
      <c r="H98" s="25" t="n"/>
      <c r="I98" s="25" t="n"/>
      <c r="J98" s="25" t="n"/>
      <c r="K98" s="139" t="n"/>
      <c r="L98" s="139" t="n"/>
      <c r="M98" s="139" t="n"/>
      <c r="N98" s="139" t="n"/>
      <c r="O98" s="139" t="n"/>
      <c r="P98" s="139" t="n"/>
      <c r="Q98" s="139" t="n"/>
      <c r="R98" s="142">
        <f>IF(COUNT($K98:$Q98)&lt;7,"",ROUND(($K98*'設定項目'!$C$6+$L98*'設定項目'!$C$7+$M98*'設定項目'!$C$8+$N98*'設定項目'!$C$9+$O98*'設定項目'!$C$10+$P98*'設定項目'!$C$11+$Q98*'設定項目'!$C$12)*20,1))</f>
        <v/>
      </c>
      <c r="S98" s="25">
        <f>IF($R98="","",IF($R98&gt;='設定項目'!$G$6,"優秀",IF($R98&gt;='設定項目'!$G$7,"良好",IF($R98&gt;='設定項目'!$G$8,"要注意","不合格"))))</f>
        <v/>
      </c>
      <c r="T98" s="25" t="n"/>
      <c r="U98" s="25" t="n"/>
      <c r="V98" s="28" t="n"/>
      <c r="W98" s="28" t="n"/>
      <c r="X98" s="25" t="n"/>
      <c r="Y98" s="25" t="n"/>
    </row>
    <row r="99" ht="24" customHeight="1">
      <c r="A99" s="25">
        <f>IF($B99="","","SQ-"&amp;TEXT(ROW()-4,"0000"))</f>
        <v/>
      </c>
      <c r="B99" s="143" t="n"/>
      <c r="C99" s="25" t="n"/>
      <c r="D99" s="25" t="n"/>
      <c r="E99" s="25" t="n"/>
      <c r="F99" s="25" t="n"/>
      <c r="G99" s="25" t="n"/>
      <c r="H99" s="25" t="n"/>
      <c r="I99" s="25" t="n"/>
      <c r="J99" s="25" t="n"/>
      <c r="K99" s="139" t="n"/>
      <c r="L99" s="139" t="n"/>
      <c r="M99" s="139" t="n"/>
      <c r="N99" s="139" t="n"/>
      <c r="O99" s="139" t="n"/>
      <c r="P99" s="139" t="n"/>
      <c r="Q99" s="139" t="n"/>
      <c r="R99" s="142">
        <f>IF(COUNT($K99:$Q99)&lt;7,"",ROUND(($K99*'設定項目'!$C$6+$L99*'設定項目'!$C$7+$M99*'設定項目'!$C$8+$N99*'設定項目'!$C$9+$O99*'設定項目'!$C$10+$P99*'設定項目'!$C$11+$Q99*'設定項目'!$C$12)*20,1))</f>
        <v/>
      </c>
      <c r="S99" s="25">
        <f>IF($R99="","",IF($R99&gt;='設定項目'!$G$6,"優秀",IF($R99&gt;='設定項目'!$G$7,"良好",IF($R99&gt;='設定項目'!$G$8,"要注意","不合格"))))</f>
        <v/>
      </c>
      <c r="T99" s="25" t="n"/>
      <c r="U99" s="25" t="n"/>
      <c r="V99" s="28" t="n"/>
      <c r="W99" s="28" t="n"/>
      <c r="X99" s="25" t="n"/>
      <c r="Y99" s="25" t="n"/>
    </row>
    <row r="100" ht="24" customHeight="1">
      <c r="A100" s="25">
        <f>IF($B100="","","SQ-"&amp;TEXT(ROW()-4,"0000"))</f>
        <v/>
      </c>
      <c r="B100" s="143" t="n"/>
      <c r="C100" s="25" t="n"/>
      <c r="D100" s="25" t="n"/>
      <c r="E100" s="25" t="n"/>
      <c r="F100" s="25" t="n"/>
      <c r="G100" s="25" t="n"/>
      <c r="H100" s="25" t="n"/>
      <c r="I100" s="25" t="n"/>
      <c r="J100" s="25" t="n"/>
      <c r="K100" s="139" t="n"/>
      <c r="L100" s="139" t="n"/>
      <c r="M100" s="139" t="n"/>
      <c r="N100" s="139" t="n"/>
      <c r="O100" s="139" t="n"/>
      <c r="P100" s="139" t="n"/>
      <c r="Q100" s="139" t="n"/>
      <c r="R100" s="142">
        <f>IF(COUNT($K100:$Q100)&lt;7,"",ROUND(($K100*'設定項目'!$C$6+$L100*'設定項目'!$C$7+$M100*'設定項目'!$C$8+$N100*'設定項目'!$C$9+$O100*'設定項目'!$C$10+$P100*'設定項目'!$C$11+$Q100*'設定項目'!$C$12)*20,1))</f>
        <v/>
      </c>
      <c r="S100" s="25">
        <f>IF($R100="","",IF($R100&gt;='設定項目'!$G$6,"優秀",IF($R100&gt;='設定項目'!$G$7,"良好",IF($R100&gt;='設定項目'!$G$8,"要注意","不合格"))))</f>
        <v/>
      </c>
      <c r="T100" s="25" t="n"/>
      <c r="U100" s="25" t="n"/>
      <c r="V100" s="28" t="n"/>
      <c r="W100" s="28" t="n"/>
      <c r="X100" s="25" t="n"/>
      <c r="Y100" s="25" t="n"/>
    </row>
    <row r="101" ht="24" customHeight="1">
      <c r="A101" s="25">
        <f>IF($B101="","","SQ-"&amp;TEXT(ROW()-4,"0000"))</f>
        <v/>
      </c>
      <c r="B101" s="143" t="n"/>
      <c r="C101" s="25" t="n"/>
      <c r="D101" s="25" t="n"/>
      <c r="E101" s="25" t="n"/>
      <c r="F101" s="25" t="n"/>
      <c r="G101" s="25" t="n"/>
      <c r="H101" s="25" t="n"/>
      <c r="I101" s="25" t="n"/>
      <c r="J101" s="25" t="n"/>
      <c r="K101" s="139" t="n"/>
      <c r="L101" s="139" t="n"/>
      <c r="M101" s="139" t="n"/>
      <c r="N101" s="139" t="n"/>
      <c r="O101" s="139" t="n"/>
      <c r="P101" s="139" t="n"/>
      <c r="Q101" s="139" t="n"/>
      <c r="R101" s="142">
        <f>IF(COUNT($K101:$Q101)&lt;7,"",ROUND(($K101*'設定項目'!$C$6+$L101*'設定項目'!$C$7+$M101*'設定項目'!$C$8+$N101*'設定項目'!$C$9+$O101*'設定項目'!$C$10+$P101*'設定項目'!$C$11+$Q101*'設定項目'!$C$12)*20,1))</f>
        <v/>
      </c>
      <c r="S101" s="25">
        <f>IF($R101="","",IF($R101&gt;='設定項目'!$G$6,"優秀",IF($R101&gt;='設定項目'!$G$7,"良好",IF($R101&gt;='設定項目'!$G$8,"要注意","不合格"))))</f>
        <v/>
      </c>
      <c r="T101" s="25" t="n"/>
      <c r="U101" s="25" t="n"/>
      <c r="V101" s="28" t="n"/>
      <c r="W101" s="28" t="n"/>
      <c r="X101" s="25" t="n"/>
      <c r="Y101" s="25" t="n"/>
    </row>
    <row r="102" ht="24" customHeight="1">
      <c r="A102" s="25">
        <f>IF($B102="","","SQ-"&amp;TEXT(ROW()-4,"0000"))</f>
        <v/>
      </c>
      <c r="B102" s="143" t="n"/>
      <c r="C102" s="25" t="n"/>
      <c r="D102" s="25" t="n"/>
      <c r="E102" s="25" t="n"/>
      <c r="F102" s="25" t="n"/>
      <c r="G102" s="25" t="n"/>
      <c r="H102" s="25" t="n"/>
      <c r="I102" s="25" t="n"/>
      <c r="J102" s="25" t="n"/>
      <c r="K102" s="139" t="n"/>
      <c r="L102" s="139" t="n"/>
      <c r="M102" s="139" t="n"/>
      <c r="N102" s="139" t="n"/>
      <c r="O102" s="139" t="n"/>
      <c r="P102" s="139" t="n"/>
      <c r="Q102" s="139" t="n"/>
      <c r="R102" s="142">
        <f>IF(COUNT($K102:$Q102)&lt;7,"",ROUND(($K102*'設定項目'!$C$6+$L102*'設定項目'!$C$7+$M102*'設定項目'!$C$8+$N102*'設定項目'!$C$9+$O102*'設定項目'!$C$10+$P102*'設定項目'!$C$11+$Q102*'設定項目'!$C$12)*20,1))</f>
        <v/>
      </c>
      <c r="S102" s="25">
        <f>IF($R102="","",IF($R102&gt;='設定項目'!$G$6,"優秀",IF($R102&gt;='設定項目'!$G$7,"良好",IF($R102&gt;='設定項目'!$G$8,"要注意","不合格"))))</f>
        <v/>
      </c>
      <c r="T102" s="25" t="n"/>
      <c r="U102" s="25" t="n"/>
      <c r="V102" s="28" t="n"/>
      <c r="W102" s="28" t="n"/>
      <c r="X102" s="25" t="n"/>
      <c r="Y102" s="25" t="n"/>
    </row>
    <row r="103" ht="24" customHeight="1">
      <c r="A103" s="25">
        <f>IF($B103="","","SQ-"&amp;TEXT(ROW()-4,"0000"))</f>
        <v/>
      </c>
      <c r="B103" s="143" t="n"/>
      <c r="C103" s="25" t="n"/>
      <c r="D103" s="25" t="n"/>
      <c r="E103" s="25" t="n"/>
      <c r="F103" s="25" t="n"/>
      <c r="G103" s="25" t="n"/>
      <c r="H103" s="25" t="n"/>
      <c r="I103" s="25" t="n"/>
      <c r="J103" s="25" t="n"/>
      <c r="K103" s="139" t="n"/>
      <c r="L103" s="139" t="n"/>
      <c r="M103" s="139" t="n"/>
      <c r="N103" s="139" t="n"/>
      <c r="O103" s="139" t="n"/>
      <c r="P103" s="139" t="n"/>
      <c r="Q103" s="139" t="n"/>
      <c r="R103" s="142">
        <f>IF(COUNT($K103:$Q103)&lt;7,"",ROUND(($K103*'設定項目'!$C$6+$L103*'設定項目'!$C$7+$M103*'設定項目'!$C$8+$N103*'設定項目'!$C$9+$O103*'設定項目'!$C$10+$P103*'設定項目'!$C$11+$Q103*'設定項目'!$C$12)*20,1))</f>
        <v/>
      </c>
      <c r="S103" s="25">
        <f>IF($R103="","",IF($R103&gt;='設定項目'!$G$6,"優秀",IF($R103&gt;='設定項目'!$G$7,"良好",IF($R103&gt;='設定項目'!$G$8,"要注意","不合格"))))</f>
        <v/>
      </c>
      <c r="T103" s="25" t="n"/>
      <c r="U103" s="25" t="n"/>
      <c r="V103" s="28" t="n"/>
      <c r="W103" s="28" t="n"/>
      <c r="X103" s="25" t="n"/>
      <c r="Y103" s="25" t="n"/>
    </row>
    <row r="104" ht="24" customHeight="1">
      <c r="A104" s="25">
        <f>IF($B104="","","SQ-"&amp;TEXT(ROW()-4,"0000"))</f>
        <v/>
      </c>
      <c r="B104" s="143" t="n"/>
      <c r="C104" s="25" t="n"/>
      <c r="D104" s="25" t="n"/>
      <c r="E104" s="25" t="n"/>
      <c r="F104" s="25" t="n"/>
      <c r="G104" s="25" t="n"/>
      <c r="H104" s="25" t="n"/>
      <c r="I104" s="25" t="n"/>
      <c r="J104" s="25" t="n"/>
      <c r="K104" s="139" t="n"/>
      <c r="L104" s="139" t="n"/>
      <c r="M104" s="139" t="n"/>
      <c r="N104" s="139" t="n"/>
      <c r="O104" s="139" t="n"/>
      <c r="P104" s="139" t="n"/>
      <c r="Q104" s="139" t="n"/>
      <c r="R104" s="142">
        <f>IF(COUNT($K104:$Q104)&lt;7,"",ROUND(($K104*'設定項目'!$C$6+$L104*'設定項目'!$C$7+$M104*'設定項目'!$C$8+$N104*'設定項目'!$C$9+$O104*'設定項目'!$C$10+$P104*'設定項目'!$C$11+$Q104*'設定項目'!$C$12)*20,1))</f>
        <v/>
      </c>
      <c r="S104" s="25">
        <f>IF($R104="","",IF($R104&gt;='設定項目'!$G$6,"優秀",IF($R104&gt;='設定項目'!$G$7,"良好",IF($R104&gt;='設定項目'!$G$8,"要注意","不合格"))))</f>
        <v/>
      </c>
      <c r="T104" s="25" t="n"/>
      <c r="U104" s="25" t="n"/>
      <c r="V104" s="28" t="n"/>
      <c r="W104" s="28" t="n"/>
      <c r="X104" s="25" t="n"/>
      <c r="Y104" s="25" t="n"/>
    </row>
    <row r="105" ht="24" customHeight="1">
      <c r="A105" s="25">
        <f>IF($B105="","","SQ-"&amp;TEXT(ROW()-4,"0000"))</f>
        <v/>
      </c>
      <c r="B105" s="143" t="n"/>
      <c r="C105" s="25" t="n"/>
      <c r="D105" s="25" t="n"/>
      <c r="E105" s="25" t="n"/>
      <c r="F105" s="25" t="n"/>
      <c r="G105" s="25" t="n"/>
      <c r="H105" s="25" t="n"/>
      <c r="I105" s="25" t="n"/>
      <c r="J105" s="25" t="n"/>
      <c r="K105" s="139" t="n"/>
      <c r="L105" s="139" t="n"/>
      <c r="M105" s="139" t="n"/>
      <c r="N105" s="139" t="n"/>
      <c r="O105" s="139" t="n"/>
      <c r="P105" s="139" t="n"/>
      <c r="Q105" s="139" t="n"/>
      <c r="R105" s="142">
        <f>IF(COUNT($K105:$Q105)&lt;7,"",ROUND(($K105*'設定項目'!$C$6+$L105*'設定項目'!$C$7+$M105*'設定項目'!$C$8+$N105*'設定項目'!$C$9+$O105*'設定項目'!$C$10+$P105*'設定項目'!$C$11+$Q105*'設定項目'!$C$12)*20,1))</f>
        <v/>
      </c>
      <c r="S105" s="25">
        <f>IF($R105="","",IF($R105&gt;='設定項目'!$G$6,"優秀",IF($R105&gt;='設定項目'!$G$7,"良好",IF($R105&gt;='設定項目'!$G$8,"要注意","不合格"))))</f>
        <v/>
      </c>
      <c r="T105" s="25" t="n"/>
      <c r="U105" s="25" t="n"/>
      <c r="V105" s="28" t="n"/>
      <c r="W105" s="28" t="n"/>
      <c r="X105" s="25" t="n"/>
      <c r="Y105" s="25" t="n"/>
    </row>
    <row r="106" ht="24" customHeight="1">
      <c r="A106" s="25">
        <f>IF($B106="","","SQ-"&amp;TEXT(ROW()-4,"0000"))</f>
        <v/>
      </c>
      <c r="B106" s="143" t="n"/>
      <c r="C106" s="25" t="n"/>
      <c r="D106" s="25" t="n"/>
      <c r="E106" s="25" t="n"/>
      <c r="F106" s="25" t="n"/>
      <c r="G106" s="25" t="n"/>
      <c r="H106" s="25" t="n"/>
      <c r="I106" s="25" t="n"/>
      <c r="J106" s="25" t="n"/>
      <c r="K106" s="139" t="n"/>
      <c r="L106" s="139" t="n"/>
      <c r="M106" s="139" t="n"/>
      <c r="N106" s="139" t="n"/>
      <c r="O106" s="139" t="n"/>
      <c r="P106" s="139" t="n"/>
      <c r="Q106" s="139" t="n"/>
      <c r="R106" s="142">
        <f>IF(COUNT($K106:$Q106)&lt;7,"",ROUND(($K106*'設定項目'!$C$6+$L106*'設定項目'!$C$7+$M106*'設定項目'!$C$8+$N106*'設定項目'!$C$9+$O106*'設定項目'!$C$10+$P106*'設定項目'!$C$11+$Q106*'設定項目'!$C$12)*20,1))</f>
        <v/>
      </c>
      <c r="S106" s="25">
        <f>IF($R106="","",IF($R106&gt;='設定項目'!$G$6,"優秀",IF($R106&gt;='設定項目'!$G$7,"良好",IF($R106&gt;='設定項目'!$G$8,"要注意","不合格"))))</f>
        <v/>
      </c>
      <c r="T106" s="25" t="n"/>
      <c r="U106" s="25" t="n"/>
      <c r="V106" s="28" t="n"/>
      <c r="W106" s="28" t="n"/>
      <c r="X106" s="25" t="n"/>
      <c r="Y106" s="25" t="n"/>
    </row>
    <row r="107" ht="24" customHeight="1">
      <c r="A107" s="25">
        <f>IF($B107="","","SQ-"&amp;TEXT(ROW()-4,"0000"))</f>
        <v/>
      </c>
      <c r="B107" s="143" t="n"/>
      <c r="C107" s="25" t="n"/>
      <c r="D107" s="25" t="n"/>
      <c r="E107" s="25" t="n"/>
      <c r="F107" s="25" t="n"/>
      <c r="G107" s="25" t="n"/>
      <c r="H107" s="25" t="n"/>
      <c r="I107" s="25" t="n"/>
      <c r="J107" s="25" t="n"/>
      <c r="K107" s="139" t="n"/>
      <c r="L107" s="139" t="n"/>
      <c r="M107" s="139" t="n"/>
      <c r="N107" s="139" t="n"/>
      <c r="O107" s="139" t="n"/>
      <c r="P107" s="139" t="n"/>
      <c r="Q107" s="139" t="n"/>
      <c r="R107" s="142">
        <f>IF(COUNT($K107:$Q107)&lt;7,"",ROUND(($K107*'設定項目'!$C$6+$L107*'設定項目'!$C$7+$M107*'設定項目'!$C$8+$N107*'設定項目'!$C$9+$O107*'設定項目'!$C$10+$P107*'設定項目'!$C$11+$Q107*'設定項目'!$C$12)*20,1))</f>
        <v/>
      </c>
      <c r="S107" s="25">
        <f>IF($R107="","",IF($R107&gt;='設定項目'!$G$6,"優秀",IF($R107&gt;='設定項目'!$G$7,"良好",IF($R107&gt;='設定項目'!$G$8,"要注意","不合格"))))</f>
        <v/>
      </c>
      <c r="T107" s="25" t="n"/>
      <c r="U107" s="25" t="n"/>
      <c r="V107" s="28" t="n"/>
      <c r="W107" s="28" t="n"/>
      <c r="X107" s="25" t="n"/>
      <c r="Y107" s="25" t="n"/>
    </row>
    <row r="108" ht="24" customHeight="1">
      <c r="A108" s="25">
        <f>IF($B108="","","SQ-"&amp;TEXT(ROW()-4,"0000"))</f>
        <v/>
      </c>
      <c r="B108" s="143" t="n"/>
      <c r="C108" s="25" t="n"/>
      <c r="D108" s="25" t="n"/>
      <c r="E108" s="25" t="n"/>
      <c r="F108" s="25" t="n"/>
      <c r="G108" s="25" t="n"/>
      <c r="H108" s="25" t="n"/>
      <c r="I108" s="25" t="n"/>
      <c r="J108" s="25" t="n"/>
      <c r="K108" s="139" t="n"/>
      <c r="L108" s="139" t="n"/>
      <c r="M108" s="139" t="n"/>
      <c r="N108" s="139" t="n"/>
      <c r="O108" s="139" t="n"/>
      <c r="P108" s="139" t="n"/>
      <c r="Q108" s="139" t="n"/>
      <c r="R108" s="142">
        <f>IF(COUNT($K108:$Q108)&lt;7,"",ROUND(($K108*'設定項目'!$C$6+$L108*'設定項目'!$C$7+$M108*'設定項目'!$C$8+$N108*'設定項目'!$C$9+$O108*'設定項目'!$C$10+$P108*'設定項目'!$C$11+$Q108*'設定項目'!$C$12)*20,1))</f>
        <v/>
      </c>
      <c r="S108" s="25">
        <f>IF($R108="","",IF($R108&gt;='設定項目'!$G$6,"優秀",IF($R108&gt;='設定項目'!$G$7,"良好",IF($R108&gt;='設定項目'!$G$8,"要注意","不合格"))))</f>
        <v/>
      </c>
      <c r="T108" s="25" t="n"/>
      <c r="U108" s="25" t="n"/>
      <c r="V108" s="28" t="n"/>
      <c r="W108" s="28" t="n"/>
      <c r="X108" s="25" t="n"/>
      <c r="Y108" s="25" t="n"/>
    </row>
    <row r="109" ht="24" customHeight="1">
      <c r="A109" s="25">
        <f>IF($B109="","","SQ-"&amp;TEXT(ROW()-4,"0000"))</f>
        <v/>
      </c>
      <c r="B109" s="143" t="n"/>
      <c r="C109" s="25" t="n"/>
      <c r="D109" s="25" t="n"/>
      <c r="E109" s="25" t="n"/>
      <c r="F109" s="25" t="n"/>
      <c r="G109" s="25" t="n"/>
      <c r="H109" s="25" t="n"/>
      <c r="I109" s="25" t="n"/>
      <c r="J109" s="25" t="n"/>
      <c r="K109" s="139" t="n"/>
      <c r="L109" s="139" t="n"/>
      <c r="M109" s="139" t="n"/>
      <c r="N109" s="139" t="n"/>
      <c r="O109" s="139" t="n"/>
      <c r="P109" s="139" t="n"/>
      <c r="Q109" s="139" t="n"/>
      <c r="R109" s="142">
        <f>IF(COUNT($K109:$Q109)&lt;7,"",ROUND(($K109*'設定項目'!$C$6+$L109*'設定項目'!$C$7+$M109*'設定項目'!$C$8+$N109*'設定項目'!$C$9+$O109*'設定項目'!$C$10+$P109*'設定項目'!$C$11+$Q109*'設定項目'!$C$12)*20,1))</f>
        <v/>
      </c>
      <c r="S109" s="25">
        <f>IF($R109="","",IF($R109&gt;='設定項目'!$G$6,"優秀",IF($R109&gt;='設定項目'!$G$7,"良好",IF($R109&gt;='設定項目'!$G$8,"要注意","不合格"))))</f>
        <v/>
      </c>
      <c r="T109" s="25" t="n"/>
      <c r="U109" s="25" t="n"/>
      <c r="V109" s="28" t="n"/>
      <c r="W109" s="28" t="n"/>
      <c r="X109" s="25" t="n"/>
      <c r="Y109" s="25" t="n"/>
    </row>
    <row r="110" ht="24" customHeight="1">
      <c r="A110" s="25">
        <f>IF($B110="","","SQ-"&amp;TEXT(ROW()-4,"0000"))</f>
        <v/>
      </c>
      <c r="B110" s="143" t="n"/>
      <c r="C110" s="25" t="n"/>
      <c r="D110" s="25" t="n"/>
      <c r="E110" s="25" t="n"/>
      <c r="F110" s="25" t="n"/>
      <c r="G110" s="25" t="n"/>
      <c r="H110" s="25" t="n"/>
      <c r="I110" s="25" t="n"/>
      <c r="J110" s="25" t="n"/>
      <c r="K110" s="139" t="n"/>
      <c r="L110" s="139" t="n"/>
      <c r="M110" s="139" t="n"/>
      <c r="N110" s="139" t="n"/>
      <c r="O110" s="139" t="n"/>
      <c r="P110" s="139" t="n"/>
      <c r="Q110" s="139" t="n"/>
      <c r="R110" s="142">
        <f>IF(COUNT($K110:$Q110)&lt;7,"",ROUND(($K110*'設定項目'!$C$6+$L110*'設定項目'!$C$7+$M110*'設定項目'!$C$8+$N110*'設定項目'!$C$9+$O110*'設定項目'!$C$10+$P110*'設定項目'!$C$11+$Q110*'設定項目'!$C$12)*20,1))</f>
        <v/>
      </c>
      <c r="S110" s="25">
        <f>IF($R110="","",IF($R110&gt;='設定項目'!$G$6,"優秀",IF($R110&gt;='設定項目'!$G$7,"良好",IF($R110&gt;='設定項目'!$G$8,"要注意","不合格"))))</f>
        <v/>
      </c>
      <c r="T110" s="25" t="n"/>
      <c r="U110" s="25" t="n"/>
      <c r="V110" s="28" t="n"/>
      <c r="W110" s="28" t="n"/>
      <c r="X110" s="25" t="n"/>
      <c r="Y110" s="25" t="n"/>
    </row>
    <row r="111" ht="24" customHeight="1">
      <c r="A111" s="25">
        <f>IF($B111="","","SQ-"&amp;TEXT(ROW()-4,"0000"))</f>
        <v/>
      </c>
      <c r="B111" s="143" t="n"/>
      <c r="C111" s="25" t="n"/>
      <c r="D111" s="25" t="n"/>
      <c r="E111" s="25" t="n"/>
      <c r="F111" s="25" t="n"/>
      <c r="G111" s="25" t="n"/>
      <c r="H111" s="25" t="n"/>
      <c r="I111" s="25" t="n"/>
      <c r="J111" s="25" t="n"/>
      <c r="K111" s="139" t="n"/>
      <c r="L111" s="139" t="n"/>
      <c r="M111" s="139" t="n"/>
      <c r="N111" s="139" t="n"/>
      <c r="O111" s="139" t="n"/>
      <c r="P111" s="139" t="n"/>
      <c r="Q111" s="139" t="n"/>
      <c r="R111" s="142">
        <f>IF(COUNT($K111:$Q111)&lt;7,"",ROUND(($K111*'設定項目'!$C$6+$L111*'設定項目'!$C$7+$M111*'設定項目'!$C$8+$N111*'設定項目'!$C$9+$O111*'設定項目'!$C$10+$P111*'設定項目'!$C$11+$Q111*'設定項目'!$C$12)*20,1))</f>
        <v/>
      </c>
      <c r="S111" s="25">
        <f>IF($R111="","",IF($R111&gt;='設定項目'!$G$6,"優秀",IF($R111&gt;='設定項目'!$G$7,"良好",IF($R111&gt;='設定項目'!$G$8,"要注意","不合格"))))</f>
        <v/>
      </c>
      <c r="T111" s="25" t="n"/>
      <c r="U111" s="25" t="n"/>
      <c r="V111" s="28" t="n"/>
      <c r="W111" s="28" t="n"/>
      <c r="X111" s="25" t="n"/>
      <c r="Y111" s="25" t="n"/>
    </row>
    <row r="112" ht="24" customHeight="1">
      <c r="A112" s="25">
        <f>IF($B112="","","SQ-"&amp;TEXT(ROW()-4,"0000"))</f>
        <v/>
      </c>
      <c r="B112" s="143" t="n"/>
      <c r="C112" s="25" t="n"/>
      <c r="D112" s="25" t="n"/>
      <c r="E112" s="25" t="n"/>
      <c r="F112" s="25" t="n"/>
      <c r="G112" s="25" t="n"/>
      <c r="H112" s="25" t="n"/>
      <c r="I112" s="25" t="n"/>
      <c r="J112" s="25" t="n"/>
      <c r="K112" s="139" t="n"/>
      <c r="L112" s="139" t="n"/>
      <c r="M112" s="139" t="n"/>
      <c r="N112" s="139" t="n"/>
      <c r="O112" s="139" t="n"/>
      <c r="P112" s="139" t="n"/>
      <c r="Q112" s="139" t="n"/>
      <c r="R112" s="142">
        <f>IF(COUNT($K112:$Q112)&lt;7,"",ROUND(($K112*'設定項目'!$C$6+$L112*'設定項目'!$C$7+$M112*'設定項目'!$C$8+$N112*'設定項目'!$C$9+$O112*'設定項目'!$C$10+$P112*'設定項目'!$C$11+$Q112*'設定項目'!$C$12)*20,1))</f>
        <v/>
      </c>
      <c r="S112" s="25">
        <f>IF($R112="","",IF($R112&gt;='設定項目'!$G$6,"優秀",IF($R112&gt;='設定項目'!$G$7,"良好",IF($R112&gt;='設定項目'!$G$8,"要注意","不合格"))))</f>
        <v/>
      </c>
      <c r="T112" s="25" t="n"/>
      <c r="U112" s="25" t="n"/>
      <c r="V112" s="28" t="n"/>
      <c r="W112" s="28" t="n"/>
      <c r="X112" s="25" t="n"/>
      <c r="Y112" s="25" t="n"/>
    </row>
    <row r="113" ht="24" customHeight="1">
      <c r="A113" s="25">
        <f>IF($B113="","","SQ-"&amp;TEXT(ROW()-4,"0000"))</f>
        <v/>
      </c>
      <c r="B113" s="143" t="n"/>
      <c r="C113" s="25" t="n"/>
      <c r="D113" s="25" t="n"/>
      <c r="E113" s="25" t="n"/>
      <c r="F113" s="25" t="n"/>
      <c r="G113" s="25" t="n"/>
      <c r="H113" s="25" t="n"/>
      <c r="I113" s="25" t="n"/>
      <c r="J113" s="25" t="n"/>
      <c r="K113" s="139" t="n"/>
      <c r="L113" s="139" t="n"/>
      <c r="M113" s="139" t="n"/>
      <c r="N113" s="139" t="n"/>
      <c r="O113" s="139" t="n"/>
      <c r="P113" s="139" t="n"/>
      <c r="Q113" s="139" t="n"/>
      <c r="R113" s="142">
        <f>IF(COUNT($K113:$Q113)&lt;7,"",ROUND(($K113*'設定項目'!$C$6+$L113*'設定項目'!$C$7+$M113*'設定項目'!$C$8+$N113*'設定項目'!$C$9+$O113*'設定項目'!$C$10+$P113*'設定項目'!$C$11+$Q113*'設定項目'!$C$12)*20,1))</f>
        <v/>
      </c>
      <c r="S113" s="25">
        <f>IF($R113="","",IF($R113&gt;='設定項目'!$G$6,"優秀",IF($R113&gt;='設定項目'!$G$7,"良好",IF($R113&gt;='設定項目'!$G$8,"要注意","不合格"))))</f>
        <v/>
      </c>
      <c r="T113" s="25" t="n"/>
      <c r="U113" s="25" t="n"/>
      <c r="V113" s="28" t="n"/>
      <c r="W113" s="28" t="n"/>
      <c r="X113" s="25" t="n"/>
      <c r="Y113" s="25" t="n"/>
    </row>
    <row r="114" ht="24" customHeight="1">
      <c r="A114" s="25">
        <f>IF($B114="","","SQ-"&amp;TEXT(ROW()-4,"0000"))</f>
        <v/>
      </c>
      <c r="B114" s="143" t="n"/>
      <c r="C114" s="25" t="n"/>
      <c r="D114" s="25" t="n"/>
      <c r="E114" s="25" t="n"/>
      <c r="F114" s="25" t="n"/>
      <c r="G114" s="25" t="n"/>
      <c r="H114" s="25" t="n"/>
      <c r="I114" s="25" t="n"/>
      <c r="J114" s="25" t="n"/>
      <c r="K114" s="139" t="n"/>
      <c r="L114" s="139" t="n"/>
      <c r="M114" s="139" t="n"/>
      <c r="N114" s="139" t="n"/>
      <c r="O114" s="139" t="n"/>
      <c r="P114" s="139" t="n"/>
      <c r="Q114" s="139" t="n"/>
      <c r="R114" s="142">
        <f>IF(COUNT($K114:$Q114)&lt;7,"",ROUND(($K114*'設定項目'!$C$6+$L114*'設定項目'!$C$7+$M114*'設定項目'!$C$8+$N114*'設定項目'!$C$9+$O114*'設定項目'!$C$10+$P114*'設定項目'!$C$11+$Q114*'設定項目'!$C$12)*20,1))</f>
        <v/>
      </c>
      <c r="S114" s="25">
        <f>IF($R114="","",IF($R114&gt;='設定項目'!$G$6,"優秀",IF($R114&gt;='設定項目'!$G$7,"良好",IF($R114&gt;='設定項目'!$G$8,"要注意","不合格"))))</f>
        <v/>
      </c>
      <c r="T114" s="25" t="n"/>
      <c r="U114" s="25" t="n"/>
      <c r="V114" s="28" t="n"/>
      <c r="W114" s="28" t="n"/>
      <c r="X114" s="25" t="n"/>
      <c r="Y114" s="25" t="n"/>
    </row>
    <row r="115" ht="24" customHeight="1">
      <c r="A115" s="25">
        <f>IF($B115="","","SQ-"&amp;TEXT(ROW()-4,"0000"))</f>
        <v/>
      </c>
      <c r="B115" s="143" t="n"/>
      <c r="C115" s="25" t="n"/>
      <c r="D115" s="25" t="n"/>
      <c r="E115" s="25" t="n"/>
      <c r="F115" s="25" t="n"/>
      <c r="G115" s="25" t="n"/>
      <c r="H115" s="25" t="n"/>
      <c r="I115" s="25" t="n"/>
      <c r="J115" s="25" t="n"/>
      <c r="K115" s="139" t="n"/>
      <c r="L115" s="139" t="n"/>
      <c r="M115" s="139" t="n"/>
      <c r="N115" s="139" t="n"/>
      <c r="O115" s="139" t="n"/>
      <c r="P115" s="139" t="n"/>
      <c r="Q115" s="139" t="n"/>
      <c r="R115" s="142">
        <f>IF(COUNT($K115:$Q115)&lt;7,"",ROUND(($K115*'設定項目'!$C$6+$L115*'設定項目'!$C$7+$M115*'設定項目'!$C$8+$N115*'設定項目'!$C$9+$O115*'設定項目'!$C$10+$P115*'設定項目'!$C$11+$Q115*'設定項目'!$C$12)*20,1))</f>
        <v/>
      </c>
      <c r="S115" s="25">
        <f>IF($R115="","",IF($R115&gt;='設定項目'!$G$6,"優秀",IF($R115&gt;='設定項目'!$G$7,"良好",IF($R115&gt;='設定項目'!$G$8,"要注意","不合格"))))</f>
        <v/>
      </c>
      <c r="T115" s="25" t="n"/>
      <c r="U115" s="25" t="n"/>
      <c r="V115" s="28" t="n"/>
      <c r="W115" s="28" t="n"/>
      <c r="X115" s="25" t="n"/>
      <c r="Y115" s="25" t="n"/>
    </row>
    <row r="116" ht="24" customHeight="1">
      <c r="A116" s="25">
        <f>IF($B116="","","SQ-"&amp;TEXT(ROW()-4,"0000"))</f>
        <v/>
      </c>
      <c r="B116" s="143" t="n"/>
      <c r="C116" s="25" t="n"/>
      <c r="D116" s="25" t="n"/>
      <c r="E116" s="25" t="n"/>
      <c r="F116" s="25" t="n"/>
      <c r="G116" s="25" t="n"/>
      <c r="H116" s="25" t="n"/>
      <c r="I116" s="25" t="n"/>
      <c r="J116" s="25" t="n"/>
      <c r="K116" s="139" t="n"/>
      <c r="L116" s="139" t="n"/>
      <c r="M116" s="139" t="n"/>
      <c r="N116" s="139" t="n"/>
      <c r="O116" s="139" t="n"/>
      <c r="P116" s="139" t="n"/>
      <c r="Q116" s="139" t="n"/>
      <c r="R116" s="142">
        <f>IF(COUNT($K116:$Q116)&lt;7,"",ROUND(($K116*'設定項目'!$C$6+$L116*'設定項目'!$C$7+$M116*'設定項目'!$C$8+$N116*'設定項目'!$C$9+$O116*'設定項目'!$C$10+$P116*'設定項目'!$C$11+$Q116*'設定項目'!$C$12)*20,1))</f>
        <v/>
      </c>
      <c r="S116" s="25">
        <f>IF($R116="","",IF($R116&gt;='設定項目'!$G$6,"優秀",IF($R116&gt;='設定項目'!$G$7,"良好",IF($R116&gt;='設定項目'!$G$8,"要注意","不合格"))))</f>
        <v/>
      </c>
      <c r="T116" s="25" t="n"/>
      <c r="U116" s="25" t="n"/>
      <c r="V116" s="28" t="n"/>
      <c r="W116" s="28" t="n"/>
      <c r="X116" s="25" t="n"/>
      <c r="Y116" s="25" t="n"/>
    </row>
    <row r="117" ht="24" customHeight="1">
      <c r="A117" s="25">
        <f>IF($B117="","","SQ-"&amp;TEXT(ROW()-4,"0000"))</f>
        <v/>
      </c>
      <c r="B117" s="143" t="n"/>
      <c r="C117" s="25" t="n"/>
      <c r="D117" s="25" t="n"/>
      <c r="E117" s="25" t="n"/>
      <c r="F117" s="25" t="n"/>
      <c r="G117" s="25" t="n"/>
      <c r="H117" s="25" t="n"/>
      <c r="I117" s="25" t="n"/>
      <c r="J117" s="25" t="n"/>
      <c r="K117" s="139" t="n"/>
      <c r="L117" s="139" t="n"/>
      <c r="M117" s="139" t="n"/>
      <c r="N117" s="139" t="n"/>
      <c r="O117" s="139" t="n"/>
      <c r="P117" s="139" t="n"/>
      <c r="Q117" s="139" t="n"/>
      <c r="R117" s="142">
        <f>IF(COUNT($K117:$Q117)&lt;7,"",ROUND(($K117*'設定項目'!$C$6+$L117*'設定項目'!$C$7+$M117*'設定項目'!$C$8+$N117*'設定項目'!$C$9+$O117*'設定項目'!$C$10+$P117*'設定項目'!$C$11+$Q117*'設定項目'!$C$12)*20,1))</f>
        <v/>
      </c>
      <c r="S117" s="25">
        <f>IF($R117="","",IF($R117&gt;='設定項目'!$G$6,"優秀",IF($R117&gt;='設定項目'!$G$7,"良好",IF($R117&gt;='設定項目'!$G$8,"要注意","不合格"))))</f>
        <v/>
      </c>
      <c r="T117" s="25" t="n"/>
      <c r="U117" s="25" t="n"/>
      <c r="V117" s="28" t="n"/>
      <c r="W117" s="28" t="n"/>
      <c r="X117" s="25" t="n"/>
      <c r="Y117" s="25" t="n"/>
    </row>
    <row r="118" ht="24" customHeight="1">
      <c r="A118" s="25">
        <f>IF($B118="","","SQ-"&amp;TEXT(ROW()-4,"0000"))</f>
        <v/>
      </c>
      <c r="B118" s="143" t="n"/>
      <c r="C118" s="25" t="n"/>
      <c r="D118" s="25" t="n"/>
      <c r="E118" s="25" t="n"/>
      <c r="F118" s="25" t="n"/>
      <c r="G118" s="25" t="n"/>
      <c r="H118" s="25" t="n"/>
      <c r="I118" s="25" t="n"/>
      <c r="J118" s="25" t="n"/>
      <c r="K118" s="139" t="n"/>
      <c r="L118" s="139" t="n"/>
      <c r="M118" s="139" t="n"/>
      <c r="N118" s="139" t="n"/>
      <c r="O118" s="139" t="n"/>
      <c r="P118" s="139" t="n"/>
      <c r="Q118" s="139" t="n"/>
      <c r="R118" s="142">
        <f>IF(COUNT($K118:$Q118)&lt;7,"",ROUND(($K118*'設定項目'!$C$6+$L118*'設定項目'!$C$7+$M118*'設定項目'!$C$8+$N118*'設定項目'!$C$9+$O118*'設定項目'!$C$10+$P118*'設定項目'!$C$11+$Q118*'設定項目'!$C$12)*20,1))</f>
        <v/>
      </c>
      <c r="S118" s="25">
        <f>IF($R118="","",IF($R118&gt;='設定項目'!$G$6,"優秀",IF($R118&gt;='設定項目'!$G$7,"良好",IF($R118&gt;='設定項目'!$G$8,"要注意","不合格"))))</f>
        <v/>
      </c>
      <c r="T118" s="25" t="n"/>
      <c r="U118" s="25" t="n"/>
      <c r="V118" s="28" t="n"/>
      <c r="W118" s="28" t="n"/>
      <c r="X118" s="25" t="n"/>
      <c r="Y118" s="25" t="n"/>
    </row>
    <row r="119" ht="24" customHeight="1">
      <c r="A119" s="25">
        <f>IF($B119="","","SQ-"&amp;TEXT(ROW()-4,"0000"))</f>
        <v/>
      </c>
      <c r="B119" s="143" t="n"/>
      <c r="C119" s="25" t="n"/>
      <c r="D119" s="25" t="n"/>
      <c r="E119" s="25" t="n"/>
      <c r="F119" s="25" t="n"/>
      <c r="G119" s="25" t="n"/>
      <c r="H119" s="25" t="n"/>
      <c r="I119" s="25" t="n"/>
      <c r="J119" s="25" t="n"/>
      <c r="K119" s="139" t="n"/>
      <c r="L119" s="139" t="n"/>
      <c r="M119" s="139" t="n"/>
      <c r="N119" s="139" t="n"/>
      <c r="O119" s="139" t="n"/>
      <c r="P119" s="139" t="n"/>
      <c r="Q119" s="139" t="n"/>
      <c r="R119" s="142">
        <f>IF(COUNT($K119:$Q119)&lt;7,"",ROUND(($K119*'設定項目'!$C$6+$L119*'設定項目'!$C$7+$M119*'設定項目'!$C$8+$N119*'設定項目'!$C$9+$O119*'設定項目'!$C$10+$P119*'設定項目'!$C$11+$Q119*'設定項目'!$C$12)*20,1))</f>
        <v/>
      </c>
      <c r="S119" s="25">
        <f>IF($R119="","",IF($R119&gt;='設定項目'!$G$6,"優秀",IF($R119&gt;='設定項目'!$G$7,"良好",IF($R119&gt;='設定項目'!$G$8,"要注意","不合格"))))</f>
        <v/>
      </c>
      <c r="T119" s="25" t="n"/>
      <c r="U119" s="25" t="n"/>
      <c r="V119" s="28" t="n"/>
      <c r="W119" s="28" t="n"/>
      <c r="X119" s="25" t="n"/>
      <c r="Y119" s="25" t="n"/>
    </row>
    <row r="120" ht="24" customHeight="1">
      <c r="A120" s="25">
        <f>IF($B120="","","SQ-"&amp;TEXT(ROW()-4,"0000"))</f>
        <v/>
      </c>
      <c r="B120" s="143" t="n"/>
      <c r="C120" s="25" t="n"/>
      <c r="D120" s="25" t="n"/>
      <c r="E120" s="25" t="n"/>
      <c r="F120" s="25" t="n"/>
      <c r="G120" s="25" t="n"/>
      <c r="H120" s="25" t="n"/>
      <c r="I120" s="25" t="n"/>
      <c r="J120" s="25" t="n"/>
      <c r="K120" s="139" t="n"/>
      <c r="L120" s="139" t="n"/>
      <c r="M120" s="139" t="n"/>
      <c r="N120" s="139" t="n"/>
      <c r="O120" s="139" t="n"/>
      <c r="P120" s="139" t="n"/>
      <c r="Q120" s="139" t="n"/>
      <c r="R120" s="142">
        <f>IF(COUNT($K120:$Q120)&lt;7,"",ROUND(($K120*'設定項目'!$C$6+$L120*'設定項目'!$C$7+$M120*'設定項目'!$C$8+$N120*'設定項目'!$C$9+$O120*'設定項目'!$C$10+$P120*'設定項目'!$C$11+$Q120*'設定項目'!$C$12)*20,1))</f>
        <v/>
      </c>
      <c r="S120" s="25">
        <f>IF($R120="","",IF($R120&gt;='設定項目'!$G$6,"優秀",IF($R120&gt;='設定項目'!$G$7,"良好",IF($R120&gt;='設定項目'!$G$8,"要注意","不合格"))))</f>
        <v/>
      </c>
      <c r="T120" s="25" t="n"/>
      <c r="U120" s="25" t="n"/>
      <c r="V120" s="28" t="n"/>
      <c r="W120" s="28" t="n"/>
      <c r="X120" s="25" t="n"/>
      <c r="Y120" s="25" t="n"/>
    </row>
    <row r="121" ht="24" customHeight="1">
      <c r="A121" s="25">
        <f>IF($B121="","","SQ-"&amp;TEXT(ROW()-4,"0000"))</f>
        <v/>
      </c>
      <c r="B121" s="143" t="n"/>
      <c r="C121" s="25" t="n"/>
      <c r="D121" s="25" t="n"/>
      <c r="E121" s="25" t="n"/>
      <c r="F121" s="25" t="n"/>
      <c r="G121" s="25" t="n"/>
      <c r="H121" s="25" t="n"/>
      <c r="I121" s="25" t="n"/>
      <c r="J121" s="25" t="n"/>
      <c r="K121" s="139" t="n"/>
      <c r="L121" s="139" t="n"/>
      <c r="M121" s="139" t="n"/>
      <c r="N121" s="139" t="n"/>
      <c r="O121" s="139" t="n"/>
      <c r="P121" s="139" t="n"/>
      <c r="Q121" s="139" t="n"/>
      <c r="R121" s="142">
        <f>IF(COUNT($K121:$Q121)&lt;7,"",ROUND(($K121*'設定項目'!$C$6+$L121*'設定項目'!$C$7+$M121*'設定項目'!$C$8+$N121*'設定項目'!$C$9+$O121*'設定項目'!$C$10+$P121*'設定項目'!$C$11+$Q121*'設定項目'!$C$12)*20,1))</f>
        <v/>
      </c>
      <c r="S121" s="25">
        <f>IF($R121="","",IF($R121&gt;='設定項目'!$G$6,"優秀",IF($R121&gt;='設定項目'!$G$7,"良好",IF($R121&gt;='設定項目'!$G$8,"要注意","不合格"))))</f>
        <v/>
      </c>
      <c r="T121" s="25" t="n"/>
      <c r="U121" s="25" t="n"/>
      <c r="V121" s="28" t="n"/>
      <c r="W121" s="28" t="n"/>
      <c r="X121" s="25" t="n"/>
      <c r="Y121" s="25" t="n"/>
    </row>
    <row r="122" ht="24" customHeight="1">
      <c r="A122" s="25">
        <f>IF($B122="","","SQ-"&amp;TEXT(ROW()-4,"0000"))</f>
        <v/>
      </c>
      <c r="B122" s="143" t="n"/>
      <c r="C122" s="25" t="n"/>
      <c r="D122" s="25" t="n"/>
      <c r="E122" s="25" t="n"/>
      <c r="F122" s="25" t="n"/>
      <c r="G122" s="25" t="n"/>
      <c r="H122" s="25" t="n"/>
      <c r="I122" s="25" t="n"/>
      <c r="J122" s="25" t="n"/>
      <c r="K122" s="139" t="n"/>
      <c r="L122" s="139" t="n"/>
      <c r="M122" s="139" t="n"/>
      <c r="N122" s="139" t="n"/>
      <c r="O122" s="139" t="n"/>
      <c r="P122" s="139" t="n"/>
      <c r="Q122" s="139" t="n"/>
      <c r="R122" s="142">
        <f>IF(COUNT($K122:$Q122)&lt;7,"",ROUND(($K122*'設定項目'!$C$6+$L122*'設定項目'!$C$7+$M122*'設定項目'!$C$8+$N122*'設定項目'!$C$9+$O122*'設定項目'!$C$10+$P122*'設定項目'!$C$11+$Q122*'設定項目'!$C$12)*20,1))</f>
        <v/>
      </c>
      <c r="S122" s="25">
        <f>IF($R122="","",IF($R122&gt;='設定項目'!$G$6,"優秀",IF($R122&gt;='設定項目'!$G$7,"良好",IF($R122&gt;='設定項目'!$G$8,"要注意","不合格"))))</f>
        <v/>
      </c>
      <c r="T122" s="25" t="n"/>
      <c r="U122" s="25" t="n"/>
      <c r="V122" s="28" t="n"/>
      <c r="W122" s="28" t="n"/>
      <c r="X122" s="25" t="n"/>
      <c r="Y122" s="25" t="n"/>
    </row>
    <row r="123" ht="24" customHeight="1">
      <c r="A123" s="25">
        <f>IF($B123="","","SQ-"&amp;TEXT(ROW()-4,"0000"))</f>
        <v/>
      </c>
      <c r="B123" s="143" t="n"/>
      <c r="C123" s="25" t="n"/>
      <c r="D123" s="25" t="n"/>
      <c r="E123" s="25" t="n"/>
      <c r="F123" s="25" t="n"/>
      <c r="G123" s="25" t="n"/>
      <c r="H123" s="25" t="n"/>
      <c r="I123" s="25" t="n"/>
      <c r="J123" s="25" t="n"/>
      <c r="K123" s="139" t="n"/>
      <c r="L123" s="139" t="n"/>
      <c r="M123" s="139" t="n"/>
      <c r="N123" s="139" t="n"/>
      <c r="O123" s="139" t="n"/>
      <c r="P123" s="139" t="n"/>
      <c r="Q123" s="139" t="n"/>
      <c r="R123" s="142">
        <f>IF(COUNT($K123:$Q123)&lt;7,"",ROUND(($K123*'設定項目'!$C$6+$L123*'設定項目'!$C$7+$M123*'設定項目'!$C$8+$N123*'設定項目'!$C$9+$O123*'設定項目'!$C$10+$P123*'設定項目'!$C$11+$Q123*'設定項目'!$C$12)*20,1))</f>
        <v/>
      </c>
      <c r="S123" s="25">
        <f>IF($R123="","",IF($R123&gt;='設定項目'!$G$6,"優秀",IF($R123&gt;='設定項目'!$G$7,"良好",IF($R123&gt;='設定項目'!$G$8,"要注意","不合格"))))</f>
        <v/>
      </c>
      <c r="T123" s="25" t="n"/>
      <c r="U123" s="25" t="n"/>
      <c r="V123" s="28" t="n"/>
      <c r="W123" s="28" t="n"/>
      <c r="X123" s="25" t="n"/>
      <c r="Y123" s="25" t="n"/>
    </row>
    <row r="124" ht="24" customHeight="1">
      <c r="A124" s="25">
        <f>IF($B124="","","SQ-"&amp;TEXT(ROW()-4,"0000"))</f>
        <v/>
      </c>
      <c r="B124" s="143" t="n"/>
      <c r="C124" s="25" t="n"/>
      <c r="D124" s="25" t="n"/>
      <c r="E124" s="25" t="n"/>
      <c r="F124" s="25" t="n"/>
      <c r="G124" s="25" t="n"/>
      <c r="H124" s="25" t="n"/>
      <c r="I124" s="25" t="n"/>
      <c r="J124" s="25" t="n"/>
      <c r="K124" s="139" t="n"/>
      <c r="L124" s="139" t="n"/>
      <c r="M124" s="139" t="n"/>
      <c r="N124" s="139" t="n"/>
      <c r="O124" s="139" t="n"/>
      <c r="P124" s="139" t="n"/>
      <c r="Q124" s="139" t="n"/>
      <c r="R124" s="142">
        <f>IF(COUNT($K124:$Q124)&lt;7,"",ROUND(($K124*'設定項目'!$C$6+$L124*'設定項目'!$C$7+$M124*'設定項目'!$C$8+$N124*'設定項目'!$C$9+$O124*'設定項目'!$C$10+$P124*'設定項目'!$C$11+$Q124*'設定項目'!$C$12)*20,1))</f>
        <v/>
      </c>
      <c r="S124" s="25">
        <f>IF($R124="","",IF($R124&gt;='設定項目'!$G$6,"優秀",IF($R124&gt;='設定項目'!$G$7,"良好",IF($R124&gt;='設定項目'!$G$8,"要注意","不合格"))))</f>
        <v/>
      </c>
      <c r="T124" s="25" t="n"/>
      <c r="U124" s="25" t="n"/>
      <c r="V124" s="28" t="n"/>
      <c r="W124" s="28" t="n"/>
      <c r="X124" s="25" t="n"/>
      <c r="Y124" s="25" t="n"/>
    </row>
    <row r="125" ht="24" customHeight="1">
      <c r="A125" s="25">
        <f>IF($B125="","","SQ-"&amp;TEXT(ROW()-4,"0000"))</f>
        <v/>
      </c>
      <c r="B125" s="143" t="n"/>
      <c r="C125" s="25" t="n"/>
      <c r="D125" s="25" t="n"/>
      <c r="E125" s="25" t="n"/>
      <c r="F125" s="25" t="n"/>
      <c r="G125" s="25" t="n"/>
      <c r="H125" s="25" t="n"/>
      <c r="I125" s="25" t="n"/>
      <c r="J125" s="25" t="n"/>
      <c r="K125" s="139" t="n"/>
      <c r="L125" s="139" t="n"/>
      <c r="M125" s="139" t="n"/>
      <c r="N125" s="139" t="n"/>
      <c r="O125" s="139" t="n"/>
      <c r="P125" s="139" t="n"/>
      <c r="Q125" s="139" t="n"/>
      <c r="R125" s="142">
        <f>IF(COUNT($K125:$Q125)&lt;7,"",ROUND(($K125*'設定項目'!$C$6+$L125*'設定項目'!$C$7+$M125*'設定項目'!$C$8+$N125*'設定項目'!$C$9+$O125*'設定項目'!$C$10+$P125*'設定項目'!$C$11+$Q125*'設定項目'!$C$12)*20,1))</f>
        <v/>
      </c>
      <c r="S125" s="25">
        <f>IF($R125="","",IF($R125&gt;='設定項目'!$G$6,"優秀",IF($R125&gt;='設定項目'!$G$7,"良好",IF($R125&gt;='設定項目'!$G$8,"要注意","不合格"))))</f>
        <v/>
      </c>
      <c r="T125" s="25" t="n"/>
      <c r="U125" s="25" t="n"/>
      <c r="V125" s="28" t="n"/>
      <c r="W125" s="28" t="n"/>
      <c r="X125" s="25" t="n"/>
      <c r="Y125" s="25" t="n"/>
    </row>
    <row r="126" ht="24" customHeight="1">
      <c r="A126" s="25">
        <f>IF($B126="","","SQ-"&amp;TEXT(ROW()-4,"0000"))</f>
        <v/>
      </c>
      <c r="B126" s="143" t="n"/>
      <c r="C126" s="25" t="n"/>
      <c r="D126" s="25" t="n"/>
      <c r="E126" s="25" t="n"/>
      <c r="F126" s="25" t="n"/>
      <c r="G126" s="25" t="n"/>
      <c r="H126" s="25" t="n"/>
      <c r="I126" s="25" t="n"/>
      <c r="J126" s="25" t="n"/>
      <c r="K126" s="139" t="n"/>
      <c r="L126" s="139" t="n"/>
      <c r="M126" s="139" t="n"/>
      <c r="N126" s="139" t="n"/>
      <c r="O126" s="139" t="n"/>
      <c r="P126" s="139" t="n"/>
      <c r="Q126" s="139" t="n"/>
      <c r="R126" s="142">
        <f>IF(COUNT($K126:$Q126)&lt;7,"",ROUND(($K126*'設定項目'!$C$6+$L126*'設定項目'!$C$7+$M126*'設定項目'!$C$8+$N126*'設定項目'!$C$9+$O126*'設定項目'!$C$10+$P126*'設定項目'!$C$11+$Q126*'設定項目'!$C$12)*20,1))</f>
        <v/>
      </c>
      <c r="S126" s="25">
        <f>IF($R126="","",IF($R126&gt;='設定項目'!$G$6,"優秀",IF($R126&gt;='設定項目'!$G$7,"良好",IF($R126&gt;='設定項目'!$G$8,"要注意","不合格"))))</f>
        <v/>
      </c>
      <c r="T126" s="25" t="n"/>
      <c r="U126" s="25" t="n"/>
      <c r="V126" s="28" t="n"/>
      <c r="W126" s="28" t="n"/>
      <c r="X126" s="25" t="n"/>
      <c r="Y126" s="25" t="n"/>
    </row>
    <row r="127" ht="24" customHeight="1">
      <c r="A127" s="25">
        <f>IF($B127="","","SQ-"&amp;TEXT(ROW()-4,"0000"))</f>
        <v/>
      </c>
      <c r="B127" s="143" t="n"/>
      <c r="C127" s="25" t="n"/>
      <c r="D127" s="25" t="n"/>
      <c r="E127" s="25" t="n"/>
      <c r="F127" s="25" t="n"/>
      <c r="G127" s="25" t="n"/>
      <c r="H127" s="25" t="n"/>
      <c r="I127" s="25" t="n"/>
      <c r="J127" s="25" t="n"/>
      <c r="K127" s="139" t="n"/>
      <c r="L127" s="139" t="n"/>
      <c r="M127" s="139" t="n"/>
      <c r="N127" s="139" t="n"/>
      <c r="O127" s="139" t="n"/>
      <c r="P127" s="139" t="n"/>
      <c r="Q127" s="139" t="n"/>
      <c r="R127" s="142">
        <f>IF(COUNT($K127:$Q127)&lt;7,"",ROUND(($K127*'設定項目'!$C$6+$L127*'設定項目'!$C$7+$M127*'設定項目'!$C$8+$N127*'設定項目'!$C$9+$O127*'設定項目'!$C$10+$P127*'設定項目'!$C$11+$Q127*'設定項目'!$C$12)*20,1))</f>
        <v/>
      </c>
      <c r="S127" s="25">
        <f>IF($R127="","",IF($R127&gt;='設定項目'!$G$6,"優秀",IF($R127&gt;='設定項目'!$G$7,"良好",IF($R127&gt;='設定項目'!$G$8,"要注意","不合格"))))</f>
        <v/>
      </c>
      <c r="T127" s="25" t="n"/>
      <c r="U127" s="25" t="n"/>
      <c r="V127" s="28" t="n"/>
      <c r="W127" s="28" t="n"/>
      <c r="X127" s="25" t="n"/>
      <c r="Y127" s="25" t="n"/>
    </row>
    <row r="128" ht="24" customHeight="1">
      <c r="A128" s="25">
        <f>IF($B128="","","SQ-"&amp;TEXT(ROW()-4,"0000"))</f>
        <v/>
      </c>
      <c r="B128" s="143" t="n"/>
      <c r="C128" s="25" t="n"/>
      <c r="D128" s="25" t="n"/>
      <c r="E128" s="25" t="n"/>
      <c r="F128" s="25" t="n"/>
      <c r="G128" s="25" t="n"/>
      <c r="H128" s="25" t="n"/>
      <c r="I128" s="25" t="n"/>
      <c r="J128" s="25" t="n"/>
      <c r="K128" s="139" t="n"/>
      <c r="L128" s="139" t="n"/>
      <c r="M128" s="139" t="n"/>
      <c r="N128" s="139" t="n"/>
      <c r="O128" s="139" t="n"/>
      <c r="P128" s="139" t="n"/>
      <c r="Q128" s="139" t="n"/>
      <c r="R128" s="142">
        <f>IF(COUNT($K128:$Q128)&lt;7,"",ROUND(($K128*'設定項目'!$C$6+$L128*'設定項目'!$C$7+$M128*'設定項目'!$C$8+$N128*'設定項目'!$C$9+$O128*'設定項目'!$C$10+$P128*'設定項目'!$C$11+$Q128*'設定項目'!$C$12)*20,1))</f>
        <v/>
      </c>
      <c r="S128" s="25">
        <f>IF($R128="","",IF($R128&gt;='設定項目'!$G$6,"優秀",IF($R128&gt;='設定項目'!$G$7,"良好",IF($R128&gt;='設定項目'!$G$8,"要注意","不合格"))))</f>
        <v/>
      </c>
      <c r="T128" s="25" t="n"/>
      <c r="U128" s="25" t="n"/>
      <c r="V128" s="28" t="n"/>
      <c r="W128" s="28" t="n"/>
      <c r="X128" s="25" t="n"/>
      <c r="Y128" s="25" t="n"/>
    </row>
    <row r="129" ht="24" customHeight="1">
      <c r="A129" s="25">
        <f>IF($B129="","","SQ-"&amp;TEXT(ROW()-4,"0000"))</f>
        <v/>
      </c>
      <c r="B129" s="143" t="n"/>
      <c r="C129" s="25" t="n"/>
      <c r="D129" s="25" t="n"/>
      <c r="E129" s="25" t="n"/>
      <c r="F129" s="25" t="n"/>
      <c r="G129" s="25" t="n"/>
      <c r="H129" s="25" t="n"/>
      <c r="I129" s="25" t="n"/>
      <c r="J129" s="25" t="n"/>
      <c r="K129" s="139" t="n"/>
      <c r="L129" s="139" t="n"/>
      <c r="M129" s="139" t="n"/>
      <c r="N129" s="139" t="n"/>
      <c r="O129" s="139" t="n"/>
      <c r="P129" s="139" t="n"/>
      <c r="Q129" s="139" t="n"/>
      <c r="R129" s="142">
        <f>IF(COUNT($K129:$Q129)&lt;7,"",ROUND(($K129*'設定項目'!$C$6+$L129*'設定項目'!$C$7+$M129*'設定項目'!$C$8+$N129*'設定項目'!$C$9+$O129*'設定項目'!$C$10+$P129*'設定項目'!$C$11+$Q129*'設定項目'!$C$12)*20,1))</f>
        <v/>
      </c>
      <c r="S129" s="25">
        <f>IF($R129="","",IF($R129&gt;='設定項目'!$G$6,"優秀",IF($R129&gt;='設定項目'!$G$7,"良好",IF($R129&gt;='設定項目'!$G$8,"要注意","不合格"))))</f>
        <v/>
      </c>
      <c r="T129" s="25" t="n"/>
      <c r="U129" s="25" t="n"/>
      <c r="V129" s="28" t="n"/>
      <c r="W129" s="28" t="n"/>
      <c r="X129" s="25" t="n"/>
      <c r="Y129" s="25" t="n"/>
    </row>
    <row r="130" ht="24" customHeight="1">
      <c r="A130" s="25">
        <f>IF($B130="","","SQ-"&amp;TEXT(ROW()-4,"0000"))</f>
        <v/>
      </c>
      <c r="B130" s="143" t="n"/>
      <c r="C130" s="25" t="n"/>
      <c r="D130" s="25" t="n"/>
      <c r="E130" s="25" t="n"/>
      <c r="F130" s="25" t="n"/>
      <c r="G130" s="25" t="n"/>
      <c r="H130" s="25" t="n"/>
      <c r="I130" s="25" t="n"/>
      <c r="J130" s="25" t="n"/>
      <c r="K130" s="139" t="n"/>
      <c r="L130" s="139" t="n"/>
      <c r="M130" s="139" t="n"/>
      <c r="N130" s="139" t="n"/>
      <c r="O130" s="139" t="n"/>
      <c r="P130" s="139" t="n"/>
      <c r="Q130" s="139" t="n"/>
      <c r="R130" s="142">
        <f>IF(COUNT($K130:$Q130)&lt;7,"",ROUND(($K130*'設定項目'!$C$6+$L130*'設定項目'!$C$7+$M130*'設定項目'!$C$8+$N130*'設定項目'!$C$9+$O130*'設定項目'!$C$10+$P130*'設定項目'!$C$11+$Q130*'設定項目'!$C$12)*20,1))</f>
        <v/>
      </c>
      <c r="S130" s="25">
        <f>IF($R130="","",IF($R130&gt;='設定項目'!$G$6,"優秀",IF($R130&gt;='設定項目'!$G$7,"良好",IF($R130&gt;='設定項目'!$G$8,"要注意","不合格"))))</f>
        <v/>
      </c>
      <c r="T130" s="25" t="n"/>
      <c r="U130" s="25" t="n"/>
      <c r="V130" s="28" t="n"/>
      <c r="W130" s="28" t="n"/>
      <c r="X130" s="25" t="n"/>
      <c r="Y130" s="25" t="n"/>
    </row>
    <row r="131" ht="24" customHeight="1">
      <c r="A131" s="25">
        <f>IF($B131="","","SQ-"&amp;TEXT(ROW()-4,"0000"))</f>
        <v/>
      </c>
      <c r="B131" s="143" t="n"/>
      <c r="C131" s="25" t="n"/>
      <c r="D131" s="25" t="n"/>
      <c r="E131" s="25" t="n"/>
      <c r="F131" s="25" t="n"/>
      <c r="G131" s="25" t="n"/>
      <c r="H131" s="25" t="n"/>
      <c r="I131" s="25" t="n"/>
      <c r="J131" s="25" t="n"/>
      <c r="K131" s="139" t="n"/>
      <c r="L131" s="139" t="n"/>
      <c r="M131" s="139" t="n"/>
      <c r="N131" s="139" t="n"/>
      <c r="O131" s="139" t="n"/>
      <c r="P131" s="139" t="n"/>
      <c r="Q131" s="139" t="n"/>
      <c r="R131" s="142">
        <f>IF(COUNT($K131:$Q131)&lt;7,"",ROUND(($K131*'設定項目'!$C$6+$L131*'設定項目'!$C$7+$M131*'設定項目'!$C$8+$N131*'設定項目'!$C$9+$O131*'設定項目'!$C$10+$P131*'設定項目'!$C$11+$Q131*'設定項目'!$C$12)*20,1))</f>
        <v/>
      </c>
      <c r="S131" s="25">
        <f>IF($R131="","",IF($R131&gt;='設定項目'!$G$6,"優秀",IF($R131&gt;='設定項目'!$G$7,"良好",IF($R131&gt;='設定項目'!$G$8,"要注意","不合格"))))</f>
        <v/>
      </c>
      <c r="T131" s="25" t="n"/>
      <c r="U131" s="25" t="n"/>
      <c r="V131" s="28" t="n"/>
      <c r="W131" s="28" t="n"/>
      <c r="X131" s="25" t="n"/>
      <c r="Y131" s="25" t="n"/>
    </row>
    <row r="132" ht="24" customHeight="1">
      <c r="A132" s="25">
        <f>IF($B132="","","SQ-"&amp;TEXT(ROW()-4,"0000"))</f>
        <v/>
      </c>
      <c r="B132" s="143" t="n"/>
      <c r="C132" s="25" t="n"/>
      <c r="D132" s="25" t="n"/>
      <c r="E132" s="25" t="n"/>
      <c r="F132" s="25" t="n"/>
      <c r="G132" s="25" t="n"/>
      <c r="H132" s="25" t="n"/>
      <c r="I132" s="25" t="n"/>
      <c r="J132" s="25" t="n"/>
      <c r="K132" s="139" t="n"/>
      <c r="L132" s="139" t="n"/>
      <c r="M132" s="139" t="n"/>
      <c r="N132" s="139" t="n"/>
      <c r="O132" s="139" t="n"/>
      <c r="P132" s="139" t="n"/>
      <c r="Q132" s="139" t="n"/>
      <c r="R132" s="142">
        <f>IF(COUNT($K132:$Q132)&lt;7,"",ROUND(($K132*'設定項目'!$C$6+$L132*'設定項目'!$C$7+$M132*'設定項目'!$C$8+$N132*'設定項目'!$C$9+$O132*'設定項目'!$C$10+$P132*'設定項目'!$C$11+$Q132*'設定項目'!$C$12)*20,1))</f>
        <v/>
      </c>
      <c r="S132" s="25">
        <f>IF($R132="","",IF($R132&gt;='設定項目'!$G$6,"優秀",IF($R132&gt;='設定項目'!$G$7,"良好",IF($R132&gt;='設定項目'!$G$8,"要注意","不合格"))))</f>
        <v/>
      </c>
      <c r="T132" s="25" t="n"/>
      <c r="U132" s="25" t="n"/>
      <c r="V132" s="28" t="n"/>
      <c r="W132" s="28" t="n"/>
      <c r="X132" s="25" t="n"/>
      <c r="Y132" s="25" t="n"/>
    </row>
    <row r="133" ht="24" customHeight="1">
      <c r="A133" s="25">
        <f>IF($B133="","","SQ-"&amp;TEXT(ROW()-4,"0000"))</f>
        <v/>
      </c>
      <c r="B133" s="143" t="n"/>
      <c r="C133" s="25" t="n"/>
      <c r="D133" s="25" t="n"/>
      <c r="E133" s="25" t="n"/>
      <c r="F133" s="25" t="n"/>
      <c r="G133" s="25" t="n"/>
      <c r="H133" s="25" t="n"/>
      <c r="I133" s="25" t="n"/>
      <c r="J133" s="25" t="n"/>
      <c r="K133" s="139" t="n"/>
      <c r="L133" s="139" t="n"/>
      <c r="M133" s="139" t="n"/>
      <c r="N133" s="139" t="n"/>
      <c r="O133" s="139" t="n"/>
      <c r="P133" s="139" t="n"/>
      <c r="Q133" s="139" t="n"/>
      <c r="R133" s="142">
        <f>IF(COUNT($K133:$Q133)&lt;7,"",ROUND(($K133*'設定項目'!$C$6+$L133*'設定項目'!$C$7+$M133*'設定項目'!$C$8+$N133*'設定項目'!$C$9+$O133*'設定項目'!$C$10+$P133*'設定項目'!$C$11+$Q133*'設定項目'!$C$12)*20,1))</f>
        <v/>
      </c>
      <c r="S133" s="25">
        <f>IF($R133="","",IF($R133&gt;='設定項目'!$G$6,"優秀",IF($R133&gt;='設定項目'!$G$7,"良好",IF($R133&gt;='設定項目'!$G$8,"要注意","不合格"))))</f>
        <v/>
      </c>
      <c r="T133" s="25" t="n"/>
      <c r="U133" s="25" t="n"/>
      <c r="V133" s="28" t="n"/>
      <c r="W133" s="28" t="n"/>
      <c r="X133" s="25" t="n"/>
      <c r="Y133" s="25" t="n"/>
    </row>
    <row r="134" ht="24" customHeight="1">
      <c r="A134" s="25">
        <f>IF($B134="","","SQ-"&amp;TEXT(ROW()-4,"0000"))</f>
        <v/>
      </c>
      <c r="B134" s="143" t="n"/>
      <c r="C134" s="25" t="n"/>
      <c r="D134" s="25" t="n"/>
      <c r="E134" s="25" t="n"/>
      <c r="F134" s="25" t="n"/>
      <c r="G134" s="25" t="n"/>
      <c r="H134" s="25" t="n"/>
      <c r="I134" s="25" t="n"/>
      <c r="J134" s="25" t="n"/>
      <c r="K134" s="139" t="n"/>
      <c r="L134" s="139" t="n"/>
      <c r="M134" s="139" t="n"/>
      <c r="N134" s="139" t="n"/>
      <c r="O134" s="139" t="n"/>
      <c r="P134" s="139" t="n"/>
      <c r="Q134" s="139" t="n"/>
      <c r="R134" s="142">
        <f>IF(COUNT($K134:$Q134)&lt;7,"",ROUND(($K134*'設定項目'!$C$6+$L134*'設定項目'!$C$7+$M134*'設定項目'!$C$8+$N134*'設定項目'!$C$9+$O134*'設定項目'!$C$10+$P134*'設定項目'!$C$11+$Q134*'設定項目'!$C$12)*20,1))</f>
        <v/>
      </c>
      <c r="S134" s="25">
        <f>IF($R134="","",IF($R134&gt;='設定項目'!$G$6,"優秀",IF($R134&gt;='設定項目'!$G$7,"良好",IF($R134&gt;='設定項目'!$G$8,"要注意","不合格"))))</f>
        <v/>
      </c>
      <c r="T134" s="25" t="n"/>
      <c r="U134" s="25" t="n"/>
      <c r="V134" s="28" t="n"/>
      <c r="W134" s="28" t="n"/>
      <c r="X134" s="25" t="n"/>
      <c r="Y134" s="25" t="n"/>
    </row>
    <row r="135" ht="24" customHeight="1">
      <c r="A135" s="25">
        <f>IF($B135="","","SQ-"&amp;TEXT(ROW()-4,"0000"))</f>
        <v/>
      </c>
      <c r="B135" s="143" t="n"/>
      <c r="C135" s="25" t="n"/>
      <c r="D135" s="25" t="n"/>
      <c r="E135" s="25" t="n"/>
      <c r="F135" s="25" t="n"/>
      <c r="G135" s="25" t="n"/>
      <c r="H135" s="25" t="n"/>
      <c r="I135" s="25" t="n"/>
      <c r="J135" s="25" t="n"/>
      <c r="K135" s="139" t="n"/>
      <c r="L135" s="139" t="n"/>
      <c r="M135" s="139" t="n"/>
      <c r="N135" s="139" t="n"/>
      <c r="O135" s="139" t="n"/>
      <c r="P135" s="139" t="n"/>
      <c r="Q135" s="139" t="n"/>
      <c r="R135" s="142">
        <f>IF(COUNT($K135:$Q135)&lt;7,"",ROUND(($K135*'設定項目'!$C$6+$L135*'設定項目'!$C$7+$M135*'設定項目'!$C$8+$N135*'設定項目'!$C$9+$O135*'設定項目'!$C$10+$P135*'設定項目'!$C$11+$Q135*'設定項目'!$C$12)*20,1))</f>
        <v/>
      </c>
      <c r="S135" s="25">
        <f>IF($R135="","",IF($R135&gt;='設定項目'!$G$6,"優秀",IF($R135&gt;='設定項目'!$G$7,"良好",IF($R135&gt;='設定項目'!$G$8,"要注意","不合格"))))</f>
        <v/>
      </c>
      <c r="T135" s="25" t="n"/>
      <c r="U135" s="25" t="n"/>
      <c r="V135" s="28" t="n"/>
      <c r="W135" s="28" t="n"/>
      <c r="X135" s="25" t="n"/>
      <c r="Y135" s="25" t="n"/>
    </row>
    <row r="136" ht="24" customHeight="1">
      <c r="A136" s="25">
        <f>IF($B136="","","SQ-"&amp;TEXT(ROW()-4,"0000"))</f>
        <v/>
      </c>
      <c r="B136" s="143" t="n"/>
      <c r="C136" s="25" t="n"/>
      <c r="D136" s="25" t="n"/>
      <c r="E136" s="25" t="n"/>
      <c r="F136" s="25" t="n"/>
      <c r="G136" s="25" t="n"/>
      <c r="H136" s="25" t="n"/>
      <c r="I136" s="25" t="n"/>
      <c r="J136" s="25" t="n"/>
      <c r="K136" s="139" t="n"/>
      <c r="L136" s="139" t="n"/>
      <c r="M136" s="139" t="n"/>
      <c r="N136" s="139" t="n"/>
      <c r="O136" s="139" t="n"/>
      <c r="P136" s="139" t="n"/>
      <c r="Q136" s="139" t="n"/>
      <c r="R136" s="142">
        <f>IF(COUNT($K136:$Q136)&lt;7,"",ROUND(($K136*'設定項目'!$C$6+$L136*'設定項目'!$C$7+$M136*'設定項目'!$C$8+$N136*'設定項目'!$C$9+$O136*'設定項目'!$C$10+$P136*'設定項目'!$C$11+$Q136*'設定項目'!$C$12)*20,1))</f>
        <v/>
      </c>
      <c r="S136" s="25">
        <f>IF($R136="","",IF($R136&gt;='設定項目'!$G$6,"優秀",IF($R136&gt;='設定項目'!$G$7,"良好",IF($R136&gt;='設定項目'!$G$8,"要注意","不合格"))))</f>
        <v/>
      </c>
      <c r="T136" s="25" t="n"/>
      <c r="U136" s="25" t="n"/>
      <c r="V136" s="28" t="n"/>
      <c r="W136" s="28" t="n"/>
      <c r="X136" s="25" t="n"/>
      <c r="Y136" s="25" t="n"/>
    </row>
    <row r="137" ht="24" customHeight="1">
      <c r="A137" s="25">
        <f>IF($B137="","","SQ-"&amp;TEXT(ROW()-4,"0000"))</f>
        <v/>
      </c>
      <c r="B137" s="143" t="n"/>
      <c r="C137" s="25" t="n"/>
      <c r="D137" s="25" t="n"/>
      <c r="E137" s="25" t="n"/>
      <c r="F137" s="25" t="n"/>
      <c r="G137" s="25" t="n"/>
      <c r="H137" s="25" t="n"/>
      <c r="I137" s="25" t="n"/>
      <c r="J137" s="25" t="n"/>
      <c r="K137" s="139" t="n"/>
      <c r="L137" s="139" t="n"/>
      <c r="M137" s="139" t="n"/>
      <c r="N137" s="139" t="n"/>
      <c r="O137" s="139" t="n"/>
      <c r="P137" s="139" t="n"/>
      <c r="Q137" s="139" t="n"/>
      <c r="R137" s="142">
        <f>IF(COUNT($K137:$Q137)&lt;7,"",ROUND(($K137*'設定項目'!$C$6+$L137*'設定項目'!$C$7+$M137*'設定項目'!$C$8+$N137*'設定項目'!$C$9+$O137*'設定項目'!$C$10+$P137*'設定項目'!$C$11+$Q137*'設定項目'!$C$12)*20,1))</f>
        <v/>
      </c>
      <c r="S137" s="25">
        <f>IF($R137="","",IF($R137&gt;='設定項目'!$G$6,"優秀",IF($R137&gt;='設定項目'!$G$7,"良好",IF($R137&gt;='設定項目'!$G$8,"要注意","不合格"))))</f>
        <v/>
      </c>
      <c r="T137" s="25" t="n"/>
      <c r="U137" s="25" t="n"/>
      <c r="V137" s="28" t="n"/>
      <c r="W137" s="28" t="n"/>
      <c r="X137" s="25" t="n"/>
      <c r="Y137" s="25" t="n"/>
    </row>
    <row r="138" ht="24" customHeight="1">
      <c r="A138" s="25">
        <f>IF($B138="","","SQ-"&amp;TEXT(ROW()-4,"0000"))</f>
        <v/>
      </c>
      <c r="B138" s="143" t="n"/>
      <c r="C138" s="25" t="n"/>
      <c r="D138" s="25" t="n"/>
      <c r="E138" s="25" t="n"/>
      <c r="F138" s="25" t="n"/>
      <c r="G138" s="25" t="n"/>
      <c r="H138" s="25" t="n"/>
      <c r="I138" s="25" t="n"/>
      <c r="J138" s="25" t="n"/>
      <c r="K138" s="139" t="n"/>
      <c r="L138" s="139" t="n"/>
      <c r="M138" s="139" t="n"/>
      <c r="N138" s="139" t="n"/>
      <c r="O138" s="139" t="n"/>
      <c r="P138" s="139" t="n"/>
      <c r="Q138" s="139" t="n"/>
      <c r="R138" s="142">
        <f>IF(COUNT($K138:$Q138)&lt;7,"",ROUND(($K138*'設定項目'!$C$6+$L138*'設定項目'!$C$7+$M138*'設定項目'!$C$8+$N138*'設定項目'!$C$9+$O138*'設定項目'!$C$10+$P138*'設定項目'!$C$11+$Q138*'設定項目'!$C$12)*20,1))</f>
        <v/>
      </c>
      <c r="S138" s="25">
        <f>IF($R138="","",IF($R138&gt;='設定項目'!$G$6,"優秀",IF($R138&gt;='設定項目'!$G$7,"良好",IF($R138&gt;='設定項目'!$G$8,"要注意","不合格"))))</f>
        <v/>
      </c>
      <c r="T138" s="25" t="n"/>
      <c r="U138" s="25" t="n"/>
      <c r="V138" s="28" t="n"/>
      <c r="W138" s="28" t="n"/>
      <c r="X138" s="25" t="n"/>
      <c r="Y138" s="25" t="n"/>
    </row>
    <row r="139" ht="24" customHeight="1">
      <c r="A139" s="25">
        <f>IF($B139="","","SQ-"&amp;TEXT(ROW()-4,"0000"))</f>
        <v/>
      </c>
      <c r="B139" s="143" t="n"/>
      <c r="C139" s="25" t="n"/>
      <c r="D139" s="25" t="n"/>
      <c r="E139" s="25" t="n"/>
      <c r="F139" s="25" t="n"/>
      <c r="G139" s="25" t="n"/>
      <c r="H139" s="25" t="n"/>
      <c r="I139" s="25" t="n"/>
      <c r="J139" s="25" t="n"/>
      <c r="K139" s="139" t="n"/>
      <c r="L139" s="139" t="n"/>
      <c r="M139" s="139" t="n"/>
      <c r="N139" s="139" t="n"/>
      <c r="O139" s="139" t="n"/>
      <c r="P139" s="139" t="n"/>
      <c r="Q139" s="139" t="n"/>
      <c r="R139" s="142">
        <f>IF(COUNT($K139:$Q139)&lt;7,"",ROUND(($K139*'設定項目'!$C$6+$L139*'設定項目'!$C$7+$M139*'設定項目'!$C$8+$N139*'設定項目'!$C$9+$O139*'設定項目'!$C$10+$P139*'設定項目'!$C$11+$Q139*'設定項目'!$C$12)*20,1))</f>
        <v/>
      </c>
      <c r="S139" s="25">
        <f>IF($R139="","",IF($R139&gt;='設定項目'!$G$6,"優秀",IF($R139&gt;='設定項目'!$G$7,"良好",IF($R139&gt;='設定項目'!$G$8,"要注意","不合格"))))</f>
        <v/>
      </c>
      <c r="T139" s="25" t="n"/>
      <c r="U139" s="25" t="n"/>
      <c r="V139" s="28" t="n"/>
      <c r="W139" s="28" t="n"/>
      <c r="X139" s="25" t="n"/>
      <c r="Y139" s="25" t="n"/>
    </row>
    <row r="140" ht="24" customHeight="1">
      <c r="A140" s="25">
        <f>IF($B140="","","SQ-"&amp;TEXT(ROW()-4,"0000"))</f>
        <v/>
      </c>
      <c r="B140" s="143" t="n"/>
      <c r="C140" s="25" t="n"/>
      <c r="D140" s="25" t="n"/>
      <c r="E140" s="25" t="n"/>
      <c r="F140" s="25" t="n"/>
      <c r="G140" s="25" t="n"/>
      <c r="H140" s="25" t="n"/>
      <c r="I140" s="25" t="n"/>
      <c r="J140" s="25" t="n"/>
      <c r="K140" s="139" t="n"/>
      <c r="L140" s="139" t="n"/>
      <c r="M140" s="139" t="n"/>
      <c r="N140" s="139" t="n"/>
      <c r="O140" s="139" t="n"/>
      <c r="P140" s="139" t="n"/>
      <c r="Q140" s="139" t="n"/>
      <c r="R140" s="142">
        <f>IF(COUNT($K140:$Q140)&lt;7,"",ROUND(($K140*'設定項目'!$C$6+$L140*'設定項目'!$C$7+$M140*'設定項目'!$C$8+$N140*'設定項目'!$C$9+$O140*'設定項目'!$C$10+$P140*'設定項目'!$C$11+$Q140*'設定項目'!$C$12)*20,1))</f>
        <v/>
      </c>
      <c r="S140" s="25">
        <f>IF($R140="","",IF($R140&gt;='設定項目'!$G$6,"優秀",IF($R140&gt;='設定項目'!$G$7,"良好",IF($R140&gt;='設定項目'!$G$8,"要注意","不合格"))))</f>
        <v/>
      </c>
      <c r="T140" s="25" t="n"/>
      <c r="U140" s="25" t="n"/>
      <c r="V140" s="28" t="n"/>
      <c r="W140" s="28" t="n"/>
      <c r="X140" s="25" t="n"/>
      <c r="Y140" s="25" t="n"/>
    </row>
    <row r="141" ht="24" customHeight="1">
      <c r="A141" s="25">
        <f>IF($B141="","","SQ-"&amp;TEXT(ROW()-4,"0000"))</f>
        <v/>
      </c>
      <c r="B141" s="143" t="n"/>
      <c r="C141" s="25" t="n"/>
      <c r="D141" s="25" t="n"/>
      <c r="E141" s="25" t="n"/>
      <c r="F141" s="25" t="n"/>
      <c r="G141" s="25" t="n"/>
      <c r="H141" s="25" t="n"/>
      <c r="I141" s="25" t="n"/>
      <c r="J141" s="25" t="n"/>
      <c r="K141" s="139" t="n"/>
      <c r="L141" s="139" t="n"/>
      <c r="M141" s="139" t="n"/>
      <c r="N141" s="139" t="n"/>
      <c r="O141" s="139" t="n"/>
      <c r="P141" s="139" t="n"/>
      <c r="Q141" s="139" t="n"/>
      <c r="R141" s="142">
        <f>IF(COUNT($K141:$Q141)&lt;7,"",ROUND(($K141*'設定項目'!$C$6+$L141*'設定項目'!$C$7+$M141*'設定項目'!$C$8+$N141*'設定項目'!$C$9+$O141*'設定項目'!$C$10+$P141*'設定項目'!$C$11+$Q141*'設定項目'!$C$12)*20,1))</f>
        <v/>
      </c>
      <c r="S141" s="25">
        <f>IF($R141="","",IF($R141&gt;='設定項目'!$G$6,"優秀",IF($R141&gt;='設定項目'!$G$7,"良好",IF($R141&gt;='設定項目'!$G$8,"要注意","不合格"))))</f>
        <v/>
      </c>
      <c r="T141" s="25" t="n"/>
      <c r="U141" s="25" t="n"/>
      <c r="V141" s="28" t="n"/>
      <c r="W141" s="28" t="n"/>
      <c r="X141" s="25" t="n"/>
      <c r="Y141" s="25" t="n"/>
    </row>
    <row r="142" ht="24" customHeight="1">
      <c r="A142" s="25">
        <f>IF($B142="","","SQ-"&amp;TEXT(ROW()-4,"0000"))</f>
        <v/>
      </c>
      <c r="B142" s="143" t="n"/>
      <c r="C142" s="25" t="n"/>
      <c r="D142" s="25" t="n"/>
      <c r="E142" s="25" t="n"/>
      <c r="F142" s="25" t="n"/>
      <c r="G142" s="25" t="n"/>
      <c r="H142" s="25" t="n"/>
      <c r="I142" s="25" t="n"/>
      <c r="J142" s="25" t="n"/>
      <c r="K142" s="139" t="n"/>
      <c r="L142" s="139" t="n"/>
      <c r="M142" s="139" t="n"/>
      <c r="N142" s="139" t="n"/>
      <c r="O142" s="139" t="n"/>
      <c r="P142" s="139" t="n"/>
      <c r="Q142" s="139" t="n"/>
      <c r="R142" s="142">
        <f>IF(COUNT($K142:$Q142)&lt;7,"",ROUND(($K142*'設定項目'!$C$6+$L142*'設定項目'!$C$7+$M142*'設定項目'!$C$8+$N142*'設定項目'!$C$9+$O142*'設定項目'!$C$10+$P142*'設定項目'!$C$11+$Q142*'設定項目'!$C$12)*20,1))</f>
        <v/>
      </c>
      <c r="S142" s="25">
        <f>IF($R142="","",IF($R142&gt;='設定項目'!$G$6,"優秀",IF($R142&gt;='設定項目'!$G$7,"良好",IF($R142&gt;='設定項目'!$G$8,"要注意","不合格"))))</f>
        <v/>
      </c>
      <c r="T142" s="25" t="n"/>
      <c r="U142" s="25" t="n"/>
      <c r="V142" s="28" t="n"/>
      <c r="W142" s="28" t="n"/>
      <c r="X142" s="25" t="n"/>
      <c r="Y142" s="25" t="n"/>
    </row>
    <row r="143" ht="24" customHeight="1">
      <c r="A143" s="25">
        <f>IF($B143="","","SQ-"&amp;TEXT(ROW()-4,"0000"))</f>
        <v/>
      </c>
      <c r="B143" s="143" t="n"/>
      <c r="C143" s="25" t="n"/>
      <c r="D143" s="25" t="n"/>
      <c r="E143" s="25" t="n"/>
      <c r="F143" s="25" t="n"/>
      <c r="G143" s="25" t="n"/>
      <c r="H143" s="25" t="n"/>
      <c r="I143" s="25" t="n"/>
      <c r="J143" s="25" t="n"/>
      <c r="K143" s="139" t="n"/>
      <c r="L143" s="139" t="n"/>
      <c r="M143" s="139" t="n"/>
      <c r="N143" s="139" t="n"/>
      <c r="O143" s="139" t="n"/>
      <c r="P143" s="139" t="n"/>
      <c r="Q143" s="139" t="n"/>
      <c r="R143" s="142">
        <f>IF(COUNT($K143:$Q143)&lt;7,"",ROUND(($K143*'設定項目'!$C$6+$L143*'設定項目'!$C$7+$M143*'設定項目'!$C$8+$N143*'設定項目'!$C$9+$O143*'設定項目'!$C$10+$P143*'設定項目'!$C$11+$Q143*'設定項目'!$C$12)*20,1))</f>
        <v/>
      </c>
      <c r="S143" s="25">
        <f>IF($R143="","",IF($R143&gt;='設定項目'!$G$6,"優秀",IF($R143&gt;='設定項目'!$G$7,"良好",IF($R143&gt;='設定項目'!$G$8,"要注意","不合格"))))</f>
        <v/>
      </c>
      <c r="T143" s="25" t="n"/>
      <c r="U143" s="25" t="n"/>
      <c r="V143" s="28" t="n"/>
      <c r="W143" s="28" t="n"/>
      <c r="X143" s="25" t="n"/>
      <c r="Y143" s="25" t="n"/>
    </row>
    <row r="144" ht="24" customHeight="1">
      <c r="A144" s="25">
        <f>IF($B144="","","SQ-"&amp;TEXT(ROW()-4,"0000"))</f>
        <v/>
      </c>
      <c r="B144" s="143" t="n"/>
      <c r="C144" s="25" t="n"/>
      <c r="D144" s="25" t="n"/>
      <c r="E144" s="25" t="n"/>
      <c r="F144" s="25" t="n"/>
      <c r="G144" s="25" t="n"/>
      <c r="H144" s="25" t="n"/>
      <c r="I144" s="25" t="n"/>
      <c r="J144" s="25" t="n"/>
      <c r="K144" s="139" t="n"/>
      <c r="L144" s="139" t="n"/>
      <c r="M144" s="139" t="n"/>
      <c r="N144" s="139" t="n"/>
      <c r="O144" s="139" t="n"/>
      <c r="P144" s="139" t="n"/>
      <c r="Q144" s="139" t="n"/>
      <c r="R144" s="142">
        <f>IF(COUNT($K144:$Q144)&lt;7,"",ROUND(($K144*'設定項目'!$C$6+$L144*'設定項目'!$C$7+$M144*'設定項目'!$C$8+$N144*'設定項目'!$C$9+$O144*'設定項目'!$C$10+$P144*'設定項目'!$C$11+$Q144*'設定項目'!$C$12)*20,1))</f>
        <v/>
      </c>
      <c r="S144" s="25">
        <f>IF($R144="","",IF($R144&gt;='設定項目'!$G$6,"優秀",IF($R144&gt;='設定項目'!$G$7,"良好",IF($R144&gt;='設定項目'!$G$8,"要注意","不合格"))))</f>
        <v/>
      </c>
      <c r="T144" s="25" t="n"/>
      <c r="U144" s="25" t="n"/>
      <c r="V144" s="28" t="n"/>
      <c r="W144" s="28" t="n"/>
      <c r="X144" s="25" t="n"/>
      <c r="Y144" s="25" t="n"/>
    </row>
    <row r="145" ht="24" customHeight="1">
      <c r="A145" s="25">
        <f>IF($B145="","","SQ-"&amp;TEXT(ROW()-4,"0000"))</f>
        <v/>
      </c>
      <c r="B145" s="143" t="n"/>
      <c r="C145" s="25" t="n"/>
      <c r="D145" s="25" t="n"/>
      <c r="E145" s="25" t="n"/>
      <c r="F145" s="25" t="n"/>
      <c r="G145" s="25" t="n"/>
      <c r="H145" s="25" t="n"/>
      <c r="I145" s="25" t="n"/>
      <c r="J145" s="25" t="n"/>
      <c r="K145" s="139" t="n"/>
      <c r="L145" s="139" t="n"/>
      <c r="M145" s="139" t="n"/>
      <c r="N145" s="139" t="n"/>
      <c r="O145" s="139" t="n"/>
      <c r="P145" s="139" t="n"/>
      <c r="Q145" s="139" t="n"/>
      <c r="R145" s="142">
        <f>IF(COUNT($K145:$Q145)&lt;7,"",ROUND(($K145*'設定項目'!$C$6+$L145*'設定項目'!$C$7+$M145*'設定項目'!$C$8+$N145*'設定項目'!$C$9+$O145*'設定項目'!$C$10+$P145*'設定項目'!$C$11+$Q145*'設定項目'!$C$12)*20,1))</f>
        <v/>
      </c>
      <c r="S145" s="25">
        <f>IF($R145="","",IF($R145&gt;='設定項目'!$G$6,"優秀",IF($R145&gt;='設定項目'!$G$7,"良好",IF($R145&gt;='設定項目'!$G$8,"要注意","不合格"))))</f>
        <v/>
      </c>
      <c r="T145" s="25" t="n"/>
      <c r="U145" s="25" t="n"/>
      <c r="V145" s="28" t="n"/>
      <c r="W145" s="28" t="n"/>
      <c r="X145" s="25" t="n"/>
      <c r="Y145" s="25" t="n"/>
    </row>
    <row r="146" ht="24" customHeight="1">
      <c r="A146" s="25">
        <f>IF($B146="","","SQ-"&amp;TEXT(ROW()-4,"0000"))</f>
        <v/>
      </c>
      <c r="B146" s="143" t="n"/>
      <c r="C146" s="25" t="n"/>
      <c r="D146" s="25" t="n"/>
      <c r="E146" s="25" t="n"/>
      <c r="F146" s="25" t="n"/>
      <c r="G146" s="25" t="n"/>
      <c r="H146" s="25" t="n"/>
      <c r="I146" s="25" t="n"/>
      <c r="J146" s="25" t="n"/>
      <c r="K146" s="139" t="n"/>
      <c r="L146" s="139" t="n"/>
      <c r="M146" s="139" t="n"/>
      <c r="N146" s="139" t="n"/>
      <c r="O146" s="139" t="n"/>
      <c r="P146" s="139" t="n"/>
      <c r="Q146" s="139" t="n"/>
      <c r="R146" s="142">
        <f>IF(COUNT($K146:$Q146)&lt;7,"",ROUND(($K146*'設定項目'!$C$6+$L146*'設定項目'!$C$7+$M146*'設定項目'!$C$8+$N146*'設定項目'!$C$9+$O146*'設定項目'!$C$10+$P146*'設定項目'!$C$11+$Q146*'設定項目'!$C$12)*20,1))</f>
        <v/>
      </c>
      <c r="S146" s="25">
        <f>IF($R146="","",IF($R146&gt;='設定項目'!$G$6,"優秀",IF($R146&gt;='設定項目'!$G$7,"良好",IF($R146&gt;='設定項目'!$G$8,"要注意","不合格"))))</f>
        <v/>
      </c>
      <c r="T146" s="25" t="n"/>
      <c r="U146" s="25" t="n"/>
      <c r="V146" s="28" t="n"/>
      <c r="W146" s="28" t="n"/>
      <c r="X146" s="25" t="n"/>
      <c r="Y146" s="25" t="n"/>
    </row>
    <row r="147" ht="24" customHeight="1">
      <c r="A147" s="25">
        <f>IF($B147="","","SQ-"&amp;TEXT(ROW()-4,"0000"))</f>
        <v/>
      </c>
      <c r="B147" s="143" t="n"/>
      <c r="C147" s="25" t="n"/>
      <c r="D147" s="25" t="n"/>
      <c r="E147" s="25" t="n"/>
      <c r="F147" s="25" t="n"/>
      <c r="G147" s="25" t="n"/>
      <c r="H147" s="25" t="n"/>
      <c r="I147" s="25" t="n"/>
      <c r="J147" s="25" t="n"/>
      <c r="K147" s="139" t="n"/>
      <c r="L147" s="139" t="n"/>
      <c r="M147" s="139" t="n"/>
      <c r="N147" s="139" t="n"/>
      <c r="O147" s="139" t="n"/>
      <c r="P147" s="139" t="n"/>
      <c r="Q147" s="139" t="n"/>
      <c r="R147" s="142">
        <f>IF(COUNT($K147:$Q147)&lt;7,"",ROUND(($K147*'設定項目'!$C$6+$L147*'設定項目'!$C$7+$M147*'設定項目'!$C$8+$N147*'設定項目'!$C$9+$O147*'設定項目'!$C$10+$P147*'設定項目'!$C$11+$Q147*'設定項目'!$C$12)*20,1))</f>
        <v/>
      </c>
      <c r="S147" s="25">
        <f>IF($R147="","",IF($R147&gt;='設定項目'!$G$6,"優秀",IF($R147&gt;='設定項目'!$G$7,"良好",IF($R147&gt;='設定項目'!$G$8,"要注意","不合格"))))</f>
        <v/>
      </c>
      <c r="T147" s="25" t="n"/>
      <c r="U147" s="25" t="n"/>
      <c r="V147" s="28" t="n"/>
      <c r="W147" s="28" t="n"/>
      <c r="X147" s="25" t="n"/>
      <c r="Y147" s="25" t="n"/>
    </row>
    <row r="148" ht="24" customHeight="1">
      <c r="A148" s="25">
        <f>IF($B148="","","SQ-"&amp;TEXT(ROW()-4,"0000"))</f>
        <v/>
      </c>
      <c r="B148" s="143" t="n"/>
      <c r="C148" s="25" t="n"/>
      <c r="D148" s="25" t="n"/>
      <c r="E148" s="25" t="n"/>
      <c r="F148" s="25" t="n"/>
      <c r="G148" s="25" t="n"/>
      <c r="H148" s="25" t="n"/>
      <c r="I148" s="25" t="n"/>
      <c r="J148" s="25" t="n"/>
      <c r="K148" s="139" t="n"/>
      <c r="L148" s="139" t="n"/>
      <c r="M148" s="139" t="n"/>
      <c r="N148" s="139" t="n"/>
      <c r="O148" s="139" t="n"/>
      <c r="P148" s="139" t="n"/>
      <c r="Q148" s="139" t="n"/>
      <c r="R148" s="142">
        <f>IF(COUNT($K148:$Q148)&lt;7,"",ROUND(($K148*'設定項目'!$C$6+$L148*'設定項目'!$C$7+$M148*'設定項目'!$C$8+$N148*'設定項目'!$C$9+$O148*'設定項目'!$C$10+$P148*'設定項目'!$C$11+$Q148*'設定項目'!$C$12)*20,1))</f>
        <v/>
      </c>
      <c r="S148" s="25">
        <f>IF($R148="","",IF($R148&gt;='設定項目'!$G$6,"優秀",IF($R148&gt;='設定項目'!$G$7,"良好",IF($R148&gt;='設定項目'!$G$8,"要注意","不合格"))))</f>
        <v/>
      </c>
      <c r="T148" s="25" t="n"/>
      <c r="U148" s="25" t="n"/>
      <c r="V148" s="28" t="n"/>
      <c r="W148" s="28" t="n"/>
      <c r="X148" s="25" t="n"/>
      <c r="Y148" s="25" t="n"/>
    </row>
    <row r="149" ht="24" customHeight="1">
      <c r="A149" s="25">
        <f>IF($B149="","","SQ-"&amp;TEXT(ROW()-4,"0000"))</f>
        <v/>
      </c>
      <c r="B149" s="143" t="n"/>
      <c r="C149" s="25" t="n"/>
      <c r="D149" s="25" t="n"/>
      <c r="E149" s="25" t="n"/>
      <c r="F149" s="25" t="n"/>
      <c r="G149" s="25" t="n"/>
      <c r="H149" s="25" t="n"/>
      <c r="I149" s="25" t="n"/>
      <c r="J149" s="25" t="n"/>
      <c r="K149" s="139" t="n"/>
      <c r="L149" s="139" t="n"/>
      <c r="M149" s="139" t="n"/>
      <c r="N149" s="139" t="n"/>
      <c r="O149" s="139" t="n"/>
      <c r="P149" s="139" t="n"/>
      <c r="Q149" s="139" t="n"/>
      <c r="R149" s="142">
        <f>IF(COUNT($K149:$Q149)&lt;7,"",ROUND(($K149*'設定項目'!$C$6+$L149*'設定項目'!$C$7+$M149*'設定項目'!$C$8+$N149*'設定項目'!$C$9+$O149*'設定項目'!$C$10+$P149*'設定項目'!$C$11+$Q149*'設定項目'!$C$12)*20,1))</f>
        <v/>
      </c>
      <c r="S149" s="25">
        <f>IF($R149="","",IF($R149&gt;='設定項目'!$G$6,"優秀",IF($R149&gt;='設定項目'!$G$7,"良好",IF($R149&gt;='設定項目'!$G$8,"要注意","不合格"))))</f>
        <v/>
      </c>
      <c r="T149" s="25" t="n"/>
      <c r="U149" s="25" t="n"/>
      <c r="V149" s="28" t="n"/>
      <c r="W149" s="28" t="n"/>
      <c r="X149" s="25" t="n"/>
      <c r="Y149" s="25" t="n"/>
    </row>
    <row r="150" ht="24" customHeight="1">
      <c r="A150" s="25">
        <f>IF($B150="","","SQ-"&amp;TEXT(ROW()-4,"0000"))</f>
        <v/>
      </c>
      <c r="B150" s="143" t="n"/>
      <c r="C150" s="25" t="n"/>
      <c r="D150" s="25" t="n"/>
      <c r="E150" s="25" t="n"/>
      <c r="F150" s="25" t="n"/>
      <c r="G150" s="25" t="n"/>
      <c r="H150" s="25" t="n"/>
      <c r="I150" s="25" t="n"/>
      <c r="J150" s="25" t="n"/>
      <c r="K150" s="139" t="n"/>
      <c r="L150" s="139" t="n"/>
      <c r="M150" s="139" t="n"/>
      <c r="N150" s="139" t="n"/>
      <c r="O150" s="139" t="n"/>
      <c r="P150" s="139" t="n"/>
      <c r="Q150" s="139" t="n"/>
      <c r="R150" s="142">
        <f>IF(COUNT($K150:$Q150)&lt;7,"",ROUND(($K150*'設定項目'!$C$6+$L150*'設定項目'!$C$7+$M150*'設定項目'!$C$8+$N150*'設定項目'!$C$9+$O150*'設定項目'!$C$10+$P150*'設定項目'!$C$11+$Q150*'設定項目'!$C$12)*20,1))</f>
        <v/>
      </c>
      <c r="S150" s="25">
        <f>IF($R150="","",IF($R150&gt;='設定項目'!$G$6,"優秀",IF($R150&gt;='設定項目'!$G$7,"良好",IF($R150&gt;='設定項目'!$G$8,"要注意","不合格"))))</f>
        <v/>
      </c>
      <c r="T150" s="25" t="n"/>
      <c r="U150" s="25" t="n"/>
      <c r="V150" s="28" t="n"/>
      <c r="W150" s="28" t="n"/>
      <c r="X150" s="25" t="n"/>
      <c r="Y150" s="25" t="n"/>
    </row>
    <row r="151" ht="24" customHeight="1">
      <c r="A151" s="25">
        <f>IF($B151="","","SQ-"&amp;TEXT(ROW()-4,"0000"))</f>
        <v/>
      </c>
      <c r="B151" s="143" t="n"/>
      <c r="C151" s="25" t="n"/>
      <c r="D151" s="25" t="n"/>
      <c r="E151" s="25" t="n"/>
      <c r="F151" s="25" t="n"/>
      <c r="G151" s="25" t="n"/>
      <c r="H151" s="25" t="n"/>
      <c r="I151" s="25" t="n"/>
      <c r="J151" s="25" t="n"/>
      <c r="K151" s="139" t="n"/>
      <c r="L151" s="139" t="n"/>
      <c r="M151" s="139" t="n"/>
      <c r="N151" s="139" t="n"/>
      <c r="O151" s="139" t="n"/>
      <c r="P151" s="139" t="n"/>
      <c r="Q151" s="139" t="n"/>
      <c r="R151" s="142">
        <f>IF(COUNT($K151:$Q151)&lt;7,"",ROUND(($K151*'設定項目'!$C$6+$L151*'設定項目'!$C$7+$M151*'設定項目'!$C$8+$N151*'設定項目'!$C$9+$O151*'設定項目'!$C$10+$P151*'設定項目'!$C$11+$Q151*'設定項目'!$C$12)*20,1))</f>
        <v/>
      </c>
      <c r="S151" s="25">
        <f>IF($R151="","",IF($R151&gt;='設定項目'!$G$6,"優秀",IF($R151&gt;='設定項目'!$G$7,"良好",IF($R151&gt;='設定項目'!$G$8,"要注意","不合格"))))</f>
        <v/>
      </c>
      <c r="T151" s="25" t="n"/>
      <c r="U151" s="25" t="n"/>
      <c r="V151" s="28" t="n"/>
      <c r="W151" s="28" t="n"/>
      <c r="X151" s="25" t="n"/>
      <c r="Y151" s="25" t="n"/>
    </row>
    <row r="152" ht="24" customHeight="1">
      <c r="A152" s="25">
        <f>IF($B152="","","SQ-"&amp;TEXT(ROW()-4,"0000"))</f>
        <v/>
      </c>
      <c r="B152" s="143" t="n"/>
      <c r="C152" s="25" t="n"/>
      <c r="D152" s="25" t="n"/>
      <c r="E152" s="25" t="n"/>
      <c r="F152" s="25" t="n"/>
      <c r="G152" s="25" t="n"/>
      <c r="H152" s="25" t="n"/>
      <c r="I152" s="25" t="n"/>
      <c r="J152" s="25" t="n"/>
      <c r="K152" s="139" t="n"/>
      <c r="L152" s="139" t="n"/>
      <c r="M152" s="139" t="n"/>
      <c r="N152" s="139" t="n"/>
      <c r="O152" s="139" t="n"/>
      <c r="P152" s="139" t="n"/>
      <c r="Q152" s="139" t="n"/>
      <c r="R152" s="142">
        <f>IF(COUNT($K152:$Q152)&lt;7,"",ROUND(($K152*'設定項目'!$C$6+$L152*'設定項目'!$C$7+$M152*'設定項目'!$C$8+$N152*'設定項目'!$C$9+$O152*'設定項目'!$C$10+$P152*'設定項目'!$C$11+$Q152*'設定項目'!$C$12)*20,1))</f>
        <v/>
      </c>
      <c r="S152" s="25">
        <f>IF($R152="","",IF($R152&gt;='設定項目'!$G$6,"優秀",IF($R152&gt;='設定項目'!$G$7,"良好",IF($R152&gt;='設定項目'!$G$8,"要注意","不合格"))))</f>
        <v/>
      </c>
      <c r="T152" s="25" t="n"/>
      <c r="U152" s="25" t="n"/>
      <c r="V152" s="28" t="n"/>
      <c r="W152" s="28" t="n"/>
      <c r="X152" s="25" t="n"/>
      <c r="Y152" s="25" t="n"/>
    </row>
    <row r="153" ht="24" customHeight="1">
      <c r="A153" s="25">
        <f>IF($B153="","","SQ-"&amp;TEXT(ROW()-4,"0000"))</f>
        <v/>
      </c>
      <c r="B153" s="143" t="n"/>
      <c r="C153" s="25" t="n"/>
      <c r="D153" s="25" t="n"/>
      <c r="E153" s="25" t="n"/>
      <c r="F153" s="25" t="n"/>
      <c r="G153" s="25" t="n"/>
      <c r="H153" s="25" t="n"/>
      <c r="I153" s="25" t="n"/>
      <c r="J153" s="25" t="n"/>
      <c r="K153" s="139" t="n"/>
      <c r="L153" s="139" t="n"/>
      <c r="M153" s="139" t="n"/>
      <c r="N153" s="139" t="n"/>
      <c r="O153" s="139" t="n"/>
      <c r="P153" s="139" t="n"/>
      <c r="Q153" s="139" t="n"/>
      <c r="R153" s="142">
        <f>IF(COUNT($K153:$Q153)&lt;7,"",ROUND(($K153*'設定項目'!$C$6+$L153*'設定項目'!$C$7+$M153*'設定項目'!$C$8+$N153*'設定項目'!$C$9+$O153*'設定項目'!$C$10+$P153*'設定項目'!$C$11+$Q153*'設定項目'!$C$12)*20,1))</f>
        <v/>
      </c>
      <c r="S153" s="25">
        <f>IF($R153="","",IF($R153&gt;='設定項目'!$G$6,"優秀",IF($R153&gt;='設定項目'!$G$7,"良好",IF($R153&gt;='設定項目'!$G$8,"要注意","不合格"))))</f>
        <v/>
      </c>
      <c r="T153" s="25" t="n"/>
      <c r="U153" s="25" t="n"/>
      <c r="V153" s="28" t="n"/>
      <c r="W153" s="28" t="n"/>
      <c r="X153" s="25" t="n"/>
      <c r="Y153" s="25" t="n"/>
    </row>
    <row r="154" ht="24" customHeight="1">
      <c r="A154" s="25">
        <f>IF($B154="","","SQ-"&amp;TEXT(ROW()-4,"0000"))</f>
        <v/>
      </c>
      <c r="B154" s="143" t="n"/>
      <c r="C154" s="25" t="n"/>
      <c r="D154" s="25" t="n"/>
      <c r="E154" s="25" t="n"/>
      <c r="F154" s="25" t="n"/>
      <c r="G154" s="25" t="n"/>
      <c r="H154" s="25" t="n"/>
      <c r="I154" s="25" t="n"/>
      <c r="J154" s="25" t="n"/>
      <c r="K154" s="139" t="n"/>
      <c r="L154" s="139" t="n"/>
      <c r="M154" s="139" t="n"/>
      <c r="N154" s="139" t="n"/>
      <c r="O154" s="139" t="n"/>
      <c r="P154" s="139" t="n"/>
      <c r="Q154" s="139" t="n"/>
      <c r="R154" s="142">
        <f>IF(COUNT($K154:$Q154)&lt;7,"",ROUND(($K154*'設定項目'!$C$6+$L154*'設定項目'!$C$7+$M154*'設定項目'!$C$8+$N154*'設定項目'!$C$9+$O154*'設定項目'!$C$10+$P154*'設定項目'!$C$11+$Q154*'設定項目'!$C$12)*20,1))</f>
        <v/>
      </c>
      <c r="S154" s="25">
        <f>IF($R154="","",IF($R154&gt;='設定項目'!$G$6,"優秀",IF($R154&gt;='設定項目'!$G$7,"良好",IF($R154&gt;='設定項目'!$G$8,"要注意","不合格"))))</f>
        <v/>
      </c>
      <c r="T154" s="25" t="n"/>
      <c r="U154" s="25" t="n"/>
      <c r="V154" s="28" t="n"/>
      <c r="W154" s="28" t="n"/>
      <c r="X154" s="25" t="n"/>
      <c r="Y154" s="25" t="n"/>
    </row>
    <row r="155" ht="24" customHeight="1">
      <c r="A155" s="25">
        <f>IF($B155="","","SQ-"&amp;TEXT(ROW()-4,"0000"))</f>
        <v/>
      </c>
      <c r="B155" s="143" t="n"/>
      <c r="C155" s="25" t="n"/>
      <c r="D155" s="25" t="n"/>
      <c r="E155" s="25" t="n"/>
      <c r="F155" s="25" t="n"/>
      <c r="G155" s="25" t="n"/>
      <c r="H155" s="25" t="n"/>
      <c r="I155" s="25" t="n"/>
      <c r="J155" s="25" t="n"/>
      <c r="K155" s="139" t="n"/>
      <c r="L155" s="139" t="n"/>
      <c r="M155" s="139" t="n"/>
      <c r="N155" s="139" t="n"/>
      <c r="O155" s="139" t="n"/>
      <c r="P155" s="139" t="n"/>
      <c r="Q155" s="139" t="n"/>
      <c r="R155" s="142">
        <f>IF(COUNT($K155:$Q155)&lt;7,"",ROUND(($K155*'設定項目'!$C$6+$L155*'設定項目'!$C$7+$M155*'設定項目'!$C$8+$N155*'設定項目'!$C$9+$O155*'設定項目'!$C$10+$P155*'設定項目'!$C$11+$Q155*'設定項目'!$C$12)*20,1))</f>
        <v/>
      </c>
      <c r="S155" s="25">
        <f>IF($R155="","",IF($R155&gt;='設定項目'!$G$6,"優秀",IF($R155&gt;='設定項目'!$G$7,"良好",IF($R155&gt;='設定項目'!$G$8,"要注意","不合格"))))</f>
        <v/>
      </c>
      <c r="T155" s="25" t="n"/>
      <c r="U155" s="25" t="n"/>
      <c r="V155" s="28" t="n"/>
      <c r="W155" s="28" t="n"/>
      <c r="X155" s="25" t="n"/>
      <c r="Y155" s="25" t="n"/>
    </row>
    <row r="156" ht="24" customHeight="1">
      <c r="A156" s="25">
        <f>IF($B156="","","SQ-"&amp;TEXT(ROW()-4,"0000"))</f>
        <v/>
      </c>
      <c r="B156" s="143" t="n"/>
      <c r="C156" s="25" t="n"/>
      <c r="D156" s="25" t="n"/>
      <c r="E156" s="25" t="n"/>
      <c r="F156" s="25" t="n"/>
      <c r="G156" s="25" t="n"/>
      <c r="H156" s="25" t="n"/>
      <c r="I156" s="25" t="n"/>
      <c r="J156" s="25" t="n"/>
      <c r="K156" s="139" t="n"/>
      <c r="L156" s="139" t="n"/>
      <c r="M156" s="139" t="n"/>
      <c r="N156" s="139" t="n"/>
      <c r="O156" s="139" t="n"/>
      <c r="P156" s="139" t="n"/>
      <c r="Q156" s="139" t="n"/>
      <c r="R156" s="142">
        <f>IF(COUNT($K156:$Q156)&lt;7,"",ROUND(($K156*'設定項目'!$C$6+$L156*'設定項目'!$C$7+$M156*'設定項目'!$C$8+$N156*'設定項目'!$C$9+$O156*'設定項目'!$C$10+$P156*'設定項目'!$C$11+$Q156*'設定項目'!$C$12)*20,1))</f>
        <v/>
      </c>
      <c r="S156" s="25">
        <f>IF($R156="","",IF($R156&gt;='設定項目'!$G$6,"優秀",IF($R156&gt;='設定項目'!$G$7,"良好",IF($R156&gt;='設定項目'!$G$8,"要注意","不合格"))))</f>
        <v/>
      </c>
      <c r="T156" s="25" t="n"/>
      <c r="U156" s="25" t="n"/>
      <c r="V156" s="28" t="n"/>
      <c r="W156" s="28" t="n"/>
      <c r="X156" s="25" t="n"/>
      <c r="Y156" s="25" t="n"/>
    </row>
    <row r="157" ht="24" customHeight="1">
      <c r="A157" s="25">
        <f>IF($B157="","","SQ-"&amp;TEXT(ROW()-4,"0000"))</f>
        <v/>
      </c>
      <c r="B157" s="143" t="n"/>
      <c r="C157" s="25" t="n"/>
      <c r="D157" s="25" t="n"/>
      <c r="E157" s="25" t="n"/>
      <c r="F157" s="25" t="n"/>
      <c r="G157" s="25" t="n"/>
      <c r="H157" s="25" t="n"/>
      <c r="I157" s="25" t="n"/>
      <c r="J157" s="25" t="n"/>
      <c r="K157" s="139" t="n"/>
      <c r="L157" s="139" t="n"/>
      <c r="M157" s="139" t="n"/>
      <c r="N157" s="139" t="n"/>
      <c r="O157" s="139" t="n"/>
      <c r="P157" s="139" t="n"/>
      <c r="Q157" s="139" t="n"/>
      <c r="R157" s="142">
        <f>IF(COUNT($K157:$Q157)&lt;7,"",ROUND(($K157*'設定項目'!$C$6+$L157*'設定項目'!$C$7+$M157*'設定項目'!$C$8+$N157*'設定項目'!$C$9+$O157*'設定項目'!$C$10+$P157*'設定項目'!$C$11+$Q157*'設定項目'!$C$12)*20,1))</f>
        <v/>
      </c>
      <c r="S157" s="25">
        <f>IF($R157="","",IF($R157&gt;='設定項目'!$G$6,"優秀",IF($R157&gt;='設定項目'!$G$7,"良好",IF($R157&gt;='設定項目'!$G$8,"要注意","不合格"))))</f>
        <v/>
      </c>
      <c r="T157" s="25" t="n"/>
      <c r="U157" s="25" t="n"/>
      <c r="V157" s="28" t="n"/>
      <c r="W157" s="28" t="n"/>
      <c r="X157" s="25" t="n"/>
      <c r="Y157" s="25" t="n"/>
    </row>
    <row r="158" ht="24" customHeight="1">
      <c r="A158" s="25">
        <f>IF($B158="","","SQ-"&amp;TEXT(ROW()-4,"0000"))</f>
        <v/>
      </c>
      <c r="B158" s="143" t="n"/>
      <c r="C158" s="25" t="n"/>
      <c r="D158" s="25" t="n"/>
      <c r="E158" s="25" t="n"/>
      <c r="F158" s="25" t="n"/>
      <c r="G158" s="25" t="n"/>
      <c r="H158" s="25" t="n"/>
      <c r="I158" s="25" t="n"/>
      <c r="J158" s="25" t="n"/>
      <c r="K158" s="139" t="n"/>
      <c r="L158" s="139" t="n"/>
      <c r="M158" s="139" t="n"/>
      <c r="N158" s="139" t="n"/>
      <c r="O158" s="139" t="n"/>
      <c r="P158" s="139" t="n"/>
      <c r="Q158" s="139" t="n"/>
      <c r="R158" s="142">
        <f>IF(COUNT($K158:$Q158)&lt;7,"",ROUND(($K158*'設定項目'!$C$6+$L158*'設定項目'!$C$7+$M158*'設定項目'!$C$8+$N158*'設定項目'!$C$9+$O158*'設定項目'!$C$10+$P158*'設定項目'!$C$11+$Q158*'設定項目'!$C$12)*20,1))</f>
        <v/>
      </c>
      <c r="S158" s="25">
        <f>IF($R158="","",IF($R158&gt;='設定項目'!$G$6,"優秀",IF($R158&gt;='設定項目'!$G$7,"良好",IF($R158&gt;='設定項目'!$G$8,"要注意","不合格"))))</f>
        <v/>
      </c>
      <c r="T158" s="25" t="n"/>
      <c r="U158" s="25" t="n"/>
      <c r="V158" s="28" t="n"/>
      <c r="W158" s="28" t="n"/>
      <c r="X158" s="25" t="n"/>
      <c r="Y158" s="25" t="n"/>
    </row>
    <row r="159" ht="24" customHeight="1">
      <c r="A159" s="25">
        <f>IF($B159="","","SQ-"&amp;TEXT(ROW()-4,"0000"))</f>
        <v/>
      </c>
      <c r="B159" s="143" t="n"/>
      <c r="C159" s="25" t="n"/>
      <c r="D159" s="25" t="n"/>
      <c r="E159" s="25" t="n"/>
      <c r="F159" s="25" t="n"/>
      <c r="G159" s="25" t="n"/>
      <c r="H159" s="25" t="n"/>
      <c r="I159" s="25" t="n"/>
      <c r="J159" s="25" t="n"/>
      <c r="K159" s="139" t="n"/>
      <c r="L159" s="139" t="n"/>
      <c r="M159" s="139" t="n"/>
      <c r="N159" s="139" t="n"/>
      <c r="O159" s="139" t="n"/>
      <c r="P159" s="139" t="n"/>
      <c r="Q159" s="139" t="n"/>
      <c r="R159" s="142">
        <f>IF(COUNT($K159:$Q159)&lt;7,"",ROUND(($K159*'設定項目'!$C$6+$L159*'設定項目'!$C$7+$M159*'設定項目'!$C$8+$N159*'設定項目'!$C$9+$O159*'設定項目'!$C$10+$P159*'設定項目'!$C$11+$Q159*'設定項目'!$C$12)*20,1))</f>
        <v/>
      </c>
      <c r="S159" s="25">
        <f>IF($R159="","",IF($R159&gt;='設定項目'!$G$6,"優秀",IF($R159&gt;='設定項目'!$G$7,"良好",IF($R159&gt;='設定項目'!$G$8,"要注意","不合格"))))</f>
        <v/>
      </c>
      <c r="T159" s="25" t="n"/>
      <c r="U159" s="25" t="n"/>
      <c r="V159" s="28" t="n"/>
      <c r="W159" s="28" t="n"/>
      <c r="X159" s="25" t="n"/>
      <c r="Y159" s="25" t="n"/>
    </row>
    <row r="160" ht="24" customHeight="1">
      <c r="A160" s="25">
        <f>IF($B160="","","SQ-"&amp;TEXT(ROW()-4,"0000"))</f>
        <v/>
      </c>
      <c r="B160" s="143" t="n"/>
      <c r="C160" s="25" t="n"/>
      <c r="D160" s="25" t="n"/>
      <c r="E160" s="25" t="n"/>
      <c r="F160" s="25" t="n"/>
      <c r="G160" s="25" t="n"/>
      <c r="H160" s="25" t="n"/>
      <c r="I160" s="25" t="n"/>
      <c r="J160" s="25" t="n"/>
      <c r="K160" s="139" t="n"/>
      <c r="L160" s="139" t="n"/>
      <c r="M160" s="139" t="n"/>
      <c r="N160" s="139" t="n"/>
      <c r="O160" s="139" t="n"/>
      <c r="P160" s="139" t="n"/>
      <c r="Q160" s="139" t="n"/>
      <c r="R160" s="142">
        <f>IF(COUNT($K160:$Q160)&lt;7,"",ROUND(($K160*'設定項目'!$C$6+$L160*'設定項目'!$C$7+$M160*'設定項目'!$C$8+$N160*'設定項目'!$C$9+$O160*'設定項目'!$C$10+$P160*'設定項目'!$C$11+$Q160*'設定項目'!$C$12)*20,1))</f>
        <v/>
      </c>
      <c r="S160" s="25">
        <f>IF($R160="","",IF($R160&gt;='設定項目'!$G$6,"優秀",IF($R160&gt;='設定項目'!$G$7,"良好",IF($R160&gt;='設定項目'!$G$8,"要注意","不合格"))))</f>
        <v/>
      </c>
      <c r="T160" s="25" t="n"/>
      <c r="U160" s="25" t="n"/>
      <c r="V160" s="28" t="n"/>
      <c r="W160" s="28" t="n"/>
      <c r="X160" s="25" t="n"/>
      <c r="Y160" s="25" t="n"/>
    </row>
    <row r="161" ht="24" customHeight="1">
      <c r="A161" s="25">
        <f>IF($B161="","","SQ-"&amp;TEXT(ROW()-4,"0000"))</f>
        <v/>
      </c>
      <c r="B161" s="143" t="n"/>
      <c r="C161" s="25" t="n"/>
      <c r="D161" s="25" t="n"/>
      <c r="E161" s="25" t="n"/>
      <c r="F161" s="25" t="n"/>
      <c r="G161" s="25" t="n"/>
      <c r="H161" s="25" t="n"/>
      <c r="I161" s="25" t="n"/>
      <c r="J161" s="25" t="n"/>
      <c r="K161" s="139" t="n"/>
      <c r="L161" s="139" t="n"/>
      <c r="M161" s="139" t="n"/>
      <c r="N161" s="139" t="n"/>
      <c r="O161" s="139" t="n"/>
      <c r="P161" s="139" t="n"/>
      <c r="Q161" s="139" t="n"/>
      <c r="R161" s="142">
        <f>IF(COUNT($K161:$Q161)&lt;7,"",ROUND(($K161*'設定項目'!$C$6+$L161*'設定項目'!$C$7+$M161*'設定項目'!$C$8+$N161*'設定項目'!$C$9+$O161*'設定項目'!$C$10+$P161*'設定項目'!$C$11+$Q161*'設定項目'!$C$12)*20,1))</f>
        <v/>
      </c>
      <c r="S161" s="25">
        <f>IF($R161="","",IF($R161&gt;='設定項目'!$G$6,"優秀",IF($R161&gt;='設定項目'!$G$7,"良好",IF($R161&gt;='設定項目'!$G$8,"要注意","不合格"))))</f>
        <v/>
      </c>
      <c r="T161" s="25" t="n"/>
      <c r="U161" s="25" t="n"/>
      <c r="V161" s="28" t="n"/>
      <c r="W161" s="28" t="n"/>
      <c r="X161" s="25" t="n"/>
      <c r="Y161" s="25" t="n"/>
    </row>
    <row r="162" ht="24" customHeight="1">
      <c r="A162" s="25">
        <f>IF($B162="","","SQ-"&amp;TEXT(ROW()-4,"0000"))</f>
        <v/>
      </c>
      <c r="B162" s="143" t="n"/>
      <c r="C162" s="25" t="n"/>
      <c r="D162" s="25" t="n"/>
      <c r="E162" s="25" t="n"/>
      <c r="F162" s="25" t="n"/>
      <c r="G162" s="25" t="n"/>
      <c r="H162" s="25" t="n"/>
      <c r="I162" s="25" t="n"/>
      <c r="J162" s="25" t="n"/>
      <c r="K162" s="139" t="n"/>
      <c r="L162" s="139" t="n"/>
      <c r="M162" s="139" t="n"/>
      <c r="N162" s="139" t="n"/>
      <c r="O162" s="139" t="n"/>
      <c r="P162" s="139" t="n"/>
      <c r="Q162" s="139" t="n"/>
      <c r="R162" s="142">
        <f>IF(COUNT($K162:$Q162)&lt;7,"",ROUND(($K162*'設定項目'!$C$6+$L162*'設定項目'!$C$7+$M162*'設定項目'!$C$8+$N162*'設定項目'!$C$9+$O162*'設定項目'!$C$10+$P162*'設定項目'!$C$11+$Q162*'設定項目'!$C$12)*20,1))</f>
        <v/>
      </c>
      <c r="S162" s="25">
        <f>IF($R162="","",IF($R162&gt;='設定項目'!$G$6,"優秀",IF($R162&gt;='設定項目'!$G$7,"良好",IF($R162&gt;='設定項目'!$G$8,"要注意","不合格"))))</f>
        <v/>
      </c>
      <c r="T162" s="25" t="n"/>
      <c r="U162" s="25" t="n"/>
      <c r="V162" s="28" t="n"/>
      <c r="W162" s="28" t="n"/>
      <c r="X162" s="25" t="n"/>
      <c r="Y162" s="25" t="n"/>
    </row>
    <row r="163" ht="24" customHeight="1">
      <c r="A163" s="25">
        <f>IF($B163="","","SQ-"&amp;TEXT(ROW()-4,"0000"))</f>
        <v/>
      </c>
      <c r="B163" s="143" t="n"/>
      <c r="C163" s="25" t="n"/>
      <c r="D163" s="25" t="n"/>
      <c r="E163" s="25" t="n"/>
      <c r="F163" s="25" t="n"/>
      <c r="G163" s="25" t="n"/>
      <c r="H163" s="25" t="n"/>
      <c r="I163" s="25" t="n"/>
      <c r="J163" s="25" t="n"/>
      <c r="K163" s="139" t="n"/>
      <c r="L163" s="139" t="n"/>
      <c r="M163" s="139" t="n"/>
      <c r="N163" s="139" t="n"/>
      <c r="O163" s="139" t="n"/>
      <c r="P163" s="139" t="n"/>
      <c r="Q163" s="139" t="n"/>
      <c r="R163" s="142">
        <f>IF(COUNT($K163:$Q163)&lt;7,"",ROUND(($K163*'設定項目'!$C$6+$L163*'設定項目'!$C$7+$M163*'設定項目'!$C$8+$N163*'設定項目'!$C$9+$O163*'設定項目'!$C$10+$P163*'設定項目'!$C$11+$Q163*'設定項目'!$C$12)*20,1))</f>
        <v/>
      </c>
      <c r="S163" s="25">
        <f>IF($R163="","",IF($R163&gt;='設定項目'!$G$6,"優秀",IF($R163&gt;='設定項目'!$G$7,"良好",IF($R163&gt;='設定項目'!$G$8,"要注意","不合格"))))</f>
        <v/>
      </c>
      <c r="T163" s="25" t="n"/>
      <c r="U163" s="25" t="n"/>
      <c r="V163" s="28" t="n"/>
      <c r="W163" s="28" t="n"/>
      <c r="X163" s="25" t="n"/>
      <c r="Y163" s="25" t="n"/>
    </row>
    <row r="164" ht="24" customHeight="1">
      <c r="A164" s="25">
        <f>IF($B164="","","SQ-"&amp;TEXT(ROW()-4,"0000"))</f>
        <v/>
      </c>
      <c r="B164" s="143" t="n"/>
      <c r="C164" s="25" t="n"/>
      <c r="D164" s="25" t="n"/>
      <c r="E164" s="25" t="n"/>
      <c r="F164" s="25" t="n"/>
      <c r="G164" s="25" t="n"/>
      <c r="H164" s="25" t="n"/>
      <c r="I164" s="25" t="n"/>
      <c r="J164" s="25" t="n"/>
      <c r="K164" s="139" t="n"/>
      <c r="L164" s="139" t="n"/>
      <c r="M164" s="139" t="n"/>
      <c r="N164" s="139" t="n"/>
      <c r="O164" s="139" t="n"/>
      <c r="P164" s="139" t="n"/>
      <c r="Q164" s="139" t="n"/>
      <c r="R164" s="142">
        <f>IF(COUNT($K164:$Q164)&lt;7,"",ROUND(($K164*'設定項目'!$C$6+$L164*'設定項目'!$C$7+$M164*'設定項目'!$C$8+$N164*'設定項目'!$C$9+$O164*'設定項目'!$C$10+$P164*'設定項目'!$C$11+$Q164*'設定項目'!$C$12)*20,1))</f>
        <v/>
      </c>
      <c r="S164" s="25">
        <f>IF($R164="","",IF($R164&gt;='設定項目'!$G$6,"優秀",IF($R164&gt;='設定項目'!$G$7,"良好",IF($R164&gt;='設定項目'!$G$8,"要注意","不合格"))))</f>
        <v/>
      </c>
      <c r="T164" s="25" t="n"/>
      <c r="U164" s="25" t="n"/>
      <c r="V164" s="28" t="n"/>
      <c r="W164" s="28" t="n"/>
      <c r="X164" s="25" t="n"/>
      <c r="Y164" s="25" t="n"/>
    </row>
    <row r="165" ht="24" customHeight="1">
      <c r="A165" s="25">
        <f>IF($B165="","","SQ-"&amp;TEXT(ROW()-4,"0000"))</f>
        <v/>
      </c>
      <c r="B165" s="143" t="n"/>
      <c r="C165" s="25" t="n"/>
      <c r="D165" s="25" t="n"/>
      <c r="E165" s="25" t="n"/>
      <c r="F165" s="25" t="n"/>
      <c r="G165" s="25" t="n"/>
      <c r="H165" s="25" t="n"/>
      <c r="I165" s="25" t="n"/>
      <c r="J165" s="25" t="n"/>
      <c r="K165" s="139" t="n"/>
      <c r="L165" s="139" t="n"/>
      <c r="M165" s="139" t="n"/>
      <c r="N165" s="139" t="n"/>
      <c r="O165" s="139" t="n"/>
      <c r="P165" s="139" t="n"/>
      <c r="Q165" s="139" t="n"/>
      <c r="R165" s="142">
        <f>IF(COUNT($K165:$Q165)&lt;7,"",ROUND(($K165*'設定項目'!$C$6+$L165*'設定項目'!$C$7+$M165*'設定項目'!$C$8+$N165*'設定項目'!$C$9+$O165*'設定項目'!$C$10+$P165*'設定項目'!$C$11+$Q165*'設定項目'!$C$12)*20,1))</f>
        <v/>
      </c>
      <c r="S165" s="25">
        <f>IF($R165="","",IF($R165&gt;='設定項目'!$G$6,"優秀",IF($R165&gt;='設定項目'!$G$7,"良好",IF($R165&gt;='設定項目'!$G$8,"要注意","不合格"))))</f>
        <v/>
      </c>
      <c r="T165" s="25" t="n"/>
      <c r="U165" s="25" t="n"/>
      <c r="V165" s="28" t="n"/>
      <c r="W165" s="28" t="n"/>
      <c r="X165" s="25" t="n"/>
      <c r="Y165" s="25" t="n"/>
    </row>
    <row r="166" ht="24" customHeight="1">
      <c r="A166" s="25">
        <f>IF($B166="","","SQ-"&amp;TEXT(ROW()-4,"0000"))</f>
        <v/>
      </c>
      <c r="B166" s="143" t="n"/>
      <c r="C166" s="25" t="n"/>
      <c r="D166" s="25" t="n"/>
      <c r="E166" s="25" t="n"/>
      <c r="F166" s="25" t="n"/>
      <c r="G166" s="25" t="n"/>
      <c r="H166" s="25" t="n"/>
      <c r="I166" s="25" t="n"/>
      <c r="J166" s="25" t="n"/>
      <c r="K166" s="139" t="n"/>
      <c r="L166" s="139" t="n"/>
      <c r="M166" s="139" t="n"/>
      <c r="N166" s="139" t="n"/>
      <c r="O166" s="139" t="n"/>
      <c r="P166" s="139" t="n"/>
      <c r="Q166" s="139" t="n"/>
      <c r="R166" s="142">
        <f>IF(COUNT($K166:$Q166)&lt;7,"",ROUND(($K166*'設定項目'!$C$6+$L166*'設定項目'!$C$7+$M166*'設定項目'!$C$8+$N166*'設定項目'!$C$9+$O166*'設定項目'!$C$10+$P166*'設定項目'!$C$11+$Q166*'設定項目'!$C$12)*20,1))</f>
        <v/>
      </c>
      <c r="S166" s="25">
        <f>IF($R166="","",IF($R166&gt;='設定項目'!$G$6,"優秀",IF($R166&gt;='設定項目'!$G$7,"良好",IF($R166&gt;='設定項目'!$G$8,"要注意","不合格"))))</f>
        <v/>
      </c>
      <c r="T166" s="25" t="n"/>
      <c r="U166" s="25" t="n"/>
      <c r="V166" s="28" t="n"/>
      <c r="W166" s="28" t="n"/>
      <c r="X166" s="25" t="n"/>
      <c r="Y166" s="25" t="n"/>
    </row>
    <row r="167" ht="24" customHeight="1">
      <c r="A167" s="25">
        <f>IF($B167="","","SQ-"&amp;TEXT(ROW()-4,"0000"))</f>
        <v/>
      </c>
      <c r="B167" s="143" t="n"/>
      <c r="C167" s="25" t="n"/>
      <c r="D167" s="25" t="n"/>
      <c r="E167" s="25" t="n"/>
      <c r="F167" s="25" t="n"/>
      <c r="G167" s="25" t="n"/>
      <c r="H167" s="25" t="n"/>
      <c r="I167" s="25" t="n"/>
      <c r="J167" s="25" t="n"/>
      <c r="K167" s="139" t="n"/>
      <c r="L167" s="139" t="n"/>
      <c r="M167" s="139" t="n"/>
      <c r="N167" s="139" t="n"/>
      <c r="O167" s="139" t="n"/>
      <c r="P167" s="139" t="n"/>
      <c r="Q167" s="139" t="n"/>
      <c r="R167" s="142">
        <f>IF(COUNT($K167:$Q167)&lt;7,"",ROUND(($K167*'設定項目'!$C$6+$L167*'設定項目'!$C$7+$M167*'設定項目'!$C$8+$N167*'設定項目'!$C$9+$O167*'設定項目'!$C$10+$P167*'設定項目'!$C$11+$Q167*'設定項目'!$C$12)*20,1))</f>
        <v/>
      </c>
      <c r="S167" s="25">
        <f>IF($R167="","",IF($R167&gt;='設定項目'!$G$6,"優秀",IF($R167&gt;='設定項目'!$G$7,"良好",IF($R167&gt;='設定項目'!$G$8,"要注意","不合格"))))</f>
        <v/>
      </c>
      <c r="T167" s="25" t="n"/>
      <c r="U167" s="25" t="n"/>
      <c r="V167" s="28" t="n"/>
      <c r="W167" s="28" t="n"/>
      <c r="X167" s="25" t="n"/>
      <c r="Y167" s="25" t="n"/>
    </row>
    <row r="168" ht="24" customHeight="1">
      <c r="A168" s="25">
        <f>IF($B168="","","SQ-"&amp;TEXT(ROW()-4,"0000"))</f>
        <v/>
      </c>
      <c r="B168" s="143" t="n"/>
      <c r="C168" s="25" t="n"/>
      <c r="D168" s="25" t="n"/>
      <c r="E168" s="25" t="n"/>
      <c r="F168" s="25" t="n"/>
      <c r="G168" s="25" t="n"/>
      <c r="H168" s="25" t="n"/>
      <c r="I168" s="25" t="n"/>
      <c r="J168" s="25" t="n"/>
      <c r="K168" s="139" t="n"/>
      <c r="L168" s="139" t="n"/>
      <c r="M168" s="139" t="n"/>
      <c r="N168" s="139" t="n"/>
      <c r="O168" s="139" t="n"/>
      <c r="P168" s="139" t="n"/>
      <c r="Q168" s="139" t="n"/>
      <c r="R168" s="142">
        <f>IF(COUNT($K168:$Q168)&lt;7,"",ROUND(($K168*'設定項目'!$C$6+$L168*'設定項目'!$C$7+$M168*'設定項目'!$C$8+$N168*'設定項目'!$C$9+$O168*'設定項目'!$C$10+$P168*'設定項目'!$C$11+$Q168*'設定項目'!$C$12)*20,1))</f>
        <v/>
      </c>
      <c r="S168" s="25">
        <f>IF($R168="","",IF($R168&gt;='設定項目'!$G$6,"優秀",IF($R168&gt;='設定項目'!$G$7,"良好",IF($R168&gt;='設定項目'!$G$8,"要注意","不合格"))))</f>
        <v/>
      </c>
      <c r="T168" s="25" t="n"/>
      <c r="U168" s="25" t="n"/>
      <c r="V168" s="28" t="n"/>
      <c r="W168" s="28" t="n"/>
      <c r="X168" s="25" t="n"/>
      <c r="Y168" s="25" t="n"/>
    </row>
    <row r="169" ht="24" customHeight="1">
      <c r="A169" s="25">
        <f>IF($B169="","","SQ-"&amp;TEXT(ROW()-4,"0000"))</f>
        <v/>
      </c>
      <c r="B169" s="143" t="n"/>
      <c r="C169" s="25" t="n"/>
      <c r="D169" s="25" t="n"/>
      <c r="E169" s="25" t="n"/>
      <c r="F169" s="25" t="n"/>
      <c r="G169" s="25" t="n"/>
      <c r="H169" s="25" t="n"/>
      <c r="I169" s="25" t="n"/>
      <c r="J169" s="25" t="n"/>
      <c r="K169" s="139" t="n"/>
      <c r="L169" s="139" t="n"/>
      <c r="M169" s="139" t="n"/>
      <c r="N169" s="139" t="n"/>
      <c r="O169" s="139" t="n"/>
      <c r="P169" s="139" t="n"/>
      <c r="Q169" s="139" t="n"/>
      <c r="R169" s="142">
        <f>IF(COUNT($K169:$Q169)&lt;7,"",ROUND(($K169*'設定項目'!$C$6+$L169*'設定項目'!$C$7+$M169*'設定項目'!$C$8+$N169*'設定項目'!$C$9+$O169*'設定項目'!$C$10+$P169*'設定項目'!$C$11+$Q169*'設定項目'!$C$12)*20,1))</f>
        <v/>
      </c>
      <c r="S169" s="25">
        <f>IF($R169="","",IF($R169&gt;='設定項目'!$G$6,"優秀",IF($R169&gt;='設定項目'!$G$7,"良好",IF($R169&gt;='設定項目'!$G$8,"要注意","不合格"))))</f>
        <v/>
      </c>
      <c r="T169" s="25" t="n"/>
      <c r="U169" s="25" t="n"/>
      <c r="V169" s="28" t="n"/>
      <c r="W169" s="28" t="n"/>
      <c r="X169" s="25" t="n"/>
      <c r="Y169" s="25" t="n"/>
    </row>
    <row r="170" ht="24" customHeight="1">
      <c r="A170" s="25">
        <f>IF($B170="","","SQ-"&amp;TEXT(ROW()-4,"0000"))</f>
        <v/>
      </c>
      <c r="B170" s="143" t="n"/>
      <c r="C170" s="25" t="n"/>
      <c r="D170" s="25" t="n"/>
      <c r="E170" s="25" t="n"/>
      <c r="F170" s="25" t="n"/>
      <c r="G170" s="25" t="n"/>
      <c r="H170" s="25" t="n"/>
      <c r="I170" s="25" t="n"/>
      <c r="J170" s="25" t="n"/>
      <c r="K170" s="139" t="n"/>
      <c r="L170" s="139" t="n"/>
      <c r="M170" s="139" t="n"/>
      <c r="N170" s="139" t="n"/>
      <c r="O170" s="139" t="n"/>
      <c r="P170" s="139" t="n"/>
      <c r="Q170" s="139" t="n"/>
      <c r="R170" s="142">
        <f>IF(COUNT($K170:$Q170)&lt;7,"",ROUND(($K170*'設定項目'!$C$6+$L170*'設定項目'!$C$7+$M170*'設定項目'!$C$8+$N170*'設定項目'!$C$9+$O170*'設定項目'!$C$10+$P170*'設定項目'!$C$11+$Q170*'設定項目'!$C$12)*20,1))</f>
        <v/>
      </c>
      <c r="S170" s="25">
        <f>IF($R170="","",IF($R170&gt;='設定項目'!$G$6,"優秀",IF($R170&gt;='設定項目'!$G$7,"良好",IF($R170&gt;='設定項目'!$G$8,"要注意","不合格"))))</f>
        <v/>
      </c>
      <c r="T170" s="25" t="n"/>
      <c r="U170" s="25" t="n"/>
      <c r="V170" s="28" t="n"/>
      <c r="W170" s="28" t="n"/>
      <c r="X170" s="25" t="n"/>
      <c r="Y170" s="25" t="n"/>
    </row>
    <row r="171" ht="24" customHeight="1">
      <c r="A171" s="25">
        <f>IF($B171="","","SQ-"&amp;TEXT(ROW()-4,"0000"))</f>
        <v/>
      </c>
      <c r="B171" s="143" t="n"/>
      <c r="C171" s="25" t="n"/>
      <c r="D171" s="25" t="n"/>
      <c r="E171" s="25" t="n"/>
      <c r="F171" s="25" t="n"/>
      <c r="G171" s="25" t="n"/>
      <c r="H171" s="25" t="n"/>
      <c r="I171" s="25" t="n"/>
      <c r="J171" s="25" t="n"/>
      <c r="K171" s="139" t="n"/>
      <c r="L171" s="139" t="n"/>
      <c r="M171" s="139" t="n"/>
      <c r="N171" s="139" t="n"/>
      <c r="O171" s="139" t="n"/>
      <c r="P171" s="139" t="n"/>
      <c r="Q171" s="139" t="n"/>
      <c r="R171" s="142">
        <f>IF(COUNT($K171:$Q171)&lt;7,"",ROUND(($K171*'設定項目'!$C$6+$L171*'設定項目'!$C$7+$M171*'設定項目'!$C$8+$N171*'設定項目'!$C$9+$O171*'設定項目'!$C$10+$P171*'設定項目'!$C$11+$Q171*'設定項目'!$C$12)*20,1))</f>
        <v/>
      </c>
      <c r="S171" s="25">
        <f>IF($R171="","",IF($R171&gt;='設定項目'!$G$6,"優秀",IF($R171&gt;='設定項目'!$G$7,"良好",IF($R171&gt;='設定項目'!$G$8,"要注意","不合格"))))</f>
        <v/>
      </c>
      <c r="T171" s="25" t="n"/>
      <c r="U171" s="25" t="n"/>
      <c r="V171" s="28" t="n"/>
      <c r="W171" s="28" t="n"/>
      <c r="X171" s="25" t="n"/>
      <c r="Y171" s="25" t="n"/>
    </row>
    <row r="172" ht="24" customHeight="1">
      <c r="A172" s="25">
        <f>IF($B172="","","SQ-"&amp;TEXT(ROW()-4,"0000"))</f>
        <v/>
      </c>
      <c r="B172" s="143" t="n"/>
      <c r="C172" s="25" t="n"/>
      <c r="D172" s="25" t="n"/>
      <c r="E172" s="25" t="n"/>
      <c r="F172" s="25" t="n"/>
      <c r="G172" s="25" t="n"/>
      <c r="H172" s="25" t="n"/>
      <c r="I172" s="25" t="n"/>
      <c r="J172" s="25" t="n"/>
      <c r="K172" s="139" t="n"/>
      <c r="L172" s="139" t="n"/>
      <c r="M172" s="139" t="n"/>
      <c r="N172" s="139" t="n"/>
      <c r="O172" s="139" t="n"/>
      <c r="P172" s="139" t="n"/>
      <c r="Q172" s="139" t="n"/>
      <c r="R172" s="142">
        <f>IF(COUNT($K172:$Q172)&lt;7,"",ROUND(($K172*'設定項目'!$C$6+$L172*'設定項目'!$C$7+$M172*'設定項目'!$C$8+$N172*'設定項目'!$C$9+$O172*'設定項目'!$C$10+$P172*'設定項目'!$C$11+$Q172*'設定項目'!$C$12)*20,1))</f>
        <v/>
      </c>
      <c r="S172" s="25">
        <f>IF($R172="","",IF($R172&gt;='設定項目'!$G$6,"優秀",IF($R172&gt;='設定項目'!$G$7,"良好",IF($R172&gt;='設定項目'!$G$8,"要注意","不合格"))))</f>
        <v/>
      </c>
      <c r="T172" s="25" t="n"/>
      <c r="U172" s="25" t="n"/>
      <c r="V172" s="28" t="n"/>
      <c r="W172" s="28" t="n"/>
      <c r="X172" s="25" t="n"/>
      <c r="Y172" s="25" t="n"/>
    </row>
    <row r="173" ht="24" customHeight="1">
      <c r="A173" s="25">
        <f>IF($B173="","","SQ-"&amp;TEXT(ROW()-4,"0000"))</f>
        <v/>
      </c>
      <c r="B173" s="143" t="n"/>
      <c r="C173" s="25" t="n"/>
      <c r="D173" s="25" t="n"/>
      <c r="E173" s="25" t="n"/>
      <c r="F173" s="25" t="n"/>
      <c r="G173" s="25" t="n"/>
      <c r="H173" s="25" t="n"/>
      <c r="I173" s="25" t="n"/>
      <c r="J173" s="25" t="n"/>
      <c r="K173" s="139" t="n"/>
      <c r="L173" s="139" t="n"/>
      <c r="M173" s="139" t="n"/>
      <c r="N173" s="139" t="n"/>
      <c r="O173" s="139" t="n"/>
      <c r="P173" s="139" t="n"/>
      <c r="Q173" s="139" t="n"/>
      <c r="R173" s="142">
        <f>IF(COUNT($K173:$Q173)&lt;7,"",ROUND(($K173*'設定項目'!$C$6+$L173*'設定項目'!$C$7+$M173*'設定項目'!$C$8+$N173*'設定項目'!$C$9+$O173*'設定項目'!$C$10+$P173*'設定項目'!$C$11+$Q173*'設定項目'!$C$12)*20,1))</f>
        <v/>
      </c>
      <c r="S173" s="25">
        <f>IF($R173="","",IF($R173&gt;='設定項目'!$G$6,"優秀",IF($R173&gt;='設定項目'!$G$7,"良好",IF($R173&gt;='設定項目'!$G$8,"要注意","不合格"))))</f>
        <v/>
      </c>
      <c r="T173" s="25" t="n"/>
      <c r="U173" s="25" t="n"/>
      <c r="V173" s="28" t="n"/>
      <c r="W173" s="28" t="n"/>
      <c r="X173" s="25" t="n"/>
      <c r="Y173" s="25" t="n"/>
    </row>
    <row r="174" ht="24" customHeight="1">
      <c r="A174" s="25">
        <f>IF($B174="","","SQ-"&amp;TEXT(ROW()-4,"0000"))</f>
        <v/>
      </c>
      <c r="B174" s="143" t="n"/>
      <c r="C174" s="25" t="n"/>
      <c r="D174" s="25" t="n"/>
      <c r="E174" s="25" t="n"/>
      <c r="F174" s="25" t="n"/>
      <c r="G174" s="25" t="n"/>
      <c r="H174" s="25" t="n"/>
      <c r="I174" s="25" t="n"/>
      <c r="J174" s="25" t="n"/>
      <c r="K174" s="139" t="n"/>
      <c r="L174" s="139" t="n"/>
      <c r="M174" s="139" t="n"/>
      <c r="N174" s="139" t="n"/>
      <c r="O174" s="139" t="n"/>
      <c r="P174" s="139" t="n"/>
      <c r="Q174" s="139" t="n"/>
      <c r="R174" s="142">
        <f>IF(COUNT($K174:$Q174)&lt;7,"",ROUND(($K174*'設定項目'!$C$6+$L174*'設定項目'!$C$7+$M174*'設定項目'!$C$8+$N174*'設定項目'!$C$9+$O174*'設定項目'!$C$10+$P174*'設定項目'!$C$11+$Q174*'設定項目'!$C$12)*20,1))</f>
        <v/>
      </c>
      <c r="S174" s="25">
        <f>IF($R174="","",IF($R174&gt;='設定項目'!$G$6,"優秀",IF($R174&gt;='設定項目'!$G$7,"良好",IF($R174&gt;='設定項目'!$G$8,"要注意","不合格"))))</f>
        <v/>
      </c>
      <c r="T174" s="25" t="n"/>
      <c r="U174" s="25" t="n"/>
      <c r="V174" s="28" t="n"/>
      <c r="W174" s="28" t="n"/>
      <c r="X174" s="25" t="n"/>
      <c r="Y174" s="25" t="n"/>
    </row>
    <row r="175" ht="24" customHeight="1">
      <c r="A175" s="25">
        <f>IF($B175="","","SQ-"&amp;TEXT(ROW()-4,"0000"))</f>
        <v/>
      </c>
      <c r="B175" s="143" t="n"/>
      <c r="C175" s="25" t="n"/>
      <c r="D175" s="25" t="n"/>
      <c r="E175" s="25" t="n"/>
      <c r="F175" s="25" t="n"/>
      <c r="G175" s="25" t="n"/>
      <c r="H175" s="25" t="n"/>
      <c r="I175" s="25" t="n"/>
      <c r="J175" s="25" t="n"/>
      <c r="K175" s="139" t="n"/>
      <c r="L175" s="139" t="n"/>
      <c r="M175" s="139" t="n"/>
      <c r="N175" s="139" t="n"/>
      <c r="O175" s="139" t="n"/>
      <c r="P175" s="139" t="n"/>
      <c r="Q175" s="139" t="n"/>
      <c r="R175" s="142">
        <f>IF(COUNT($K175:$Q175)&lt;7,"",ROUND(($K175*'設定項目'!$C$6+$L175*'設定項目'!$C$7+$M175*'設定項目'!$C$8+$N175*'設定項目'!$C$9+$O175*'設定項目'!$C$10+$P175*'設定項目'!$C$11+$Q175*'設定項目'!$C$12)*20,1))</f>
        <v/>
      </c>
      <c r="S175" s="25">
        <f>IF($R175="","",IF($R175&gt;='設定項目'!$G$6,"優秀",IF($R175&gt;='設定項目'!$G$7,"良好",IF($R175&gt;='設定項目'!$G$8,"要注意","不合格"))))</f>
        <v/>
      </c>
      <c r="T175" s="25" t="n"/>
      <c r="U175" s="25" t="n"/>
      <c r="V175" s="28" t="n"/>
      <c r="W175" s="28" t="n"/>
      <c r="X175" s="25" t="n"/>
      <c r="Y175" s="25" t="n"/>
    </row>
    <row r="176" ht="24" customHeight="1">
      <c r="A176" s="25">
        <f>IF($B176="","","SQ-"&amp;TEXT(ROW()-4,"0000"))</f>
        <v/>
      </c>
      <c r="B176" s="143" t="n"/>
      <c r="C176" s="25" t="n"/>
      <c r="D176" s="25" t="n"/>
      <c r="E176" s="25" t="n"/>
      <c r="F176" s="25" t="n"/>
      <c r="G176" s="25" t="n"/>
      <c r="H176" s="25" t="n"/>
      <c r="I176" s="25" t="n"/>
      <c r="J176" s="25" t="n"/>
      <c r="K176" s="139" t="n"/>
      <c r="L176" s="139" t="n"/>
      <c r="M176" s="139" t="n"/>
      <c r="N176" s="139" t="n"/>
      <c r="O176" s="139" t="n"/>
      <c r="P176" s="139" t="n"/>
      <c r="Q176" s="139" t="n"/>
      <c r="R176" s="142">
        <f>IF(COUNT($K176:$Q176)&lt;7,"",ROUND(($K176*'設定項目'!$C$6+$L176*'設定項目'!$C$7+$M176*'設定項目'!$C$8+$N176*'設定項目'!$C$9+$O176*'設定項目'!$C$10+$P176*'設定項目'!$C$11+$Q176*'設定項目'!$C$12)*20,1))</f>
        <v/>
      </c>
      <c r="S176" s="25">
        <f>IF($R176="","",IF($R176&gt;='設定項目'!$G$6,"優秀",IF($R176&gt;='設定項目'!$G$7,"良好",IF($R176&gt;='設定項目'!$G$8,"要注意","不合格"))))</f>
        <v/>
      </c>
      <c r="T176" s="25" t="n"/>
      <c r="U176" s="25" t="n"/>
      <c r="V176" s="28" t="n"/>
      <c r="W176" s="28" t="n"/>
      <c r="X176" s="25" t="n"/>
      <c r="Y176" s="25" t="n"/>
    </row>
    <row r="177" ht="24" customHeight="1">
      <c r="A177" s="25">
        <f>IF($B177="","","SQ-"&amp;TEXT(ROW()-4,"0000"))</f>
        <v/>
      </c>
      <c r="B177" s="143" t="n"/>
      <c r="C177" s="25" t="n"/>
      <c r="D177" s="25" t="n"/>
      <c r="E177" s="25" t="n"/>
      <c r="F177" s="25" t="n"/>
      <c r="G177" s="25" t="n"/>
      <c r="H177" s="25" t="n"/>
      <c r="I177" s="25" t="n"/>
      <c r="J177" s="25" t="n"/>
      <c r="K177" s="139" t="n"/>
      <c r="L177" s="139" t="n"/>
      <c r="M177" s="139" t="n"/>
      <c r="N177" s="139" t="n"/>
      <c r="O177" s="139" t="n"/>
      <c r="P177" s="139" t="n"/>
      <c r="Q177" s="139" t="n"/>
      <c r="R177" s="142">
        <f>IF(COUNT($K177:$Q177)&lt;7,"",ROUND(($K177*'設定項目'!$C$6+$L177*'設定項目'!$C$7+$M177*'設定項目'!$C$8+$N177*'設定項目'!$C$9+$O177*'設定項目'!$C$10+$P177*'設定項目'!$C$11+$Q177*'設定項目'!$C$12)*20,1))</f>
        <v/>
      </c>
      <c r="S177" s="25">
        <f>IF($R177="","",IF($R177&gt;='設定項目'!$G$6,"優秀",IF($R177&gt;='設定項目'!$G$7,"良好",IF($R177&gt;='設定項目'!$G$8,"要注意","不合格"))))</f>
        <v/>
      </c>
      <c r="T177" s="25" t="n"/>
      <c r="U177" s="25" t="n"/>
      <c r="V177" s="28" t="n"/>
      <c r="W177" s="28" t="n"/>
      <c r="X177" s="25" t="n"/>
      <c r="Y177" s="25" t="n"/>
    </row>
    <row r="178" ht="24" customHeight="1">
      <c r="A178" s="25">
        <f>IF($B178="","","SQ-"&amp;TEXT(ROW()-4,"0000"))</f>
        <v/>
      </c>
      <c r="B178" s="143" t="n"/>
      <c r="C178" s="25" t="n"/>
      <c r="D178" s="25" t="n"/>
      <c r="E178" s="25" t="n"/>
      <c r="F178" s="25" t="n"/>
      <c r="G178" s="25" t="n"/>
      <c r="H178" s="25" t="n"/>
      <c r="I178" s="25" t="n"/>
      <c r="J178" s="25" t="n"/>
      <c r="K178" s="139" t="n"/>
      <c r="L178" s="139" t="n"/>
      <c r="M178" s="139" t="n"/>
      <c r="N178" s="139" t="n"/>
      <c r="O178" s="139" t="n"/>
      <c r="P178" s="139" t="n"/>
      <c r="Q178" s="139" t="n"/>
      <c r="R178" s="142">
        <f>IF(COUNT($K178:$Q178)&lt;7,"",ROUND(($K178*'設定項目'!$C$6+$L178*'設定項目'!$C$7+$M178*'設定項目'!$C$8+$N178*'設定項目'!$C$9+$O178*'設定項目'!$C$10+$P178*'設定項目'!$C$11+$Q178*'設定項目'!$C$12)*20,1))</f>
        <v/>
      </c>
      <c r="S178" s="25">
        <f>IF($R178="","",IF($R178&gt;='設定項目'!$G$6,"優秀",IF($R178&gt;='設定項目'!$G$7,"良好",IF($R178&gt;='設定項目'!$G$8,"要注意","不合格"))))</f>
        <v/>
      </c>
      <c r="T178" s="25" t="n"/>
      <c r="U178" s="25" t="n"/>
      <c r="V178" s="28" t="n"/>
      <c r="W178" s="28" t="n"/>
      <c r="X178" s="25" t="n"/>
      <c r="Y178" s="25" t="n"/>
    </row>
    <row r="179" ht="24" customHeight="1">
      <c r="A179" s="25">
        <f>IF($B179="","","SQ-"&amp;TEXT(ROW()-4,"0000"))</f>
        <v/>
      </c>
      <c r="B179" s="143" t="n"/>
      <c r="C179" s="25" t="n"/>
      <c r="D179" s="25" t="n"/>
      <c r="E179" s="25" t="n"/>
      <c r="F179" s="25" t="n"/>
      <c r="G179" s="25" t="n"/>
      <c r="H179" s="25" t="n"/>
      <c r="I179" s="25" t="n"/>
      <c r="J179" s="25" t="n"/>
      <c r="K179" s="139" t="n"/>
      <c r="L179" s="139" t="n"/>
      <c r="M179" s="139" t="n"/>
      <c r="N179" s="139" t="n"/>
      <c r="O179" s="139" t="n"/>
      <c r="P179" s="139" t="n"/>
      <c r="Q179" s="139" t="n"/>
      <c r="R179" s="142">
        <f>IF(COUNT($K179:$Q179)&lt;7,"",ROUND(($K179*'設定項目'!$C$6+$L179*'設定項目'!$C$7+$M179*'設定項目'!$C$8+$N179*'設定項目'!$C$9+$O179*'設定項目'!$C$10+$P179*'設定項目'!$C$11+$Q179*'設定項目'!$C$12)*20,1))</f>
        <v/>
      </c>
      <c r="S179" s="25">
        <f>IF($R179="","",IF($R179&gt;='設定項目'!$G$6,"優秀",IF($R179&gt;='設定項目'!$G$7,"良好",IF($R179&gt;='設定項目'!$G$8,"要注意","不合格"))))</f>
        <v/>
      </c>
      <c r="T179" s="25" t="n"/>
      <c r="U179" s="25" t="n"/>
      <c r="V179" s="28" t="n"/>
      <c r="W179" s="28" t="n"/>
      <c r="X179" s="25" t="n"/>
      <c r="Y179" s="25" t="n"/>
    </row>
    <row r="180" ht="24" customHeight="1">
      <c r="A180" s="25">
        <f>IF($B180="","","SQ-"&amp;TEXT(ROW()-4,"0000"))</f>
        <v/>
      </c>
      <c r="B180" s="143" t="n"/>
      <c r="C180" s="25" t="n"/>
      <c r="D180" s="25" t="n"/>
      <c r="E180" s="25" t="n"/>
      <c r="F180" s="25" t="n"/>
      <c r="G180" s="25" t="n"/>
      <c r="H180" s="25" t="n"/>
      <c r="I180" s="25" t="n"/>
      <c r="J180" s="25" t="n"/>
      <c r="K180" s="139" t="n"/>
      <c r="L180" s="139" t="n"/>
      <c r="M180" s="139" t="n"/>
      <c r="N180" s="139" t="n"/>
      <c r="O180" s="139" t="n"/>
      <c r="P180" s="139" t="n"/>
      <c r="Q180" s="139" t="n"/>
      <c r="R180" s="142">
        <f>IF(COUNT($K180:$Q180)&lt;7,"",ROUND(($K180*'設定項目'!$C$6+$L180*'設定項目'!$C$7+$M180*'設定項目'!$C$8+$N180*'設定項目'!$C$9+$O180*'設定項目'!$C$10+$P180*'設定項目'!$C$11+$Q180*'設定項目'!$C$12)*20,1))</f>
        <v/>
      </c>
      <c r="S180" s="25">
        <f>IF($R180="","",IF($R180&gt;='設定項目'!$G$6,"優秀",IF($R180&gt;='設定項目'!$G$7,"良好",IF($R180&gt;='設定項目'!$G$8,"要注意","不合格"))))</f>
        <v/>
      </c>
      <c r="T180" s="25" t="n"/>
      <c r="U180" s="25" t="n"/>
      <c r="V180" s="28" t="n"/>
      <c r="W180" s="28" t="n"/>
      <c r="X180" s="25" t="n"/>
      <c r="Y180" s="25" t="n"/>
    </row>
    <row r="181" ht="24" customHeight="1">
      <c r="A181" s="25">
        <f>IF($B181="","","SQ-"&amp;TEXT(ROW()-4,"0000"))</f>
        <v/>
      </c>
      <c r="B181" s="143" t="n"/>
      <c r="C181" s="25" t="n"/>
      <c r="D181" s="25" t="n"/>
      <c r="E181" s="25" t="n"/>
      <c r="F181" s="25" t="n"/>
      <c r="G181" s="25" t="n"/>
      <c r="H181" s="25" t="n"/>
      <c r="I181" s="25" t="n"/>
      <c r="J181" s="25" t="n"/>
      <c r="K181" s="139" t="n"/>
      <c r="L181" s="139" t="n"/>
      <c r="M181" s="139" t="n"/>
      <c r="N181" s="139" t="n"/>
      <c r="O181" s="139" t="n"/>
      <c r="P181" s="139" t="n"/>
      <c r="Q181" s="139" t="n"/>
      <c r="R181" s="142">
        <f>IF(COUNT($K181:$Q181)&lt;7,"",ROUND(($K181*'設定項目'!$C$6+$L181*'設定項目'!$C$7+$M181*'設定項目'!$C$8+$N181*'設定項目'!$C$9+$O181*'設定項目'!$C$10+$P181*'設定項目'!$C$11+$Q181*'設定項目'!$C$12)*20,1))</f>
        <v/>
      </c>
      <c r="S181" s="25">
        <f>IF($R181="","",IF($R181&gt;='設定項目'!$G$6,"優秀",IF($R181&gt;='設定項目'!$G$7,"良好",IF($R181&gt;='設定項目'!$G$8,"要注意","不合格"))))</f>
        <v/>
      </c>
      <c r="T181" s="25" t="n"/>
      <c r="U181" s="25" t="n"/>
      <c r="V181" s="28" t="n"/>
      <c r="W181" s="28" t="n"/>
      <c r="X181" s="25" t="n"/>
      <c r="Y181" s="25" t="n"/>
    </row>
    <row r="182" ht="24" customHeight="1">
      <c r="A182" s="25">
        <f>IF($B182="","","SQ-"&amp;TEXT(ROW()-4,"0000"))</f>
        <v/>
      </c>
      <c r="B182" s="143" t="n"/>
      <c r="C182" s="25" t="n"/>
      <c r="D182" s="25" t="n"/>
      <c r="E182" s="25" t="n"/>
      <c r="F182" s="25" t="n"/>
      <c r="G182" s="25" t="n"/>
      <c r="H182" s="25" t="n"/>
      <c r="I182" s="25" t="n"/>
      <c r="J182" s="25" t="n"/>
      <c r="K182" s="139" t="n"/>
      <c r="L182" s="139" t="n"/>
      <c r="M182" s="139" t="n"/>
      <c r="N182" s="139" t="n"/>
      <c r="O182" s="139" t="n"/>
      <c r="P182" s="139" t="n"/>
      <c r="Q182" s="139" t="n"/>
      <c r="R182" s="142">
        <f>IF(COUNT($K182:$Q182)&lt;7,"",ROUND(($K182*'設定項目'!$C$6+$L182*'設定項目'!$C$7+$M182*'設定項目'!$C$8+$N182*'設定項目'!$C$9+$O182*'設定項目'!$C$10+$P182*'設定項目'!$C$11+$Q182*'設定項目'!$C$12)*20,1))</f>
        <v/>
      </c>
      <c r="S182" s="25">
        <f>IF($R182="","",IF($R182&gt;='設定項目'!$G$6,"優秀",IF($R182&gt;='設定項目'!$G$7,"良好",IF($R182&gt;='設定項目'!$G$8,"要注意","不合格"))))</f>
        <v/>
      </c>
      <c r="T182" s="25" t="n"/>
      <c r="U182" s="25" t="n"/>
      <c r="V182" s="28" t="n"/>
      <c r="W182" s="28" t="n"/>
      <c r="X182" s="25" t="n"/>
      <c r="Y182" s="25" t="n"/>
    </row>
    <row r="183" ht="24" customHeight="1">
      <c r="A183" s="25">
        <f>IF($B183="","","SQ-"&amp;TEXT(ROW()-4,"0000"))</f>
        <v/>
      </c>
      <c r="B183" s="143" t="n"/>
      <c r="C183" s="25" t="n"/>
      <c r="D183" s="25" t="n"/>
      <c r="E183" s="25" t="n"/>
      <c r="F183" s="25" t="n"/>
      <c r="G183" s="25" t="n"/>
      <c r="H183" s="25" t="n"/>
      <c r="I183" s="25" t="n"/>
      <c r="J183" s="25" t="n"/>
      <c r="K183" s="139" t="n"/>
      <c r="L183" s="139" t="n"/>
      <c r="M183" s="139" t="n"/>
      <c r="N183" s="139" t="n"/>
      <c r="O183" s="139" t="n"/>
      <c r="P183" s="139" t="n"/>
      <c r="Q183" s="139" t="n"/>
      <c r="R183" s="142">
        <f>IF(COUNT($K183:$Q183)&lt;7,"",ROUND(($K183*'設定項目'!$C$6+$L183*'設定項目'!$C$7+$M183*'設定項目'!$C$8+$N183*'設定項目'!$C$9+$O183*'設定項目'!$C$10+$P183*'設定項目'!$C$11+$Q183*'設定項目'!$C$12)*20,1))</f>
        <v/>
      </c>
      <c r="S183" s="25">
        <f>IF($R183="","",IF($R183&gt;='設定項目'!$G$6,"優秀",IF($R183&gt;='設定項目'!$G$7,"良好",IF($R183&gt;='設定項目'!$G$8,"要注意","不合格"))))</f>
        <v/>
      </c>
      <c r="T183" s="25" t="n"/>
      <c r="U183" s="25" t="n"/>
      <c r="V183" s="28" t="n"/>
      <c r="W183" s="28" t="n"/>
      <c r="X183" s="25" t="n"/>
      <c r="Y183" s="25" t="n"/>
    </row>
    <row r="184" ht="24" customHeight="1">
      <c r="A184" s="25">
        <f>IF($B184="","","SQ-"&amp;TEXT(ROW()-4,"0000"))</f>
        <v/>
      </c>
      <c r="B184" s="143" t="n"/>
      <c r="C184" s="25" t="n"/>
      <c r="D184" s="25" t="n"/>
      <c r="E184" s="25" t="n"/>
      <c r="F184" s="25" t="n"/>
      <c r="G184" s="25" t="n"/>
      <c r="H184" s="25" t="n"/>
      <c r="I184" s="25" t="n"/>
      <c r="J184" s="25" t="n"/>
      <c r="K184" s="139" t="n"/>
      <c r="L184" s="139" t="n"/>
      <c r="M184" s="139" t="n"/>
      <c r="N184" s="139" t="n"/>
      <c r="O184" s="139" t="n"/>
      <c r="P184" s="139" t="n"/>
      <c r="Q184" s="139" t="n"/>
      <c r="R184" s="142">
        <f>IF(COUNT($K184:$Q184)&lt;7,"",ROUND(($K184*'設定項目'!$C$6+$L184*'設定項目'!$C$7+$M184*'設定項目'!$C$8+$N184*'設定項目'!$C$9+$O184*'設定項目'!$C$10+$P184*'設定項目'!$C$11+$Q184*'設定項目'!$C$12)*20,1))</f>
        <v/>
      </c>
      <c r="S184" s="25">
        <f>IF($R184="","",IF($R184&gt;='設定項目'!$G$6,"優秀",IF($R184&gt;='設定項目'!$G$7,"良好",IF($R184&gt;='設定項目'!$G$8,"要注意","不合格"))))</f>
        <v/>
      </c>
      <c r="T184" s="25" t="n"/>
      <c r="U184" s="25" t="n"/>
      <c r="V184" s="28" t="n"/>
      <c r="W184" s="28" t="n"/>
      <c r="X184" s="25" t="n"/>
      <c r="Y184" s="25" t="n"/>
    </row>
    <row r="185" ht="24" customHeight="1">
      <c r="A185" s="25">
        <f>IF($B185="","","SQ-"&amp;TEXT(ROW()-4,"0000"))</f>
        <v/>
      </c>
      <c r="B185" s="143" t="n"/>
      <c r="C185" s="25" t="n"/>
      <c r="D185" s="25" t="n"/>
      <c r="E185" s="25" t="n"/>
      <c r="F185" s="25" t="n"/>
      <c r="G185" s="25" t="n"/>
      <c r="H185" s="25" t="n"/>
      <c r="I185" s="25" t="n"/>
      <c r="J185" s="25" t="n"/>
      <c r="K185" s="139" t="n"/>
      <c r="L185" s="139" t="n"/>
      <c r="M185" s="139" t="n"/>
      <c r="N185" s="139" t="n"/>
      <c r="O185" s="139" t="n"/>
      <c r="P185" s="139" t="n"/>
      <c r="Q185" s="139" t="n"/>
      <c r="R185" s="142">
        <f>IF(COUNT($K185:$Q185)&lt;7,"",ROUND(($K185*'設定項目'!$C$6+$L185*'設定項目'!$C$7+$M185*'設定項目'!$C$8+$N185*'設定項目'!$C$9+$O185*'設定項目'!$C$10+$P185*'設定項目'!$C$11+$Q185*'設定項目'!$C$12)*20,1))</f>
        <v/>
      </c>
      <c r="S185" s="25">
        <f>IF($R185="","",IF($R185&gt;='設定項目'!$G$6,"優秀",IF($R185&gt;='設定項目'!$G$7,"良好",IF($R185&gt;='設定項目'!$G$8,"要注意","不合格"))))</f>
        <v/>
      </c>
      <c r="T185" s="25" t="n"/>
      <c r="U185" s="25" t="n"/>
      <c r="V185" s="28" t="n"/>
      <c r="W185" s="28" t="n"/>
      <c r="X185" s="25" t="n"/>
      <c r="Y185" s="25" t="n"/>
    </row>
    <row r="186" ht="24" customHeight="1">
      <c r="A186" s="25">
        <f>IF($B186="","","SQ-"&amp;TEXT(ROW()-4,"0000"))</f>
        <v/>
      </c>
      <c r="B186" s="143" t="n"/>
      <c r="C186" s="25" t="n"/>
      <c r="D186" s="25" t="n"/>
      <c r="E186" s="25" t="n"/>
      <c r="F186" s="25" t="n"/>
      <c r="G186" s="25" t="n"/>
      <c r="H186" s="25" t="n"/>
      <c r="I186" s="25" t="n"/>
      <c r="J186" s="25" t="n"/>
      <c r="K186" s="139" t="n"/>
      <c r="L186" s="139" t="n"/>
      <c r="M186" s="139" t="n"/>
      <c r="N186" s="139" t="n"/>
      <c r="O186" s="139" t="n"/>
      <c r="P186" s="139" t="n"/>
      <c r="Q186" s="139" t="n"/>
      <c r="R186" s="142">
        <f>IF(COUNT($K186:$Q186)&lt;7,"",ROUND(($K186*'設定項目'!$C$6+$L186*'設定項目'!$C$7+$M186*'設定項目'!$C$8+$N186*'設定項目'!$C$9+$O186*'設定項目'!$C$10+$P186*'設定項目'!$C$11+$Q186*'設定項目'!$C$12)*20,1))</f>
        <v/>
      </c>
      <c r="S186" s="25">
        <f>IF($R186="","",IF($R186&gt;='設定項目'!$G$6,"優秀",IF($R186&gt;='設定項目'!$G$7,"良好",IF($R186&gt;='設定項目'!$G$8,"要注意","不合格"))))</f>
        <v/>
      </c>
      <c r="T186" s="25" t="n"/>
      <c r="U186" s="25" t="n"/>
      <c r="V186" s="28" t="n"/>
      <c r="W186" s="28" t="n"/>
      <c r="X186" s="25" t="n"/>
      <c r="Y186" s="25" t="n"/>
    </row>
    <row r="187" ht="24" customHeight="1">
      <c r="A187" s="25">
        <f>IF($B187="","","SQ-"&amp;TEXT(ROW()-4,"0000"))</f>
        <v/>
      </c>
      <c r="B187" s="143" t="n"/>
      <c r="C187" s="25" t="n"/>
      <c r="D187" s="25" t="n"/>
      <c r="E187" s="25" t="n"/>
      <c r="F187" s="25" t="n"/>
      <c r="G187" s="25" t="n"/>
      <c r="H187" s="25" t="n"/>
      <c r="I187" s="25" t="n"/>
      <c r="J187" s="25" t="n"/>
      <c r="K187" s="139" t="n"/>
      <c r="L187" s="139" t="n"/>
      <c r="M187" s="139" t="n"/>
      <c r="N187" s="139" t="n"/>
      <c r="O187" s="139" t="n"/>
      <c r="P187" s="139" t="n"/>
      <c r="Q187" s="139" t="n"/>
      <c r="R187" s="142">
        <f>IF(COUNT($K187:$Q187)&lt;7,"",ROUND(($K187*'設定項目'!$C$6+$L187*'設定項目'!$C$7+$M187*'設定項目'!$C$8+$N187*'設定項目'!$C$9+$O187*'設定項目'!$C$10+$P187*'設定項目'!$C$11+$Q187*'設定項目'!$C$12)*20,1))</f>
        <v/>
      </c>
      <c r="S187" s="25">
        <f>IF($R187="","",IF($R187&gt;='設定項目'!$G$6,"優秀",IF($R187&gt;='設定項目'!$G$7,"良好",IF($R187&gt;='設定項目'!$G$8,"要注意","不合格"))))</f>
        <v/>
      </c>
      <c r="T187" s="25" t="n"/>
      <c r="U187" s="25" t="n"/>
      <c r="V187" s="28" t="n"/>
      <c r="W187" s="28" t="n"/>
      <c r="X187" s="25" t="n"/>
      <c r="Y187" s="25" t="n"/>
    </row>
    <row r="188" ht="24" customHeight="1">
      <c r="A188" s="25">
        <f>IF($B188="","","SQ-"&amp;TEXT(ROW()-4,"0000"))</f>
        <v/>
      </c>
      <c r="B188" s="143" t="n"/>
      <c r="C188" s="25" t="n"/>
      <c r="D188" s="25" t="n"/>
      <c r="E188" s="25" t="n"/>
      <c r="F188" s="25" t="n"/>
      <c r="G188" s="25" t="n"/>
      <c r="H188" s="25" t="n"/>
      <c r="I188" s="25" t="n"/>
      <c r="J188" s="25" t="n"/>
      <c r="K188" s="139" t="n"/>
      <c r="L188" s="139" t="n"/>
      <c r="M188" s="139" t="n"/>
      <c r="N188" s="139" t="n"/>
      <c r="O188" s="139" t="n"/>
      <c r="P188" s="139" t="n"/>
      <c r="Q188" s="139" t="n"/>
      <c r="R188" s="142">
        <f>IF(COUNT($K188:$Q188)&lt;7,"",ROUND(($K188*'設定項目'!$C$6+$L188*'設定項目'!$C$7+$M188*'設定項目'!$C$8+$N188*'設定項目'!$C$9+$O188*'設定項目'!$C$10+$P188*'設定項目'!$C$11+$Q188*'設定項目'!$C$12)*20,1))</f>
        <v/>
      </c>
      <c r="S188" s="25">
        <f>IF($R188="","",IF($R188&gt;='設定項目'!$G$6,"優秀",IF($R188&gt;='設定項目'!$G$7,"良好",IF($R188&gt;='設定項目'!$G$8,"要注意","不合格"))))</f>
        <v/>
      </c>
      <c r="T188" s="25" t="n"/>
      <c r="U188" s="25" t="n"/>
      <c r="V188" s="28" t="n"/>
      <c r="W188" s="28" t="n"/>
      <c r="X188" s="25" t="n"/>
      <c r="Y188" s="25" t="n"/>
    </row>
    <row r="189" ht="24" customHeight="1">
      <c r="A189" s="25">
        <f>IF($B189="","","SQ-"&amp;TEXT(ROW()-4,"0000"))</f>
        <v/>
      </c>
      <c r="B189" s="143" t="n"/>
      <c r="C189" s="25" t="n"/>
      <c r="D189" s="25" t="n"/>
      <c r="E189" s="25" t="n"/>
      <c r="F189" s="25" t="n"/>
      <c r="G189" s="25" t="n"/>
      <c r="H189" s="25" t="n"/>
      <c r="I189" s="25" t="n"/>
      <c r="J189" s="25" t="n"/>
      <c r="K189" s="139" t="n"/>
      <c r="L189" s="139" t="n"/>
      <c r="M189" s="139" t="n"/>
      <c r="N189" s="139" t="n"/>
      <c r="O189" s="139" t="n"/>
      <c r="P189" s="139" t="n"/>
      <c r="Q189" s="139" t="n"/>
      <c r="R189" s="142">
        <f>IF(COUNT($K189:$Q189)&lt;7,"",ROUND(($K189*'設定項目'!$C$6+$L189*'設定項目'!$C$7+$M189*'設定項目'!$C$8+$N189*'設定項目'!$C$9+$O189*'設定項目'!$C$10+$P189*'設定項目'!$C$11+$Q189*'設定項目'!$C$12)*20,1))</f>
        <v/>
      </c>
      <c r="S189" s="25">
        <f>IF($R189="","",IF($R189&gt;='設定項目'!$G$6,"優秀",IF($R189&gt;='設定項目'!$G$7,"良好",IF($R189&gt;='設定項目'!$G$8,"要注意","不合格"))))</f>
        <v/>
      </c>
      <c r="T189" s="25" t="n"/>
      <c r="U189" s="25" t="n"/>
      <c r="V189" s="28" t="n"/>
      <c r="W189" s="28" t="n"/>
      <c r="X189" s="25" t="n"/>
      <c r="Y189" s="25" t="n"/>
    </row>
    <row r="190" ht="24" customHeight="1">
      <c r="A190" s="25">
        <f>IF($B190="","","SQ-"&amp;TEXT(ROW()-4,"0000"))</f>
        <v/>
      </c>
      <c r="B190" s="143" t="n"/>
      <c r="C190" s="25" t="n"/>
      <c r="D190" s="25" t="n"/>
      <c r="E190" s="25" t="n"/>
      <c r="F190" s="25" t="n"/>
      <c r="G190" s="25" t="n"/>
      <c r="H190" s="25" t="n"/>
      <c r="I190" s="25" t="n"/>
      <c r="J190" s="25" t="n"/>
      <c r="K190" s="139" t="n"/>
      <c r="L190" s="139" t="n"/>
      <c r="M190" s="139" t="n"/>
      <c r="N190" s="139" t="n"/>
      <c r="O190" s="139" t="n"/>
      <c r="P190" s="139" t="n"/>
      <c r="Q190" s="139" t="n"/>
      <c r="R190" s="142">
        <f>IF(COUNT($K190:$Q190)&lt;7,"",ROUND(($K190*'設定項目'!$C$6+$L190*'設定項目'!$C$7+$M190*'設定項目'!$C$8+$N190*'設定項目'!$C$9+$O190*'設定項目'!$C$10+$P190*'設定項目'!$C$11+$Q190*'設定項目'!$C$12)*20,1))</f>
        <v/>
      </c>
      <c r="S190" s="25">
        <f>IF($R190="","",IF($R190&gt;='設定項目'!$G$6,"優秀",IF($R190&gt;='設定項目'!$G$7,"良好",IF($R190&gt;='設定項目'!$G$8,"要注意","不合格"))))</f>
        <v/>
      </c>
      <c r="T190" s="25" t="n"/>
      <c r="U190" s="25" t="n"/>
      <c r="V190" s="28" t="n"/>
      <c r="W190" s="28" t="n"/>
      <c r="X190" s="25" t="n"/>
      <c r="Y190" s="25" t="n"/>
    </row>
    <row r="191" ht="24" customHeight="1">
      <c r="A191" s="25">
        <f>IF($B191="","","SQ-"&amp;TEXT(ROW()-4,"0000"))</f>
        <v/>
      </c>
      <c r="B191" s="143" t="n"/>
      <c r="C191" s="25" t="n"/>
      <c r="D191" s="25" t="n"/>
      <c r="E191" s="25" t="n"/>
      <c r="F191" s="25" t="n"/>
      <c r="G191" s="25" t="n"/>
      <c r="H191" s="25" t="n"/>
      <c r="I191" s="25" t="n"/>
      <c r="J191" s="25" t="n"/>
      <c r="K191" s="139" t="n"/>
      <c r="L191" s="139" t="n"/>
      <c r="M191" s="139" t="n"/>
      <c r="N191" s="139" t="n"/>
      <c r="O191" s="139" t="n"/>
      <c r="P191" s="139" t="n"/>
      <c r="Q191" s="139" t="n"/>
      <c r="R191" s="142">
        <f>IF(COUNT($K191:$Q191)&lt;7,"",ROUND(($K191*'設定項目'!$C$6+$L191*'設定項目'!$C$7+$M191*'設定項目'!$C$8+$N191*'設定項目'!$C$9+$O191*'設定項目'!$C$10+$P191*'設定項目'!$C$11+$Q191*'設定項目'!$C$12)*20,1))</f>
        <v/>
      </c>
      <c r="S191" s="25">
        <f>IF($R191="","",IF($R191&gt;='設定項目'!$G$6,"優秀",IF($R191&gt;='設定項目'!$G$7,"良好",IF($R191&gt;='設定項目'!$G$8,"要注意","不合格"))))</f>
        <v/>
      </c>
      <c r="T191" s="25" t="n"/>
      <c r="U191" s="25" t="n"/>
      <c r="V191" s="28" t="n"/>
      <c r="W191" s="28" t="n"/>
      <c r="X191" s="25" t="n"/>
      <c r="Y191" s="25" t="n"/>
    </row>
    <row r="192" ht="24" customHeight="1">
      <c r="A192" s="25">
        <f>IF($B192="","","SQ-"&amp;TEXT(ROW()-4,"0000"))</f>
        <v/>
      </c>
      <c r="B192" s="143" t="n"/>
      <c r="C192" s="25" t="n"/>
      <c r="D192" s="25" t="n"/>
      <c r="E192" s="25" t="n"/>
      <c r="F192" s="25" t="n"/>
      <c r="G192" s="25" t="n"/>
      <c r="H192" s="25" t="n"/>
      <c r="I192" s="25" t="n"/>
      <c r="J192" s="25" t="n"/>
      <c r="K192" s="139" t="n"/>
      <c r="L192" s="139" t="n"/>
      <c r="M192" s="139" t="n"/>
      <c r="N192" s="139" t="n"/>
      <c r="O192" s="139" t="n"/>
      <c r="P192" s="139" t="n"/>
      <c r="Q192" s="139" t="n"/>
      <c r="R192" s="142">
        <f>IF(COUNT($K192:$Q192)&lt;7,"",ROUND(($K192*'設定項目'!$C$6+$L192*'設定項目'!$C$7+$M192*'設定項目'!$C$8+$N192*'設定項目'!$C$9+$O192*'設定項目'!$C$10+$P192*'設定項目'!$C$11+$Q192*'設定項目'!$C$12)*20,1))</f>
        <v/>
      </c>
      <c r="S192" s="25">
        <f>IF($R192="","",IF($R192&gt;='設定項目'!$G$6,"優秀",IF($R192&gt;='設定項目'!$G$7,"良好",IF($R192&gt;='設定項目'!$G$8,"要注意","不合格"))))</f>
        <v/>
      </c>
      <c r="T192" s="25" t="n"/>
      <c r="U192" s="25" t="n"/>
      <c r="V192" s="28" t="n"/>
      <c r="W192" s="28" t="n"/>
      <c r="X192" s="25" t="n"/>
      <c r="Y192" s="25" t="n"/>
    </row>
    <row r="193" ht="24" customHeight="1">
      <c r="A193" s="25">
        <f>IF($B193="","","SQ-"&amp;TEXT(ROW()-4,"0000"))</f>
        <v/>
      </c>
      <c r="B193" s="143" t="n"/>
      <c r="C193" s="25" t="n"/>
      <c r="D193" s="25" t="n"/>
      <c r="E193" s="25" t="n"/>
      <c r="F193" s="25" t="n"/>
      <c r="G193" s="25" t="n"/>
      <c r="H193" s="25" t="n"/>
      <c r="I193" s="25" t="n"/>
      <c r="J193" s="25" t="n"/>
      <c r="K193" s="139" t="n"/>
      <c r="L193" s="139" t="n"/>
      <c r="M193" s="139" t="n"/>
      <c r="N193" s="139" t="n"/>
      <c r="O193" s="139" t="n"/>
      <c r="P193" s="139" t="n"/>
      <c r="Q193" s="139" t="n"/>
      <c r="R193" s="142">
        <f>IF(COUNT($K193:$Q193)&lt;7,"",ROUND(($K193*'設定項目'!$C$6+$L193*'設定項目'!$C$7+$M193*'設定項目'!$C$8+$N193*'設定項目'!$C$9+$O193*'設定項目'!$C$10+$P193*'設定項目'!$C$11+$Q193*'設定項目'!$C$12)*20,1))</f>
        <v/>
      </c>
      <c r="S193" s="25">
        <f>IF($R193="","",IF($R193&gt;='設定項目'!$G$6,"優秀",IF($R193&gt;='設定項目'!$G$7,"良好",IF($R193&gt;='設定項目'!$G$8,"要注意","不合格"))))</f>
        <v/>
      </c>
      <c r="T193" s="25" t="n"/>
      <c r="U193" s="25" t="n"/>
      <c r="V193" s="28" t="n"/>
      <c r="W193" s="28" t="n"/>
      <c r="X193" s="25" t="n"/>
      <c r="Y193" s="25" t="n"/>
    </row>
    <row r="194" ht="24" customHeight="1">
      <c r="A194" s="25">
        <f>IF($B194="","","SQ-"&amp;TEXT(ROW()-4,"0000"))</f>
        <v/>
      </c>
      <c r="B194" s="143" t="n"/>
      <c r="C194" s="25" t="n"/>
      <c r="D194" s="25" t="n"/>
      <c r="E194" s="25" t="n"/>
      <c r="F194" s="25" t="n"/>
      <c r="G194" s="25" t="n"/>
      <c r="H194" s="25" t="n"/>
      <c r="I194" s="25" t="n"/>
      <c r="J194" s="25" t="n"/>
      <c r="K194" s="139" t="n"/>
      <c r="L194" s="139" t="n"/>
      <c r="M194" s="139" t="n"/>
      <c r="N194" s="139" t="n"/>
      <c r="O194" s="139" t="n"/>
      <c r="P194" s="139" t="n"/>
      <c r="Q194" s="139" t="n"/>
      <c r="R194" s="142">
        <f>IF(COUNT($K194:$Q194)&lt;7,"",ROUND(($K194*'設定項目'!$C$6+$L194*'設定項目'!$C$7+$M194*'設定項目'!$C$8+$N194*'設定項目'!$C$9+$O194*'設定項目'!$C$10+$P194*'設定項目'!$C$11+$Q194*'設定項目'!$C$12)*20,1))</f>
        <v/>
      </c>
      <c r="S194" s="25">
        <f>IF($R194="","",IF($R194&gt;='設定項目'!$G$6,"優秀",IF($R194&gt;='設定項目'!$G$7,"良好",IF($R194&gt;='設定項目'!$G$8,"要注意","不合格"))))</f>
        <v/>
      </c>
      <c r="T194" s="25" t="n"/>
      <c r="U194" s="25" t="n"/>
      <c r="V194" s="28" t="n"/>
      <c r="W194" s="28" t="n"/>
      <c r="X194" s="25" t="n"/>
      <c r="Y194" s="25" t="n"/>
    </row>
    <row r="195" ht="24" customHeight="1">
      <c r="A195" s="25">
        <f>IF($B195="","","SQ-"&amp;TEXT(ROW()-4,"0000"))</f>
        <v/>
      </c>
      <c r="B195" s="143" t="n"/>
      <c r="C195" s="25" t="n"/>
      <c r="D195" s="25" t="n"/>
      <c r="E195" s="25" t="n"/>
      <c r="F195" s="25" t="n"/>
      <c r="G195" s="25" t="n"/>
      <c r="H195" s="25" t="n"/>
      <c r="I195" s="25" t="n"/>
      <c r="J195" s="25" t="n"/>
      <c r="K195" s="139" t="n"/>
      <c r="L195" s="139" t="n"/>
      <c r="M195" s="139" t="n"/>
      <c r="N195" s="139" t="n"/>
      <c r="O195" s="139" t="n"/>
      <c r="P195" s="139" t="n"/>
      <c r="Q195" s="139" t="n"/>
      <c r="R195" s="142">
        <f>IF(COUNT($K195:$Q195)&lt;7,"",ROUND(($K195*'設定項目'!$C$6+$L195*'設定項目'!$C$7+$M195*'設定項目'!$C$8+$N195*'設定項目'!$C$9+$O195*'設定項目'!$C$10+$P195*'設定項目'!$C$11+$Q195*'設定項目'!$C$12)*20,1))</f>
        <v/>
      </c>
      <c r="S195" s="25">
        <f>IF($R195="","",IF($R195&gt;='設定項目'!$G$6,"優秀",IF($R195&gt;='設定項目'!$G$7,"良好",IF($R195&gt;='設定項目'!$G$8,"要注意","不合格"))))</f>
        <v/>
      </c>
      <c r="T195" s="25" t="n"/>
      <c r="U195" s="25" t="n"/>
      <c r="V195" s="28" t="n"/>
      <c r="W195" s="28" t="n"/>
      <c r="X195" s="25" t="n"/>
      <c r="Y195" s="25" t="n"/>
    </row>
    <row r="196" ht="24" customHeight="1">
      <c r="A196" s="25">
        <f>IF($B196="","","SQ-"&amp;TEXT(ROW()-4,"0000"))</f>
        <v/>
      </c>
      <c r="B196" s="143" t="n"/>
      <c r="C196" s="25" t="n"/>
      <c r="D196" s="25" t="n"/>
      <c r="E196" s="25" t="n"/>
      <c r="F196" s="25" t="n"/>
      <c r="G196" s="25" t="n"/>
      <c r="H196" s="25" t="n"/>
      <c r="I196" s="25" t="n"/>
      <c r="J196" s="25" t="n"/>
      <c r="K196" s="139" t="n"/>
      <c r="L196" s="139" t="n"/>
      <c r="M196" s="139" t="n"/>
      <c r="N196" s="139" t="n"/>
      <c r="O196" s="139" t="n"/>
      <c r="P196" s="139" t="n"/>
      <c r="Q196" s="139" t="n"/>
      <c r="R196" s="142">
        <f>IF(COUNT($K196:$Q196)&lt;7,"",ROUND(($K196*'設定項目'!$C$6+$L196*'設定項目'!$C$7+$M196*'設定項目'!$C$8+$N196*'設定項目'!$C$9+$O196*'設定項目'!$C$10+$P196*'設定項目'!$C$11+$Q196*'設定項目'!$C$12)*20,1))</f>
        <v/>
      </c>
      <c r="S196" s="25">
        <f>IF($R196="","",IF($R196&gt;='設定項目'!$G$6,"優秀",IF($R196&gt;='設定項目'!$G$7,"良好",IF($R196&gt;='設定項目'!$G$8,"要注意","不合格"))))</f>
        <v/>
      </c>
      <c r="T196" s="25" t="n"/>
      <c r="U196" s="25" t="n"/>
      <c r="V196" s="28" t="n"/>
      <c r="W196" s="28" t="n"/>
      <c r="X196" s="25" t="n"/>
      <c r="Y196" s="25" t="n"/>
    </row>
    <row r="197" ht="24" customHeight="1">
      <c r="A197" s="25">
        <f>IF($B197="","","SQ-"&amp;TEXT(ROW()-4,"0000"))</f>
        <v/>
      </c>
      <c r="B197" s="143" t="n"/>
      <c r="C197" s="25" t="n"/>
      <c r="D197" s="25" t="n"/>
      <c r="E197" s="25" t="n"/>
      <c r="F197" s="25" t="n"/>
      <c r="G197" s="25" t="n"/>
      <c r="H197" s="25" t="n"/>
      <c r="I197" s="25" t="n"/>
      <c r="J197" s="25" t="n"/>
      <c r="K197" s="139" t="n"/>
      <c r="L197" s="139" t="n"/>
      <c r="M197" s="139" t="n"/>
      <c r="N197" s="139" t="n"/>
      <c r="O197" s="139" t="n"/>
      <c r="P197" s="139" t="n"/>
      <c r="Q197" s="139" t="n"/>
      <c r="R197" s="142">
        <f>IF(COUNT($K197:$Q197)&lt;7,"",ROUND(($K197*'設定項目'!$C$6+$L197*'設定項目'!$C$7+$M197*'設定項目'!$C$8+$N197*'設定項目'!$C$9+$O197*'設定項目'!$C$10+$P197*'設定項目'!$C$11+$Q197*'設定項目'!$C$12)*20,1))</f>
        <v/>
      </c>
      <c r="S197" s="25">
        <f>IF($R197="","",IF($R197&gt;='設定項目'!$G$6,"優秀",IF($R197&gt;='設定項目'!$G$7,"良好",IF($R197&gt;='設定項目'!$G$8,"要注意","不合格"))))</f>
        <v/>
      </c>
      <c r="T197" s="25" t="n"/>
      <c r="U197" s="25" t="n"/>
      <c r="V197" s="28" t="n"/>
      <c r="W197" s="28" t="n"/>
      <c r="X197" s="25" t="n"/>
      <c r="Y197" s="25" t="n"/>
    </row>
    <row r="198" ht="24" customHeight="1">
      <c r="A198" s="25">
        <f>IF($B198="","","SQ-"&amp;TEXT(ROW()-4,"0000"))</f>
        <v/>
      </c>
      <c r="B198" s="143" t="n"/>
      <c r="C198" s="25" t="n"/>
      <c r="D198" s="25" t="n"/>
      <c r="E198" s="25" t="n"/>
      <c r="F198" s="25" t="n"/>
      <c r="G198" s="25" t="n"/>
      <c r="H198" s="25" t="n"/>
      <c r="I198" s="25" t="n"/>
      <c r="J198" s="25" t="n"/>
      <c r="K198" s="139" t="n"/>
      <c r="L198" s="139" t="n"/>
      <c r="M198" s="139" t="n"/>
      <c r="N198" s="139" t="n"/>
      <c r="O198" s="139" t="n"/>
      <c r="P198" s="139" t="n"/>
      <c r="Q198" s="139" t="n"/>
      <c r="R198" s="142">
        <f>IF(COUNT($K198:$Q198)&lt;7,"",ROUND(($K198*'設定項目'!$C$6+$L198*'設定項目'!$C$7+$M198*'設定項目'!$C$8+$N198*'設定項目'!$C$9+$O198*'設定項目'!$C$10+$P198*'設定項目'!$C$11+$Q198*'設定項目'!$C$12)*20,1))</f>
        <v/>
      </c>
      <c r="S198" s="25">
        <f>IF($R198="","",IF($R198&gt;='設定項目'!$G$6,"優秀",IF($R198&gt;='設定項目'!$G$7,"良好",IF($R198&gt;='設定項目'!$G$8,"要注意","不合格"))))</f>
        <v/>
      </c>
      <c r="T198" s="25" t="n"/>
      <c r="U198" s="25" t="n"/>
      <c r="V198" s="28" t="n"/>
      <c r="W198" s="28" t="n"/>
      <c r="X198" s="25" t="n"/>
      <c r="Y198" s="25" t="n"/>
    </row>
    <row r="199" ht="24" customHeight="1">
      <c r="A199" s="25">
        <f>IF($B199="","","SQ-"&amp;TEXT(ROW()-4,"0000"))</f>
        <v/>
      </c>
      <c r="B199" s="143" t="n"/>
      <c r="C199" s="25" t="n"/>
      <c r="D199" s="25" t="n"/>
      <c r="E199" s="25" t="n"/>
      <c r="F199" s="25" t="n"/>
      <c r="G199" s="25" t="n"/>
      <c r="H199" s="25" t="n"/>
      <c r="I199" s="25" t="n"/>
      <c r="J199" s="25" t="n"/>
      <c r="K199" s="139" t="n"/>
      <c r="L199" s="139" t="n"/>
      <c r="M199" s="139" t="n"/>
      <c r="N199" s="139" t="n"/>
      <c r="O199" s="139" t="n"/>
      <c r="P199" s="139" t="n"/>
      <c r="Q199" s="139" t="n"/>
      <c r="R199" s="142">
        <f>IF(COUNT($K199:$Q199)&lt;7,"",ROUND(($K199*'設定項目'!$C$6+$L199*'設定項目'!$C$7+$M199*'設定項目'!$C$8+$N199*'設定項目'!$C$9+$O199*'設定項目'!$C$10+$P199*'設定項目'!$C$11+$Q199*'設定項目'!$C$12)*20,1))</f>
        <v/>
      </c>
      <c r="S199" s="25">
        <f>IF($R199="","",IF($R199&gt;='設定項目'!$G$6,"優秀",IF($R199&gt;='設定項目'!$G$7,"良好",IF($R199&gt;='設定項目'!$G$8,"要注意","不合格"))))</f>
        <v/>
      </c>
      <c r="T199" s="25" t="n"/>
      <c r="U199" s="25" t="n"/>
      <c r="V199" s="28" t="n"/>
      <c r="W199" s="28" t="n"/>
      <c r="X199" s="25" t="n"/>
      <c r="Y199" s="25" t="n"/>
    </row>
    <row r="200" ht="24" customHeight="1">
      <c r="A200" s="25">
        <f>IF($B200="","","SQ-"&amp;TEXT(ROW()-4,"0000"))</f>
        <v/>
      </c>
      <c r="B200" s="143" t="n"/>
      <c r="C200" s="25" t="n"/>
      <c r="D200" s="25" t="n"/>
      <c r="E200" s="25" t="n"/>
      <c r="F200" s="25" t="n"/>
      <c r="G200" s="25" t="n"/>
      <c r="H200" s="25" t="n"/>
      <c r="I200" s="25" t="n"/>
      <c r="J200" s="25" t="n"/>
      <c r="K200" s="139" t="n"/>
      <c r="L200" s="139" t="n"/>
      <c r="M200" s="139" t="n"/>
      <c r="N200" s="139" t="n"/>
      <c r="O200" s="139" t="n"/>
      <c r="P200" s="139" t="n"/>
      <c r="Q200" s="139" t="n"/>
      <c r="R200" s="142">
        <f>IF(COUNT($K200:$Q200)&lt;7,"",ROUND(($K200*'設定項目'!$C$6+$L200*'設定項目'!$C$7+$M200*'設定項目'!$C$8+$N200*'設定項目'!$C$9+$O200*'設定項目'!$C$10+$P200*'設定項目'!$C$11+$Q200*'設定項目'!$C$12)*20,1))</f>
        <v/>
      </c>
      <c r="S200" s="25">
        <f>IF($R200="","",IF($R200&gt;='設定項目'!$G$6,"優秀",IF($R200&gt;='設定項目'!$G$7,"良好",IF($R200&gt;='設定項目'!$G$8,"要注意","不合格"))))</f>
        <v/>
      </c>
      <c r="T200" s="25" t="n"/>
      <c r="U200" s="25" t="n"/>
      <c r="V200" s="28" t="n"/>
      <c r="W200" s="28" t="n"/>
      <c r="X200" s="25" t="n"/>
      <c r="Y200" s="25" t="n"/>
    </row>
    <row r="201" ht="24" customHeight="1">
      <c r="A201" s="25">
        <f>IF($B201="","","SQ-"&amp;TEXT(ROW()-4,"0000"))</f>
        <v/>
      </c>
      <c r="B201" s="143" t="n"/>
      <c r="C201" s="25" t="n"/>
      <c r="D201" s="25" t="n"/>
      <c r="E201" s="25" t="n"/>
      <c r="F201" s="25" t="n"/>
      <c r="G201" s="25" t="n"/>
      <c r="H201" s="25" t="n"/>
      <c r="I201" s="25" t="n"/>
      <c r="J201" s="25" t="n"/>
      <c r="K201" s="139" t="n"/>
      <c r="L201" s="139" t="n"/>
      <c r="M201" s="139" t="n"/>
      <c r="N201" s="139" t="n"/>
      <c r="O201" s="139" t="n"/>
      <c r="P201" s="139" t="n"/>
      <c r="Q201" s="139" t="n"/>
      <c r="R201" s="142">
        <f>IF(COUNT($K201:$Q201)&lt;7,"",ROUND(($K201*'設定項目'!$C$6+$L201*'設定項目'!$C$7+$M201*'設定項目'!$C$8+$N201*'設定項目'!$C$9+$O201*'設定項目'!$C$10+$P201*'設定項目'!$C$11+$Q201*'設定項目'!$C$12)*20,1))</f>
        <v/>
      </c>
      <c r="S201" s="25">
        <f>IF($R201="","",IF($R201&gt;='設定項目'!$G$6,"優秀",IF($R201&gt;='設定項目'!$G$7,"良好",IF($R201&gt;='設定項目'!$G$8,"要注意","不合格"))))</f>
        <v/>
      </c>
      <c r="T201" s="25" t="n"/>
      <c r="U201" s="25" t="n"/>
      <c r="V201" s="28" t="n"/>
      <c r="W201" s="28" t="n"/>
      <c r="X201" s="25" t="n"/>
      <c r="Y201" s="25" t="n"/>
    </row>
    <row r="202" ht="24" customHeight="1">
      <c r="A202" s="25">
        <f>IF($B202="","","SQ-"&amp;TEXT(ROW()-4,"0000"))</f>
        <v/>
      </c>
      <c r="B202" s="143" t="n"/>
      <c r="C202" s="25" t="n"/>
      <c r="D202" s="25" t="n"/>
      <c r="E202" s="25" t="n"/>
      <c r="F202" s="25" t="n"/>
      <c r="G202" s="25" t="n"/>
      <c r="H202" s="25" t="n"/>
      <c r="I202" s="25" t="n"/>
      <c r="J202" s="25" t="n"/>
      <c r="K202" s="139" t="n"/>
      <c r="L202" s="139" t="n"/>
      <c r="M202" s="139" t="n"/>
      <c r="N202" s="139" t="n"/>
      <c r="O202" s="139" t="n"/>
      <c r="P202" s="139" t="n"/>
      <c r="Q202" s="139" t="n"/>
      <c r="R202" s="142">
        <f>IF(COUNT($K202:$Q202)&lt;7,"",ROUND(($K202*'設定項目'!$C$6+$L202*'設定項目'!$C$7+$M202*'設定項目'!$C$8+$N202*'設定項目'!$C$9+$O202*'設定項目'!$C$10+$P202*'設定項目'!$C$11+$Q202*'設定項目'!$C$12)*20,1))</f>
        <v/>
      </c>
      <c r="S202" s="25">
        <f>IF($R202="","",IF($R202&gt;='設定項目'!$G$6,"優秀",IF($R202&gt;='設定項目'!$G$7,"良好",IF($R202&gt;='設定項目'!$G$8,"要注意","不合格"))))</f>
        <v/>
      </c>
      <c r="T202" s="25" t="n"/>
      <c r="U202" s="25" t="n"/>
      <c r="V202" s="28" t="n"/>
      <c r="W202" s="28" t="n"/>
      <c r="X202" s="25" t="n"/>
      <c r="Y202" s="25" t="n"/>
    </row>
    <row r="203" ht="24" customHeight="1">
      <c r="A203" s="25">
        <f>IF($B203="","","SQ-"&amp;TEXT(ROW()-4,"0000"))</f>
        <v/>
      </c>
      <c r="B203" s="143" t="n"/>
      <c r="C203" s="25" t="n"/>
      <c r="D203" s="25" t="n"/>
      <c r="E203" s="25" t="n"/>
      <c r="F203" s="25" t="n"/>
      <c r="G203" s="25" t="n"/>
      <c r="H203" s="25" t="n"/>
      <c r="I203" s="25" t="n"/>
      <c r="J203" s="25" t="n"/>
      <c r="K203" s="139" t="n"/>
      <c r="L203" s="139" t="n"/>
      <c r="M203" s="139" t="n"/>
      <c r="N203" s="139" t="n"/>
      <c r="O203" s="139" t="n"/>
      <c r="P203" s="139" t="n"/>
      <c r="Q203" s="139" t="n"/>
      <c r="R203" s="142">
        <f>IF(COUNT($K203:$Q203)&lt;7,"",ROUND(($K203*'設定項目'!$C$6+$L203*'設定項目'!$C$7+$M203*'設定項目'!$C$8+$N203*'設定項目'!$C$9+$O203*'設定項目'!$C$10+$P203*'設定項目'!$C$11+$Q203*'設定項目'!$C$12)*20,1))</f>
        <v/>
      </c>
      <c r="S203" s="25">
        <f>IF($R203="","",IF($R203&gt;='設定項目'!$G$6,"優秀",IF($R203&gt;='設定項目'!$G$7,"良好",IF($R203&gt;='設定項目'!$G$8,"要注意","不合格"))))</f>
        <v/>
      </c>
      <c r="T203" s="25" t="n"/>
      <c r="U203" s="25" t="n"/>
      <c r="V203" s="28" t="n"/>
      <c r="W203" s="28" t="n"/>
      <c r="X203" s="25" t="n"/>
      <c r="Y203" s="25" t="n"/>
    </row>
    <row r="204" ht="24" customHeight="1">
      <c r="A204" s="25">
        <f>IF($B204="","","SQ-"&amp;TEXT(ROW()-4,"0000"))</f>
        <v/>
      </c>
      <c r="B204" s="143" t="n"/>
      <c r="C204" s="25" t="n"/>
      <c r="D204" s="25" t="n"/>
      <c r="E204" s="25" t="n"/>
      <c r="F204" s="25" t="n"/>
      <c r="G204" s="25" t="n"/>
      <c r="H204" s="25" t="n"/>
      <c r="I204" s="25" t="n"/>
      <c r="J204" s="25" t="n"/>
      <c r="K204" s="139" t="n"/>
      <c r="L204" s="139" t="n"/>
      <c r="M204" s="139" t="n"/>
      <c r="N204" s="139" t="n"/>
      <c r="O204" s="139" t="n"/>
      <c r="P204" s="139" t="n"/>
      <c r="Q204" s="139" t="n"/>
      <c r="R204" s="142">
        <f>IF(COUNT($K204:$Q204)&lt;7,"",ROUND(($K204*'設定項目'!$C$6+$L204*'設定項目'!$C$7+$M204*'設定項目'!$C$8+$N204*'設定項目'!$C$9+$O204*'設定項目'!$C$10+$P204*'設定項目'!$C$11+$Q204*'設定項目'!$C$12)*20,1))</f>
        <v/>
      </c>
      <c r="S204" s="25">
        <f>IF($R204="","",IF($R204&gt;='設定項目'!$G$6,"優秀",IF($R204&gt;='設定項目'!$G$7,"良好",IF($R204&gt;='設定項目'!$G$8,"要注意","不合格"))))</f>
        <v/>
      </c>
      <c r="T204" s="25" t="n"/>
      <c r="U204" s="25" t="n"/>
      <c r="V204" s="28" t="n"/>
      <c r="W204" s="28" t="n"/>
      <c r="X204" s="25" t="n"/>
      <c r="Y204" s="25" t="n"/>
    </row>
    <row r="205" ht="24" customHeight="1">
      <c r="A205" s="25">
        <f>IF($B205="","","SQ-"&amp;TEXT(ROW()-4,"0000"))</f>
        <v/>
      </c>
      <c r="B205" s="143" t="n"/>
      <c r="C205" s="25" t="n"/>
      <c r="D205" s="25" t="n"/>
      <c r="E205" s="25" t="n"/>
      <c r="F205" s="25" t="n"/>
      <c r="G205" s="25" t="n"/>
      <c r="H205" s="25" t="n"/>
      <c r="I205" s="25" t="n"/>
      <c r="J205" s="25" t="n"/>
      <c r="K205" s="139" t="n"/>
      <c r="L205" s="139" t="n"/>
      <c r="M205" s="139" t="n"/>
      <c r="N205" s="139" t="n"/>
      <c r="O205" s="139" t="n"/>
      <c r="P205" s="139" t="n"/>
      <c r="Q205" s="139" t="n"/>
      <c r="R205" s="142">
        <f>IF(COUNT($K205:$Q205)&lt;7,"",ROUND(($K205*'設定項目'!$C$6+$L205*'設定項目'!$C$7+$M205*'設定項目'!$C$8+$N205*'設定項目'!$C$9+$O205*'設定項目'!$C$10+$P205*'設定項目'!$C$11+$Q205*'設定項目'!$C$12)*20,1))</f>
        <v/>
      </c>
      <c r="S205" s="25">
        <f>IF($R205="","",IF($R205&gt;='設定項目'!$G$6,"優秀",IF($R205&gt;='設定項目'!$G$7,"良好",IF($R205&gt;='設定項目'!$G$8,"要注意","不合格"))))</f>
        <v/>
      </c>
      <c r="T205" s="25" t="n"/>
      <c r="U205" s="25" t="n"/>
      <c r="V205" s="28" t="n"/>
      <c r="W205" s="28" t="n"/>
      <c r="X205" s="25" t="n"/>
      <c r="Y205" s="25" t="n"/>
    </row>
    <row r="206" ht="24" customHeight="1">
      <c r="A206" s="25">
        <f>IF($B206="","","SQ-"&amp;TEXT(ROW()-4,"0000"))</f>
        <v/>
      </c>
      <c r="B206" s="143" t="n"/>
      <c r="C206" s="25" t="n"/>
      <c r="D206" s="25" t="n"/>
      <c r="E206" s="25" t="n"/>
      <c r="F206" s="25" t="n"/>
      <c r="G206" s="25" t="n"/>
      <c r="H206" s="25" t="n"/>
      <c r="I206" s="25" t="n"/>
      <c r="J206" s="25" t="n"/>
      <c r="K206" s="139" t="n"/>
      <c r="L206" s="139" t="n"/>
      <c r="M206" s="139" t="n"/>
      <c r="N206" s="139" t="n"/>
      <c r="O206" s="139" t="n"/>
      <c r="P206" s="139" t="n"/>
      <c r="Q206" s="139" t="n"/>
      <c r="R206" s="142">
        <f>IF(COUNT($K206:$Q206)&lt;7,"",ROUND(($K206*'設定項目'!$C$6+$L206*'設定項目'!$C$7+$M206*'設定項目'!$C$8+$N206*'設定項目'!$C$9+$O206*'設定項目'!$C$10+$P206*'設定項目'!$C$11+$Q206*'設定項目'!$C$12)*20,1))</f>
        <v/>
      </c>
      <c r="S206" s="25">
        <f>IF($R206="","",IF($R206&gt;='設定項目'!$G$6,"優秀",IF($R206&gt;='設定項目'!$G$7,"良好",IF($R206&gt;='設定項目'!$G$8,"要注意","不合格"))))</f>
        <v/>
      </c>
      <c r="T206" s="25" t="n"/>
      <c r="U206" s="25" t="n"/>
      <c r="V206" s="28" t="n"/>
      <c r="W206" s="28" t="n"/>
      <c r="X206" s="25" t="n"/>
      <c r="Y206" s="25" t="n"/>
    </row>
    <row r="207" ht="24" customHeight="1">
      <c r="A207" s="25">
        <f>IF($B207="","","SQ-"&amp;TEXT(ROW()-4,"0000"))</f>
        <v/>
      </c>
      <c r="B207" s="143" t="n"/>
      <c r="C207" s="25" t="n"/>
      <c r="D207" s="25" t="n"/>
      <c r="E207" s="25" t="n"/>
      <c r="F207" s="25" t="n"/>
      <c r="G207" s="25" t="n"/>
      <c r="H207" s="25" t="n"/>
      <c r="I207" s="25" t="n"/>
      <c r="J207" s="25" t="n"/>
      <c r="K207" s="139" t="n"/>
      <c r="L207" s="139" t="n"/>
      <c r="M207" s="139" t="n"/>
      <c r="N207" s="139" t="n"/>
      <c r="O207" s="139" t="n"/>
      <c r="P207" s="139" t="n"/>
      <c r="Q207" s="139" t="n"/>
      <c r="R207" s="142">
        <f>IF(COUNT($K207:$Q207)&lt;7,"",ROUND(($K207*'設定項目'!$C$6+$L207*'設定項目'!$C$7+$M207*'設定項目'!$C$8+$N207*'設定項目'!$C$9+$O207*'設定項目'!$C$10+$P207*'設定項目'!$C$11+$Q207*'設定項目'!$C$12)*20,1))</f>
        <v/>
      </c>
      <c r="S207" s="25">
        <f>IF($R207="","",IF($R207&gt;='設定項目'!$G$6,"優秀",IF($R207&gt;='設定項目'!$G$7,"良好",IF($R207&gt;='設定項目'!$G$8,"要注意","不合格"))))</f>
        <v/>
      </c>
      <c r="T207" s="25" t="n"/>
      <c r="U207" s="25" t="n"/>
      <c r="V207" s="28" t="n"/>
      <c r="W207" s="28" t="n"/>
      <c r="X207" s="25" t="n"/>
      <c r="Y207" s="25" t="n"/>
    </row>
    <row r="208" ht="24" customHeight="1">
      <c r="A208" s="25">
        <f>IF($B208="","","SQ-"&amp;TEXT(ROW()-4,"0000"))</f>
        <v/>
      </c>
      <c r="B208" s="143" t="n"/>
      <c r="C208" s="25" t="n"/>
      <c r="D208" s="25" t="n"/>
      <c r="E208" s="25" t="n"/>
      <c r="F208" s="25" t="n"/>
      <c r="G208" s="25" t="n"/>
      <c r="H208" s="25" t="n"/>
      <c r="I208" s="25" t="n"/>
      <c r="J208" s="25" t="n"/>
      <c r="K208" s="139" t="n"/>
      <c r="L208" s="139" t="n"/>
      <c r="M208" s="139" t="n"/>
      <c r="N208" s="139" t="n"/>
      <c r="O208" s="139" t="n"/>
      <c r="P208" s="139" t="n"/>
      <c r="Q208" s="139" t="n"/>
      <c r="R208" s="142">
        <f>IF(COUNT($K208:$Q208)&lt;7,"",ROUND(($K208*'設定項目'!$C$6+$L208*'設定項目'!$C$7+$M208*'設定項目'!$C$8+$N208*'設定項目'!$C$9+$O208*'設定項目'!$C$10+$P208*'設定項目'!$C$11+$Q208*'設定項目'!$C$12)*20,1))</f>
        <v/>
      </c>
      <c r="S208" s="25">
        <f>IF($R208="","",IF($R208&gt;='設定項目'!$G$6,"優秀",IF($R208&gt;='設定項目'!$G$7,"良好",IF($R208&gt;='設定項目'!$G$8,"要注意","不合格"))))</f>
        <v/>
      </c>
      <c r="T208" s="25" t="n"/>
      <c r="U208" s="25" t="n"/>
      <c r="V208" s="28" t="n"/>
      <c r="W208" s="28" t="n"/>
      <c r="X208" s="25" t="n"/>
      <c r="Y208" s="25" t="n"/>
    </row>
    <row r="209" ht="24" customHeight="1">
      <c r="A209" s="25">
        <f>IF($B209="","","SQ-"&amp;TEXT(ROW()-4,"0000"))</f>
        <v/>
      </c>
      <c r="B209" s="143" t="n"/>
      <c r="C209" s="25" t="n"/>
      <c r="D209" s="25" t="n"/>
      <c r="E209" s="25" t="n"/>
      <c r="F209" s="25" t="n"/>
      <c r="G209" s="25" t="n"/>
      <c r="H209" s="25" t="n"/>
      <c r="I209" s="25" t="n"/>
      <c r="J209" s="25" t="n"/>
      <c r="K209" s="139" t="n"/>
      <c r="L209" s="139" t="n"/>
      <c r="M209" s="139" t="n"/>
      <c r="N209" s="139" t="n"/>
      <c r="O209" s="139" t="n"/>
      <c r="P209" s="139" t="n"/>
      <c r="Q209" s="139" t="n"/>
      <c r="R209" s="142">
        <f>IF(COUNT($K209:$Q209)&lt;7,"",ROUND(($K209*'設定項目'!$C$6+$L209*'設定項目'!$C$7+$M209*'設定項目'!$C$8+$N209*'設定項目'!$C$9+$O209*'設定項目'!$C$10+$P209*'設定項目'!$C$11+$Q209*'設定項目'!$C$12)*20,1))</f>
        <v/>
      </c>
      <c r="S209" s="25">
        <f>IF($R209="","",IF($R209&gt;='設定項目'!$G$6,"優秀",IF($R209&gt;='設定項目'!$G$7,"良好",IF($R209&gt;='設定項目'!$G$8,"要注意","不合格"))))</f>
        <v/>
      </c>
      <c r="T209" s="25" t="n"/>
      <c r="U209" s="25" t="n"/>
      <c r="V209" s="28" t="n"/>
      <c r="W209" s="28" t="n"/>
      <c r="X209" s="25" t="n"/>
      <c r="Y209" s="25" t="n"/>
    </row>
    <row r="210" ht="24" customHeight="1">
      <c r="A210" s="25">
        <f>IF($B210="","","SQ-"&amp;TEXT(ROW()-4,"0000"))</f>
        <v/>
      </c>
      <c r="B210" s="143" t="n"/>
      <c r="C210" s="25" t="n"/>
      <c r="D210" s="25" t="n"/>
      <c r="E210" s="25" t="n"/>
      <c r="F210" s="25" t="n"/>
      <c r="G210" s="25" t="n"/>
      <c r="H210" s="25" t="n"/>
      <c r="I210" s="25" t="n"/>
      <c r="J210" s="25" t="n"/>
      <c r="K210" s="139" t="n"/>
      <c r="L210" s="139" t="n"/>
      <c r="M210" s="139" t="n"/>
      <c r="N210" s="139" t="n"/>
      <c r="O210" s="139" t="n"/>
      <c r="P210" s="139" t="n"/>
      <c r="Q210" s="139" t="n"/>
      <c r="R210" s="142">
        <f>IF(COUNT($K210:$Q210)&lt;7,"",ROUND(($K210*'設定項目'!$C$6+$L210*'設定項目'!$C$7+$M210*'設定項目'!$C$8+$N210*'設定項目'!$C$9+$O210*'設定項目'!$C$10+$P210*'設定項目'!$C$11+$Q210*'設定項目'!$C$12)*20,1))</f>
        <v/>
      </c>
      <c r="S210" s="25">
        <f>IF($R210="","",IF($R210&gt;='設定項目'!$G$6,"優秀",IF($R210&gt;='設定項目'!$G$7,"良好",IF($R210&gt;='設定項目'!$G$8,"要注意","不合格"))))</f>
        <v/>
      </c>
      <c r="T210" s="25" t="n"/>
      <c r="U210" s="25" t="n"/>
      <c r="V210" s="28" t="n"/>
      <c r="W210" s="28" t="n"/>
      <c r="X210" s="25" t="n"/>
      <c r="Y210" s="25" t="n"/>
    </row>
    <row r="211" ht="24" customHeight="1">
      <c r="A211" s="25">
        <f>IF($B211="","","SQ-"&amp;TEXT(ROW()-4,"0000"))</f>
        <v/>
      </c>
      <c r="B211" s="143" t="n"/>
      <c r="C211" s="25" t="n"/>
      <c r="D211" s="25" t="n"/>
      <c r="E211" s="25" t="n"/>
      <c r="F211" s="25" t="n"/>
      <c r="G211" s="25" t="n"/>
      <c r="H211" s="25" t="n"/>
      <c r="I211" s="25" t="n"/>
      <c r="J211" s="25" t="n"/>
      <c r="K211" s="139" t="n"/>
      <c r="L211" s="139" t="n"/>
      <c r="M211" s="139" t="n"/>
      <c r="N211" s="139" t="n"/>
      <c r="O211" s="139" t="n"/>
      <c r="P211" s="139" t="n"/>
      <c r="Q211" s="139" t="n"/>
      <c r="R211" s="142">
        <f>IF(COUNT($K211:$Q211)&lt;7,"",ROUND(($K211*'設定項目'!$C$6+$L211*'設定項目'!$C$7+$M211*'設定項目'!$C$8+$N211*'設定項目'!$C$9+$O211*'設定項目'!$C$10+$P211*'設定項目'!$C$11+$Q211*'設定項目'!$C$12)*20,1))</f>
        <v/>
      </c>
      <c r="S211" s="25">
        <f>IF($R211="","",IF($R211&gt;='設定項目'!$G$6,"優秀",IF($R211&gt;='設定項目'!$G$7,"良好",IF($R211&gt;='設定項目'!$G$8,"要注意","不合格"))))</f>
        <v/>
      </c>
      <c r="T211" s="25" t="n"/>
      <c r="U211" s="25" t="n"/>
      <c r="V211" s="28" t="n"/>
      <c r="W211" s="28" t="n"/>
      <c r="X211" s="25" t="n"/>
      <c r="Y211" s="25" t="n"/>
    </row>
    <row r="212" ht="24" customHeight="1">
      <c r="A212" s="25">
        <f>IF($B212="","","SQ-"&amp;TEXT(ROW()-4,"0000"))</f>
        <v/>
      </c>
      <c r="B212" s="143" t="n"/>
      <c r="C212" s="25" t="n"/>
      <c r="D212" s="25" t="n"/>
      <c r="E212" s="25" t="n"/>
      <c r="F212" s="25" t="n"/>
      <c r="G212" s="25" t="n"/>
      <c r="H212" s="25" t="n"/>
      <c r="I212" s="25" t="n"/>
      <c r="J212" s="25" t="n"/>
      <c r="K212" s="139" t="n"/>
      <c r="L212" s="139" t="n"/>
      <c r="M212" s="139" t="n"/>
      <c r="N212" s="139" t="n"/>
      <c r="O212" s="139" t="n"/>
      <c r="P212" s="139" t="n"/>
      <c r="Q212" s="139" t="n"/>
      <c r="R212" s="142">
        <f>IF(COUNT($K212:$Q212)&lt;7,"",ROUND(($K212*'設定項目'!$C$6+$L212*'設定項目'!$C$7+$M212*'設定項目'!$C$8+$N212*'設定項目'!$C$9+$O212*'設定項目'!$C$10+$P212*'設定項目'!$C$11+$Q212*'設定項目'!$C$12)*20,1))</f>
        <v/>
      </c>
      <c r="S212" s="25">
        <f>IF($R212="","",IF($R212&gt;='設定項目'!$G$6,"優秀",IF($R212&gt;='設定項目'!$G$7,"良好",IF($R212&gt;='設定項目'!$G$8,"要注意","不合格"))))</f>
        <v/>
      </c>
      <c r="T212" s="25" t="n"/>
      <c r="U212" s="25" t="n"/>
      <c r="V212" s="28" t="n"/>
      <c r="W212" s="28" t="n"/>
      <c r="X212" s="25" t="n"/>
      <c r="Y212" s="25" t="n"/>
    </row>
    <row r="213" ht="24" customHeight="1">
      <c r="A213" s="25">
        <f>IF($B213="","","SQ-"&amp;TEXT(ROW()-4,"0000"))</f>
        <v/>
      </c>
      <c r="B213" s="143" t="n"/>
      <c r="C213" s="25" t="n"/>
      <c r="D213" s="25" t="n"/>
      <c r="E213" s="25" t="n"/>
      <c r="F213" s="25" t="n"/>
      <c r="G213" s="25" t="n"/>
      <c r="H213" s="25" t="n"/>
      <c r="I213" s="25" t="n"/>
      <c r="J213" s="25" t="n"/>
      <c r="K213" s="139" t="n"/>
      <c r="L213" s="139" t="n"/>
      <c r="M213" s="139" t="n"/>
      <c r="N213" s="139" t="n"/>
      <c r="O213" s="139" t="n"/>
      <c r="P213" s="139" t="n"/>
      <c r="Q213" s="139" t="n"/>
      <c r="R213" s="142">
        <f>IF(COUNT($K213:$Q213)&lt;7,"",ROUND(($K213*'設定項目'!$C$6+$L213*'設定項目'!$C$7+$M213*'設定項目'!$C$8+$N213*'設定項目'!$C$9+$O213*'設定項目'!$C$10+$P213*'設定項目'!$C$11+$Q213*'設定項目'!$C$12)*20,1))</f>
        <v/>
      </c>
      <c r="S213" s="25">
        <f>IF($R213="","",IF($R213&gt;='設定項目'!$G$6,"優秀",IF($R213&gt;='設定項目'!$G$7,"良好",IF($R213&gt;='設定項目'!$G$8,"要注意","不合格"))))</f>
        <v/>
      </c>
      <c r="T213" s="25" t="n"/>
      <c r="U213" s="25" t="n"/>
      <c r="V213" s="28" t="n"/>
      <c r="W213" s="28" t="n"/>
      <c r="X213" s="25" t="n"/>
      <c r="Y213" s="25" t="n"/>
    </row>
    <row r="214" ht="24" customHeight="1">
      <c r="A214" s="25">
        <f>IF($B214="","","SQ-"&amp;TEXT(ROW()-4,"0000"))</f>
        <v/>
      </c>
      <c r="B214" s="143" t="n"/>
      <c r="C214" s="25" t="n"/>
      <c r="D214" s="25" t="n"/>
      <c r="E214" s="25" t="n"/>
      <c r="F214" s="25" t="n"/>
      <c r="G214" s="25" t="n"/>
      <c r="H214" s="25" t="n"/>
      <c r="I214" s="25" t="n"/>
      <c r="J214" s="25" t="n"/>
      <c r="K214" s="139" t="n"/>
      <c r="L214" s="139" t="n"/>
      <c r="M214" s="139" t="n"/>
      <c r="N214" s="139" t="n"/>
      <c r="O214" s="139" t="n"/>
      <c r="P214" s="139" t="n"/>
      <c r="Q214" s="139" t="n"/>
      <c r="R214" s="142">
        <f>IF(COUNT($K214:$Q214)&lt;7,"",ROUND(($K214*'設定項目'!$C$6+$L214*'設定項目'!$C$7+$M214*'設定項目'!$C$8+$N214*'設定項目'!$C$9+$O214*'設定項目'!$C$10+$P214*'設定項目'!$C$11+$Q214*'設定項目'!$C$12)*20,1))</f>
        <v/>
      </c>
      <c r="S214" s="25">
        <f>IF($R214="","",IF($R214&gt;='設定項目'!$G$6,"優秀",IF($R214&gt;='設定項目'!$G$7,"良好",IF($R214&gt;='設定項目'!$G$8,"要注意","不合格"))))</f>
        <v/>
      </c>
      <c r="T214" s="25" t="n"/>
      <c r="U214" s="25" t="n"/>
      <c r="V214" s="28" t="n"/>
      <c r="W214" s="28" t="n"/>
      <c r="X214" s="25" t="n"/>
      <c r="Y214" s="25" t="n"/>
    </row>
    <row r="215" ht="24" customHeight="1">
      <c r="A215" s="25">
        <f>IF($B215="","","SQ-"&amp;TEXT(ROW()-4,"0000"))</f>
        <v/>
      </c>
      <c r="B215" s="143" t="n"/>
      <c r="C215" s="25" t="n"/>
      <c r="D215" s="25" t="n"/>
      <c r="E215" s="25" t="n"/>
      <c r="F215" s="25" t="n"/>
      <c r="G215" s="25" t="n"/>
      <c r="H215" s="25" t="n"/>
      <c r="I215" s="25" t="n"/>
      <c r="J215" s="25" t="n"/>
      <c r="K215" s="139" t="n"/>
      <c r="L215" s="139" t="n"/>
      <c r="M215" s="139" t="n"/>
      <c r="N215" s="139" t="n"/>
      <c r="O215" s="139" t="n"/>
      <c r="P215" s="139" t="n"/>
      <c r="Q215" s="139" t="n"/>
      <c r="R215" s="142">
        <f>IF(COUNT($K215:$Q215)&lt;7,"",ROUND(($K215*'設定項目'!$C$6+$L215*'設定項目'!$C$7+$M215*'設定項目'!$C$8+$N215*'設定項目'!$C$9+$O215*'設定項目'!$C$10+$P215*'設定項目'!$C$11+$Q215*'設定項目'!$C$12)*20,1))</f>
        <v/>
      </c>
      <c r="S215" s="25">
        <f>IF($R215="","",IF($R215&gt;='設定項目'!$G$6,"優秀",IF($R215&gt;='設定項目'!$G$7,"良好",IF($R215&gt;='設定項目'!$G$8,"要注意","不合格"))))</f>
        <v/>
      </c>
      <c r="T215" s="25" t="n"/>
      <c r="U215" s="25" t="n"/>
      <c r="V215" s="28" t="n"/>
      <c r="W215" s="28" t="n"/>
      <c r="X215" s="25" t="n"/>
      <c r="Y215" s="25" t="n"/>
    </row>
    <row r="216" ht="24" customHeight="1">
      <c r="A216" s="25">
        <f>IF($B216="","","SQ-"&amp;TEXT(ROW()-4,"0000"))</f>
        <v/>
      </c>
      <c r="B216" s="143" t="n"/>
      <c r="C216" s="25" t="n"/>
      <c r="D216" s="25" t="n"/>
      <c r="E216" s="25" t="n"/>
      <c r="F216" s="25" t="n"/>
      <c r="G216" s="25" t="n"/>
      <c r="H216" s="25" t="n"/>
      <c r="I216" s="25" t="n"/>
      <c r="J216" s="25" t="n"/>
      <c r="K216" s="139" t="n"/>
      <c r="L216" s="139" t="n"/>
      <c r="M216" s="139" t="n"/>
      <c r="N216" s="139" t="n"/>
      <c r="O216" s="139" t="n"/>
      <c r="P216" s="139" t="n"/>
      <c r="Q216" s="139" t="n"/>
      <c r="R216" s="142">
        <f>IF(COUNT($K216:$Q216)&lt;7,"",ROUND(($K216*'設定項目'!$C$6+$L216*'設定項目'!$C$7+$M216*'設定項目'!$C$8+$N216*'設定項目'!$C$9+$O216*'設定項目'!$C$10+$P216*'設定項目'!$C$11+$Q216*'設定項目'!$C$12)*20,1))</f>
        <v/>
      </c>
      <c r="S216" s="25">
        <f>IF($R216="","",IF($R216&gt;='設定項目'!$G$6,"優秀",IF($R216&gt;='設定項目'!$G$7,"良好",IF($R216&gt;='設定項目'!$G$8,"要注意","不合格"))))</f>
        <v/>
      </c>
      <c r="T216" s="25" t="n"/>
      <c r="U216" s="25" t="n"/>
      <c r="V216" s="28" t="n"/>
      <c r="W216" s="28" t="n"/>
      <c r="X216" s="25" t="n"/>
      <c r="Y216" s="25" t="n"/>
    </row>
    <row r="217" ht="24" customHeight="1">
      <c r="A217" s="25">
        <f>IF($B217="","","SQ-"&amp;TEXT(ROW()-4,"0000"))</f>
        <v/>
      </c>
      <c r="B217" s="143" t="n"/>
      <c r="C217" s="25" t="n"/>
      <c r="D217" s="25" t="n"/>
      <c r="E217" s="25" t="n"/>
      <c r="F217" s="25" t="n"/>
      <c r="G217" s="25" t="n"/>
      <c r="H217" s="25" t="n"/>
      <c r="I217" s="25" t="n"/>
      <c r="J217" s="25" t="n"/>
      <c r="K217" s="139" t="n"/>
      <c r="L217" s="139" t="n"/>
      <c r="M217" s="139" t="n"/>
      <c r="N217" s="139" t="n"/>
      <c r="O217" s="139" t="n"/>
      <c r="P217" s="139" t="n"/>
      <c r="Q217" s="139" t="n"/>
      <c r="R217" s="142">
        <f>IF(COUNT($K217:$Q217)&lt;7,"",ROUND(($K217*'設定項目'!$C$6+$L217*'設定項目'!$C$7+$M217*'設定項目'!$C$8+$N217*'設定項目'!$C$9+$O217*'設定項目'!$C$10+$P217*'設定項目'!$C$11+$Q217*'設定項目'!$C$12)*20,1))</f>
        <v/>
      </c>
      <c r="S217" s="25">
        <f>IF($R217="","",IF($R217&gt;='設定項目'!$G$6,"優秀",IF($R217&gt;='設定項目'!$G$7,"良好",IF($R217&gt;='設定項目'!$G$8,"要注意","不合格"))))</f>
        <v/>
      </c>
      <c r="T217" s="25" t="n"/>
      <c r="U217" s="25" t="n"/>
      <c r="V217" s="28" t="n"/>
      <c r="W217" s="28" t="n"/>
      <c r="X217" s="25" t="n"/>
      <c r="Y217" s="25" t="n"/>
    </row>
    <row r="218" ht="24" customHeight="1">
      <c r="A218" s="25">
        <f>IF($B218="","","SQ-"&amp;TEXT(ROW()-4,"0000"))</f>
        <v/>
      </c>
      <c r="B218" s="143" t="n"/>
      <c r="C218" s="25" t="n"/>
      <c r="D218" s="25" t="n"/>
      <c r="E218" s="25" t="n"/>
      <c r="F218" s="25" t="n"/>
      <c r="G218" s="25" t="n"/>
      <c r="H218" s="25" t="n"/>
      <c r="I218" s="25" t="n"/>
      <c r="J218" s="25" t="n"/>
      <c r="K218" s="139" t="n"/>
      <c r="L218" s="139" t="n"/>
      <c r="M218" s="139" t="n"/>
      <c r="N218" s="139" t="n"/>
      <c r="O218" s="139" t="n"/>
      <c r="P218" s="139" t="n"/>
      <c r="Q218" s="139" t="n"/>
      <c r="R218" s="142">
        <f>IF(COUNT($K218:$Q218)&lt;7,"",ROUND(($K218*'設定項目'!$C$6+$L218*'設定項目'!$C$7+$M218*'設定項目'!$C$8+$N218*'設定項目'!$C$9+$O218*'設定項目'!$C$10+$P218*'設定項目'!$C$11+$Q218*'設定項目'!$C$12)*20,1))</f>
        <v/>
      </c>
      <c r="S218" s="25">
        <f>IF($R218="","",IF($R218&gt;='設定項目'!$G$6,"優秀",IF($R218&gt;='設定項目'!$G$7,"良好",IF($R218&gt;='設定項目'!$G$8,"要注意","不合格"))))</f>
        <v/>
      </c>
      <c r="T218" s="25" t="n"/>
      <c r="U218" s="25" t="n"/>
      <c r="V218" s="28" t="n"/>
      <c r="W218" s="28" t="n"/>
      <c r="X218" s="25" t="n"/>
      <c r="Y218" s="25" t="n"/>
    </row>
    <row r="219" ht="24" customHeight="1">
      <c r="A219" s="25">
        <f>IF($B219="","","SQ-"&amp;TEXT(ROW()-4,"0000"))</f>
        <v/>
      </c>
      <c r="B219" s="143" t="n"/>
      <c r="C219" s="25" t="n"/>
      <c r="D219" s="25" t="n"/>
      <c r="E219" s="25" t="n"/>
      <c r="F219" s="25" t="n"/>
      <c r="G219" s="25" t="n"/>
      <c r="H219" s="25" t="n"/>
      <c r="I219" s="25" t="n"/>
      <c r="J219" s="25" t="n"/>
      <c r="K219" s="139" t="n"/>
      <c r="L219" s="139" t="n"/>
      <c r="M219" s="139" t="n"/>
      <c r="N219" s="139" t="n"/>
      <c r="O219" s="139" t="n"/>
      <c r="P219" s="139" t="n"/>
      <c r="Q219" s="139" t="n"/>
      <c r="R219" s="142">
        <f>IF(COUNT($K219:$Q219)&lt;7,"",ROUND(($K219*'設定項目'!$C$6+$L219*'設定項目'!$C$7+$M219*'設定項目'!$C$8+$N219*'設定項目'!$C$9+$O219*'設定項目'!$C$10+$P219*'設定項目'!$C$11+$Q219*'設定項目'!$C$12)*20,1))</f>
        <v/>
      </c>
      <c r="S219" s="25">
        <f>IF($R219="","",IF($R219&gt;='設定項目'!$G$6,"優秀",IF($R219&gt;='設定項目'!$G$7,"良好",IF($R219&gt;='設定項目'!$G$8,"要注意","不合格"))))</f>
        <v/>
      </c>
      <c r="T219" s="25" t="n"/>
      <c r="U219" s="25" t="n"/>
      <c r="V219" s="28" t="n"/>
      <c r="W219" s="28" t="n"/>
      <c r="X219" s="25" t="n"/>
      <c r="Y219" s="25" t="n"/>
    </row>
    <row r="220" ht="24" customHeight="1">
      <c r="A220" s="25">
        <f>IF($B220="","","SQ-"&amp;TEXT(ROW()-4,"0000"))</f>
        <v/>
      </c>
      <c r="B220" s="143" t="n"/>
      <c r="C220" s="25" t="n"/>
      <c r="D220" s="25" t="n"/>
      <c r="E220" s="25" t="n"/>
      <c r="F220" s="25" t="n"/>
      <c r="G220" s="25" t="n"/>
      <c r="H220" s="25" t="n"/>
      <c r="I220" s="25" t="n"/>
      <c r="J220" s="25" t="n"/>
      <c r="K220" s="139" t="n"/>
      <c r="L220" s="139" t="n"/>
      <c r="M220" s="139" t="n"/>
      <c r="N220" s="139" t="n"/>
      <c r="O220" s="139" t="n"/>
      <c r="P220" s="139" t="n"/>
      <c r="Q220" s="139" t="n"/>
      <c r="R220" s="142">
        <f>IF(COUNT($K220:$Q220)&lt;7,"",ROUND(($K220*'設定項目'!$C$6+$L220*'設定項目'!$C$7+$M220*'設定項目'!$C$8+$N220*'設定項目'!$C$9+$O220*'設定項目'!$C$10+$P220*'設定項目'!$C$11+$Q220*'設定項目'!$C$12)*20,1))</f>
        <v/>
      </c>
      <c r="S220" s="25">
        <f>IF($R220="","",IF($R220&gt;='設定項目'!$G$6,"優秀",IF($R220&gt;='設定項目'!$G$7,"良好",IF($R220&gt;='設定項目'!$G$8,"要注意","不合格"))))</f>
        <v/>
      </c>
      <c r="T220" s="25" t="n"/>
      <c r="U220" s="25" t="n"/>
      <c r="V220" s="28" t="n"/>
      <c r="W220" s="28" t="n"/>
      <c r="X220" s="25" t="n"/>
      <c r="Y220" s="25" t="n"/>
    </row>
    <row r="221" ht="24" customHeight="1">
      <c r="A221" s="25">
        <f>IF($B221="","","SQ-"&amp;TEXT(ROW()-4,"0000"))</f>
        <v/>
      </c>
      <c r="B221" s="143" t="n"/>
      <c r="C221" s="25" t="n"/>
      <c r="D221" s="25" t="n"/>
      <c r="E221" s="25" t="n"/>
      <c r="F221" s="25" t="n"/>
      <c r="G221" s="25" t="n"/>
      <c r="H221" s="25" t="n"/>
      <c r="I221" s="25" t="n"/>
      <c r="J221" s="25" t="n"/>
      <c r="K221" s="139" t="n"/>
      <c r="L221" s="139" t="n"/>
      <c r="M221" s="139" t="n"/>
      <c r="N221" s="139" t="n"/>
      <c r="O221" s="139" t="n"/>
      <c r="P221" s="139" t="n"/>
      <c r="Q221" s="139" t="n"/>
      <c r="R221" s="142">
        <f>IF(COUNT($K221:$Q221)&lt;7,"",ROUND(($K221*'設定項目'!$C$6+$L221*'設定項目'!$C$7+$M221*'設定項目'!$C$8+$N221*'設定項目'!$C$9+$O221*'設定項目'!$C$10+$P221*'設定項目'!$C$11+$Q221*'設定項目'!$C$12)*20,1))</f>
        <v/>
      </c>
      <c r="S221" s="25">
        <f>IF($R221="","",IF($R221&gt;='設定項目'!$G$6,"優秀",IF($R221&gt;='設定項目'!$G$7,"良好",IF($R221&gt;='設定項目'!$G$8,"要注意","不合格"))))</f>
        <v/>
      </c>
      <c r="T221" s="25" t="n"/>
      <c r="U221" s="25" t="n"/>
      <c r="V221" s="28" t="n"/>
      <c r="W221" s="28" t="n"/>
      <c r="X221" s="25" t="n"/>
      <c r="Y221" s="25" t="n"/>
    </row>
    <row r="222" ht="24" customHeight="1">
      <c r="A222" s="25">
        <f>IF($B222="","","SQ-"&amp;TEXT(ROW()-4,"0000"))</f>
        <v/>
      </c>
      <c r="B222" s="143" t="n"/>
      <c r="C222" s="25" t="n"/>
      <c r="D222" s="25" t="n"/>
      <c r="E222" s="25" t="n"/>
      <c r="F222" s="25" t="n"/>
      <c r="G222" s="25" t="n"/>
      <c r="H222" s="25" t="n"/>
      <c r="I222" s="25" t="n"/>
      <c r="J222" s="25" t="n"/>
      <c r="K222" s="139" t="n"/>
      <c r="L222" s="139" t="n"/>
      <c r="M222" s="139" t="n"/>
      <c r="N222" s="139" t="n"/>
      <c r="O222" s="139" t="n"/>
      <c r="P222" s="139" t="n"/>
      <c r="Q222" s="139" t="n"/>
      <c r="R222" s="142">
        <f>IF(COUNT($K222:$Q222)&lt;7,"",ROUND(($K222*'設定項目'!$C$6+$L222*'設定項目'!$C$7+$M222*'設定項目'!$C$8+$N222*'設定項目'!$C$9+$O222*'設定項目'!$C$10+$P222*'設定項目'!$C$11+$Q222*'設定項目'!$C$12)*20,1))</f>
        <v/>
      </c>
      <c r="S222" s="25">
        <f>IF($R222="","",IF($R222&gt;='設定項目'!$G$6,"優秀",IF($R222&gt;='設定項目'!$G$7,"良好",IF($R222&gt;='設定項目'!$G$8,"要注意","不合格"))))</f>
        <v/>
      </c>
      <c r="T222" s="25" t="n"/>
      <c r="U222" s="25" t="n"/>
      <c r="V222" s="28" t="n"/>
      <c r="W222" s="28" t="n"/>
      <c r="X222" s="25" t="n"/>
      <c r="Y222" s="25" t="n"/>
    </row>
    <row r="223" ht="24" customHeight="1">
      <c r="A223" s="25">
        <f>IF($B223="","","SQ-"&amp;TEXT(ROW()-4,"0000"))</f>
        <v/>
      </c>
      <c r="B223" s="143" t="n"/>
      <c r="C223" s="25" t="n"/>
      <c r="D223" s="25" t="n"/>
      <c r="E223" s="25" t="n"/>
      <c r="F223" s="25" t="n"/>
      <c r="G223" s="25" t="n"/>
      <c r="H223" s="25" t="n"/>
      <c r="I223" s="25" t="n"/>
      <c r="J223" s="25" t="n"/>
      <c r="K223" s="139" t="n"/>
      <c r="L223" s="139" t="n"/>
      <c r="M223" s="139" t="n"/>
      <c r="N223" s="139" t="n"/>
      <c r="O223" s="139" t="n"/>
      <c r="P223" s="139" t="n"/>
      <c r="Q223" s="139" t="n"/>
      <c r="R223" s="142">
        <f>IF(COUNT($K223:$Q223)&lt;7,"",ROUND(($K223*'設定項目'!$C$6+$L223*'設定項目'!$C$7+$M223*'設定項目'!$C$8+$N223*'設定項目'!$C$9+$O223*'設定項目'!$C$10+$P223*'設定項目'!$C$11+$Q223*'設定項目'!$C$12)*20,1))</f>
        <v/>
      </c>
      <c r="S223" s="25">
        <f>IF($R223="","",IF($R223&gt;='設定項目'!$G$6,"優秀",IF($R223&gt;='設定項目'!$G$7,"良好",IF($R223&gt;='設定項目'!$G$8,"要注意","不合格"))))</f>
        <v/>
      </c>
      <c r="T223" s="25" t="n"/>
      <c r="U223" s="25" t="n"/>
      <c r="V223" s="28" t="n"/>
      <c r="W223" s="28" t="n"/>
      <c r="X223" s="25" t="n"/>
      <c r="Y223" s="25" t="n"/>
    </row>
    <row r="224" ht="24" customHeight="1">
      <c r="A224" s="25">
        <f>IF($B224="","","SQ-"&amp;TEXT(ROW()-4,"0000"))</f>
        <v/>
      </c>
      <c r="B224" s="143" t="n"/>
      <c r="C224" s="25" t="n"/>
      <c r="D224" s="25" t="n"/>
      <c r="E224" s="25" t="n"/>
      <c r="F224" s="25" t="n"/>
      <c r="G224" s="25" t="n"/>
      <c r="H224" s="25" t="n"/>
      <c r="I224" s="25" t="n"/>
      <c r="J224" s="25" t="n"/>
      <c r="K224" s="139" t="n"/>
      <c r="L224" s="139" t="n"/>
      <c r="M224" s="139" t="n"/>
      <c r="N224" s="139" t="n"/>
      <c r="O224" s="139" t="n"/>
      <c r="P224" s="139" t="n"/>
      <c r="Q224" s="139" t="n"/>
      <c r="R224" s="142">
        <f>IF(COUNT($K224:$Q224)&lt;7,"",ROUND(($K224*'設定項目'!$C$6+$L224*'設定項目'!$C$7+$M224*'設定項目'!$C$8+$N224*'設定項目'!$C$9+$O224*'設定項目'!$C$10+$P224*'設定項目'!$C$11+$Q224*'設定項目'!$C$12)*20,1))</f>
        <v/>
      </c>
      <c r="S224" s="25">
        <f>IF($R224="","",IF($R224&gt;='設定項目'!$G$6,"優秀",IF($R224&gt;='設定項目'!$G$7,"良好",IF($R224&gt;='設定項目'!$G$8,"要注意","不合格"))))</f>
        <v/>
      </c>
      <c r="T224" s="25" t="n"/>
      <c r="U224" s="25" t="n"/>
      <c r="V224" s="28" t="n"/>
      <c r="W224" s="28" t="n"/>
      <c r="X224" s="25" t="n"/>
      <c r="Y224" s="25" t="n"/>
    </row>
    <row r="225" ht="24" customHeight="1">
      <c r="A225" s="25">
        <f>IF($B225="","","SQ-"&amp;TEXT(ROW()-4,"0000"))</f>
        <v/>
      </c>
      <c r="B225" s="143" t="n"/>
      <c r="C225" s="25" t="n"/>
      <c r="D225" s="25" t="n"/>
      <c r="E225" s="25" t="n"/>
      <c r="F225" s="25" t="n"/>
      <c r="G225" s="25" t="n"/>
      <c r="H225" s="25" t="n"/>
      <c r="I225" s="25" t="n"/>
      <c r="J225" s="25" t="n"/>
      <c r="K225" s="139" t="n"/>
      <c r="L225" s="139" t="n"/>
      <c r="M225" s="139" t="n"/>
      <c r="N225" s="139" t="n"/>
      <c r="O225" s="139" t="n"/>
      <c r="P225" s="139" t="n"/>
      <c r="Q225" s="139" t="n"/>
      <c r="R225" s="142">
        <f>IF(COUNT($K225:$Q225)&lt;7,"",ROUND(($K225*'設定項目'!$C$6+$L225*'設定項目'!$C$7+$M225*'設定項目'!$C$8+$N225*'設定項目'!$C$9+$O225*'設定項目'!$C$10+$P225*'設定項目'!$C$11+$Q225*'設定項目'!$C$12)*20,1))</f>
        <v/>
      </c>
      <c r="S225" s="25">
        <f>IF($R225="","",IF($R225&gt;='設定項目'!$G$6,"優秀",IF($R225&gt;='設定項目'!$G$7,"良好",IF($R225&gt;='設定項目'!$G$8,"要注意","不合格"))))</f>
        <v/>
      </c>
      <c r="T225" s="25" t="n"/>
      <c r="U225" s="25" t="n"/>
      <c r="V225" s="28" t="n"/>
      <c r="W225" s="28" t="n"/>
      <c r="X225" s="25" t="n"/>
      <c r="Y225" s="25" t="n"/>
    </row>
    <row r="226" ht="24" customHeight="1">
      <c r="A226" s="25">
        <f>IF($B226="","","SQ-"&amp;TEXT(ROW()-4,"0000"))</f>
        <v/>
      </c>
      <c r="B226" s="143" t="n"/>
      <c r="C226" s="25" t="n"/>
      <c r="D226" s="25" t="n"/>
      <c r="E226" s="25" t="n"/>
      <c r="F226" s="25" t="n"/>
      <c r="G226" s="25" t="n"/>
      <c r="H226" s="25" t="n"/>
      <c r="I226" s="25" t="n"/>
      <c r="J226" s="25" t="n"/>
      <c r="K226" s="139" t="n"/>
      <c r="L226" s="139" t="n"/>
      <c r="M226" s="139" t="n"/>
      <c r="N226" s="139" t="n"/>
      <c r="O226" s="139" t="n"/>
      <c r="P226" s="139" t="n"/>
      <c r="Q226" s="139" t="n"/>
      <c r="R226" s="142">
        <f>IF(COUNT($K226:$Q226)&lt;7,"",ROUND(($K226*'設定項目'!$C$6+$L226*'設定項目'!$C$7+$M226*'設定項目'!$C$8+$N226*'設定項目'!$C$9+$O226*'設定項目'!$C$10+$P226*'設定項目'!$C$11+$Q226*'設定項目'!$C$12)*20,1))</f>
        <v/>
      </c>
      <c r="S226" s="25">
        <f>IF($R226="","",IF($R226&gt;='設定項目'!$G$6,"優秀",IF($R226&gt;='設定項目'!$G$7,"良好",IF($R226&gt;='設定項目'!$G$8,"要注意","不合格"))))</f>
        <v/>
      </c>
      <c r="T226" s="25" t="n"/>
      <c r="U226" s="25" t="n"/>
      <c r="V226" s="28" t="n"/>
      <c r="W226" s="28" t="n"/>
      <c r="X226" s="25" t="n"/>
      <c r="Y226" s="25" t="n"/>
    </row>
    <row r="227" ht="24" customHeight="1">
      <c r="A227" s="25">
        <f>IF($B227="","","SQ-"&amp;TEXT(ROW()-4,"0000"))</f>
        <v/>
      </c>
      <c r="B227" s="143" t="n"/>
      <c r="C227" s="25" t="n"/>
      <c r="D227" s="25" t="n"/>
      <c r="E227" s="25" t="n"/>
      <c r="F227" s="25" t="n"/>
      <c r="G227" s="25" t="n"/>
      <c r="H227" s="25" t="n"/>
      <c r="I227" s="25" t="n"/>
      <c r="J227" s="25" t="n"/>
      <c r="K227" s="139" t="n"/>
      <c r="L227" s="139" t="n"/>
      <c r="M227" s="139" t="n"/>
      <c r="N227" s="139" t="n"/>
      <c r="O227" s="139" t="n"/>
      <c r="P227" s="139" t="n"/>
      <c r="Q227" s="139" t="n"/>
      <c r="R227" s="142">
        <f>IF(COUNT($K227:$Q227)&lt;7,"",ROUND(($K227*'設定項目'!$C$6+$L227*'設定項目'!$C$7+$M227*'設定項目'!$C$8+$N227*'設定項目'!$C$9+$O227*'設定項目'!$C$10+$P227*'設定項目'!$C$11+$Q227*'設定項目'!$C$12)*20,1))</f>
        <v/>
      </c>
      <c r="S227" s="25">
        <f>IF($R227="","",IF($R227&gt;='設定項目'!$G$6,"優秀",IF($R227&gt;='設定項目'!$G$7,"良好",IF($R227&gt;='設定項目'!$G$8,"要注意","不合格"))))</f>
        <v/>
      </c>
      <c r="T227" s="25" t="n"/>
      <c r="U227" s="25" t="n"/>
      <c r="V227" s="28" t="n"/>
      <c r="W227" s="28" t="n"/>
      <c r="X227" s="25" t="n"/>
      <c r="Y227" s="25" t="n"/>
    </row>
    <row r="228" ht="24" customHeight="1">
      <c r="A228" s="25">
        <f>IF($B228="","","SQ-"&amp;TEXT(ROW()-4,"0000"))</f>
        <v/>
      </c>
      <c r="B228" s="143" t="n"/>
      <c r="C228" s="25" t="n"/>
      <c r="D228" s="25" t="n"/>
      <c r="E228" s="25" t="n"/>
      <c r="F228" s="25" t="n"/>
      <c r="G228" s="25" t="n"/>
      <c r="H228" s="25" t="n"/>
      <c r="I228" s="25" t="n"/>
      <c r="J228" s="25" t="n"/>
      <c r="K228" s="139" t="n"/>
      <c r="L228" s="139" t="n"/>
      <c r="M228" s="139" t="n"/>
      <c r="N228" s="139" t="n"/>
      <c r="O228" s="139" t="n"/>
      <c r="P228" s="139" t="n"/>
      <c r="Q228" s="139" t="n"/>
      <c r="R228" s="142">
        <f>IF(COUNT($K228:$Q228)&lt;7,"",ROUND(($K228*'設定項目'!$C$6+$L228*'設定項目'!$C$7+$M228*'設定項目'!$C$8+$N228*'設定項目'!$C$9+$O228*'設定項目'!$C$10+$P228*'設定項目'!$C$11+$Q228*'設定項目'!$C$12)*20,1))</f>
        <v/>
      </c>
      <c r="S228" s="25">
        <f>IF($R228="","",IF($R228&gt;='設定項目'!$G$6,"優秀",IF($R228&gt;='設定項目'!$G$7,"良好",IF($R228&gt;='設定項目'!$G$8,"要注意","不合格"))))</f>
        <v/>
      </c>
      <c r="T228" s="25" t="n"/>
      <c r="U228" s="25" t="n"/>
      <c r="V228" s="28" t="n"/>
      <c r="W228" s="28" t="n"/>
      <c r="X228" s="25" t="n"/>
      <c r="Y228" s="25" t="n"/>
    </row>
    <row r="229" ht="24" customHeight="1">
      <c r="A229" s="25">
        <f>IF($B229="","","SQ-"&amp;TEXT(ROW()-4,"0000"))</f>
        <v/>
      </c>
      <c r="B229" s="143" t="n"/>
      <c r="C229" s="25" t="n"/>
      <c r="D229" s="25" t="n"/>
      <c r="E229" s="25" t="n"/>
      <c r="F229" s="25" t="n"/>
      <c r="G229" s="25" t="n"/>
      <c r="H229" s="25" t="n"/>
      <c r="I229" s="25" t="n"/>
      <c r="J229" s="25" t="n"/>
      <c r="K229" s="139" t="n"/>
      <c r="L229" s="139" t="n"/>
      <c r="M229" s="139" t="n"/>
      <c r="N229" s="139" t="n"/>
      <c r="O229" s="139" t="n"/>
      <c r="P229" s="139" t="n"/>
      <c r="Q229" s="139" t="n"/>
      <c r="R229" s="142">
        <f>IF(COUNT($K229:$Q229)&lt;7,"",ROUND(($K229*'設定項目'!$C$6+$L229*'設定項目'!$C$7+$M229*'設定項目'!$C$8+$N229*'設定項目'!$C$9+$O229*'設定項目'!$C$10+$P229*'設定項目'!$C$11+$Q229*'設定項目'!$C$12)*20,1))</f>
        <v/>
      </c>
      <c r="S229" s="25">
        <f>IF($R229="","",IF($R229&gt;='設定項目'!$G$6,"優秀",IF($R229&gt;='設定項目'!$G$7,"良好",IF($R229&gt;='設定項目'!$G$8,"要注意","不合格"))))</f>
        <v/>
      </c>
      <c r="T229" s="25" t="n"/>
      <c r="U229" s="25" t="n"/>
      <c r="V229" s="28" t="n"/>
      <c r="W229" s="28" t="n"/>
      <c r="X229" s="25" t="n"/>
      <c r="Y229" s="25" t="n"/>
    </row>
    <row r="230" ht="24" customHeight="1">
      <c r="A230" s="25">
        <f>IF($B230="","","SQ-"&amp;TEXT(ROW()-4,"0000"))</f>
        <v/>
      </c>
      <c r="B230" s="143" t="n"/>
      <c r="C230" s="25" t="n"/>
      <c r="D230" s="25" t="n"/>
      <c r="E230" s="25" t="n"/>
      <c r="F230" s="25" t="n"/>
      <c r="G230" s="25" t="n"/>
      <c r="H230" s="25" t="n"/>
      <c r="I230" s="25" t="n"/>
      <c r="J230" s="25" t="n"/>
      <c r="K230" s="139" t="n"/>
      <c r="L230" s="139" t="n"/>
      <c r="M230" s="139" t="n"/>
      <c r="N230" s="139" t="n"/>
      <c r="O230" s="139" t="n"/>
      <c r="P230" s="139" t="n"/>
      <c r="Q230" s="139" t="n"/>
      <c r="R230" s="142">
        <f>IF(COUNT($K230:$Q230)&lt;7,"",ROUND(($K230*'設定項目'!$C$6+$L230*'設定項目'!$C$7+$M230*'設定項目'!$C$8+$N230*'設定項目'!$C$9+$O230*'設定項目'!$C$10+$P230*'設定項目'!$C$11+$Q230*'設定項目'!$C$12)*20,1))</f>
        <v/>
      </c>
      <c r="S230" s="25">
        <f>IF($R230="","",IF($R230&gt;='設定項目'!$G$6,"優秀",IF($R230&gt;='設定項目'!$G$7,"良好",IF($R230&gt;='設定項目'!$G$8,"要注意","不合格"))))</f>
        <v/>
      </c>
      <c r="T230" s="25" t="n"/>
      <c r="U230" s="25" t="n"/>
      <c r="V230" s="28" t="n"/>
      <c r="W230" s="28" t="n"/>
      <c r="X230" s="25" t="n"/>
      <c r="Y230" s="25" t="n"/>
    </row>
    <row r="231" ht="24" customHeight="1">
      <c r="A231" s="25">
        <f>IF($B231="","","SQ-"&amp;TEXT(ROW()-4,"0000"))</f>
        <v/>
      </c>
      <c r="B231" s="143" t="n"/>
      <c r="C231" s="25" t="n"/>
      <c r="D231" s="25" t="n"/>
      <c r="E231" s="25" t="n"/>
      <c r="F231" s="25" t="n"/>
      <c r="G231" s="25" t="n"/>
      <c r="H231" s="25" t="n"/>
      <c r="I231" s="25" t="n"/>
      <c r="J231" s="25" t="n"/>
      <c r="K231" s="139" t="n"/>
      <c r="L231" s="139" t="n"/>
      <c r="M231" s="139" t="n"/>
      <c r="N231" s="139" t="n"/>
      <c r="O231" s="139" t="n"/>
      <c r="P231" s="139" t="n"/>
      <c r="Q231" s="139" t="n"/>
      <c r="R231" s="142">
        <f>IF(COUNT($K231:$Q231)&lt;7,"",ROUND(($K231*'設定項目'!$C$6+$L231*'設定項目'!$C$7+$M231*'設定項目'!$C$8+$N231*'設定項目'!$C$9+$O231*'設定項目'!$C$10+$P231*'設定項目'!$C$11+$Q231*'設定項目'!$C$12)*20,1))</f>
        <v/>
      </c>
      <c r="S231" s="25">
        <f>IF($R231="","",IF($R231&gt;='設定項目'!$G$6,"優秀",IF($R231&gt;='設定項目'!$G$7,"良好",IF($R231&gt;='設定項目'!$G$8,"要注意","不合格"))))</f>
        <v/>
      </c>
      <c r="T231" s="25" t="n"/>
      <c r="U231" s="25" t="n"/>
      <c r="V231" s="28" t="n"/>
      <c r="W231" s="28" t="n"/>
      <c r="X231" s="25" t="n"/>
      <c r="Y231" s="25" t="n"/>
    </row>
    <row r="232" ht="24" customHeight="1">
      <c r="A232" s="25">
        <f>IF($B232="","","SQ-"&amp;TEXT(ROW()-4,"0000"))</f>
        <v/>
      </c>
      <c r="B232" s="143" t="n"/>
      <c r="C232" s="25" t="n"/>
      <c r="D232" s="25" t="n"/>
      <c r="E232" s="25" t="n"/>
      <c r="F232" s="25" t="n"/>
      <c r="G232" s="25" t="n"/>
      <c r="H232" s="25" t="n"/>
      <c r="I232" s="25" t="n"/>
      <c r="J232" s="25" t="n"/>
      <c r="K232" s="139" t="n"/>
      <c r="L232" s="139" t="n"/>
      <c r="M232" s="139" t="n"/>
      <c r="N232" s="139" t="n"/>
      <c r="O232" s="139" t="n"/>
      <c r="P232" s="139" t="n"/>
      <c r="Q232" s="139" t="n"/>
      <c r="R232" s="142">
        <f>IF(COUNT($K232:$Q232)&lt;7,"",ROUND(($K232*'設定項目'!$C$6+$L232*'設定項目'!$C$7+$M232*'設定項目'!$C$8+$N232*'設定項目'!$C$9+$O232*'設定項目'!$C$10+$P232*'設定項目'!$C$11+$Q232*'設定項目'!$C$12)*20,1))</f>
        <v/>
      </c>
      <c r="S232" s="25">
        <f>IF($R232="","",IF($R232&gt;='設定項目'!$G$6,"優秀",IF($R232&gt;='設定項目'!$G$7,"良好",IF($R232&gt;='設定項目'!$G$8,"要注意","不合格"))))</f>
        <v/>
      </c>
      <c r="T232" s="25" t="n"/>
      <c r="U232" s="25" t="n"/>
      <c r="V232" s="28" t="n"/>
      <c r="W232" s="28" t="n"/>
      <c r="X232" s="25" t="n"/>
      <c r="Y232" s="25" t="n"/>
    </row>
    <row r="233" ht="24" customHeight="1">
      <c r="A233" s="25">
        <f>IF($B233="","","SQ-"&amp;TEXT(ROW()-4,"0000"))</f>
        <v/>
      </c>
      <c r="B233" s="143" t="n"/>
      <c r="C233" s="25" t="n"/>
      <c r="D233" s="25" t="n"/>
      <c r="E233" s="25" t="n"/>
      <c r="F233" s="25" t="n"/>
      <c r="G233" s="25" t="n"/>
      <c r="H233" s="25" t="n"/>
      <c r="I233" s="25" t="n"/>
      <c r="J233" s="25" t="n"/>
      <c r="K233" s="139" t="n"/>
      <c r="L233" s="139" t="n"/>
      <c r="M233" s="139" t="n"/>
      <c r="N233" s="139" t="n"/>
      <c r="O233" s="139" t="n"/>
      <c r="P233" s="139" t="n"/>
      <c r="Q233" s="139" t="n"/>
      <c r="R233" s="142">
        <f>IF(COUNT($K233:$Q233)&lt;7,"",ROUND(($K233*'設定項目'!$C$6+$L233*'設定項目'!$C$7+$M233*'設定項目'!$C$8+$N233*'設定項目'!$C$9+$O233*'設定項目'!$C$10+$P233*'設定項目'!$C$11+$Q233*'設定項目'!$C$12)*20,1))</f>
        <v/>
      </c>
      <c r="S233" s="25">
        <f>IF($R233="","",IF($R233&gt;='設定項目'!$G$6,"優秀",IF($R233&gt;='設定項目'!$G$7,"良好",IF($R233&gt;='設定項目'!$G$8,"要注意","不合格"))))</f>
        <v/>
      </c>
      <c r="T233" s="25" t="n"/>
      <c r="U233" s="25" t="n"/>
      <c r="V233" s="28" t="n"/>
      <c r="W233" s="28" t="n"/>
      <c r="X233" s="25" t="n"/>
      <c r="Y233" s="25" t="n"/>
    </row>
    <row r="234" ht="24" customHeight="1">
      <c r="A234" s="25">
        <f>IF($B234="","","SQ-"&amp;TEXT(ROW()-4,"0000"))</f>
        <v/>
      </c>
      <c r="B234" s="143" t="n"/>
      <c r="C234" s="25" t="n"/>
      <c r="D234" s="25" t="n"/>
      <c r="E234" s="25" t="n"/>
      <c r="F234" s="25" t="n"/>
      <c r="G234" s="25" t="n"/>
      <c r="H234" s="25" t="n"/>
      <c r="I234" s="25" t="n"/>
      <c r="J234" s="25" t="n"/>
      <c r="K234" s="139" t="n"/>
      <c r="L234" s="139" t="n"/>
      <c r="M234" s="139" t="n"/>
      <c r="N234" s="139" t="n"/>
      <c r="O234" s="139" t="n"/>
      <c r="P234" s="139" t="n"/>
      <c r="Q234" s="139" t="n"/>
      <c r="R234" s="142">
        <f>IF(COUNT($K234:$Q234)&lt;7,"",ROUND(($K234*'設定項目'!$C$6+$L234*'設定項目'!$C$7+$M234*'設定項目'!$C$8+$N234*'設定項目'!$C$9+$O234*'設定項目'!$C$10+$P234*'設定項目'!$C$11+$Q234*'設定項目'!$C$12)*20,1))</f>
        <v/>
      </c>
      <c r="S234" s="25">
        <f>IF($R234="","",IF($R234&gt;='設定項目'!$G$6,"優秀",IF($R234&gt;='設定項目'!$G$7,"良好",IF($R234&gt;='設定項目'!$G$8,"要注意","不合格"))))</f>
        <v/>
      </c>
      <c r="T234" s="25" t="n"/>
      <c r="U234" s="25" t="n"/>
      <c r="V234" s="28" t="n"/>
      <c r="W234" s="28" t="n"/>
      <c r="X234" s="25" t="n"/>
      <c r="Y234" s="25" t="n"/>
    </row>
    <row r="235" ht="24" customHeight="1">
      <c r="A235" s="25">
        <f>IF($B235="","","SQ-"&amp;TEXT(ROW()-4,"0000"))</f>
        <v/>
      </c>
      <c r="B235" s="143" t="n"/>
      <c r="C235" s="25" t="n"/>
      <c r="D235" s="25" t="n"/>
      <c r="E235" s="25" t="n"/>
      <c r="F235" s="25" t="n"/>
      <c r="G235" s="25" t="n"/>
      <c r="H235" s="25" t="n"/>
      <c r="I235" s="25" t="n"/>
      <c r="J235" s="25" t="n"/>
      <c r="K235" s="139" t="n"/>
      <c r="L235" s="139" t="n"/>
      <c r="M235" s="139" t="n"/>
      <c r="N235" s="139" t="n"/>
      <c r="O235" s="139" t="n"/>
      <c r="P235" s="139" t="n"/>
      <c r="Q235" s="139" t="n"/>
      <c r="R235" s="142">
        <f>IF(COUNT($K235:$Q235)&lt;7,"",ROUND(($K235*'設定項目'!$C$6+$L235*'設定項目'!$C$7+$M235*'設定項目'!$C$8+$N235*'設定項目'!$C$9+$O235*'設定項目'!$C$10+$P235*'設定項目'!$C$11+$Q235*'設定項目'!$C$12)*20,1))</f>
        <v/>
      </c>
      <c r="S235" s="25">
        <f>IF($R235="","",IF($R235&gt;='設定項目'!$G$6,"優秀",IF($R235&gt;='設定項目'!$G$7,"良好",IF($R235&gt;='設定項目'!$G$8,"要注意","不合格"))))</f>
        <v/>
      </c>
      <c r="T235" s="25" t="n"/>
      <c r="U235" s="25" t="n"/>
      <c r="V235" s="28" t="n"/>
      <c r="W235" s="28" t="n"/>
      <c r="X235" s="25" t="n"/>
      <c r="Y235" s="25" t="n"/>
    </row>
    <row r="236" ht="24" customHeight="1">
      <c r="A236" s="25">
        <f>IF($B236="","","SQ-"&amp;TEXT(ROW()-4,"0000"))</f>
        <v/>
      </c>
      <c r="B236" s="143" t="n"/>
      <c r="C236" s="25" t="n"/>
      <c r="D236" s="25" t="n"/>
      <c r="E236" s="25" t="n"/>
      <c r="F236" s="25" t="n"/>
      <c r="G236" s="25" t="n"/>
      <c r="H236" s="25" t="n"/>
      <c r="I236" s="25" t="n"/>
      <c r="J236" s="25" t="n"/>
      <c r="K236" s="139" t="n"/>
      <c r="L236" s="139" t="n"/>
      <c r="M236" s="139" t="n"/>
      <c r="N236" s="139" t="n"/>
      <c r="O236" s="139" t="n"/>
      <c r="P236" s="139" t="n"/>
      <c r="Q236" s="139" t="n"/>
      <c r="R236" s="142">
        <f>IF(COUNT($K236:$Q236)&lt;7,"",ROUND(($K236*'設定項目'!$C$6+$L236*'設定項目'!$C$7+$M236*'設定項目'!$C$8+$N236*'設定項目'!$C$9+$O236*'設定項目'!$C$10+$P236*'設定項目'!$C$11+$Q236*'設定項目'!$C$12)*20,1))</f>
        <v/>
      </c>
      <c r="S236" s="25">
        <f>IF($R236="","",IF($R236&gt;='設定項目'!$G$6,"優秀",IF($R236&gt;='設定項目'!$G$7,"良好",IF($R236&gt;='設定項目'!$G$8,"要注意","不合格"))))</f>
        <v/>
      </c>
      <c r="T236" s="25" t="n"/>
      <c r="U236" s="25" t="n"/>
      <c r="V236" s="28" t="n"/>
      <c r="W236" s="28" t="n"/>
      <c r="X236" s="25" t="n"/>
      <c r="Y236" s="25" t="n"/>
    </row>
    <row r="237" ht="24" customHeight="1">
      <c r="A237" s="25">
        <f>IF($B237="","","SQ-"&amp;TEXT(ROW()-4,"0000"))</f>
        <v/>
      </c>
      <c r="B237" s="143" t="n"/>
      <c r="C237" s="25" t="n"/>
      <c r="D237" s="25" t="n"/>
      <c r="E237" s="25" t="n"/>
      <c r="F237" s="25" t="n"/>
      <c r="G237" s="25" t="n"/>
      <c r="H237" s="25" t="n"/>
      <c r="I237" s="25" t="n"/>
      <c r="J237" s="25" t="n"/>
      <c r="K237" s="139" t="n"/>
      <c r="L237" s="139" t="n"/>
      <c r="M237" s="139" t="n"/>
      <c r="N237" s="139" t="n"/>
      <c r="O237" s="139" t="n"/>
      <c r="P237" s="139" t="n"/>
      <c r="Q237" s="139" t="n"/>
      <c r="R237" s="142">
        <f>IF(COUNT($K237:$Q237)&lt;7,"",ROUND(($K237*'設定項目'!$C$6+$L237*'設定項目'!$C$7+$M237*'設定項目'!$C$8+$N237*'設定項目'!$C$9+$O237*'設定項目'!$C$10+$P237*'設定項目'!$C$11+$Q237*'設定項目'!$C$12)*20,1))</f>
        <v/>
      </c>
      <c r="S237" s="25">
        <f>IF($R237="","",IF($R237&gt;='設定項目'!$G$6,"優秀",IF($R237&gt;='設定項目'!$G$7,"良好",IF($R237&gt;='設定項目'!$G$8,"要注意","不合格"))))</f>
        <v/>
      </c>
      <c r="T237" s="25" t="n"/>
      <c r="U237" s="25" t="n"/>
      <c r="V237" s="28" t="n"/>
      <c r="W237" s="28" t="n"/>
      <c r="X237" s="25" t="n"/>
      <c r="Y237" s="25" t="n"/>
    </row>
    <row r="238" ht="24" customHeight="1">
      <c r="A238" s="25">
        <f>IF($B238="","","SQ-"&amp;TEXT(ROW()-4,"0000"))</f>
        <v/>
      </c>
      <c r="B238" s="143" t="n"/>
      <c r="C238" s="25" t="n"/>
      <c r="D238" s="25" t="n"/>
      <c r="E238" s="25" t="n"/>
      <c r="F238" s="25" t="n"/>
      <c r="G238" s="25" t="n"/>
      <c r="H238" s="25" t="n"/>
      <c r="I238" s="25" t="n"/>
      <c r="J238" s="25" t="n"/>
      <c r="K238" s="139" t="n"/>
      <c r="L238" s="139" t="n"/>
      <c r="M238" s="139" t="n"/>
      <c r="N238" s="139" t="n"/>
      <c r="O238" s="139" t="n"/>
      <c r="P238" s="139" t="n"/>
      <c r="Q238" s="139" t="n"/>
      <c r="R238" s="142">
        <f>IF(COUNT($K238:$Q238)&lt;7,"",ROUND(($K238*'設定項目'!$C$6+$L238*'設定項目'!$C$7+$M238*'設定項目'!$C$8+$N238*'設定項目'!$C$9+$O238*'設定項目'!$C$10+$P238*'設定項目'!$C$11+$Q238*'設定項目'!$C$12)*20,1))</f>
        <v/>
      </c>
      <c r="S238" s="25">
        <f>IF($R238="","",IF($R238&gt;='設定項目'!$G$6,"優秀",IF($R238&gt;='設定項目'!$G$7,"良好",IF($R238&gt;='設定項目'!$G$8,"要注意","不合格"))))</f>
        <v/>
      </c>
      <c r="T238" s="25" t="n"/>
      <c r="U238" s="25" t="n"/>
      <c r="V238" s="28" t="n"/>
      <c r="W238" s="28" t="n"/>
      <c r="X238" s="25" t="n"/>
      <c r="Y238" s="25" t="n"/>
    </row>
    <row r="239" ht="24" customHeight="1">
      <c r="A239" s="25">
        <f>IF($B239="","","SQ-"&amp;TEXT(ROW()-4,"0000"))</f>
        <v/>
      </c>
      <c r="B239" s="143" t="n"/>
      <c r="C239" s="25" t="n"/>
      <c r="D239" s="25" t="n"/>
      <c r="E239" s="25" t="n"/>
      <c r="F239" s="25" t="n"/>
      <c r="G239" s="25" t="n"/>
      <c r="H239" s="25" t="n"/>
      <c r="I239" s="25" t="n"/>
      <c r="J239" s="25" t="n"/>
      <c r="K239" s="139" t="n"/>
      <c r="L239" s="139" t="n"/>
      <c r="M239" s="139" t="n"/>
      <c r="N239" s="139" t="n"/>
      <c r="O239" s="139" t="n"/>
      <c r="P239" s="139" t="n"/>
      <c r="Q239" s="139" t="n"/>
      <c r="R239" s="142">
        <f>IF(COUNT($K239:$Q239)&lt;7,"",ROUND(($K239*'設定項目'!$C$6+$L239*'設定項目'!$C$7+$M239*'設定項目'!$C$8+$N239*'設定項目'!$C$9+$O239*'設定項目'!$C$10+$P239*'設定項目'!$C$11+$Q239*'設定項目'!$C$12)*20,1))</f>
        <v/>
      </c>
      <c r="S239" s="25">
        <f>IF($R239="","",IF($R239&gt;='設定項目'!$G$6,"優秀",IF($R239&gt;='設定項目'!$G$7,"良好",IF($R239&gt;='設定項目'!$G$8,"要注意","不合格"))))</f>
        <v/>
      </c>
      <c r="T239" s="25" t="n"/>
      <c r="U239" s="25" t="n"/>
      <c r="V239" s="28" t="n"/>
      <c r="W239" s="28" t="n"/>
      <c r="X239" s="25" t="n"/>
      <c r="Y239" s="25" t="n"/>
    </row>
    <row r="240" ht="24" customHeight="1">
      <c r="A240" s="25">
        <f>IF($B240="","","SQ-"&amp;TEXT(ROW()-4,"0000"))</f>
        <v/>
      </c>
      <c r="B240" s="143" t="n"/>
      <c r="C240" s="25" t="n"/>
      <c r="D240" s="25" t="n"/>
      <c r="E240" s="25" t="n"/>
      <c r="F240" s="25" t="n"/>
      <c r="G240" s="25" t="n"/>
      <c r="H240" s="25" t="n"/>
      <c r="I240" s="25" t="n"/>
      <c r="J240" s="25" t="n"/>
      <c r="K240" s="139" t="n"/>
      <c r="L240" s="139" t="n"/>
      <c r="M240" s="139" t="n"/>
      <c r="N240" s="139" t="n"/>
      <c r="O240" s="139" t="n"/>
      <c r="P240" s="139" t="n"/>
      <c r="Q240" s="139" t="n"/>
      <c r="R240" s="142">
        <f>IF(COUNT($K240:$Q240)&lt;7,"",ROUND(($K240*'設定項目'!$C$6+$L240*'設定項目'!$C$7+$M240*'設定項目'!$C$8+$N240*'設定項目'!$C$9+$O240*'設定項目'!$C$10+$P240*'設定項目'!$C$11+$Q240*'設定項目'!$C$12)*20,1))</f>
        <v/>
      </c>
      <c r="S240" s="25">
        <f>IF($R240="","",IF($R240&gt;='設定項目'!$G$6,"優秀",IF($R240&gt;='設定項目'!$G$7,"良好",IF($R240&gt;='設定項目'!$G$8,"要注意","不合格"))))</f>
        <v/>
      </c>
      <c r="T240" s="25" t="n"/>
      <c r="U240" s="25" t="n"/>
      <c r="V240" s="28" t="n"/>
      <c r="W240" s="28" t="n"/>
      <c r="X240" s="25" t="n"/>
      <c r="Y240" s="25" t="n"/>
    </row>
    <row r="241" ht="24" customHeight="1">
      <c r="A241" s="25">
        <f>IF($B241="","","SQ-"&amp;TEXT(ROW()-4,"0000"))</f>
        <v/>
      </c>
      <c r="B241" s="143" t="n"/>
      <c r="C241" s="25" t="n"/>
      <c r="D241" s="25" t="n"/>
      <c r="E241" s="25" t="n"/>
      <c r="F241" s="25" t="n"/>
      <c r="G241" s="25" t="n"/>
      <c r="H241" s="25" t="n"/>
      <c r="I241" s="25" t="n"/>
      <c r="J241" s="25" t="n"/>
      <c r="K241" s="139" t="n"/>
      <c r="L241" s="139" t="n"/>
      <c r="M241" s="139" t="n"/>
      <c r="N241" s="139" t="n"/>
      <c r="O241" s="139" t="n"/>
      <c r="P241" s="139" t="n"/>
      <c r="Q241" s="139" t="n"/>
      <c r="R241" s="142">
        <f>IF(COUNT($K241:$Q241)&lt;7,"",ROUND(($K241*'設定項目'!$C$6+$L241*'設定項目'!$C$7+$M241*'設定項目'!$C$8+$N241*'設定項目'!$C$9+$O241*'設定項目'!$C$10+$P241*'設定項目'!$C$11+$Q241*'設定項目'!$C$12)*20,1))</f>
        <v/>
      </c>
      <c r="S241" s="25">
        <f>IF($R241="","",IF($R241&gt;='設定項目'!$G$6,"優秀",IF($R241&gt;='設定項目'!$G$7,"良好",IF($R241&gt;='設定項目'!$G$8,"要注意","不合格"))))</f>
        <v/>
      </c>
      <c r="T241" s="25" t="n"/>
      <c r="U241" s="25" t="n"/>
      <c r="V241" s="28" t="n"/>
      <c r="W241" s="28" t="n"/>
      <c r="X241" s="25" t="n"/>
      <c r="Y241" s="25" t="n"/>
    </row>
    <row r="242" ht="24" customHeight="1">
      <c r="A242" s="25">
        <f>IF($B242="","","SQ-"&amp;TEXT(ROW()-4,"0000"))</f>
        <v/>
      </c>
      <c r="B242" s="143" t="n"/>
      <c r="C242" s="25" t="n"/>
      <c r="D242" s="25" t="n"/>
      <c r="E242" s="25" t="n"/>
      <c r="F242" s="25" t="n"/>
      <c r="G242" s="25" t="n"/>
      <c r="H242" s="25" t="n"/>
      <c r="I242" s="25" t="n"/>
      <c r="J242" s="25" t="n"/>
      <c r="K242" s="139" t="n"/>
      <c r="L242" s="139" t="n"/>
      <c r="M242" s="139" t="n"/>
      <c r="N242" s="139" t="n"/>
      <c r="O242" s="139" t="n"/>
      <c r="P242" s="139" t="n"/>
      <c r="Q242" s="139" t="n"/>
      <c r="R242" s="142">
        <f>IF(COUNT($K242:$Q242)&lt;7,"",ROUND(($K242*'設定項目'!$C$6+$L242*'設定項目'!$C$7+$M242*'設定項目'!$C$8+$N242*'設定項目'!$C$9+$O242*'設定項目'!$C$10+$P242*'設定項目'!$C$11+$Q242*'設定項目'!$C$12)*20,1))</f>
        <v/>
      </c>
      <c r="S242" s="25">
        <f>IF($R242="","",IF($R242&gt;='設定項目'!$G$6,"優秀",IF($R242&gt;='設定項目'!$G$7,"良好",IF($R242&gt;='設定項目'!$G$8,"要注意","不合格"))))</f>
        <v/>
      </c>
      <c r="T242" s="25" t="n"/>
      <c r="U242" s="25" t="n"/>
      <c r="V242" s="28" t="n"/>
      <c r="W242" s="28" t="n"/>
      <c r="X242" s="25" t="n"/>
      <c r="Y242" s="25" t="n"/>
    </row>
    <row r="243" ht="24" customHeight="1">
      <c r="A243" s="25">
        <f>IF($B243="","","SQ-"&amp;TEXT(ROW()-4,"0000"))</f>
        <v/>
      </c>
      <c r="B243" s="143" t="n"/>
      <c r="C243" s="25" t="n"/>
      <c r="D243" s="25" t="n"/>
      <c r="E243" s="25" t="n"/>
      <c r="F243" s="25" t="n"/>
      <c r="G243" s="25" t="n"/>
      <c r="H243" s="25" t="n"/>
      <c r="I243" s="25" t="n"/>
      <c r="J243" s="25" t="n"/>
      <c r="K243" s="139" t="n"/>
      <c r="L243" s="139" t="n"/>
      <c r="M243" s="139" t="n"/>
      <c r="N243" s="139" t="n"/>
      <c r="O243" s="139" t="n"/>
      <c r="P243" s="139" t="n"/>
      <c r="Q243" s="139" t="n"/>
      <c r="R243" s="142">
        <f>IF(COUNT($K243:$Q243)&lt;7,"",ROUND(($K243*'設定項目'!$C$6+$L243*'設定項目'!$C$7+$M243*'設定項目'!$C$8+$N243*'設定項目'!$C$9+$O243*'設定項目'!$C$10+$P243*'設定項目'!$C$11+$Q243*'設定項目'!$C$12)*20,1))</f>
        <v/>
      </c>
      <c r="S243" s="25">
        <f>IF($R243="","",IF($R243&gt;='設定項目'!$G$6,"優秀",IF($R243&gt;='設定項目'!$G$7,"良好",IF($R243&gt;='設定項目'!$G$8,"要注意","不合格"))))</f>
        <v/>
      </c>
      <c r="T243" s="25" t="n"/>
      <c r="U243" s="25" t="n"/>
      <c r="V243" s="28" t="n"/>
      <c r="W243" s="28" t="n"/>
      <c r="X243" s="25" t="n"/>
      <c r="Y243" s="25" t="n"/>
    </row>
    <row r="244" ht="24" customHeight="1">
      <c r="A244" s="25">
        <f>IF($B244="","","SQ-"&amp;TEXT(ROW()-4,"0000"))</f>
        <v/>
      </c>
      <c r="B244" s="143" t="n"/>
      <c r="C244" s="25" t="n"/>
      <c r="D244" s="25" t="n"/>
      <c r="E244" s="25" t="n"/>
      <c r="F244" s="25" t="n"/>
      <c r="G244" s="25" t="n"/>
      <c r="H244" s="25" t="n"/>
      <c r="I244" s="25" t="n"/>
      <c r="J244" s="25" t="n"/>
      <c r="K244" s="139" t="n"/>
      <c r="L244" s="139" t="n"/>
      <c r="M244" s="139" t="n"/>
      <c r="N244" s="139" t="n"/>
      <c r="O244" s="139" t="n"/>
      <c r="P244" s="139" t="n"/>
      <c r="Q244" s="139" t="n"/>
      <c r="R244" s="142">
        <f>IF(COUNT($K244:$Q244)&lt;7,"",ROUND(($K244*'設定項目'!$C$6+$L244*'設定項目'!$C$7+$M244*'設定項目'!$C$8+$N244*'設定項目'!$C$9+$O244*'設定項目'!$C$10+$P244*'設定項目'!$C$11+$Q244*'設定項目'!$C$12)*20,1))</f>
        <v/>
      </c>
      <c r="S244" s="25">
        <f>IF($R244="","",IF($R244&gt;='設定項目'!$G$6,"優秀",IF($R244&gt;='設定項目'!$G$7,"良好",IF($R244&gt;='設定項目'!$G$8,"要注意","不合格"))))</f>
        <v/>
      </c>
      <c r="T244" s="25" t="n"/>
      <c r="U244" s="25" t="n"/>
      <c r="V244" s="28" t="n"/>
      <c r="W244" s="28" t="n"/>
      <c r="X244" s="25" t="n"/>
      <c r="Y244" s="25" t="n"/>
    </row>
    <row r="245" ht="24" customHeight="1">
      <c r="A245" s="25">
        <f>IF($B245="","","SQ-"&amp;TEXT(ROW()-4,"0000"))</f>
        <v/>
      </c>
      <c r="B245" s="143" t="n"/>
      <c r="C245" s="25" t="n"/>
      <c r="D245" s="25" t="n"/>
      <c r="E245" s="25" t="n"/>
      <c r="F245" s="25" t="n"/>
      <c r="G245" s="25" t="n"/>
      <c r="H245" s="25" t="n"/>
      <c r="I245" s="25" t="n"/>
      <c r="J245" s="25" t="n"/>
      <c r="K245" s="139" t="n"/>
      <c r="L245" s="139" t="n"/>
      <c r="M245" s="139" t="n"/>
      <c r="N245" s="139" t="n"/>
      <c r="O245" s="139" t="n"/>
      <c r="P245" s="139" t="n"/>
      <c r="Q245" s="139" t="n"/>
      <c r="R245" s="142">
        <f>IF(COUNT($K245:$Q245)&lt;7,"",ROUND(($K245*'設定項目'!$C$6+$L245*'設定項目'!$C$7+$M245*'設定項目'!$C$8+$N245*'設定項目'!$C$9+$O245*'設定項目'!$C$10+$P245*'設定項目'!$C$11+$Q245*'設定項目'!$C$12)*20,1))</f>
        <v/>
      </c>
      <c r="S245" s="25">
        <f>IF($R245="","",IF($R245&gt;='設定項目'!$G$6,"優秀",IF($R245&gt;='設定項目'!$G$7,"良好",IF($R245&gt;='設定項目'!$G$8,"要注意","不合格"))))</f>
        <v/>
      </c>
      <c r="T245" s="25" t="n"/>
      <c r="U245" s="25" t="n"/>
      <c r="V245" s="28" t="n"/>
      <c r="W245" s="28" t="n"/>
      <c r="X245" s="25" t="n"/>
      <c r="Y245" s="25" t="n"/>
    </row>
    <row r="246" ht="24" customHeight="1">
      <c r="A246" s="25">
        <f>IF($B246="","","SQ-"&amp;TEXT(ROW()-4,"0000"))</f>
        <v/>
      </c>
      <c r="B246" s="143" t="n"/>
      <c r="C246" s="25" t="n"/>
      <c r="D246" s="25" t="n"/>
      <c r="E246" s="25" t="n"/>
      <c r="F246" s="25" t="n"/>
      <c r="G246" s="25" t="n"/>
      <c r="H246" s="25" t="n"/>
      <c r="I246" s="25" t="n"/>
      <c r="J246" s="25" t="n"/>
      <c r="K246" s="139" t="n"/>
      <c r="L246" s="139" t="n"/>
      <c r="M246" s="139" t="n"/>
      <c r="N246" s="139" t="n"/>
      <c r="O246" s="139" t="n"/>
      <c r="P246" s="139" t="n"/>
      <c r="Q246" s="139" t="n"/>
      <c r="R246" s="142">
        <f>IF(COUNT($K246:$Q246)&lt;7,"",ROUND(($K246*'設定項目'!$C$6+$L246*'設定項目'!$C$7+$M246*'設定項目'!$C$8+$N246*'設定項目'!$C$9+$O246*'設定項目'!$C$10+$P246*'設定項目'!$C$11+$Q246*'設定項目'!$C$12)*20,1))</f>
        <v/>
      </c>
      <c r="S246" s="25">
        <f>IF($R246="","",IF($R246&gt;='設定項目'!$G$6,"優秀",IF($R246&gt;='設定項目'!$G$7,"良好",IF($R246&gt;='設定項目'!$G$8,"要注意","不合格"))))</f>
        <v/>
      </c>
      <c r="T246" s="25" t="n"/>
      <c r="U246" s="25" t="n"/>
      <c r="V246" s="28" t="n"/>
      <c r="W246" s="28" t="n"/>
      <c r="X246" s="25" t="n"/>
      <c r="Y246" s="25" t="n"/>
    </row>
    <row r="247" ht="24" customHeight="1">
      <c r="A247" s="25">
        <f>IF($B247="","","SQ-"&amp;TEXT(ROW()-4,"0000"))</f>
        <v/>
      </c>
      <c r="B247" s="143" t="n"/>
      <c r="C247" s="25" t="n"/>
      <c r="D247" s="25" t="n"/>
      <c r="E247" s="25" t="n"/>
      <c r="F247" s="25" t="n"/>
      <c r="G247" s="25" t="n"/>
      <c r="H247" s="25" t="n"/>
      <c r="I247" s="25" t="n"/>
      <c r="J247" s="25" t="n"/>
      <c r="K247" s="139" t="n"/>
      <c r="L247" s="139" t="n"/>
      <c r="M247" s="139" t="n"/>
      <c r="N247" s="139" t="n"/>
      <c r="O247" s="139" t="n"/>
      <c r="P247" s="139" t="n"/>
      <c r="Q247" s="139" t="n"/>
      <c r="R247" s="142">
        <f>IF(COUNT($K247:$Q247)&lt;7,"",ROUND(($K247*'設定項目'!$C$6+$L247*'設定項目'!$C$7+$M247*'設定項目'!$C$8+$N247*'設定項目'!$C$9+$O247*'設定項目'!$C$10+$P247*'設定項目'!$C$11+$Q247*'設定項目'!$C$12)*20,1))</f>
        <v/>
      </c>
      <c r="S247" s="25">
        <f>IF($R247="","",IF($R247&gt;='設定項目'!$G$6,"優秀",IF($R247&gt;='設定項目'!$G$7,"良好",IF($R247&gt;='設定項目'!$G$8,"要注意","不合格"))))</f>
        <v/>
      </c>
      <c r="T247" s="25" t="n"/>
      <c r="U247" s="25" t="n"/>
      <c r="V247" s="28" t="n"/>
      <c r="W247" s="28" t="n"/>
      <c r="X247" s="25" t="n"/>
      <c r="Y247" s="25" t="n"/>
    </row>
    <row r="248" ht="24" customHeight="1">
      <c r="A248" s="25">
        <f>IF($B248="","","SQ-"&amp;TEXT(ROW()-4,"0000"))</f>
        <v/>
      </c>
      <c r="B248" s="143" t="n"/>
      <c r="C248" s="25" t="n"/>
      <c r="D248" s="25" t="n"/>
      <c r="E248" s="25" t="n"/>
      <c r="F248" s="25" t="n"/>
      <c r="G248" s="25" t="n"/>
      <c r="H248" s="25" t="n"/>
      <c r="I248" s="25" t="n"/>
      <c r="J248" s="25" t="n"/>
      <c r="K248" s="139" t="n"/>
      <c r="L248" s="139" t="n"/>
      <c r="M248" s="139" t="n"/>
      <c r="N248" s="139" t="n"/>
      <c r="O248" s="139" t="n"/>
      <c r="P248" s="139" t="n"/>
      <c r="Q248" s="139" t="n"/>
      <c r="R248" s="142">
        <f>IF(COUNT($K248:$Q248)&lt;7,"",ROUND(($K248*'設定項目'!$C$6+$L248*'設定項目'!$C$7+$M248*'設定項目'!$C$8+$N248*'設定項目'!$C$9+$O248*'設定項目'!$C$10+$P248*'設定項目'!$C$11+$Q248*'設定項目'!$C$12)*20,1))</f>
        <v/>
      </c>
      <c r="S248" s="25">
        <f>IF($R248="","",IF($R248&gt;='設定項目'!$G$6,"優秀",IF($R248&gt;='設定項目'!$G$7,"良好",IF($R248&gt;='設定項目'!$G$8,"要注意","不合格"))))</f>
        <v/>
      </c>
      <c r="T248" s="25" t="n"/>
      <c r="U248" s="25" t="n"/>
      <c r="V248" s="28" t="n"/>
      <c r="W248" s="28" t="n"/>
      <c r="X248" s="25" t="n"/>
      <c r="Y248" s="25" t="n"/>
    </row>
    <row r="249" ht="24" customHeight="1">
      <c r="A249" s="25">
        <f>IF($B249="","","SQ-"&amp;TEXT(ROW()-4,"0000"))</f>
        <v/>
      </c>
      <c r="B249" s="143" t="n"/>
      <c r="C249" s="25" t="n"/>
      <c r="D249" s="25" t="n"/>
      <c r="E249" s="25" t="n"/>
      <c r="F249" s="25" t="n"/>
      <c r="G249" s="25" t="n"/>
      <c r="H249" s="25" t="n"/>
      <c r="I249" s="25" t="n"/>
      <c r="J249" s="25" t="n"/>
      <c r="K249" s="139" t="n"/>
      <c r="L249" s="139" t="n"/>
      <c r="M249" s="139" t="n"/>
      <c r="N249" s="139" t="n"/>
      <c r="O249" s="139" t="n"/>
      <c r="P249" s="139" t="n"/>
      <c r="Q249" s="139" t="n"/>
      <c r="R249" s="142">
        <f>IF(COUNT($K249:$Q249)&lt;7,"",ROUND(($K249*'設定項目'!$C$6+$L249*'設定項目'!$C$7+$M249*'設定項目'!$C$8+$N249*'設定項目'!$C$9+$O249*'設定項目'!$C$10+$P249*'設定項目'!$C$11+$Q249*'設定項目'!$C$12)*20,1))</f>
        <v/>
      </c>
      <c r="S249" s="25">
        <f>IF($R249="","",IF($R249&gt;='設定項目'!$G$6,"優秀",IF($R249&gt;='設定項目'!$G$7,"良好",IF($R249&gt;='設定項目'!$G$8,"要注意","不合格"))))</f>
        <v/>
      </c>
      <c r="T249" s="25" t="n"/>
      <c r="U249" s="25" t="n"/>
      <c r="V249" s="28" t="n"/>
      <c r="W249" s="28" t="n"/>
      <c r="X249" s="25" t="n"/>
      <c r="Y249" s="25" t="n"/>
    </row>
    <row r="250" ht="24" customHeight="1">
      <c r="A250" s="25">
        <f>IF($B250="","","SQ-"&amp;TEXT(ROW()-4,"0000"))</f>
        <v/>
      </c>
      <c r="B250" s="143" t="n"/>
      <c r="C250" s="25" t="n"/>
      <c r="D250" s="25" t="n"/>
      <c r="E250" s="25" t="n"/>
      <c r="F250" s="25" t="n"/>
      <c r="G250" s="25" t="n"/>
      <c r="H250" s="25" t="n"/>
      <c r="I250" s="25" t="n"/>
      <c r="J250" s="25" t="n"/>
      <c r="K250" s="139" t="n"/>
      <c r="L250" s="139" t="n"/>
      <c r="M250" s="139" t="n"/>
      <c r="N250" s="139" t="n"/>
      <c r="O250" s="139" t="n"/>
      <c r="P250" s="139" t="n"/>
      <c r="Q250" s="139" t="n"/>
      <c r="R250" s="142">
        <f>IF(COUNT($K250:$Q250)&lt;7,"",ROUND(($K250*'設定項目'!$C$6+$L250*'設定項目'!$C$7+$M250*'設定項目'!$C$8+$N250*'設定項目'!$C$9+$O250*'設定項目'!$C$10+$P250*'設定項目'!$C$11+$Q250*'設定項目'!$C$12)*20,1))</f>
        <v/>
      </c>
      <c r="S250" s="25">
        <f>IF($R250="","",IF($R250&gt;='設定項目'!$G$6,"優秀",IF($R250&gt;='設定項目'!$G$7,"良好",IF($R250&gt;='設定項目'!$G$8,"要注意","不合格"))))</f>
        <v/>
      </c>
      <c r="T250" s="25" t="n"/>
      <c r="U250" s="25" t="n"/>
      <c r="V250" s="28" t="n"/>
      <c r="W250" s="28" t="n"/>
      <c r="X250" s="25" t="n"/>
      <c r="Y250" s="25" t="n"/>
    </row>
    <row r="251" ht="24" customHeight="1">
      <c r="A251" s="25">
        <f>IF($B251="","","SQ-"&amp;TEXT(ROW()-4,"0000"))</f>
        <v/>
      </c>
      <c r="B251" s="143" t="n"/>
      <c r="C251" s="25" t="n"/>
      <c r="D251" s="25" t="n"/>
      <c r="E251" s="25" t="n"/>
      <c r="F251" s="25" t="n"/>
      <c r="G251" s="25" t="n"/>
      <c r="H251" s="25" t="n"/>
      <c r="I251" s="25" t="n"/>
      <c r="J251" s="25" t="n"/>
      <c r="K251" s="139" t="n"/>
      <c r="L251" s="139" t="n"/>
      <c r="M251" s="139" t="n"/>
      <c r="N251" s="139" t="n"/>
      <c r="O251" s="139" t="n"/>
      <c r="P251" s="139" t="n"/>
      <c r="Q251" s="139" t="n"/>
      <c r="R251" s="142">
        <f>IF(COUNT($K251:$Q251)&lt;7,"",ROUND(($K251*'設定項目'!$C$6+$L251*'設定項目'!$C$7+$M251*'設定項目'!$C$8+$N251*'設定項目'!$C$9+$O251*'設定項目'!$C$10+$P251*'設定項目'!$C$11+$Q251*'設定項目'!$C$12)*20,1))</f>
        <v/>
      </c>
      <c r="S251" s="25">
        <f>IF($R251="","",IF($R251&gt;='設定項目'!$G$6,"優秀",IF($R251&gt;='設定項目'!$G$7,"良好",IF($R251&gt;='設定項目'!$G$8,"要注意","不合格"))))</f>
        <v/>
      </c>
      <c r="T251" s="25" t="n"/>
      <c r="U251" s="25" t="n"/>
      <c r="V251" s="28" t="n"/>
      <c r="W251" s="28" t="n"/>
      <c r="X251" s="25" t="n"/>
      <c r="Y251" s="25" t="n"/>
    </row>
    <row r="252" ht="24" customHeight="1">
      <c r="A252" s="25">
        <f>IF($B252="","","SQ-"&amp;TEXT(ROW()-4,"0000"))</f>
        <v/>
      </c>
      <c r="B252" s="143" t="n"/>
      <c r="C252" s="25" t="n"/>
      <c r="D252" s="25" t="n"/>
      <c r="E252" s="25" t="n"/>
      <c r="F252" s="25" t="n"/>
      <c r="G252" s="25" t="n"/>
      <c r="H252" s="25" t="n"/>
      <c r="I252" s="25" t="n"/>
      <c r="J252" s="25" t="n"/>
      <c r="K252" s="139" t="n"/>
      <c r="L252" s="139" t="n"/>
      <c r="M252" s="139" t="n"/>
      <c r="N252" s="139" t="n"/>
      <c r="O252" s="139" t="n"/>
      <c r="P252" s="139" t="n"/>
      <c r="Q252" s="139" t="n"/>
      <c r="R252" s="142">
        <f>IF(COUNT($K252:$Q252)&lt;7,"",ROUND(($K252*'設定項目'!$C$6+$L252*'設定項目'!$C$7+$M252*'設定項目'!$C$8+$N252*'設定項目'!$C$9+$O252*'設定項目'!$C$10+$P252*'設定項目'!$C$11+$Q252*'設定項目'!$C$12)*20,1))</f>
        <v/>
      </c>
      <c r="S252" s="25">
        <f>IF($R252="","",IF($R252&gt;='設定項目'!$G$6,"優秀",IF($R252&gt;='設定項目'!$G$7,"良好",IF($R252&gt;='設定項目'!$G$8,"要注意","不合格"))))</f>
        <v/>
      </c>
      <c r="T252" s="25" t="n"/>
      <c r="U252" s="25" t="n"/>
      <c r="V252" s="28" t="n"/>
      <c r="W252" s="28" t="n"/>
      <c r="X252" s="25" t="n"/>
      <c r="Y252" s="25" t="n"/>
    </row>
    <row r="253" ht="24" customHeight="1">
      <c r="A253" s="25">
        <f>IF($B253="","","SQ-"&amp;TEXT(ROW()-4,"0000"))</f>
        <v/>
      </c>
      <c r="B253" s="143" t="n"/>
      <c r="C253" s="25" t="n"/>
      <c r="D253" s="25" t="n"/>
      <c r="E253" s="25" t="n"/>
      <c r="F253" s="25" t="n"/>
      <c r="G253" s="25" t="n"/>
      <c r="H253" s="25" t="n"/>
      <c r="I253" s="25" t="n"/>
      <c r="J253" s="25" t="n"/>
      <c r="K253" s="139" t="n"/>
      <c r="L253" s="139" t="n"/>
      <c r="M253" s="139" t="n"/>
      <c r="N253" s="139" t="n"/>
      <c r="O253" s="139" t="n"/>
      <c r="P253" s="139" t="n"/>
      <c r="Q253" s="139" t="n"/>
      <c r="R253" s="142">
        <f>IF(COUNT($K253:$Q253)&lt;7,"",ROUND(($K253*'設定項目'!$C$6+$L253*'設定項目'!$C$7+$M253*'設定項目'!$C$8+$N253*'設定項目'!$C$9+$O253*'設定項目'!$C$10+$P253*'設定項目'!$C$11+$Q253*'設定項目'!$C$12)*20,1))</f>
        <v/>
      </c>
      <c r="S253" s="25">
        <f>IF($R253="","",IF($R253&gt;='設定項目'!$G$6,"優秀",IF($R253&gt;='設定項目'!$G$7,"良好",IF($R253&gt;='設定項目'!$G$8,"要注意","不合格"))))</f>
        <v/>
      </c>
      <c r="T253" s="25" t="n"/>
      <c r="U253" s="25" t="n"/>
      <c r="V253" s="28" t="n"/>
      <c r="W253" s="28" t="n"/>
      <c r="X253" s="25" t="n"/>
      <c r="Y253" s="25" t="n"/>
    </row>
    <row r="254" ht="24" customHeight="1">
      <c r="A254" s="25">
        <f>IF($B254="","","SQ-"&amp;TEXT(ROW()-4,"0000"))</f>
        <v/>
      </c>
      <c r="B254" s="143" t="n"/>
      <c r="C254" s="25" t="n"/>
      <c r="D254" s="25" t="n"/>
      <c r="E254" s="25" t="n"/>
      <c r="F254" s="25" t="n"/>
      <c r="G254" s="25" t="n"/>
      <c r="H254" s="25" t="n"/>
      <c r="I254" s="25" t="n"/>
      <c r="J254" s="25" t="n"/>
      <c r="K254" s="139" t="n"/>
      <c r="L254" s="139" t="n"/>
      <c r="M254" s="139" t="n"/>
      <c r="N254" s="139" t="n"/>
      <c r="O254" s="139" t="n"/>
      <c r="P254" s="139" t="n"/>
      <c r="Q254" s="139" t="n"/>
      <c r="R254" s="142">
        <f>IF(COUNT($K254:$Q254)&lt;7,"",ROUND(($K254*'設定項目'!$C$6+$L254*'設定項目'!$C$7+$M254*'設定項目'!$C$8+$N254*'設定項目'!$C$9+$O254*'設定項目'!$C$10+$P254*'設定項目'!$C$11+$Q254*'設定項目'!$C$12)*20,1))</f>
        <v/>
      </c>
      <c r="S254" s="25">
        <f>IF($R254="","",IF($R254&gt;='設定項目'!$G$6,"優秀",IF($R254&gt;='設定項目'!$G$7,"良好",IF($R254&gt;='設定項目'!$G$8,"要注意","不合格"))))</f>
        <v/>
      </c>
      <c r="T254" s="25" t="n"/>
      <c r="U254" s="25" t="n"/>
      <c r="V254" s="28" t="n"/>
      <c r="W254" s="28" t="n"/>
      <c r="X254" s="25" t="n"/>
      <c r="Y254" s="25" t="n"/>
    </row>
  </sheetData>
  <mergeCells count="2">
    <mergeCell ref="A2:Y2"/>
    <mergeCell ref="A1:Y1"/>
  </mergeCells>
  <conditionalFormatting sqref="R5:R25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S5:S254">
    <cfRule type="containsText" priority="2" operator="containsText" dxfId="0" text="优秀"/>
    <cfRule type="containsText" priority="3" operator="containsText" dxfId="1" text="需关注"/>
    <cfRule type="containsText" priority="4" operator="containsText" dxfId="2" text="不合格"/>
  </conditionalFormatting>
  <conditionalFormatting sqref="T5:T254">
    <cfRule type="containsText" priority="5" operator="containsText" dxfId="1" text="是"/>
  </conditionalFormatting>
  <dataValidations count="6">
    <dataValidation sqref="E5:E254" showDropDown="0" showInputMessage="0" showErrorMessage="0" allowBlank="1" type="list">
      <formula1>"カスタマーサポート,アフターサービス,現地対応,コールセンター,物流・納品,オンラインサービス,技術サポート,店舗・小売,B2Bプロジェクト納品,医療・コンサルティング・教育,施設管理,その他"</formula1>
    </dataValidation>
    <dataValidation sqref="F5:F254" showDropDown="0" showInputMessage="0" showErrorMessage="0" allowBlank="1" type="list">
      <formula1>"電話,チャット,メール,訪問対応,アプリ・セルフサービスポータル,SNS,チケットシステム,ビデオ会議,その他"</formula1>
    </dataValidation>
    <dataValidation sqref="G5:G254" showDropDown="0" showInputMessage="0" showErrorMessage="0" allowBlank="1" type="list">
      <formula1>"個人顧客,法人顧客,社内顧客,パートナー,サプライヤー,その他"</formula1>
    </dataValidation>
    <dataValidation sqref="J5:J254" showDropDown="0" showInputMessage="0" showErrorMessage="0" allowBlank="1" type="list">
      <formula1>"通常,重要,緊急,重大"</formula1>
    </dataValidation>
    <dataValidation sqref="T5:T254" showDropDown="0" showInputMessage="0" showErrorMessage="0" allowBlank="1" type="list">
      <formula1>"はい,いいえ"</formula1>
    </dataValidation>
    <dataValidation sqref="K5:Q254" showDropDown="0" showInputMessage="0" showErrorMessage="1" allowBlank="1" errorTitle="评分范围" error="请输入 1 到 5 的整数分。" type="whole" errorStyle="warning" operator="between">
      <formula1>1</formula1>
      <formula2>5</formula2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25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4" customWidth="1" min="3" max="3"/>
    <col width="22" customWidth="1" min="4" max="4"/>
    <col width="16" customWidth="1" min="5" max="5"/>
    <col width="16" customWidth="1" min="6" max="6"/>
    <col width="12" customWidth="1" min="7" max="7"/>
    <col width="14" customWidth="1" min="8" max="8"/>
    <col width="36" customWidth="1" min="9" max="9"/>
    <col width="36" customWidth="1" min="10" max="10"/>
    <col width="36" customWidth="1" min="11" max="11"/>
    <col width="14" customWidth="1" min="12" max="12"/>
    <col width="13" customWidth="1" min="13" max="13"/>
    <col width="12" customWidth="1" min="14" max="14"/>
    <col width="13" customWidth="1" min="15" max="15"/>
    <col width="14" customWidth="1" min="16" max="16"/>
    <col width="12" customWidth="1" min="17" max="17"/>
    <col width="14" customWidth="1" min="18" max="18"/>
    <col width="20" customWidth="1" min="19" max="19"/>
  </cols>
  <sheetData>
    <row r="1" ht="32" customHeight="1">
      <c r="A1" s="37" t="inlineStr">
        <is>
          <t>フィードバック改善：サービス課題の循環管理表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2" customHeight="1">
      <c r="A2" s="11" t="inlineStr">
        <is>
          <t>低評価、苦情、エスカレーション、手順逸脱を登録し、「課題、原因、対応、担当者、期限、検証」の循環を作ります。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</row>
    <row r="4" ht="34" customHeight="1">
      <c r="A4" s="46" t="inlineStr">
        <is>
          <t>改善ID</t>
        </is>
      </c>
      <c r="B4" s="46" t="inlineStr">
        <is>
          <t>起票日</t>
        </is>
      </c>
      <c r="C4" s="46" t="inlineStr">
        <is>
          <t>元記録ID</t>
        </is>
      </c>
      <c r="D4" s="46" t="inlineStr">
        <is>
          <t>会社・プロジェクト</t>
        </is>
      </c>
      <c r="E4" s="46" t="inlineStr">
        <is>
          <t>業務場面</t>
        </is>
      </c>
      <c r="F4" s="46" t="inlineStr">
        <is>
          <t>課題分類</t>
        </is>
      </c>
      <c r="G4" s="46" t="inlineStr">
        <is>
          <t>重要度</t>
        </is>
      </c>
      <c r="H4" s="46" t="inlineStr">
        <is>
          <t>フィードバック元</t>
        </is>
      </c>
      <c r="I4" s="46" t="inlineStr">
        <is>
          <t>フィードバック内容</t>
        </is>
      </c>
      <c r="J4" s="46" t="inlineStr">
        <is>
          <t>原因分析</t>
        </is>
      </c>
      <c r="K4" s="46" t="inlineStr">
        <is>
          <t>改善対応</t>
        </is>
      </c>
      <c r="L4" s="46" t="inlineStr">
        <is>
          <t>担当者</t>
        </is>
      </c>
      <c r="M4" s="46" t="inlineStr">
        <is>
          <t>期限</t>
        </is>
      </c>
      <c r="N4" s="46" t="inlineStr">
        <is>
          <t>状態</t>
        </is>
      </c>
      <c r="O4" s="46" t="inlineStr">
        <is>
          <t>完了日</t>
        </is>
      </c>
      <c r="P4" s="46" t="inlineStr">
        <is>
          <t>検証結果</t>
        </is>
      </c>
      <c r="Q4" s="46" t="inlineStr">
        <is>
          <t>遅延日数</t>
        </is>
      </c>
      <c r="R4" s="46" t="inlineStr">
        <is>
          <t>対応期間（日）</t>
        </is>
      </c>
      <c r="S4" s="46" t="inlineStr">
        <is>
          <t>メモ</t>
        </is>
      </c>
    </row>
    <row r="5" ht="25" customHeight="1">
      <c r="A5" s="25">
        <f>IF($B5="","","CA-"&amp;TEXT(ROW()-4,"0000"))</f>
        <v/>
      </c>
      <c r="B5" s="141" t="n">
        <v>46042</v>
      </c>
      <c r="C5" s="25" t="inlineStr">
        <is>
          <t>SQ-0002</t>
        </is>
      </c>
      <c r="D5" s="25" t="inlineStr">
        <is>
          <t>桜サービス株式会社-アフター修理</t>
        </is>
      </c>
      <c r="E5" s="25" t="inlineStr">
        <is>
          <t>アフターサービス</t>
        </is>
      </c>
      <c r="F5" s="25" t="inlineStr">
        <is>
          <t>未解決</t>
        </is>
      </c>
      <c r="G5" s="25" t="inlineStr">
        <is>
          <t>高</t>
        </is>
      </c>
      <c r="H5" s="25" t="inlineStr">
        <is>
          <t>顧客</t>
        </is>
      </c>
      <c r="I5" s="28" t="inlineStr">
        <is>
          <t>修理進捗の説明が不十分で、顧客から再度連絡がありました。</t>
        </is>
      </c>
      <c r="J5" s="28" t="inlineStr">
        <is>
          <t>チケットの進捗がサポート担当へ適時に共有されませんでした。</t>
        </is>
      </c>
      <c r="K5" s="28" t="inlineStr">
        <is>
          <t>修理マイルストーンの自動リマインダーを追加し、応対文を更新します。</t>
        </is>
      </c>
      <c r="L5" s="25" t="inlineStr">
        <is>
          <t>アフターサービス責任者</t>
        </is>
      </c>
      <c r="M5" s="141" t="n">
        <v>46053</v>
      </c>
      <c r="N5" s="25" t="inlineStr">
        <is>
          <t>完了</t>
        </is>
      </c>
      <c r="O5" s="141" t="n">
        <v>46055</v>
      </c>
      <c r="P5" s="25" t="inlineStr">
        <is>
          <t>一部有効</t>
        </is>
      </c>
      <c r="Q5" s="139">
        <f>IF($M5="","",IF(OR($N5="完了",$N5="クローズ"),IF($O5="",0,MAX(0,$O5-$M5)),MAX(0,TODAY()-$M5)))</f>
        <v/>
      </c>
      <c r="R5" s="139">
        <f>IF(AND($B5&lt;&gt;"",$O5&lt;&gt;""),$O5-$B5,"")</f>
        <v/>
      </c>
      <c r="S5" s="25" t="str"/>
    </row>
    <row r="6" ht="25" customHeight="1">
      <c r="A6" s="25">
        <f>IF($B6="","","CA-"&amp;TEXT(ROW()-4,"0000"))</f>
        <v/>
      </c>
      <c r="B6" s="141" t="n">
        <v>46071</v>
      </c>
      <c r="C6" s="25" t="inlineStr">
        <is>
          <t>SQ-0004</t>
        </is>
      </c>
      <c r="D6" s="25" t="inlineStr">
        <is>
          <t>東都フィールドサービス-配送センター</t>
        </is>
      </c>
      <c r="E6" s="25" t="inlineStr">
        <is>
          <t>物流・納品</t>
        </is>
      </c>
      <c r="F6" s="25" t="inlineStr">
        <is>
          <t>納品遅延</t>
        </is>
      </c>
      <c r="G6" s="25" t="inlineStr">
        <is>
          <t>最重要</t>
        </is>
      </c>
      <c r="H6" s="25" t="inlineStr">
        <is>
          <t>顧客</t>
        </is>
      </c>
      <c r="I6" s="28" t="inlineStr">
        <is>
          <t>納品が遅れ、能動的な連絡がありませんでした。</t>
        </is>
      </c>
      <c r="J6" s="28" t="inlineStr">
        <is>
          <t>異常警告の仕組みがなく、部門間の情報共有が遅れました。</t>
        </is>
      </c>
      <c r="K6" s="28" t="inlineStr">
        <is>
          <t>遅延警告リストを作り、期限超過時に顧客へ自動通知します。</t>
        </is>
      </c>
      <c r="L6" s="25" t="inlineStr">
        <is>
          <t>物流マネージャー</t>
        </is>
      </c>
      <c r="M6" s="141" t="n">
        <v>46078</v>
      </c>
      <c r="N6" s="25" t="inlineStr">
        <is>
          <t>クローズ</t>
        </is>
      </c>
      <c r="O6" s="141" t="n">
        <v>46079</v>
      </c>
      <c r="P6" s="25" t="inlineStr">
        <is>
          <t>有効</t>
        </is>
      </c>
      <c r="Q6" s="139">
        <f>IF($M6="","",IF(OR($N6="完了",$N6="クローズ"),IF($O6="",0,MAX(0,$O6-$M6)),MAX(0,TODAY()-$M6)))</f>
        <v/>
      </c>
      <c r="R6" s="139">
        <f>IF(AND($B6&lt;&gt;"",$O6&lt;&gt;""),$O6-$B6,"")</f>
        <v/>
      </c>
      <c r="S6" s="25" t="str"/>
    </row>
    <row r="7" ht="25" customHeight="1">
      <c r="A7" s="25">
        <f>IF($B7="","","CA-"&amp;TEXT(ROW()-4,"0000"))</f>
        <v/>
      </c>
      <c r="B7" s="141" t="n">
        <v>46115</v>
      </c>
      <c r="C7" s="25" t="inlineStr">
        <is>
          <t>SQ-0007</t>
        </is>
      </c>
      <c r="D7" s="25" t="inlineStr">
        <is>
          <t>桜サービス株式会社-コールセンター</t>
        </is>
      </c>
      <c r="E7" s="25" t="inlineStr">
        <is>
          <t>コールセンター</t>
        </is>
      </c>
      <c r="F7" s="25" t="inlineStr">
        <is>
          <t>応答遅延</t>
        </is>
      </c>
      <c r="G7" s="25" t="inlineStr">
        <is>
          <t>中</t>
        </is>
      </c>
      <c r="H7" s="25" t="inlineStr">
        <is>
          <t>品質確認</t>
        </is>
      </c>
      <c r="I7" s="28" t="inlineStr">
        <is>
          <t>待ち時間が長く、初回解決が不十分でした。</t>
        </is>
      </c>
      <c r="J7" s="28" t="inlineStr">
        <is>
          <t>ピーク時間帯の人員配置が不足し、ナレッジ検索の効率が低い状態でした。</t>
        </is>
      </c>
      <c r="K7" s="28" t="inlineStr">
        <is>
          <t>ピーク時間帯のシフトを最適化し、頻出質問の回答を追加します。</t>
        </is>
      </c>
      <c r="L7" s="25" t="inlineStr">
        <is>
          <t>コールセンター責任者</t>
        </is>
      </c>
      <c r="M7" s="141" t="n">
        <v>46122</v>
      </c>
      <c r="N7" s="25" t="inlineStr">
        <is>
          <t>対応中</t>
        </is>
      </c>
      <c r="O7" s="143" t="n"/>
      <c r="P7" s="25" t="inlineStr">
        <is>
          <t>検証待ち</t>
        </is>
      </c>
      <c r="Q7" s="139">
        <f>IF($M7="","",IF(OR($N7="完了",$N7="クローズ"),IF($O7="",0,MAX(0,$O7-$M7)),MAX(0,TODAY()-$M7)))</f>
        <v/>
      </c>
      <c r="R7" s="139">
        <f>IF(AND($B7&lt;&gt;"",$O7&lt;&gt;""),$O7-$B7,"")</f>
        <v/>
      </c>
      <c r="S7" s="25" t="str"/>
    </row>
    <row r="8" ht="25" customHeight="1">
      <c r="A8" s="25">
        <f>IF($B8="","","CA-"&amp;TEXT(ROW()-4,"0000"))</f>
        <v/>
      </c>
      <c r="B8" s="141" t="n">
        <v>46134</v>
      </c>
      <c r="C8" s="25" t="inlineStr">
        <is>
          <t>SQ-0009</t>
        </is>
      </c>
      <c r="D8" s="25" t="inlineStr">
        <is>
          <t>日本プロジェクトパートナーズ-B2B納品</t>
        </is>
      </c>
      <c r="E8" s="25" t="inlineStr">
        <is>
          <t>B2Bプロジェクト納品</t>
        </is>
      </c>
      <c r="F8" s="25" t="inlineStr">
        <is>
          <t>手順不遵守</t>
        </is>
      </c>
      <c r="G8" s="25" t="inlineStr">
        <is>
          <t>高</t>
        </is>
      </c>
      <c r="H8" s="25" t="inlineStr">
        <is>
          <t>上長</t>
        </is>
      </c>
      <c r="I8" s="28" t="inlineStr">
        <is>
          <t>納品資料の追加が複数回発生し、検収が延期されました。</t>
        </is>
      </c>
      <c r="J8" s="28" t="inlineStr">
        <is>
          <t>プロジェクト納品チェックリストが不明確で、段階検収がありませんでした。</t>
        </is>
      </c>
      <c r="K8" s="28" t="inlineStr">
        <is>
          <t>標準納品チェックリストと検収テンプレートを作成します。</t>
        </is>
      </c>
      <c r="L8" s="25" t="inlineStr">
        <is>
          <t>PMO責任者</t>
        </is>
      </c>
      <c r="M8" s="141" t="n">
        <v>46142</v>
      </c>
      <c r="N8" s="25" t="inlineStr">
        <is>
          <t>評価待ち</t>
        </is>
      </c>
      <c r="O8" s="143" t="n"/>
      <c r="P8" s="25" t="inlineStr">
        <is>
          <t>検証待ち</t>
        </is>
      </c>
      <c r="Q8" s="139">
        <f>IF($M8="","",IF(OR($N8="完了",$N8="クローズ"),IF($O8="",0,MAX(0,$O8-$M8)),MAX(0,TODAY()-$M8)))</f>
        <v/>
      </c>
      <c r="R8" s="139">
        <f>IF(AND($B8&lt;&gt;"",$O8&lt;&gt;""),$O8-$B8,"")</f>
        <v/>
      </c>
      <c r="S8" s="25" t="str"/>
    </row>
    <row r="9" ht="25" customHeight="1">
      <c r="A9" s="25">
        <f>IF($B9="","","CA-"&amp;TEXT(ROW()-4,"0000"))</f>
        <v/>
      </c>
      <c r="B9" s="141" t="n">
        <v>46140</v>
      </c>
      <c r="C9" s="25" t="inlineStr">
        <is>
          <t>SQ-0011</t>
        </is>
      </c>
      <c r="D9" s="25" t="inlineStr">
        <is>
          <t>ひかりファシリティーズ-施設サポート</t>
        </is>
      </c>
      <c r="E9" s="25" t="inlineStr">
        <is>
          <t>施設管理</t>
        </is>
      </c>
      <c r="F9" s="25" t="inlineStr">
        <is>
          <t>応答遅延</t>
        </is>
      </c>
      <c r="G9" s="25" t="inlineStr">
        <is>
          <t>中</t>
        </is>
      </c>
      <c r="H9" s="25" t="inlineStr">
        <is>
          <t>顧客</t>
        </is>
      </c>
      <c r="I9" s="28" t="inlineStr">
        <is>
          <t>修理手配の応答は通常程度で、フォローアップが遅れました。</t>
        </is>
      </c>
      <c r="J9" s="28" t="inlineStr">
        <is>
          <t>修理チケットのリマインダーとフォローアップの仕組みが不足していました。</t>
        </is>
      </c>
      <c r="K9" s="28" t="inlineStr">
        <is>
          <t>手配後のフォローアップリマインダーを設定し、完了品質を抜き取り確認します。</t>
        </is>
      </c>
      <c r="L9" s="25" t="inlineStr">
        <is>
          <t>施設サポート責任者</t>
        </is>
      </c>
      <c r="M9" s="141" t="n">
        <v>46157</v>
      </c>
      <c r="N9" s="25" t="inlineStr">
        <is>
          <t>対応中</t>
        </is>
      </c>
      <c r="O9" s="143" t="n"/>
      <c r="P9" s="25" t="inlineStr">
        <is>
          <t>検証待ち</t>
        </is>
      </c>
      <c r="Q9" s="139">
        <f>IF($M9="","",IF(OR($N9="完了",$N9="クローズ"),IF($O9="",0,MAX(0,$O9-$M9)),MAX(0,TODAY()-$M9)))</f>
        <v/>
      </c>
      <c r="R9" s="139">
        <f>IF(AND($B9&lt;&gt;"",$O9&lt;&gt;""),$O9-$B9,"")</f>
        <v/>
      </c>
      <c r="S9" s="25" t="str"/>
    </row>
    <row r="10" ht="25" customHeight="1">
      <c r="A10" s="25">
        <f>IF($B10="","","CA-"&amp;TEXT(ROW()-4,"0000"))</f>
        <v/>
      </c>
      <c r="B10" s="141" t="n">
        <v>46141</v>
      </c>
      <c r="C10" s="25" t="inlineStr">
        <is>
          <t>SQ-0012</t>
        </is>
      </c>
      <c r="D10" s="25" t="inlineStr">
        <is>
          <t>青葉クラウド株式会社-SaaSサポート</t>
        </is>
      </c>
      <c r="E10" s="25" t="inlineStr">
        <is>
          <t>技術サポート</t>
        </is>
      </c>
      <c r="F10" s="25" t="inlineStr">
        <is>
          <t>スタッフ教育</t>
        </is>
      </c>
      <c r="G10" s="25" t="inlineStr">
        <is>
          <t>低</t>
        </is>
      </c>
      <c r="H10" s="25" t="inlineStr">
        <is>
          <t>従業員</t>
        </is>
      </c>
      <c r="I10" s="28" t="inlineStr">
        <is>
          <t>優良事例が蓄積されず、知識の再利用が不十分でした。</t>
        </is>
      </c>
      <c r="J10" s="28" t="inlineStr">
        <is>
          <t>事例ライブラリの管理責任者がいませんでした。</t>
        </is>
      </c>
      <c r="K10" s="28" t="inlineStr">
        <is>
          <t>優れた解決策をナレッジベースに登録し、月次で振り返ります。</t>
        </is>
      </c>
      <c r="L10" s="25" t="inlineStr">
        <is>
          <t>技術サポート責任者</t>
        </is>
      </c>
      <c r="M10" s="141" t="n">
        <v>46162</v>
      </c>
      <c r="N10" s="25" t="inlineStr">
        <is>
          <t>評価待ち</t>
        </is>
      </c>
      <c r="O10" s="143" t="n"/>
      <c r="P10" s="25" t="inlineStr">
        <is>
          <t>検証待ち</t>
        </is>
      </c>
      <c r="Q10" s="139">
        <f>IF($M10="","",IF(OR($N10="完了",$N10="クローズ"),IF($O10="",0,MAX(0,$O10-$M10)),MAX(0,TODAY()-$M10)))</f>
        <v/>
      </c>
      <c r="R10" s="139">
        <f>IF(AND($B10&lt;&gt;"",$O10&lt;&gt;""),$O10-$B10,"")</f>
        <v/>
      </c>
      <c r="S10" s="25" t="str"/>
    </row>
    <row r="11" ht="25" customHeight="1">
      <c r="A11" s="25">
        <f>IF($B11="","","CA-"&amp;TEXT(ROW()-4,"0000"))</f>
        <v/>
      </c>
      <c r="B11" s="143" t="n"/>
      <c r="C11" s="25" t="n"/>
      <c r="D11" s="25" t="n"/>
      <c r="E11" s="25" t="n"/>
      <c r="F11" s="25" t="n"/>
      <c r="G11" s="25" t="n"/>
      <c r="H11" s="25" t="n"/>
      <c r="I11" s="28" t="n"/>
      <c r="J11" s="28" t="n"/>
      <c r="K11" s="28" t="n"/>
      <c r="L11" s="25" t="n"/>
      <c r="M11" s="143" t="n"/>
      <c r="N11" s="25" t="n"/>
      <c r="O11" s="143" t="n"/>
      <c r="P11" s="25" t="n"/>
      <c r="Q11" s="139">
        <f>IF($M11="","",IF(OR($N11="完了",$N11="クローズ"),IF($O11="",0,MAX(0,$O11-$M11)),MAX(0,TODAY()-$M11)))</f>
        <v/>
      </c>
      <c r="R11" s="139">
        <f>IF(AND($B11&lt;&gt;"",$O11&lt;&gt;""),$O11-$B11,"")</f>
        <v/>
      </c>
      <c r="S11" s="25" t="n"/>
    </row>
    <row r="12" ht="25" customHeight="1">
      <c r="A12" s="25">
        <f>IF($B12="","","CA-"&amp;TEXT(ROW()-4,"0000"))</f>
        <v/>
      </c>
      <c r="B12" s="143" t="n"/>
      <c r="C12" s="25" t="n"/>
      <c r="D12" s="25" t="n"/>
      <c r="E12" s="25" t="n"/>
      <c r="F12" s="25" t="n"/>
      <c r="G12" s="25" t="n"/>
      <c r="H12" s="25" t="n"/>
      <c r="I12" s="28" t="n"/>
      <c r="J12" s="28" t="n"/>
      <c r="K12" s="28" t="n"/>
      <c r="L12" s="25" t="n"/>
      <c r="M12" s="143" t="n"/>
      <c r="N12" s="25" t="n"/>
      <c r="O12" s="143" t="n"/>
      <c r="P12" s="25" t="n"/>
      <c r="Q12" s="139">
        <f>IF($M12="","",IF(OR($N12="完了",$N12="クローズ"),IF($O12="",0,MAX(0,$O12-$M12)),MAX(0,TODAY()-$M12)))</f>
        <v/>
      </c>
      <c r="R12" s="139">
        <f>IF(AND($B12&lt;&gt;"",$O12&lt;&gt;""),$O12-$B12,"")</f>
        <v/>
      </c>
      <c r="S12" s="25" t="n"/>
    </row>
    <row r="13" ht="25" customHeight="1">
      <c r="A13" s="25">
        <f>IF($B13="","","CA-"&amp;TEXT(ROW()-4,"0000"))</f>
        <v/>
      </c>
      <c r="B13" s="143" t="n"/>
      <c r="C13" s="25" t="n"/>
      <c r="D13" s="25" t="n"/>
      <c r="E13" s="25" t="n"/>
      <c r="F13" s="25" t="n"/>
      <c r="G13" s="25" t="n"/>
      <c r="H13" s="25" t="n"/>
      <c r="I13" s="28" t="n"/>
      <c r="J13" s="28" t="n"/>
      <c r="K13" s="28" t="n"/>
      <c r="L13" s="25" t="n"/>
      <c r="M13" s="143" t="n"/>
      <c r="N13" s="25" t="n"/>
      <c r="O13" s="143" t="n"/>
      <c r="P13" s="25" t="n"/>
      <c r="Q13" s="139">
        <f>IF($M13="","",IF(OR($N13="完了",$N13="クローズ"),IF($O13="",0,MAX(0,$O13-$M13)),MAX(0,TODAY()-$M13)))</f>
        <v/>
      </c>
      <c r="R13" s="139">
        <f>IF(AND($B13&lt;&gt;"",$O13&lt;&gt;""),$O13-$B13,"")</f>
        <v/>
      </c>
      <c r="S13" s="25" t="n"/>
    </row>
    <row r="14" ht="25" customHeight="1">
      <c r="A14" s="25">
        <f>IF($B14="","","CA-"&amp;TEXT(ROW()-4,"0000"))</f>
        <v/>
      </c>
      <c r="B14" s="143" t="n"/>
      <c r="C14" s="25" t="n"/>
      <c r="D14" s="25" t="n"/>
      <c r="E14" s="25" t="n"/>
      <c r="F14" s="25" t="n"/>
      <c r="G14" s="25" t="n"/>
      <c r="H14" s="25" t="n"/>
      <c r="I14" s="28" t="n"/>
      <c r="J14" s="28" t="n"/>
      <c r="K14" s="28" t="n"/>
      <c r="L14" s="25" t="n"/>
      <c r="M14" s="143" t="n"/>
      <c r="N14" s="25" t="n"/>
      <c r="O14" s="143" t="n"/>
      <c r="P14" s="25" t="n"/>
      <c r="Q14" s="139">
        <f>IF($M14="","",IF(OR($N14="完了",$N14="クローズ"),IF($O14="",0,MAX(0,$O14-$M14)),MAX(0,TODAY()-$M14)))</f>
        <v/>
      </c>
      <c r="R14" s="139">
        <f>IF(AND($B14&lt;&gt;"",$O14&lt;&gt;""),$O14-$B14,"")</f>
        <v/>
      </c>
      <c r="S14" s="25" t="n"/>
    </row>
    <row r="15" ht="25" customHeight="1">
      <c r="A15" s="25">
        <f>IF($B15="","","CA-"&amp;TEXT(ROW()-4,"0000"))</f>
        <v/>
      </c>
      <c r="B15" s="143" t="n"/>
      <c r="C15" s="25" t="n"/>
      <c r="D15" s="25" t="n"/>
      <c r="E15" s="25" t="n"/>
      <c r="F15" s="25" t="n"/>
      <c r="G15" s="25" t="n"/>
      <c r="H15" s="25" t="n"/>
      <c r="I15" s="28" t="n"/>
      <c r="J15" s="28" t="n"/>
      <c r="K15" s="28" t="n"/>
      <c r="L15" s="25" t="n"/>
      <c r="M15" s="143" t="n"/>
      <c r="N15" s="25" t="n"/>
      <c r="O15" s="143" t="n"/>
      <c r="P15" s="25" t="n"/>
      <c r="Q15" s="139">
        <f>IF($M15="","",IF(OR($N15="完了",$N15="クローズ"),IF($O15="",0,MAX(0,$O15-$M15)),MAX(0,TODAY()-$M15)))</f>
        <v/>
      </c>
      <c r="R15" s="139">
        <f>IF(AND($B15&lt;&gt;"",$O15&lt;&gt;""),$O15-$B15,"")</f>
        <v/>
      </c>
      <c r="S15" s="25" t="n"/>
    </row>
    <row r="16" ht="25" customHeight="1">
      <c r="A16" s="25">
        <f>IF($B16="","","CA-"&amp;TEXT(ROW()-4,"0000"))</f>
        <v/>
      </c>
      <c r="B16" s="143" t="n"/>
      <c r="C16" s="25" t="n"/>
      <c r="D16" s="25" t="n"/>
      <c r="E16" s="25" t="n"/>
      <c r="F16" s="25" t="n"/>
      <c r="G16" s="25" t="n"/>
      <c r="H16" s="25" t="n"/>
      <c r="I16" s="28" t="n"/>
      <c r="J16" s="28" t="n"/>
      <c r="K16" s="28" t="n"/>
      <c r="L16" s="25" t="n"/>
      <c r="M16" s="143" t="n"/>
      <c r="N16" s="25" t="n"/>
      <c r="O16" s="143" t="n"/>
      <c r="P16" s="25" t="n"/>
      <c r="Q16" s="139">
        <f>IF($M16="","",IF(OR($N16="完了",$N16="クローズ"),IF($O16="",0,MAX(0,$O16-$M16)),MAX(0,TODAY()-$M16)))</f>
        <v/>
      </c>
      <c r="R16" s="139">
        <f>IF(AND($B16&lt;&gt;"",$O16&lt;&gt;""),$O16-$B16,"")</f>
        <v/>
      </c>
      <c r="S16" s="25" t="n"/>
    </row>
    <row r="17" ht="25" customHeight="1">
      <c r="A17" s="25">
        <f>IF($B17="","","CA-"&amp;TEXT(ROW()-4,"0000"))</f>
        <v/>
      </c>
      <c r="B17" s="143" t="n"/>
      <c r="C17" s="25" t="n"/>
      <c r="D17" s="25" t="n"/>
      <c r="E17" s="25" t="n"/>
      <c r="F17" s="25" t="n"/>
      <c r="G17" s="25" t="n"/>
      <c r="H17" s="25" t="n"/>
      <c r="I17" s="28" t="n"/>
      <c r="J17" s="28" t="n"/>
      <c r="K17" s="28" t="n"/>
      <c r="L17" s="25" t="n"/>
      <c r="M17" s="143" t="n"/>
      <c r="N17" s="25" t="n"/>
      <c r="O17" s="143" t="n"/>
      <c r="P17" s="25" t="n"/>
      <c r="Q17" s="139">
        <f>IF($M17="","",IF(OR($N17="完了",$N17="クローズ"),IF($O17="",0,MAX(0,$O17-$M17)),MAX(0,TODAY()-$M17)))</f>
        <v/>
      </c>
      <c r="R17" s="139">
        <f>IF(AND($B17&lt;&gt;"",$O17&lt;&gt;""),$O17-$B17,"")</f>
        <v/>
      </c>
      <c r="S17" s="25" t="n"/>
    </row>
    <row r="18" ht="25" customHeight="1">
      <c r="A18" s="25">
        <f>IF($B18="","","CA-"&amp;TEXT(ROW()-4,"0000"))</f>
        <v/>
      </c>
      <c r="B18" s="143" t="n"/>
      <c r="C18" s="25" t="n"/>
      <c r="D18" s="25" t="n"/>
      <c r="E18" s="25" t="n"/>
      <c r="F18" s="25" t="n"/>
      <c r="G18" s="25" t="n"/>
      <c r="H18" s="25" t="n"/>
      <c r="I18" s="28" t="n"/>
      <c r="J18" s="28" t="n"/>
      <c r="K18" s="28" t="n"/>
      <c r="L18" s="25" t="n"/>
      <c r="M18" s="143" t="n"/>
      <c r="N18" s="25" t="n"/>
      <c r="O18" s="143" t="n"/>
      <c r="P18" s="25" t="n"/>
      <c r="Q18" s="139">
        <f>IF($M18="","",IF(OR($N18="完了",$N18="クローズ"),IF($O18="",0,MAX(0,$O18-$M18)),MAX(0,TODAY()-$M18)))</f>
        <v/>
      </c>
      <c r="R18" s="139">
        <f>IF(AND($B18&lt;&gt;"",$O18&lt;&gt;""),$O18-$B18,"")</f>
        <v/>
      </c>
      <c r="S18" s="25" t="n"/>
    </row>
    <row r="19" ht="25" customHeight="1">
      <c r="A19" s="25">
        <f>IF($B19="","","CA-"&amp;TEXT(ROW()-4,"0000"))</f>
        <v/>
      </c>
      <c r="B19" s="143" t="n"/>
      <c r="C19" s="25" t="n"/>
      <c r="D19" s="25" t="n"/>
      <c r="E19" s="25" t="n"/>
      <c r="F19" s="25" t="n"/>
      <c r="G19" s="25" t="n"/>
      <c r="H19" s="25" t="n"/>
      <c r="I19" s="28" t="n"/>
      <c r="J19" s="28" t="n"/>
      <c r="K19" s="28" t="n"/>
      <c r="L19" s="25" t="n"/>
      <c r="M19" s="143" t="n"/>
      <c r="N19" s="25" t="n"/>
      <c r="O19" s="143" t="n"/>
      <c r="P19" s="25" t="n"/>
      <c r="Q19" s="139">
        <f>IF($M19="","",IF(OR($N19="完了",$N19="クローズ"),IF($O19="",0,MAX(0,$O19-$M19)),MAX(0,TODAY()-$M19)))</f>
        <v/>
      </c>
      <c r="R19" s="139">
        <f>IF(AND($B19&lt;&gt;"",$O19&lt;&gt;""),$O19-$B19,"")</f>
        <v/>
      </c>
      <c r="S19" s="25" t="n"/>
    </row>
    <row r="20" ht="25" customHeight="1">
      <c r="A20" s="25">
        <f>IF($B20="","","CA-"&amp;TEXT(ROW()-4,"0000"))</f>
        <v/>
      </c>
      <c r="B20" s="143" t="n"/>
      <c r="C20" s="25" t="n"/>
      <c r="D20" s="25" t="n"/>
      <c r="E20" s="25" t="n"/>
      <c r="F20" s="25" t="n"/>
      <c r="G20" s="25" t="n"/>
      <c r="H20" s="25" t="n"/>
      <c r="I20" s="28" t="n"/>
      <c r="J20" s="28" t="n"/>
      <c r="K20" s="28" t="n"/>
      <c r="L20" s="25" t="n"/>
      <c r="M20" s="143" t="n"/>
      <c r="N20" s="25" t="n"/>
      <c r="O20" s="143" t="n"/>
      <c r="P20" s="25" t="n"/>
      <c r="Q20" s="139">
        <f>IF($M20="","",IF(OR($N20="完了",$N20="クローズ"),IF($O20="",0,MAX(0,$O20-$M20)),MAX(0,TODAY()-$M20)))</f>
        <v/>
      </c>
      <c r="R20" s="139">
        <f>IF(AND($B20&lt;&gt;"",$O20&lt;&gt;""),$O20-$B20,"")</f>
        <v/>
      </c>
      <c r="S20" s="25" t="n"/>
    </row>
    <row r="21" ht="25" customHeight="1">
      <c r="A21" s="25">
        <f>IF($B21="","","CA-"&amp;TEXT(ROW()-4,"0000"))</f>
        <v/>
      </c>
      <c r="B21" s="143" t="n"/>
      <c r="C21" s="25" t="n"/>
      <c r="D21" s="25" t="n"/>
      <c r="E21" s="25" t="n"/>
      <c r="F21" s="25" t="n"/>
      <c r="G21" s="25" t="n"/>
      <c r="H21" s="25" t="n"/>
      <c r="I21" s="28" t="n"/>
      <c r="J21" s="28" t="n"/>
      <c r="K21" s="28" t="n"/>
      <c r="L21" s="25" t="n"/>
      <c r="M21" s="143" t="n"/>
      <c r="N21" s="25" t="n"/>
      <c r="O21" s="143" t="n"/>
      <c r="P21" s="25" t="n"/>
      <c r="Q21" s="139">
        <f>IF($M21="","",IF(OR($N21="完了",$N21="クローズ"),IF($O21="",0,MAX(0,$O21-$M21)),MAX(0,TODAY()-$M21)))</f>
        <v/>
      </c>
      <c r="R21" s="139">
        <f>IF(AND($B21&lt;&gt;"",$O21&lt;&gt;""),$O21-$B21,"")</f>
        <v/>
      </c>
      <c r="S21" s="25" t="n"/>
    </row>
    <row r="22" ht="25" customHeight="1">
      <c r="A22" s="25">
        <f>IF($B22="","","CA-"&amp;TEXT(ROW()-4,"0000"))</f>
        <v/>
      </c>
      <c r="B22" s="143" t="n"/>
      <c r="C22" s="25" t="n"/>
      <c r="D22" s="25" t="n"/>
      <c r="E22" s="25" t="n"/>
      <c r="F22" s="25" t="n"/>
      <c r="G22" s="25" t="n"/>
      <c r="H22" s="25" t="n"/>
      <c r="I22" s="28" t="n"/>
      <c r="J22" s="28" t="n"/>
      <c r="K22" s="28" t="n"/>
      <c r="L22" s="25" t="n"/>
      <c r="M22" s="143" t="n"/>
      <c r="N22" s="25" t="n"/>
      <c r="O22" s="143" t="n"/>
      <c r="P22" s="25" t="n"/>
      <c r="Q22" s="139">
        <f>IF($M22="","",IF(OR($N22="完了",$N22="クローズ"),IF($O22="",0,MAX(0,$O22-$M22)),MAX(0,TODAY()-$M22)))</f>
        <v/>
      </c>
      <c r="R22" s="139">
        <f>IF(AND($B22&lt;&gt;"",$O22&lt;&gt;""),$O22-$B22,"")</f>
        <v/>
      </c>
      <c r="S22" s="25" t="n"/>
    </row>
    <row r="23" ht="25" customHeight="1">
      <c r="A23" s="25">
        <f>IF($B23="","","CA-"&amp;TEXT(ROW()-4,"0000"))</f>
        <v/>
      </c>
      <c r="B23" s="143" t="n"/>
      <c r="C23" s="25" t="n"/>
      <c r="D23" s="25" t="n"/>
      <c r="E23" s="25" t="n"/>
      <c r="F23" s="25" t="n"/>
      <c r="G23" s="25" t="n"/>
      <c r="H23" s="25" t="n"/>
      <c r="I23" s="28" t="n"/>
      <c r="J23" s="28" t="n"/>
      <c r="K23" s="28" t="n"/>
      <c r="L23" s="25" t="n"/>
      <c r="M23" s="143" t="n"/>
      <c r="N23" s="25" t="n"/>
      <c r="O23" s="143" t="n"/>
      <c r="P23" s="25" t="n"/>
      <c r="Q23" s="139">
        <f>IF($M23="","",IF(OR($N23="完了",$N23="クローズ"),IF($O23="",0,MAX(0,$O23-$M23)),MAX(0,TODAY()-$M23)))</f>
        <v/>
      </c>
      <c r="R23" s="139">
        <f>IF(AND($B23&lt;&gt;"",$O23&lt;&gt;""),$O23-$B23,"")</f>
        <v/>
      </c>
      <c r="S23" s="25" t="n"/>
    </row>
    <row r="24" ht="25" customHeight="1">
      <c r="A24" s="25">
        <f>IF($B24="","","CA-"&amp;TEXT(ROW()-4,"0000"))</f>
        <v/>
      </c>
      <c r="B24" s="143" t="n"/>
      <c r="C24" s="25" t="n"/>
      <c r="D24" s="25" t="n"/>
      <c r="E24" s="25" t="n"/>
      <c r="F24" s="25" t="n"/>
      <c r="G24" s="25" t="n"/>
      <c r="H24" s="25" t="n"/>
      <c r="I24" s="28" t="n"/>
      <c r="J24" s="28" t="n"/>
      <c r="K24" s="28" t="n"/>
      <c r="L24" s="25" t="n"/>
      <c r="M24" s="143" t="n"/>
      <c r="N24" s="25" t="n"/>
      <c r="O24" s="143" t="n"/>
      <c r="P24" s="25" t="n"/>
      <c r="Q24" s="139">
        <f>IF($M24="","",IF(OR($N24="完了",$N24="クローズ"),IF($O24="",0,MAX(0,$O24-$M24)),MAX(0,TODAY()-$M24)))</f>
        <v/>
      </c>
      <c r="R24" s="139">
        <f>IF(AND($B24&lt;&gt;"",$O24&lt;&gt;""),$O24-$B24,"")</f>
        <v/>
      </c>
      <c r="S24" s="25" t="n"/>
    </row>
    <row r="25" ht="25" customHeight="1">
      <c r="A25" s="25">
        <f>IF($B25="","","CA-"&amp;TEXT(ROW()-4,"0000"))</f>
        <v/>
      </c>
      <c r="B25" s="143" t="n"/>
      <c r="C25" s="25" t="n"/>
      <c r="D25" s="25" t="n"/>
      <c r="E25" s="25" t="n"/>
      <c r="F25" s="25" t="n"/>
      <c r="G25" s="25" t="n"/>
      <c r="H25" s="25" t="n"/>
      <c r="I25" s="28" t="n"/>
      <c r="J25" s="28" t="n"/>
      <c r="K25" s="28" t="n"/>
      <c r="L25" s="25" t="n"/>
      <c r="M25" s="143" t="n"/>
      <c r="N25" s="25" t="n"/>
      <c r="O25" s="143" t="n"/>
      <c r="P25" s="25" t="n"/>
      <c r="Q25" s="139">
        <f>IF($M25="","",IF(OR($N25="完了",$N25="クローズ"),IF($O25="",0,MAX(0,$O25-$M25)),MAX(0,TODAY()-$M25)))</f>
        <v/>
      </c>
      <c r="R25" s="139">
        <f>IF(AND($B25&lt;&gt;"",$O25&lt;&gt;""),$O25-$B25,"")</f>
        <v/>
      </c>
      <c r="S25" s="25" t="n"/>
    </row>
    <row r="26" ht="25" customHeight="1">
      <c r="A26" s="25">
        <f>IF($B26="","","CA-"&amp;TEXT(ROW()-4,"0000"))</f>
        <v/>
      </c>
      <c r="B26" s="143" t="n"/>
      <c r="C26" s="25" t="n"/>
      <c r="D26" s="25" t="n"/>
      <c r="E26" s="25" t="n"/>
      <c r="F26" s="25" t="n"/>
      <c r="G26" s="25" t="n"/>
      <c r="H26" s="25" t="n"/>
      <c r="I26" s="28" t="n"/>
      <c r="J26" s="28" t="n"/>
      <c r="K26" s="28" t="n"/>
      <c r="L26" s="25" t="n"/>
      <c r="M26" s="143" t="n"/>
      <c r="N26" s="25" t="n"/>
      <c r="O26" s="143" t="n"/>
      <c r="P26" s="25" t="n"/>
      <c r="Q26" s="139">
        <f>IF($M26="","",IF(OR($N26="完了",$N26="クローズ"),IF($O26="",0,MAX(0,$O26-$M26)),MAX(0,TODAY()-$M26)))</f>
        <v/>
      </c>
      <c r="R26" s="139">
        <f>IF(AND($B26&lt;&gt;"",$O26&lt;&gt;""),$O26-$B26,"")</f>
        <v/>
      </c>
      <c r="S26" s="25" t="n"/>
    </row>
    <row r="27" ht="25" customHeight="1">
      <c r="A27" s="25">
        <f>IF($B27="","","CA-"&amp;TEXT(ROW()-4,"0000"))</f>
        <v/>
      </c>
      <c r="B27" s="143" t="n"/>
      <c r="C27" s="25" t="n"/>
      <c r="D27" s="25" t="n"/>
      <c r="E27" s="25" t="n"/>
      <c r="F27" s="25" t="n"/>
      <c r="G27" s="25" t="n"/>
      <c r="H27" s="25" t="n"/>
      <c r="I27" s="28" t="n"/>
      <c r="J27" s="28" t="n"/>
      <c r="K27" s="28" t="n"/>
      <c r="L27" s="25" t="n"/>
      <c r="M27" s="143" t="n"/>
      <c r="N27" s="25" t="n"/>
      <c r="O27" s="143" t="n"/>
      <c r="P27" s="25" t="n"/>
      <c r="Q27" s="139">
        <f>IF($M27="","",IF(OR($N27="完了",$N27="クローズ"),IF($O27="",0,MAX(0,$O27-$M27)),MAX(0,TODAY()-$M27)))</f>
        <v/>
      </c>
      <c r="R27" s="139">
        <f>IF(AND($B27&lt;&gt;"",$O27&lt;&gt;""),$O27-$B27,"")</f>
        <v/>
      </c>
      <c r="S27" s="25" t="n"/>
    </row>
    <row r="28" ht="25" customHeight="1">
      <c r="A28" s="25">
        <f>IF($B28="","","CA-"&amp;TEXT(ROW()-4,"0000"))</f>
        <v/>
      </c>
      <c r="B28" s="143" t="n"/>
      <c r="C28" s="25" t="n"/>
      <c r="D28" s="25" t="n"/>
      <c r="E28" s="25" t="n"/>
      <c r="F28" s="25" t="n"/>
      <c r="G28" s="25" t="n"/>
      <c r="H28" s="25" t="n"/>
      <c r="I28" s="28" t="n"/>
      <c r="J28" s="28" t="n"/>
      <c r="K28" s="28" t="n"/>
      <c r="L28" s="25" t="n"/>
      <c r="M28" s="143" t="n"/>
      <c r="N28" s="25" t="n"/>
      <c r="O28" s="143" t="n"/>
      <c r="P28" s="25" t="n"/>
      <c r="Q28" s="139">
        <f>IF($M28="","",IF(OR($N28="完了",$N28="クローズ"),IF($O28="",0,MAX(0,$O28-$M28)),MAX(0,TODAY()-$M28)))</f>
        <v/>
      </c>
      <c r="R28" s="139">
        <f>IF(AND($B28&lt;&gt;"",$O28&lt;&gt;""),$O28-$B28,"")</f>
        <v/>
      </c>
      <c r="S28" s="25" t="n"/>
    </row>
    <row r="29" ht="25" customHeight="1">
      <c r="A29" s="25">
        <f>IF($B29="","","CA-"&amp;TEXT(ROW()-4,"0000"))</f>
        <v/>
      </c>
      <c r="B29" s="143" t="n"/>
      <c r="C29" s="25" t="n"/>
      <c r="D29" s="25" t="n"/>
      <c r="E29" s="25" t="n"/>
      <c r="F29" s="25" t="n"/>
      <c r="G29" s="25" t="n"/>
      <c r="H29" s="25" t="n"/>
      <c r="I29" s="28" t="n"/>
      <c r="J29" s="28" t="n"/>
      <c r="K29" s="28" t="n"/>
      <c r="L29" s="25" t="n"/>
      <c r="M29" s="143" t="n"/>
      <c r="N29" s="25" t="n"/>
      <c r="O29" s="143" t="n"/>
      <c r="P29" s="25" t="n"/>
      <c r="Q29" s="139">
        <f>IF($M29="","",IF(OR($N29="完了",$N29="クローズ"),IF($O29="",0,MAX(0,$O29-$M29)),MAX(0,TODAY()-$M29)))</f>
        <v/>
      </c>
      <c r="R29" s="139">
        <f>IF(AND($B29&lt;&gt;"",$O29&lt;&gt;""),$O29-$B29,"")</f>
        <v/>
      </c>
      <c r="S29" s="25" t="n"/>
    </row>
    <row r="30" ht="25" customHeight="1">
      <c r="A30" s="25">
        <f>IF($B30="","","CA-"&amp;TEXT(ROW()-4,"0000"))</f>
        <v/>
      </c>
      <c r="B30" s="143" t="n"/>
      <c r="C30" s="25" t="n"/>
      <c r="D30" s="25" t="n"/>
      <c r="E30" s="25" t="n"/>
      <c r="F30" s="25" t="n"/>
      <c r="G30" s="25" t="n"/>
      <c r="H30" s="25" t="n"/>
      <c r="I30" s="28" t="n"/>
      <c r="J30" s="28" t="n"/>
      <c r="K30" s="28" t="n"/>
      <c r="L30" s="25" t="n"/>
      <c r="M30" s="143" t="n"/>
      <c r="N30" s="25" t="n"/>
      <c r="O30" s="143" t="n"/>
      <c r="P30" s="25" t="n"/>
      <c r="Q30" s="139">
        <f>IF($M30="","",IF(OR($N30="完了",$N30="クローズ"),IF($O30="",0,MAX(0,$O30-$M30)),MAX(0,TODAY()-$M30)))</f>
        <v/>
      </c>
      <c r="R30" s="139">
        <f>IF(AND($B30&lt;&gt;"",$O30&lt;&gt;""),$O30-$B30,"")</f>
        <v/>
      </c>
      <c r="S30" s="25" t="n"/>
    </row>
    <row r="31" ht="25" customHeight="1">
      <c r="A31" s="25">
        <f>IF($B31="","","CA-"&amp;TEXT(ROW()-4,"0000"))</f>
        <v/>
      </c>
      <c r="B31" s="143" t="n"/>
      <c r="C31" s="25" t="n"/>
      <c r="D31" s="25" t="n"/>
      <c r="E31" s="25" t="n"/>
      <c r="F31" s="25" t="n"/>
      <c r="G31" s="25" t="n"/>
      <c r="H31" s="25" t="n"/>
      <c r="I31" s="28" t="n"/>
      <c r="J31" s="28" t="n"/>
      <c r="K31" s="28" t="n"/>
      <c r="L31" s="25" t="n"/>
      <c r="M31" s="143" t="n"/>
      <c r="N31" s="25" t="n"/>
      <c r="O31" s="143" t="n"/>
      <c r="P31" s="25" t="n"/>
      <c r="Q31" s="139">
        <f>IF($M31="","",IF(OR($N31="完了",$N31="クローズ"),IF($O31="",0,MAX(0,$O31-$M31)),MAX(0,TODAY()-$M31)))</f>
        <v/>
      </c>
      <c r="R31" s="139">
        <f>IF(AND($B31&lt;&gt;"",$O31&lt;&gt;""),$O31-$B31,"")</f>
        <v/>
      </c>
      <c r="S31" s="25" t="n"/>
    </row>
    <row r="32" ht="25" customHeight="1">
      <c r="A32" s="25">
        <f>IF($B32="","","CA-"&amp;TEXT(ROW()-4,"0000"))</f>
        <v/>
      </c>
      <c r="B32" s="143" t="n"/>
      <c r="C32" s="25" t="n"/>
      <c r="D32" s="25" t="n"/>
      <c r="E32" s="25" t="n"/>
      <c r="F32" s="25" t="n"/>
      <c r="G32" s="25" t="n"/>
      <c r="H32" s="25" t="n"/>
      <c r="I32" s="28" t="n"/>
      <c r="J32" s="28" t="n"/>
      <c r="K32" s="28" t="n"/>
      <c r="L32" s="25" t="n"/>
      <c r="M32" s="143" t="n"/>
      <c r="N32" s="25" t="n"/>
      <c r="O32" s="143" t="n"/>
      <c r="P32" s="25" t="n"/>
      <c r="Q32" s="139">
        <f>IF($M32="","",IF(OR($N32="完了",$N32="クローズ"),IF($O32="",0,MAX(0,$O32-$M32)),MAX(0,TODAY()-$M32)))</f>
        <v/>
      </c>
      <c r="R32" s="139">
        <f>IF(AND($B32&lt;&gt;"",$O32&lt;&gt;""),$O32-$B32,"")</f>
        <v/>
      </c>
      <c r="S32" s="25" t="n"/>
    </row>
    <row r="33" ht="25" customHeight="1">
      <c r="A33" s="25">
        <f>IF($B33="","","CA-"&amp;TEXT(ROW()-4,"0000"))</f>
        <v/>
      </c>
      <c r="B33" s="143" t="n"/>
      <c r="C33" s="25" t="n"/>
      <c r="D33" s="25" t="n"/>
      <c r="E33" s="25" t="n"/>
      <c r="F33" s="25" t="n"/>
      <c r="G33" s="25" t="n"/>
      <c r="H33" s="25" t="n"/>
      <c r="I33" s="28" t="n"/>
      <c r="J33" s="28" t="n"/>
      <c r="K33" s="28" t="n"/>
      <c r="L33" s="25" t="n"/>
      <c r="M33" s="143" t="n"/>
      <c r="N33" s="25" t="n"/>
      <c r="O33" s="143" t="n"/>
      <c r="P33" s="25" t="n"/>
      <c r="Q33" s="139">
        <f>IF($M33="","",IF(OR($N33="完了",$N33="クローズ"),IF($O33="",0,MAX(0,$O33-$M33)),MAX(0,TODAY()-$M33)))</f>
        <v/>
      </c>
      <c r="R33" s="139">
        <f>IF(AND($B33&lt;&gt;"",$O33&lt;&gt;""),$O33-$B33,"")</f>
        <v/>
      </c>
      <c r="S33" s="25" t="n"/>
    </row>
    <row r="34" ht="25" customHeight="1">
      <c r="A34" s="25">
        <f>IF($B34="","","CA-"&amp;TEXT(ROW()-4,"0000"))</f>
        <v/>
      </c>
      <c r="B34" s="143" t="n"/>
      <c r="C34" s="25" t="n"/>
      <c r="D34" s="25" t="n"/>
      <c r="E34" s="25" t="n"/>
      <c r="F34" s="25" t="n"/>
      <c r="G34" s="25" t="n"/>
      <c r="H34" s="25" t="n"/>
      <c r="I34" s="28" t="n"/>
      <c r="J34" s="28" t="n"/>
      <c r="K34" s="28" t="n"/>
      <c r="L34" s="25" t="n"/>
      <c r="M34" s="143" t="n"/>
      <c r="N34" s="25" t="n"/>
      <c r="O34" s="143" t="n"/>
      <c r="P34" s="25" t="n"/>
      <c r="Q34" s="139">
        <f>IF($M34="","",IF(OR($N34="完了",$N34="クローズ"),IF($O34="",0,MAX(0,$O34-$M34)),MAX(0,TODAY()-$M34)))</f>
        <v/>
      </c>
      <c r="R34" s="139">
        <f>IF(AND($B34&lt;&gt;"",$O34&lt;&gt;""),$O34-$B34,"")</f>
        <v/>
      </c>
      <c r="S34" s="25" t="n"/>
    </row>
    <row r="35" ht="25" customHeight="1">
      <c r="A35" s="25">
        <f>IF($B35="","","CA-"&amp;TEXT(ROW()-4,"0000"))</f>
        <v/>
      </c>
      <c r="B35" s="143" t="n"/>
      <c r="C35" s="25" t="n"/>
      <c r="D35" s="25" t="n"/>
      <c r="E35" s="25" t="n"/>
      <c r="F35" s="25" t="n"/>
      <c r="G35" s="25" t="n"/>
      <c r="H35" s="25" t="n"/>
      <c r="I35" s="28" t="n"/>
      <c r="J35" s="28" t="n"/>
      <c r="K35" s="28" t="n"/>
      <c r="L35" s="25" t="n"/>
      <c r="M35" s="143" t="n"/>
      <c r="N35" s="25" t="n"/>
      <c r="O35" s="143" t="n"/>
      <c r="P35" s="25" t="n"/>
      <c r="Q35" s="139">
        <f>IF($M35="","",IF(OR($N35="完了",$N35="クローズ"),IF($O35="",0,MAX(0,$O35-$M35)),MAX(0,TODAY()-$M35)))</f>
        <v/>
      </c>
      <c r="R35" s="139">
        <f>IF(AND($B35&lt;&gt;"",$O35&lt;&gt;""),$O35-$B35,"")</f>
        <v/>
      </c>
      <c r="S35" s="25" t="n"/>
    </row>
    <row r="36" ht="25" customHeight="1">
      <c r="A36" s="25">
        <f>IF($B36="","","CA-"&amp;TEXT(ROW()-4,"0000"))</f>
        <v/>
      </c>
      <c r="B36" s="143" t="n"/>
      <c r="C36" s="25" t="n"/>
      <c r="D36" s="25" t="n"/>
      <c r="E36" s="25" t="n"/>
      <c r="F36" s="25" t="n"/>
      <c r="G36" s="25" t="n"/>
      <c r="H36" s="25" t="n"/>
      <c r="I36" s="28" t="n"/>
      <c r="J36" s="28" t="n"/>
      <c r="K36" s="28" t="n"/>
      <c r="L36" s="25" t="n"/>
      <c r="M36" s="143" t="n"/>
      <c r="N36" s="25" t="n"/>
      <c r="O36" s="143" t="n"/>
      <c r="P36" s="25" t="n"/>
      <c r="Q36" s="139">
        <f>IF($M36="","",IF(OR($N36="完了",$N36="クローズ"),IF($O36="",0,MAX(0,$O36-$M36)),MAX(0,TODAY()-$M36)))</f>
        <v/>
      </c>
      <c r="R36" s="139">
        <f>IF(AND($B36&lt;&gt;"",$O36&lt;&gt;""),$O36-$B36,"")</f>
        <v/>
      </c>
      <c r="S36" s="25" t="n"/>
    </row>
    <row r="37" ht="25" customHeight="1">
      <c r="A37" s="25">
        <f>IF($B37="","","CA-"&amp;TEXT(ROW()-4,"0000"))</f>
        <v/>
      </c>
      <c r="B37" s="143" t="n"/>
      <c r="C37" s="25" t="n"/>
      <c r="D37" s="25" t="n"/>
      <c r="E37" s="25" t="n"/>
      <c r="F37" s="25" t="n"/>
      <c r="G37" s="25" t="n"/>
      <c r="H37" s="25" t="n"/>
      <c r="I37" s="28" t="n"/>
      <c r="J37" s="28" t="n"/>
      <c r="K37" s="28" t="n"/>
      <c r="L37" s="25" t="n"/>
      <c r="M37" s="143" t="n"/>
      <c r="N37" s="25" t="n"/>
      <c r="O37" s="143" t="n"/>
      <c r="P37" s="25" t="n"/>
      <c r="Q37" s="139">
        <f>IF($M37="","",IF(OR($N37="完了",$N37="クローズ"),IF($O37="",0,MAX(0,$O37-$M37)),MAX(0,TODAY()-$M37)))</f>
        <v/>
      </c>
      <c r="R37" s="139">
        <f>IF(AND($B37&lt;&gt;"",$O37&lt;&gt;""),$O37-$B37,"")</f>
        <v/>
      </c>
      <c r="S37" s="25" t="n"/>
    </row>
    <row r="38" ht="25" customHeight="1">
      <c r="A38" s="25">
        <f>IF($B38="","","CA-"&amp;TEXT(ROW()-4,"0000"))</f>
        <v/>
      </c>
      <c r="B38" s="143" t="n"/>
      <c r="C38" s="25" t="n"/>
      <c r="D38" s="25" t="n"/>
      <c r="E38" s="25" t="n"/>
      <c r="F38" s="25" t="n"/>
      <c r="G38" s="25" t="n"/>
      <c r="H38" s="25" t="n"/>
      <c r="I38" s="28" t="n"/>
      <c r="J38" s="28" t="n"/>
      <c r="K38" s="28" t="n"/>
      <c r="L38" s="25" t="n"/>
      <c r="M38" s="143" t="n"/>
      <c r="N38" s="25" t="n"/>
      <c r="O38" s="143" t="n"/>
      <c r="P38" s="25" t="n"/>
      <c r="Q38" s="139">
        <f>IF($M38="","",IF(OR($N38="完了",$N38="クローズ"),IF($O38="",0,MAX(0,$O38-$M38)),MAX(0,TODAY()-$M38)))</f>
        <v/>
      </c>
      <c r="R38" s="139">
        <f>IF(AND($B38&lt;&gt;"",$O38&lt;&gt;""),$O38-$B38,"")</f>
        <v/>
      </c>
      <c r="S38" s="25" t="n"/>
    </row>
    <row r="39" ht="25" customHeight="1">
      <c r="A39" s="25">
        <f>IF($B39="","","CA-"&amp;TEXT(ROW()-4,"0000"))</f>
        <v/>
      </c>
      <c r="B39" s="143" t="n"/>
      <c r="C39" s="25" t="n"/>
      <c r="D39" s="25" t="n"/>
      <c r="E39" s="25" t="n"/>
      <c r="F39" s="25" t="n"/>
      <c r="G39" s="25" t="n"/>
      <c r="H39" s="25" t="n"/>
      <c r="I39" s="28" t="n"/>
      <c r="J39" s="28" t="n"/>
      <c r="K39" s="28" t="n"/>
      <c r="L39" s="25" t="n"/>
      <c r="M39" s="143" t="n"/>
      <c r="N39" s="25" t="n"/>
      <c r="O39" s="143" t="n"/>
      <c r="P39" s="25" t="n"/>
      <c r="Q39" s="139">
        <f>IF($M39="","",IF(OR($N39="完了",$N39="クローズ"),IF($O39="",0,MAX(0,$O39-$M39)),MAX(0,TODAY()-$M39)))</f>
        <v/>
      </c>
      <c r="R39" s="139">
        <f>IF(AND($B39&lt;&gt;"",$O39&lt;&gt;""),$O39-$B39,"")</f>
        <v/>
      </c>
      <c r="S39" s="25" t="n"/>
    </row>
    <row r="40" ht="25" customHeight="1">
      <c r="A40" s="25">
        <f>IF($B40="","","CA-"&amp;TEXT(ROW()-4,"0000"))</f>
        <v/>
      </c>
      <c r="B40" s="143" t="n"/>
      <c r="C40" s="25" t="n"/>
      <c r="D40" s="25" t="n"/>
      <c r="E40" s="25" t="n"/>
      <c r="F40" s="25" t="n"/>
      <c r="G40" s="25" t="n"/>
      <c r="H40" s="25" t="n"/>
      <c r="I40" s="28" t="n"/>
      <c r="J40" s="28" t="n"/>
      <c r="K40" s="28" t="n"/>
      <c r="L40" s="25" t="n"/>
      <c r="M40" s="143" t="n"/>
      <c r="N40" s="25" t="n"/>
      <c r="O40" s="143" t="n"/>
      <c r="P40" s="25" t="n"/>
      <c r="Q40" s="139">
        <f>IF($M40="","",IF(OR($N40="完了",$N40="クローズ"),IF($O40="",0,MAX(0,$O40-$M40)),MAX(0,TODAY()-$M40)))</f>
        <v/>
      </c>
      <c r="R40" s="139">
        <f>IF(AND($B40&lt;&gt;"",$O40&lt;&gt;""),$O40-$B40,"")</f>
        <v/>
      </c>
      <c r="S40" s="25" t="n"/>
    </row>
    <row r="41" ht="25" customHeight="1">
      <c r="A41" s="25">
        <f>IF($B41="","","CA-"&amp;TEXT(ROW()-4,"0000"))</f>
        <v/>
      </c>
      <c r="B41" s="143" t="n"/>
      <c r="C41" s="25" t="n"/>
      <c r="D41" s="25" t="n"/>
      <c r="E41" s="25" t="n"/>
      <c r="F41" s="25" t="n"/>
      <c r="G41" s="25" t="n"/>
      <c r="H41" s="25" t="n"/>
      <c r="I41" s="28" t="n"/>
      <c r="J41" s="28" t="n"/>
      <c r="K41" s="28" t="n"/>
      <c r="L41" s="25" t="n"/>
      <c r="M41" s="143" t="n"/>
      <c r="N41" s="25" t="n"/>
      <c r="O41" s="143" t="n"/>
      <c r="P41" s="25" t="n"/>
      <c r="Q41" s="139">
        <f>IF($M41="","",IF(OR($N41="完了",$N41="クローズ"),IF($O41="",0,MAX(0,$O41-$M41)),MAX(0,TODAY()-$M41)))</f>
        <v/>
      </c>
      <c r="R41" s="139">
        <f>IF(AND($B41&lt;&gt;"",$O41&lt;&gt;""),$O41-$B41,"")</f>
        <v/>
      </c>
      <c r="S41" s="25" t="n"/>
    </row>
    <row r="42" ht="25" customHeight="1">
      <c r="A42" s="25">
        <f>IF($B42="","","CA-"&amp;TEXT(ROW()-4,"0000"))</f>
        <v/>
      </c>
      <c r="B42" s="143" t="n"/>
      <c r="C42" s="25" t="n"/>
      <c r="D42" s="25" t="n"/>
      <c r="E42" s="25" t="n"/>
      <c r="F42" s="25" t="n"/>
      <c r="G42" s="25" t="n"/>
      <c r="H42" s="25" t="n"/>
      <c r="I42" s="28" t="n"/>
      <c r="J42" s="28" t="n"/>
      <c r="K42" s="28" t="n"/>
      <c r="L42" s="25" t="n"/>
      <c r="M42" s="143" t="n"/>
      <c r="N42" s="25" t="n"/>
      <c r="O42" s="143" t="n"/>
      <c r="P42" s="25" t="n"/>
      <c r="Q42" s="139">
        <f>IF($M42="","",IF(OR($N42="完了",$N42="クローズ"),IF($O42="",0,MAX(0,$O42-$M42)),MAX(0,TODAY()-$M42)))</f>
        <v/>
      </c>
      <c r="R42" s="139">
        <f>IF(AND($B42&lt;&gt;"",$O42&lt;&gt;""),$O42-$B42,"")</f>
        <v/>
      </c>
      <c r="S42" s="25" t="n"/>
    </row>
    <row r="43" ht="25" customHeight="1">
      <c r="A43" s="25">
        <f>IF($B43="","","CA-"&amp;TEXT(ROW()-4,"0000"))</f>
        <v/>
      </c>
      <c r="B43" s="143" t="n"/>
      <c r="C43" s="25" t="n"/>
      <c r="D43" s="25" t="n"/>
      <c r="E43" s="25" t="n"/>
      <c r="F43" s="25" t="n"/>
      <c r="G43" s="25" t="n"/>
      <c r="H43" s="25" t="n"/>
      <c r="I43" s="28" t="n"/>
      <c r="J43" s="28" t="n"/>
      <c r="K43" s="28" t="n"/>
      <c r="L43" s="25" t="n"/>
      <c r="M43" s="143" t="n"/>
      <c r="N43" s="25" t="n"/>
      <c r="O43" s="143" t="n"/>
      <c r="P43" s="25" t="n"/>
      <c r="Q43" s="139">
        <f>IF($M43="","",IF(OR($N43="完了",$N43="クローズ"),IF($O43="",0,MAX(0,$O43-$M43)),MAX(0,TODAY()-$M43)))</f>
        <v/>
      </c>
      <c r="R43" s="139">
        <f>IF(AND($B43&lt;&gt;"",$O43&lt;&gt;""),$O43-$B43,"")</f>
        <v/>
      </c>
      <c r="S43" s="25" t="n"/>
    </row>
    <row r="44" ht="25" customHeight="1">
      <c r="A44" s="25">
        <f>IF($B44="","","CA-"&amp;TEXT(ROW()-4,"0000"))</f>
        <v/>
      </c>
      <c r="B44" s="143" t="n"/>
      <c r="C44" s="25" t="n"/>
      <c r="D44" s="25" t="n"/>
      <c r="E44" s="25" t="n"/>
      <c r="F44" s="25" t="n"/>
      <c r="G44" s="25" t="n"/>
      <c r="H44" s="25" t="n"/>
      <c r="I44" s="28" t="n"/>
      <c r="J44" s="28" t="n"/>
      <c r="K44" s="28" t="n"/>
      <c r="L44" s="25" t="n"/>
      <c r="M44" s="143" t="n"/>
      <c r="N44" s="25" t="n"/>
      <c r="O44" s="143" t="n"/>
      <c r="P44" s="25" t="n"/>
      <c r="Q44" s="139">
        <f>IF($M44="","",IF(OR($N44="完了",$N44="クローズ"),IF($O44="",0,MAX(0,$O44-$M44)),MAX(0,TODAY()-$M44)))</f>
        <v/>
      </c>
      <c r="R44" s="139">
        <f>IF(AND($B44&lt;&gt;"",$O44&lt;&gt;""),$O44-$B44,"")</f>
        <v/>
      </c>
      <c r="S44" s="25" t="n"/>
    </row>
    <row r="45" ht="25" customHeight="1">
      <c r="A45" s="25">
        <f>IF($B45="","","CA-"&amp;TEXT(ROW()-4,"0000"))</f>
        <v/>
      </c>
      <c r="B45" s="143" t="n"/>
      <c r="C45" s="25" t="n"/>
      <c r="D45" s="25" t="n"/>
      <c r="E45" s="25" t="n"/>
      <c r="F45" s="25" t="n"/>
      <c r="G45" s="25" t="n"/>
      <c r="H45" s="25" t="n"/>
      <c r="I45" s="28" t="n"/>
      <c r="J45" s="28" t="n"/>
      <c r="K45" s="28" t="n"/>
      <c r="L45" s="25" t="n"/>
      <c r="M45" s="143" t="n"/>
      <c r="N45" s="25" t="n"/>
      <c r="O45" s="143" t="n"/>
      <c r="P45" s="25" t="n"/>
      <c r="Q45" s="139">
        <f>IF($M45="","",IF(OR($N45="完了",$N45="クローズ"),IF($O45="",0,MAX(0,$O45-$M45)),MAX(0,TODAY()-$M45)))</f>
        <v/>
      </c>
      <c r="R45" s="139">
        <f>IF(AND($B45&lt;&gt;"",$O45&lt;&gt;""),$O45-$B45,"")</f>
        <v/>
      </c>
      <c r="S45" s="25" t="n"/>
    </row>
    <row r="46" ht="25" customHeight="1">
      <c r="A46" s="25">
        <f>IF($B46="","","CA-"&amp;TEXT(ROW()-4,"0000"))</f>
        <v/>
      </c>
      <c r="B46" s="143" t="n"/>
      <c r="C46" s="25" t="n"/>
      <c r="D46" s="25" t="n"/>
      <c r="E46" s="25" t="n"/>
      <c r="F46" s="25" t="n"/>
      <c r="G46" s="25" t="n"/>
      <c r="H46" s="25" t="n"/>
      <c r="I46" s="28" t="n"/>
      <c r="J46" s="28" t="n"/>
      <c r="K46" s="28" t="n"/>
      <c r="L46" s="25" t="n"/>
      <c r="M46" s="143" t="n"/>
      <c r="N46" s="25" t="n"/>
      <c r="O46" s="143" t="n"/>
      <c r="P46" s="25" t="n"/>
      <c r="Q46" s="139">
        <f>IF($M46="","",IF(OR($N46="完了",$N46="クローズ"),IF($O46="",0,MAX(0,$O46-$M46)),MAX(0,TODAY()-$M46)))</f>
        <v/>
      </c>
      <c r="R46" s="139">
        <f>IF(AND($B46&lt;&gt;"",$O46&lt;&gt;""),$O46-$B46,"")</f>
        <v/>
      </c>
      <c r="S46" s="25" t="n"/>
    </row>
    <row r="47" ht="25" customHeight="1">
      <c r="A47" s="25">
        <f>IF($B47="","","CA-"&amp;TEXT(ROW()-4,"0000"))</f>
        <v/>
      </c>
      <c r="B47" s="143" t="n"/>
      <c r="C47" s="25" t="n"/>
      <c r="D47" s="25" t="n"/>
      <c r="E47" s="25" t="n"/>
      <c r="F47" s="25" t="n"/>
      <c r="G47" s="25" t="n"/>
      <c r="H47" s="25" t="n"/>
      <c r="I47" s="28" t="n"/>
      <c r="J47" s="28" t="n"/>
      <c r="K47" s="28" t="n"/>
      <c r="L47" s="25" t="n"/>
      <c r="M47" s="143" t="n"/>
      <c r="N47" s="25" t="n"/>
      <c r="O47" s="143" t="n"/>
      <c r="P47" s="25" t="n"/>
      <c r="Q47" s="139">
        <f>IF($M47="","",IF(OR($N47="完了",$N47="クローズ"),IF($O47="",0,MAX(0,$O47-$M47)),MAX(0,TODAY()-$M47)))</f>
        <v/>
      </c>
      <c r="R47" s="139">
        <f>IF(AND($B47&lt;&gt;"",$O47&lt;&gt;""),$O47-$B47,"")</f>
        <v/>
      </c>
      <c r="S47" s="25" t="n"/>
    </row>
    <row r="48" ht="25" customHeight="1">
      <c r="A48" s="25">
        <f>IF($B48="","","CA-"&amp;TEXT(ROW()-4,"0000"))</f>
        <v/>
      </c>
      <c r="B48" s="143" t="n"/>
      <c r="C48" s="25" t="n"/>
      <c r="D48" s="25" t="n"/>
      <c r="E48" s="25" t="n"/>
      <c r="F48" s="25" t="n"/>
      <c r="G48" s="25" t="n"/>
      <c r="H48" s="25" t="n"/>
      <c r="I48" s="28" t="n"/>
      <c r="J48" s="28" t="n"/>
      <c r="K48" s="28" t="n"/>
      <c r="L48" s="25" t="n"/>
      <c r="M48" s="143" t="n"/>
      <c r="N48" s="25" t="n"/>
      <c r="O48" s="143" t="n"/>
      <c r="P48" s="25" t="n"/>
      <c r="Q48" s="139">
        <f>IF($M48="","",IF(OR($N48="完了",$N48="クローズ"),IF($O48="",0,MAX(0,$O48-$M48)),MAX(0,TODAY()-$M48)))</f>
        <v/>
      </c>
      <c r="R48" s="139">
        <f>IF(AND($B48&lt;&gt;"",$O48&lt;&gt;""),$O48-$B48,"")</f>
        <v/>
      </c>
      <c r="S48" s="25" t="n"/>
    </row>
    <row r="49" ht="25" customHeight="1">
      <c r="A49" s="25">
        <f>IF($B49="","","CA-"&amp;TEXT(ROW()-4,"0000"))</f>
        <v/>
      </c>
      <c r="B49" s="143" t="n"/>
      <c r="C49" s="25" t="n"/>
      <c r="D49" s="25" t="n"/>
      <c r="E49" s="25" t="n"/>
      <c r="F49" s="25" t="n"/>
      <c r="G49" s="25" t="n"/>
      <c r="H49" s="25" t="n"/>
      <c r="I49" s="28" t="n"/>
      <c r="J49" s="28" t="n"/>
      <c r="K49" s="28" t="n"/>
      <c r="L49" s="25" t="n"/>
      <c r="M49" s="143" t="n"/>
      <c r="N49" s="25" t="n"/>
      <c r="O49" s="143" t="n"/>
      <c r="P49" s="25" t="n"/>
      <c r="Q49" s="139">
        <f>IF($M49="","",IF(OR($N49="完了",$N49="クローズ"),IF($O49="",0,MAX(0,$O49-$M49)),MAX(0,TODAY()-$M49)))</f>
        <v/>
      </c>
      <c r="R49" s="139">
        <f>IF(AND($B49&lt;&gt;"",$O49&lt;&gt;""),$O49-$B49,"")</f>
        <v/>
      </c>
      <c r="S49" s="25" t="n"/>
    </row>
    <row r="50" ht="25" customHeight="1">
      <c r="A50" s="25">
        <f>IF($B50="","","CA-"&amp;TEXT(ROW()-4,"0000"))</f>
        <v/>
      </c>
      <c r="B50" s="143" t="n"/>
      <c r="C50" s="25" t="n"/>
      <c r="D50" s="25" t="n"/>
      <c r="E50" s="25" t="n"/>
      <c r="F50" s="25" t="n"/>
      <c r="G50" s="25" t="n"/>
      <c r="H50" s="25" t="n"/>
      <c r="I50" s="28" t="n"/>
      <c r="J50" s="28" t="n"/>
      <c r="K50" s="28" t="n"/>
      <c r="L50" s="25" t="n"/>
      <c r="M50" s="143" t="n"/>
      <c r="N50" s="25" t="n"/>
      <c r="O50" s="143" t="n"/>
      <c r="P50" s="25" t="n"/>
      <c r="Q50" s="139">
        <f>IF($M50="","",IF(OR($N50="完了",$N50="クローズ"),IF($O50="",0,MAX(0,$O50-$M50)),MAX(0,TODAY()-$M50)))</f>
        <v/>
      </c>
      <c r="R50" s="139">
        <f>IF(AND($B50&lt;&gt;"",$O50&lt;&gt;""),$O50-$B50,"")</f>
        <v/>
      </c>
      <c r="S50" s="25" t="n"/>
    </row>
    <row r="51" ht="25" customHeight="1">
      <c r="A51" s="25">
        <f>IF($B51="","","CA-"&amp;TEXT(ROW()-4,"0000"))</f>
        <v/>
      </c>
      <c r="B51" s="143" t="n"/>
      <c r="C51" s="25" t="n"/>
      <c r="D51" s="25" t="n"/>
      <c r="E51" s="25" t="n"/>
      <c r="F51" s="25" t="n"/>
      <c r="G51" s="25" t="n"/>
      <c r="H51" s="25" t="n"/>
      <c r="I51" s="28" t="n"/>
      <c r="J51" s="28" t="n"/>
      <c r="K51" s="28" t="n"/>
      <c r="L51" s="25" t="n"/>
      <c r="M51" s="143" t="n"/>
      <c r="N51" s="25" t="n"/>
      <c r="O51" s="143" t="n"/>
      <c r="P51" s="25" t="n"/>
      <c r="Q51" s="139">
        <f>IF($M51="","",IF(OR($N51="完了",$N51="クローズ"),IF($O51="",0,MAX(0,$O51-$M51)),MAX(0,TODAY()-$M51)))</f>
        <v/>
      </c>
      <c r="R51" s="139">
        <f>IF(AND($B51&lt;&gt;"",$O51&lt;&gt;""),$O51-$B51,"")</f>
        <v/>
      </c>
      <c r="S51" s="25" t="n"/>
    </row>
    <row r="52" ht="25" customHeight="1">
      <c r="A52" s="25">
        <f>IF($B52="","","CA-"&amp;TEXT(ROW()-4,"0000"))</f>
        <v/>
      </c>
      <c r="B52" s="143" t="n"/>
      <c r="C52" s="25" t="n"/>
      <c r="D52" s="25" t="n"/>
      <c r="E52" s="25" t="n"/>
      <c r="F52" s="25" t="n"/>
      <c r="G52" s="25" t="n"/>
      <c r="H52" s="25" t="n"/>
      <c r="I52" s="28" t="n"/>
      <c r="J52" s="28" t="n"/>
      <c r="K52" s="28" t="n"/>
      <c r="L52" s="25" t="n"/>
      <c r="M52" s="143" t="n"/>
      <c r="N52" s="25" t="n"/>
      <c r="O52" s="143" t="n"/>
      <c r="P52" s="25" t="n"/>
      <c r="Q52" s="139">
        <f>IF($M52="","",IF(OR($N52="完了",$N52="クローズ"),IF($O52="",0,MAX(0,$O52-$M52)),MAX(0,TODAY()-$M52)))</f>
        <v/>
      </c>
      <c r="R52" s="139">
        <f>IF(AND($B52&lt;&gt;"",$O52&lt;&gt;""),$O52-$B52,"")</f>
        <v/>
      </c>
      <c r="S52" s="25" t="n"/>
    </row>
    <row r="53" ht="25" customHeight="1">
      <c r="A53" s="25">
        <f>IF($B53="","","CA-"&amp;TEXT(ROW()-4,"0000"))</f>
        <v/>
      </c>
      <c r="B53" s="143" t="n"/>
      <c r="C53" s="25" t="n"/>
      <c r="D53" s="25" t="n"/>
      <c r="E53" s="25" t="n"/>
      <c r="F53" s="25" t="n"/>
      <c r="G53" s="25" t="n"/>
      <c r="H53" s="25" t="n"/>
      <c r="I53" s="28" t="n"/>
      <c r="J53" s="28" t="n"/>
      <c r="K53" s="28" t="n"/>
      <c r="L53" s="25" t="n"/>
      <c r="M53" s="143" t="n"/>
      <c r="N53" s="25" t="n"/>
      <c r="O53" s="143" t="n"/>
      <c r="P53" s="25" t="n"/>
      <c r="Q53" s="139">
        <f>IF($M53="","",IF(OR($N53="完了",$N53="クローズ"),IF($O53="",0,MAX(0,$O53-$M53)),MAX(0,TODAY()-$M53)))</f>
        <v/>
      </c>
      <c r="R53" s="139">
        <f>IF(AND($B53&lt;&gt;"",$O53&lt;&gt;""),$O53-$B53,"")</f>
        <v/>
      </c>
      <c r="S53" s="25" t="n"/>
    </row>
    <row r="54" ht="25" customHeight="1">
      <c r="A54" s="25">
        <f>IF($B54="","","CA-"&amp;TEXT(ROW()-4,"0000"))</f>
        <v/>
      </c>
      <c r="B54" s="143" t="n"/>
      <c r="C54" s="25" t="n"/>
      <c r="D54" s="25" t="n"/>
      <c r="E54" s="25" t="n"/>
      <c r="F54" s="25" t="n"/>
      <c r="G54" s="25" t="n"/>
      <c r="H54" s="25" t="n"/>
      <c r="I54" s="28" t="n"/>
      <c r="J54" s="28" t="n"/>
      <c r="K54" s="28" t="n"/>
      <c r="L54" s="25" t="n"/>
      <c r="M54" s="143" t="n"/>
      <c r="N54" s="25" t="n"/>
      <c r="O54" s="143" t="n"/>
      <c r="P54" s="25" t="n"/>
      <c r="Q54" s="139">
        <f>IF($M54="","",IF(OR($N54="完了",$N54="クローズ"),IF($O54="",0,MAX(0,$O54-$M54)),MAX(0,TODAY()-$M54)))</f>
        <v/>
      </c>
      <c r="R54" s="139">
        <f>IF(AND($B54&lt;&gt;"",$O54&lt;&gt;""),$O54-$B54,"")</f>
        <v/>
      </c>
      <c r="S54" s="25" t="n"/>
    </row>
    <row r="55" ht="25" customHeight="1">
      <c r="A55" s="25">
        <f>IF($B55="","","CA-"&amp;TEXT(ROW()-4,"0000"))</f>
        <v/>
      </c>
      <c r="B55" s="143" t="n"/>
      <c r="C55" s="25" t="n"/>
      <c r="D55" s="25" t="n"/>
      <c r="E55" s="25" t="n"/>
      <c r="F55" s="25" t="n"/>
      <c r="G55" s="25" t="n"/>
      <c r="H55" s="25" t="n"/>
      <c r="I55" s="28" t="n"/>
      <c r="J55" s="28" t="n"/>
      <c r="K55" s="28" t="n"/>
      <c r="L55" s="25" t="n"/>
      <c r="M55" s="143" t="n"/>
      <c r="N55" s="25" t="n"/>
      <c r="O55" s="143" t="n"/>
      <c r="P55" s="25" t="n"/>
      <c r="Q55" s="139">
        <f>IF($M55="","",IF(OR($N55="完了",$N55="クローズ"),IF($O55="",0,MAX(0,$O55-$M55)),MAX(0,TODAY()-$M55)))</f>
        <v/>
      </c>
      <c r="R55" s="139">
        <f>IF(AND($B55&lt;&gt;"",$O55&lt;&gt;""),$O55-$B55,"")</f>
        <v/>
      </c>
      <c r="S55" s="25" t="n"/>
    </row>
    <row r="56" ht="25" customHeight="1">
      <c r="A56" s="25">
        <f>IF($B56="","","CA-"&amp;TEXT(ROW()-4,"0000"))</f>
        <v/>
      </c>
      <c r="B56" s="143" t="n"/>
      <c r="C56" s="25" t="n"/>
      <c r="D56" s="25" t="n"/>
      <c r="E56" s="25" t="n"/>
      <c r="F56" s="25" t="n"/>
      <c r="G56" s="25" t="n"/>
      <c r="H56" s="25" t="n"/>
      <c r="I56" s="28" t="n"/>
      <c r="J56" s="28" t="n"/>
      <c r="K56" s="28" t="n"/>
      <c r="L56" s="25" t="n"/>
      <c r="M56" s="143" t="n"/>
      <c r="N56" s="25" t="n"/>
      <c r="O56" s="143" t="n"/>
      <c r="P56" s="25" t="n"/>
      <c r="Q56" s="139">
        <f>IF($M56="","",IF(OR($N56="完了",$N56="クローズ"),IF($O56="",0,MAX(0,$O56-$M56)),MAX(0,TODAY()-$M56)))</f>
        <v/>
      </c>
      <c r="R56" s="139">
        <f>IF(AND($B56&lt;&gt;"",$O56&lt;&gt;""),$O56-$B56,"")</f>
        <v/>
      </c>
      <c r="S56" s="25" t="n"/>
    </row>
    <row r="57" ht="25" customHeight="1">
      <c r="A57" s="25">
        <f>IF($B57="","","CA-"&amp;TEXT(ROW()-4,"0000"))</f>
        <v/>
      </c>
      <c r="B57" s="143" t="n"/>
      <c r="C57" s="25" t="n"/>
      <c r="D57" s="25" t="n"/>
      <c r="E57" s="25" t="n"/>
      <c r="F57" s="25" t="n"/>
      <c r="G57" s="25" t="n"/>
      <c r="H57" s="25" t="n"/>
      <c r="I57" s="28" t="n"/>
      <c r="J57" s="28" t="n"/>
      <c r="K57" s="28" t="n"/>
      <c r="L57" s="25" t="n"/>
      <c r="M57" s="143" t="n"/>
      <c r="N57" s="25" t="n"/>
      <c r="O57" s="143" t="n"/>
      <c r="P57" s="25" t="n"/>
      <c r="Q57" s="139">
        <f>IF($M57="","",IF(OR($N57="完了",$N57="クローズ"),IF($O57="",0,MAX(0,$O57-$M57)),MAX(0,TODAY()-$M57)))</f>
        <v/>
      </c>
      <c r="R57" s="139">
        <f>IF(AND($B57&lt;&gt;"",$O57&lt;&gt;""),$O57-$B57,"")</f>
        <v/>
      </c>
      <c r="S57" s="25" t="n"/>
    </row>
    <row r="58" ht="25" customHeight="1">
      <c r="A58" s="25">
        <f>IF($B58="","","CA-"&amp;TEXT(ROW()-4,"0000"))</f>
        <v/>
      </c>
      <c r="B58" s="143" t="n"/>
      <c r="C58" s="25" t="n"/>
      <c r="D58" s="25" t="n"/>
      <c r="E58" s="25" t="n"/>
      <c r="F58" s="25" t="n"/>
      <c r="G58" s="25" t="n"/>
      <c r="H58" s="25" t="n"/>
      <c r="I58" s="28" t="n"/>
      <c r="J58" s="28" t="n"/>
      <c r="K58" s="28" t="n"/>
      <c r="L58" s="25" t="n"/>
      <c r="M58" s="143" t="n"/>
      <c r="N58" s="25" t="n"/>
      <c r="O58" s="143" t="n"/>
      <c r="P58" s="25" t="n"/>
      <c r="Q58" s="139">
        <f>IF($M58="","",IF(OR($N58="完了",$N58="クローズ"),IF($O58="",0,MAX(0,$O58-$M58)),MAX(0,TODAY()-$M58)))</f>
        <v/>
      </c>
      <c r="R58" s="139">
        <f>IF(AND($B58&lt;&gt;"",$O58&lt;&gt;""),$O58-$B58,"")</f>
        <v/>
      </c>
      <c r="S58" s="25" t="n"/>
    </row>
    <row r="59" ht="25" customHeight="1">
      <c r="A59" s="25">
        <f>IF($B59="","","CA-"&amp;TEXT(ROW()-4,"0000"))</f>
        <v/>
      </c>
      <c r="B59" s="143" t="n"/>
      <c r="C59" s="25" t="n"/>
      <c r="D59" s="25" t="n"/>
      <c r="E59" s="25" t="n"/>
      <c r="F59" s="25" t="n"/>
      <c r="G59" s="25" t="n"/>
      <c r="H59" s="25" t="n"/>
      <c r="I59" s="28" t="n"/>
      <c r="J59" s="28" t="n"/>
      <c r="K59" s="28" t="n"/>
      <c r="L59" s="25" t="n"/>
      <c r="M59" s="143" t="n"/>
      <c r="N59" s="25" t="n"/>
      <c r="O59" s="143" t="n"/>
      <c r="P59" s="25" t="n"/>
      <c r="Q59" s="139">
        <f>IF($M59="","",IF(OR($N59="完了",$N59="クローズ"),IF($O59="",0,MAX(0,$O59-$M59)),MAX(0,TODAY()-$M59)))</f>
        <v/>
      </c>
      <c r="R59" s="139">
        <f>IF(AND($B59&lt;&gt;"",$O59&lt;&gt;""),$O59-$B59,"")</f>
        <v/>
      </c>
      <c r="S59" s="25" t="n"/>
    </row>
    <row r="60" ht="25" customHeight="1">
      <c r="A60" s="25">
        <f>IF($B60="","","CA-"&amp;TEXT(ROW()-4,"0000"))</f>
        <v/>
      </c>
      <c r="B60" s="143" t="n"/>
      <c r="C60" s="25" t="n"/>
      <c r="D60" s="25" t="n"/>
      <c r="E60" s="25" t="n"/>
      <c r="F60" s="25" t="n"/>
      <c r="G60" s="25" t="n"/>
      <c r="H60" s="25" t="n"/>
      <c r="I60" s="28" t="n"/>
      <c r="J60" s="28" t="n"/>
      <c r="K60" s="28" t="n"/>
      <c r="L60" s="25" t="n"/>
      <c r="M60" s="143" t="n"/>
      <c r="N60" s="25" t="n"/>
      <c r="O60" s="143" t="n"/>
      <c r="P60" s="25" t="n"/>
      <c r="Q60" s="139">
        <f>IF($M60="","",IF(OR($N60="完了",$N60="クローズ"),IF($O60="",0,MAX(0,$O60-$M60)),MAX(0,TODAY()-$M60)))</f>
        <v/>
      </c>
      <c r="R60" s="139">
        <f>IF(AND($B60&lt;&gt;"",$O60&lt;&gt;""),$O60-$B60,"")</f>
        <v/>
      </c>
      <c r="S60" s="25" t="n"/>
    </row>
    <row r="61" ht="25" customHeight="1">
      <c r="A61" s="25">
        <f>IF($B61="","","CA-"&amp;TEXT(ROW()-4,"0000"))</f>
        <v/>
      </c>
      <c r="B61" s="143" t="n"/>
      <c r="C61" s="25" t="n"/>
      <c r="D61" s="25" t="n"/>
      <c r="E61" s="25" t="n"/>
      <c r="F61" s="25" t="n"/>
      <c r="G61" s="25" t="n"/>
      <c r="H61" s="25" t="n"/>
      <c r="I61" s="28" t="n"/>
      <c r="J61" s="28" t="n"/>
      <c r="K61" s="28" t="n"/>
      <c r="L61" s="25" t="n"/>
      <c r="M61" s="143" t="n"/>
      <c r="N61" s="25" t="n"/>
      <c r="O61" s="143" t="n"/>
      <c r="P61" s="25" t="n"/>
      <c r="Q61" s="139">
        <f>IF($M61="","",IF(OR($N61="完了",$N61="クローズ"),IF($O61="",0,MAX(0,$O61-$M61)),MAX(0,TODAY()-$M61)))</f>
        <v/>
      </c>
      <c r="R61" s="139">
        <f>IF(AND($B61&lt;&gt;"",$O61&lt;&gt;""),$O61-$B61,"")</f>
        <v/>
      </c>
      <c r="S61" s="25" t="n"/>
    </row>
    <row r="62" ht="25" customHeight="1">
      <c r="A62" s="25">
        <f>IF($B62="","","CA-"&amp;TEXT(ROW()-4,"0000"))</f>
        <v/>
      </c>
      <c r="B62" s="143" t="n"/>
      <c r="C62" s="25" t="n"/>
      <c r="D62" s="25" t="n"/>
      <c r="E62" s="25" t="n"/>
      <c r="F62" s="25" t="n"/>
      <c r="G62" s="25" t="n"/>
      <c r="H62" s="25" t="n"/>
      <c r="I62" s="28" t="n"/>
      <c r="J62" s="28" t="n"/>
      <c r="K62" s="28" t="n"/>
      <c r="L62" s="25" t="n"/>
      <c r="M62" s="143" t="n"/>
      <c r="N62" s="25" t="n"/>
      <c r="O62" s="143" t="n"/>
      <c r="P62" s="25" t="n"/>
      <c r="Q62" s="139">
        <f>IF($M62="","",IF(OR($N62="完了",$N62="クローズ"),IF($O62="",0,MAX(0,$O62-$M62)),MAX(0,TODAY()-$M62)))</f>
        <v/>
      </c>
      <c r="R62" s="139">
        <f>IF(AND($B62&lt;&gt;"",$O62&lt;&gt;""),$O62-$B62,"")</f>
        <v/>
      </c>
      <c r="S62" s="25" t="n"/>
    </row>
    <row r="63" ht="25" customHeight="1">
      <c r="A63" s="25">
        <f>IF($B63="","","CA-"&amp;TEXT(ROW()-4,"0000"))</f>
        <v/>
      </c>
      <c r="B63" s="143" t="n"/>
      <c r="C63" s="25" t="n"/>
      <c r="D63" s="25" t="n"/>
      <c r="E63" s="25" t="n"/>
      <c r="F63" s="25" t="n"/>
      <c r="G63" s="25" t="n"/>
      <c r="H63" s="25" t="n"/>
      <c r="I63" s="28" t="n"/>
      <c r="J63" s="28" t="n"/>
      <c r="K63" s="28" t="n"/>
      <c r="L63" s="25" t="n"/>
      <c r="M63" s="143" t="n"/>
      <c r="N63" s="25" t="n"/>
      <c r="O63" s="143" t="n"/>
      <c r="P63" s="25" t="n"/>
      <c r="Q63" s="139">
        <f>IF($M63="","",IF(OR($N63="完了",$N63="クローズ"),IF($O63="",0,MAX(0,$O63-$M63)),MAX(0,TODAY()-$M63)))</f>
        <v/>
      </c>
      <c r="R63" s="139">
        <f>IF(AND($B63&lt;&gt;"",$O63&lt;&gt;""),$O63-$B63,"")</f>
        <v/>
      </c>
      <c r="S63" s="25" t="n"/>
    </row>
    <row r="64" ht="25" customHeight="1">
      <c r="A64" s="25">
        <f>IF($B64="","","CA-"&amp;TEXT(ROW()-4,"0000"))</f>
        <v/>
      </c>
      <c r="B64" s="143" t="n"/>
      <c r="C64" s="25" t="n"/>
      <c r="D64" s="25" t="n"/>
      <c r="E64" s="25" t="n"/>
      <c r="F64" s="25" t="n"/>
      <c r="G64" s="25" t="n"/>
      <c r="H64" s="25" t="n"/>
      <c r="I64" s="28" t="n"/>
      <c r="J64" s="28" t="n"/>
      <c r="K64" s="28" t="n"/>
      <c r="L64" s="25" t="n"/>
      <c r="M64" s="143" t="n"/>
      <c r="N64" s="25" t="n"/>
      <c r="O64" s="143" t="n"/>
      <c r="P64" s="25" t="n"/>
      <c r="Q64" s="139">
        <f>IF($M64="","",IF(OR($N64="完了",$N64="クローズ"),IF($O64="",0,MAX(0,$O64-$M64)),MAX(0,TODAY()-$M64)))</f>
        <v/>
      </c>
      <c r="R64" s="139">
        <f>IF(AND($B64&lt;&gt;"",$O64&lt;&gt;""),$O64-$B64,"")</f>
        <v/>
      </c>
      <c r="S64" s="25" t="n"/>
    </row>
    <row r="65" ht="25" customHeight="1">
      <c r="A65" s="25">
        <f>IF($B65="","","CA-"&amp;TEXT(ROW()-4,"0000"))</f>
        <v/>
      </c>
      <c r="B65" s="143" t="n"/>
      <c r="C65" s="25" t="n"/>
      <c r="D65" s="25" t="n"/>
      <c r="E65" s="25" t="n"/>
      <c r="F65" s="25" t="n"/>
      <c r="G65" s="25" t="n"/>
      <c r="H65" s="25" t="n"/>
      <c r="I65" s="28" t="n"/>
      <c r="J65" s="28" t="n"/>
      <c r="K65" s="28" t="n"/>
      <c r="L65" s="25" t="n"/>
      <c r="M65" s="143" t="n"/>
      <c r="N65" s="25" t="n"/>
      <c r="O65" s="143" t="n"/>
      <c r="P65" s="25" t="n"/>
      <c r="Q65" s="139">
        <f>IF($M65="","",IF(OR($N65="完了",$N65="クローズ"),IF($O65="",0,MAX(0,$O65-$M65)),MAX(0,TODAY()-$M65)))</f>
        <v/>
      </c>
      <c r="R65" s="139">
        <f>IF(AND($B65&lt;&gt;"",$O65&lt;&gt;""),$O65-$B65,"")</f>
        <v/>
      </c>
      <c r="S65" s="25" t="n"/>
    </row>
    <row r="66" ht="25" customHeight="1">
      <c r="A66" s="25">
        <f>IF($B66="","","CA-"&amp;TEXT(ROW()-4,"0000"))</f>
        <v/>
      </c>
      <c r="B66" s="143" t="n"/>
      <c r="C66" s="25" t="n"/>
      <c r="D66" s="25" t="n"/>
      <c r="E66" s="25" t="n"/>
      <c r="F66" s="25" t="n"/>
      <c r="G66" s="25" t="n"/>
      <c r="H66" s="25" t="n"/>
      <c r="I66" s="28" t="n"/>
      <c r="J66" s="28" t="n"/>
      <c r="K66" s="28" t="n"/>
      <c r="L66" s="25" t="n"/>
      <c r="M66" s="143" t="n"/>
      <c r="N66" s="25" t="n"/>
      <c r="O66" s="143" t="n"/>
      <c r="P66" s="25" t="n"/>
      <c r="Q66" s="139">
        <f>IF($M66="","",IF(OR($N66="完了",$N66="クローズ"),IF($O66="",0,MAX(0,$O66-$M66)),MAX(0,TODAY()-$M66)))</f>
        <v/>
      </c>
      <c r="R66" s="139">
        <f>IF(AND($B66&lt;&gt;"",$O66&lt;&gt;""),$O66-$B66,"")</f>
        <v/>
      </c>
      <c r="S66" s="25" t="n"/>
    </row>
    <row r="67" ht="25" customHeight="1">
      <c r="A67" s="25">
        <f>IF($B67="","","CA-"&amp;TEXT(ROW()-4,"0000"))</f>
        <v/>
      </c>
      <c r="B67" s="143" t="n"/>
      <c r="C67" s="25" t="n"/>
      <c r="D67" s="25" t="n"/>
      <c r="E67" s="25" t="n"/>
      <c r="F67" s="25" t="n"/>
      <c r="G67" s="25" t="n"/>
      <c r="H67" s="25" t="n"/>
      <c r="I67" s="28" t="n"/>
      <c r="J67" s="28" t="n"/>
      <c r="K67" s="28" t="n"/>
      <c r="L67" s="25" t="n"/>
      <c r="M67" s="143" t="n"/>
      <c r="N67" s="25" t="n"/>
      <c r="O67" s="143" t="n"/>
      <c r="P67" s="25" t="n"/>
      <c r="Q67" s="139">
        <f>IF($M67="","",IF(OR($N67="完了",$N67="クローズ"),IF($O67="",0,MAX(0,$O67-$M67)),MAX(0,TODAY()-$M67)))</f>
        <v/>
      </c>
      <c r="R67" s="139">
        <f>IF(AND($B67&lt;&gt;"",$O67&lt;&gt;""),$O67-$B67,"")</f>
        <v/>
      </c>
      <c r="S67" s="25" t="n"/>
    </row>
    <row r="68" ht="25" customHeight="1">
      <c r="A68" s="25">
        <f>IF($B68="","","CA-"&amp;TEXT(ROW()-4,"0000"))</f>
        <v/>
      </c>
      <c r="B68" s="143" t="n"/>
      <c r="C68" s="25" t="n"/>
      <c r="D68" s="25" t="n"/>
      <c r="E68" s="25" t="n"/>
      <c r="F68" s="25" t="n"/>
      <c r="G68" s="25" t="n"/>
      <c r="H68" s="25" t="n"/>
      <c r="I68" s="28" t="n"/>
      <c r="J68" s="28" t="n"/>
      <c r="K68" s="28" t="n"/>
      <c r="L68" s="25" t="n"/>
      <c r="M68" s="143" t="n"/>
      <c r="N68" s="25" t="n"/>
      <c r="O68" s="143" t="n"/>
      <c r="P68" s="25" t="n"/>
      <c r="Q68" s="139">
        <f>IF($M68="","",IF(OR($N68="完了",$N68="クローズ"),IF($O68="",0,MAX(0,$O68-$M68)),MAX(0,TODAY()-$M68)))</f>
        <v/>
      </c>
      <c r="R68" s="139">
        <f>IF(AND($B68&lt;&gt;"",$O68&lt;&gt;""),$O68-$B68,"")</f>
        <v/>
      </c>
      <c r="S68" s="25" t="n"/>
    </row>
    <row r="69" ht="25" customHeight="1">
      <c r="A69" s="25">
        <f>IF($B69="","","CA-"&amp;TEXT(ROW()-4,"0000"))</f>
        <v/>
      </c>
      <c r="B69" s="143" t="n"/>
      <c r="C69" s="25" t="n"/>
      <c r="D69" s="25" t="n"/>
      <c r="E69" s="25" t="n"/>
      <c r="F69" s="25" t="n"/>
      <c r="G69" s="25" t="n"/>
      <c r="H69" s="25" t="n"/>
      <c r="I69" s="28" t="n"/>
      <c r="J69" s="28" t="n"/>
      <c r="K69" s="28" t="n"/>
      <c r="L69" s="25" t="n"/>
      <c r="M69" s="143" t="n"/>
      <c r="N69" s="25" t="n"/>
      <c r="O69" s="143" t="n"/>
      <c r="P69" s="25" t="n"/>
      <c r="Q69" s="139">
        <f>IF($M69="","",IF(OR($N69="完了",$N69="クローズ"),IF($O69="",0,MAX(0,$O69-$M69)),MAX(0,TODAY()-$M69)))</f>
        <v/>
      </c>
      <c r="R69" s="139">
        <f>IF(AND($B69&lt;&gt;"",$O69&lt;&gt;""),$O69-$B69,"")</f>
        <v/>
      </c>
      <c r="S69" s="25" t="n"/>
    </row>
    <row r="70" ht="25" customHeight="1">
      <c r="A70" s="25">
        <f>IF($B70="","","CA-"&amp;TEXT(ROW()-4,"0000"))</f>
        <v/>
      </c>
      <c r="B70" s="143" t="n"/>
      <c r="C70" s="25" t="n"/>
      <c r="D70" s="25" t="n"/>
      <c r="E70" s="25" t="n"/>
      <c r="F70" s="25" t="n"/>
      <c r="G70" s="25" t="n"/>
      <c r="H70" s="25" t="n"/>
      <c r="I70" s="28" t="n"/>
      <c r="J70" s="28" t="n"/>
      <c r="K70" s="28" t="n"/>
      <c r="L70" s="25" t="n"/>
      <c r="M70" s="143" t="n"/>
      <c r="N70" s="25" t="n"/>
      <c r="O70" s="143" t="n"/>
      <c r="P70" s="25" t="n"/>
      <c r="Q70" s="139">
        <f>IF($M70="","",IF(OR($N70="完了",$N70="クローズ"),IF($O70="",0,MAX(0,$O70-$M70)),MAX(0,TODAY()-$M70)))</f>
        <v/>
      </c>
      <c r="R70" s="139">
        <f>IF(AND($B70&lt;&gt;"",$O70&lt;&gt;""),$O70-$B70,"")</f>
        <v/>
      </c>
      <c r="S70" s="25" t="n"/>
    </row>
    <row r="71" ht="25" customHeight="1">
      <c r="A71" s="25">
        <f>IF($B71="","","CA-"&amp;TEXT(ROW()-4,"0000"))</f>
        <v/>
      </c>
      <c r="B71" s="143" t="n"/>
      <c r="C71" s="25" t="n"/>
      <c r="D71" s="25" t="n"/>
      <c r="E71" s="25" t="n"/>
      <c r="F71" s="25" t="n"/>
      <c r="G71" s="25" t="n"/>
      <c r="H71" s="25" t="n"/>
      <c r="I71" s="28" t="n"/>
      <c r="J71" s="28" t="n"/>
      <c r="K71" s="28" t="n"/>
      <c r="L71" s="25" t="n"/>
      <c r="M71" s="143" t="n"/>
      <c r="N71" s="25" t="n"/>
      <c r="O71" s="143" t="n"/>
      <c r="P71" s="25" t="n"/>
      <c r="Q71" s="139">
        <f>IF($M71="","",IF(OR($N71="完了",$N71="クローズ"),IF($O71="",0,MAX(0,$O71-$M71)),MAX(0,TODAY()-$M71)))</f>
        <v/>
      </c>
      <c r="R71" s="139">
        <f>IF(AND($B71&lt;&gt;"",$O71&lt;&gt;""),$O71-$B71,"")</f>
        <v/>
      </c>
      <c r="S71" s="25" t="n"/>
    </row>
    <row r="72" ht="25" customHeight="1">
      <c r="A72" s="25">
        <f>IF($B72="","","CA-"&amp;TEXT(ROW()-4,"0000"))</f>
        <v/>
      </c>
      <c r="B72" s="143" t="n"/>
      <c r="C72" s="25" t="n"/>
      <c r="D72" s="25" t="n"/>
      <c r="E72" s="25" t="n"/>
      <c r="F72" s="25" t="n"/>
      <c r="G72" s="25" t="n"/>
      <c r="H72" s="25" t="n"/>
      <c r="I72" s="28" t="n"/>
      <c r="J72" s="28" t="n"/>
      <c r="K72" s="28" t="n"/>
      <c r="L72" s="25" t="n"/>
      <c r="M72" s="143" t="n"/>
      <c r="N72" s="25" t="n"/>
      <c r="O72" s="143" t="n"/>
      <c r="P72" s="25" t="n"/>
      <c r="Q72" s="139">
        <f>IF($M72="","",IF(OR($N72="完了",$N72="クローズ"),IF($O72="",0,MAX(0,$O72-$M72)),MAX(0,TODAY()-$M72)))</f>
        <v/>
      </c>
      <c r="R72" s="139">
        <f>IF(AND($B72&lt;&gt;"",$O72&lt;&gt;""),$O72-$B72,"")</f>
        <v/>
      </c>
      <c r="S72" s="25" t="n"/>
    </row>
    <row r="73" ht="25" customHeight="1">
      <c r="A73" s="25">
        <f>IF($B73="","","CA-"&amp;TEXT(ROW()-4,"0000"))</f>
        <v/>
      </c>
      <c r="B73" s="143" t="n"/>
      <c r="C73" s="25" t="n"/>
      <c r="D73" s="25" t="n"/>
      <c r="E73" s="25" t="n"/>
      <c r="F73" s="25" t="n"/>
      <c r="G73" s="25" t="n"/>
      <c r="H73" s="25" t="n"/>
      <c r="I73" s="28" t="n"/>
      <c r="J73" s="28" t="n"/>
      <c r="K73" s="28" t="n"/>
      <c r="L73" s="25" t="n"/>
      <c r="M73" s="143" t="n"/>
      <c r="N73" s="25" t="n"/>
      <c r="O73" s="143" t="n"/>
      <c r="P73" s="25" t="n"/>
      <c r="Q73" s="139">
        <f>IF($M73="","",IF(OR($N73="完了",$N73="クローズ"),IF($O73="",0,MAX(0,$O73-$M73)),MAX(0,TODAY()-$M73)))</f>
        <v/>
      </c>
      <c r="R73" s="139">
        <f>IF(AND($B73&lt;&gt;"",$O73&lt;&gt;""),$O73-$B73,"")</f>
        <v/>
      </c>
      <c r="S73" s="25" t="n"/>
    </row>
    <row r="74" ht="25" customHeight="1">
      <c r="A74" s="25">
        <f>IF($B74="","","CA-"&amp;TEXT(ROW()-4,"0000"))</f>
        <v/>
      </c>
      <c r="B74" s="143" t="n"/>
      <c r="C74" s="25" t="n"/>
      <c r="D74" s="25" t="n"/>
      <c r="E74" s="25" t="n"/>
      <c r="F74" s="25" t="n"/>
      <c r="G74" s="25" t="n"/>
      <c r="H74" s="25" t="n"/>
      <c r="I74" s="28" t="n"/>
      <c r="J74" s="28" t="n"/>
      <c r="K74" s="28" t="n"/>
      <c r="L74" s="25" t="n"/>
      <c r="M74" s="143" t="n"/>
      <c r="N74" s="25" t="n"/>
      <c r="O74" s="143" t="n"/>
      <c r="P74" s="25" t="n"/>
      <c r="Q74" s="139">
        <f>IF($M74="","",IF(OR($N74="完了",$N74="クローズ"),IF($O74="",0,MAX(0,$O74-$M74)),MAX(0,TODAY()-$M74)))</f>
        <v/>
      </c>
      <c r="R74" s="139">
        <f>IF(AND($B74&lt;&gt;"",$O74&lt;&gt;""),$O74-$B74,"")</f>
        <v/>
      </c>
      <c r="S74" s="25" t="n"/>
    </row>
    <row r="75" ht="25" customHeight="1">
      <c r="A75" s="25">
        <f>IF($B75="","","CA-"&amp;TEXT(ROW()-4,"0000"))</f>
        <v/>
      </c>
      <c r="B75" s="143" t="n"/>
      <c r="C75" s="25" t="n"/>
      <c r="D75" s="25" t="n"/>
      <c r="E75" s="25" t="n"/>
      <c r="F75" s="25" t="n"/>
      <c r="G75" s="25" t="n"/>
      <c r="H75" s="25" t="n"/>
      <c r="I75" s="28" t="n"/>
      <c r="J75" s="28" t="n"/>
      <c r="K75" s="28" t="n"/>
      <c r="L75" s="25" t="n"/>
      <c r="M75" s="143" t="n"/>
      <c r="N75" s="25" t="n"/>
      <c r="O75" s="143" t="n"/>
      <c r="P75" s="25" t="n"/>
      <c r="Q75" s="139">
        <f>IF($M75="","",IF(OR($N75="完了",$N75="クローズ"),IF($O75="",0,MAX(0,$O75-$M75)),MAX(0,TODAY()-$M75)))</f>
        <v/>
      </c>
      <c r="R75" s="139">
        <f>IF(AND($B75&lt;&gt;"",$O75&lt;&gt;""),$O75-$B75,"")</f>
        <v/>
      </c>
      <c r="S75" s="25" t="n"/>
    </row>
    <row r="76" ht="25" customHeight="1">
      <c r="A76" s="25">
        <f>IF($B76="","","CA-"&amp;TEXT(ROW()-4,"0000"))</f>
        <v/>
      </c>
      <c r="B76" s="143" t="n"/>
      <c r="C76" s="25" t="n"/>
      <c r="D76" s="25" t="n"/>
      <c r="E76" s="25" t="n"/>
      <c r="F76" s="25" t="n"/>
      <c r="G76" s="25" t="n"/>
      <c r="H76" s="25" t="n"/>
      <c r="I76" s="28" t="n"/>
      <c r="J76" s="28" t="n"/>
      <c r="K76" s="28" t="n"/>
      <c r="L76" s="25" t="n"/>
      <c r="M76" s="143" t="n"/>
      <c r="N76" s="25" t="n"/>
      <c r="O76" s="143" t="n"/>
      <c r="P76" s="25" t="n"/>
      <c r="Q76" s="139">
        <f>IF($M76="","",IF(OR($N76="完了",$N76="クローズ"),IF($O76="",0,MAX(0,$O76-$M76)),MAX(0,TODAY()-$M76)))</f>
        <v/>
      </c>
      <c r="R76" s="139">
        <f>IF(AND($B76&lt;&gt;"",$O76&lt;&gt;""),$O76-$B76,"")</f>
        <v/>
      </c>
      <c r="S76" s="25" t="n"/>
    </row>
    <row r="77" ht="25" customHeight="1">
      <c r="A77" s="25">
        <f>IF($B77="","","CA-"&amp;TEXT(ROW()-4,"0000"))</f>
        <v/>
      </c>
      <c r="B77" s="143" t="n"/>
      <c r="C77" s="25" t="n"/>
      <c r="D77" s="25" t="n"/>
      <c r="E77" s="25" t="n"/>
      <c r="F77" s="25" t="n"/>
      <c r="G77" s="25" t="n"/>
      <c r="H77" s="25" t="n"/>
      <c r="I77" s="28" t="n"/>
      <c r="J77" s="28" t="n"/>
      <c r="K77" s="28" t="n"/>
      <c r="L77" s="25" t="n"/>
      <c r="M77" s="143" t="n"/>
      <c r="N77" s="25" t="n"/>
      <c r="O77" s="143" t="n"/>
      <c r="P77" s="25" t="n"/>
      <c r="Q77" s="139">
        <f>IF($M77="","",IF(OR($N77="完了",$N77="クローズ"),IF($O77="",0,MAX(0,$O77-$M77)),MAX(0,TODAY()-$M77)))</f>
        <v/>
      </c>
      <c r="R77" s="139">
        <f>IF(AND($B77&lt;&gt;"",$O77&lt;&gt;""),$O77-$B77,"")</f>
        <v/>
      </c>
      <c r="S77" s="25" t="n"/>
    </row>
    <row r="78" ht="25" customHeight="1">
      <c r="A78" s="25">
        <f>IF($B78="","","CA-"&amp;TEXT(ROW()-4,"0000"))</f>
        <v/>
      </c>
      <c r="B78" s="143" t="n"/>
      <c r="C78" s="25" t="n"/>
      <c r="D78" s="25" t="n"/>
      <c r="E78" s="25" t="n"/>
      <c r="F78" s="25" t="n"/>
      <c r="G78" s="25" t="n"/>
      <c r="H78" s="25" t="n"/>
      <c r="I78" s="28" t="n"/>
      <c r="J78" s="28" t="n"/>
      <c r="K78" s="28" t="n"/>
      <c r="L78" s="25" t="n"/>
      <c r="M78" s="143" t="n"/>
      <c r="N78" s="25" t="n"/>
      <c r="O78" s="143" t="n"/>
      <c r="P78" s="25" t="n"/>
      <c r="Q78" s="139">
        <f>IF($M78="","",IF(OR($N78="完了",$N78="クローズ"),IF($O78="",0,MAX(0,$O78-$M78)),MAX(0,TODAY()-$M78)))</f>
        <v/>
      </c>
      <c r="R78" s="139">
        <f>IF(AND($B78&lt;&gt;"",$O78&lt;&gt;""),$O78-$B78,"")</f>
        <v/>
      </c>
      <c r="S78" s="25" t="n"/>
    </row>
    <row r="79" ht="25" customHeight="1">
      <c r="A79" s="25">
        <f>IF($B79="","","CA-"&amp;TEXT(ROW()-4,"0000"))</f>
        <v/>
      </c>
      <c r="B79" s="143" t="n"/>
      <c r="C79" s="25" t="n"/>
      <c r="D79" s="25" t="n"/>
      <c r="E79" s="25" t="n"/>
      <c r="F79" s="25" t="n"/>
      <c r="G79" s="25" t="n"/>
      <c r="H79" s="25" t="n"/>
      <c r="I79" s="28" t="n"/>
      <c r="J79" s="28" t="n"/>
      <c r="K79" s="28" t="n"/>
      <c r="L79" s="25" t="n"/>
      <c r="M79" s="143" t="n"/>
      <c r="N79" s="25" t="n"/>
      <c r="O79" s="143" t="n"/>
      <c r="P79" s="25" t="n"/>
      <c r="Q79" s="139">
        <f>IF($M79="","",IF(OR($N79="完了",$N79="クローズ"),IF($O79="",0,MAX(0,$O79-$M79)),MAX(0,TODAY()-$M79)))</f>
        <v/>
      </c>
      <c r="R79" s="139">
        <f>IF(AND($B79&lt;&gt;"",$O79&lt;&gt;""),$O79-$B79,"")</f>
        <v/>
      </c>
      <c r="S79" s="25" t="n"/>
    </row>
    <row r="80" ht="25" customHeight="1">
      <c r="A80" s="25">
        <f>IF($B80="","","CA-"&amp;TEXT(ROW()-4,"0000"))</f>
        <v/>
      </c>
      <c r="B80" s="143" t="n"/>
      <c r="C80" s="25" t="n"/>
      <c r="D80" s="25" t="n"/>
      <c r="E80" s="25" t="n"/>
      <c r="F80" s="25" t="n"/>
      <c r="G80" s="25" t="n"/>
      <c r="H80" s="25" t="n"/>
      <c r="I80" s="28" t="n"/>
      <c r="J80" s="28" t="n"/>
      <c r="K80" s="28" t="n"/>
      <c r="L80" s="25" t="n"/>
      <c r="M80" s="143" t="n"/>
      <c r="N80" s="25" t="n"/>
      <c r="O80" s="143" t="n"/>
      <c r="P80" s="25" t="n"/>
      <c r="Q80" s="139">
        <f>IF($M80="","",IF(OR($N80="完了",$N80="クローズ"),IF($O80="",0,MAX(0,$O80-$M80)),MAX(0,TODAY()-$M80)))</f>
        <v/>
      </c>
      <c r="R80" s="139">
        <f>IF(AND($B80&lt;&gt;"",$O80&lt;&gt;""),$O80-$B80,"")</f>
        <v/>
      </c>
      <c r="S80" s="25" t="n"/>
    </row>
    <row r="81" ht="25" customHeight="1">
      <c r="A81" s="25">
        <f>IF($B81="","","CA-"&amp;TEXT(ROW()-4,"0000"))</f>
        <v/>
      </c>
      <c r="B81" s="143" t="n"/>
      <c r="C81" s="25" t="n"/>
      <c r="D81" s="25" t="n"/>
      <c r="E81" s="25" t="n"/>
      <c r="F81" s="25" t="n"/>
      <c r="G81" s="25" t="n"/>
      <c r="H81" s="25" t="n"/>
      <c r="I81" s="28" t="n"/>
      <c r="J81" s="28" t="n"/>
      <c r="K81" s="28" t="n"/>
      <c r="L81" s="25" t="n"/>
      <c r="M81" s="143" t="n"/>
      <c r="N81" s="25" t="n"/>
      <c r="O81" s="143" t="n"/>
      <c r="P81" s="25" t="n"/>
      <c r="Q81" s="139">
        <f>IF($M81="","",IF(OR($N81="完了",$N81="クローズ"),IF($O81="",0,MAX(0,$O81-$M81)),MAX(0,TODAY()-$M81)))</f>
        <v/>
      </c>
      <c r="R81" s="139">
        <f>IF(AND($B81&lt;&gt;"",$O81&lt;&gt;""),$O81-$B81,"")</f>
        <v/>
      </c>
      <c r="S81" s="25" t="n"/>
    </row>
    <row r="82" ht="25" customHeight="1">
      <c r="A82" s="25">
        <f>IF($B82="","","CA-"&amp;TEXT(ROW()-4,"0000"))</f>
        <v/>
      </c>
      <c r="B82" s="143" t="n"/>
      <c r="C82" s="25" t="n"/>
      <c r="D82" s="25" t="n"/>
      <c r="E82" s="25" t="n"/>
      <c r="F82" s="25" t="n"/>
      <c r="G82" s="25" t="n"/>
      <c r="H82" s="25" t="n"/>
      <c r="I82" s="28" t="n"/>
      <c r="J82" s="28" t="n"/>
      <c r="K82" s="28" t="n"/>
      <c r="L82" s="25" t="n"/>
      <c r="M82" s="143" t="n"/>
      <c r="N82" s="25" t="n"/>
      <c r="O82" s="143" t="n"/>
      <c r="P82" s="25" t="n"/>
      <c r="Q82" s="139">
        <f>IF($M82="","",IF(OR($N82="完了",$N82="クローズ"),IF($O82="",0,MAX(0,$O82-$M82)),MAX(0,TODAY()-$M82)))</f>
        <v/>
      </c>
      <c r="R82" s="139">
        <f>IF(AND($B82&lt;&gt;"",$O82&lt;&gt;""),$O82-$B82,"")</f>
        <v/>
      </c>
      <c r="S82" s="25" t="n"/>
    </row>
    <row r="83" ht="25" customHeight="1">
      <c r="A83" s="25">
        <f>IF($B83="","","CA-"&amp;TEXT(ROW()-4,"0000"))</f>
        <v/>
      </c>
      <c r="B83" s="143" t="n"/>
      <c r="C83" s="25" t="n"/>
      <c r="D83" s="25" t="n"/>
      <c r="E83" s="25" t="n"/>
      <c r="F83" s="25" t="n"/>
      <c r="G83" s="25" t="n"/>
      <c r="H83" s="25" t="n"/>
      <c r="I83" s="28" t="n"/>
      <c r="J83" s="28" t="n"/>
      <c r="K83" s="28" t="n"/>
      <c r="L83" s="25" t="n"/>
      <c r="M83" s="143" t="n"/>
      <c r="N83" s="25" t="n"/>
      <c r="O83" s="143" t="n"/>
      <c r="P83" s="25" t="n"/>
      <c r="Q83" s="139">
        <f>IF($M83="","",IF(OR($N83="完了",$N83="クローズ"),IF($O83="",0,MAX(0,$O83-$M83)),MAX(0,TODAY()-$M83)))</f>
        <v/>
      </c>
      <c r="R83" s="139">
        <f>IF(AND($B83&lt;&gt;"",$O83&lt;&gt;""),$O83-$B83,"")</f>
        <v/>
      </c>
      <c r="S83" s="25" t="n"/>
    </row>
    <row r="84" ht="25" customHeight="1">
      <c r="A84" s="25">
        <f>IF($B84="","","CA-"&amp;TEXT(ROW()-4,"0000"))</f>
        <v/>
      </c>
      <c r="B84" s="143" t="n"/>
      <c r="C84" s="25" t="n"/>
      <c r="D84" s="25" t="n"/>
      <c r="E84" s="25" t="n"/>
      <c r="F84" s="25" t="n"/>
      <c r="G84" s="25" t="n"/>
      <c r="H84" s="25" t="n"/>
      <c r="I84" s="28" t="n"/>
      <c r="J84" s="28" t="n"/>
      <c r="K84" s="28" t="n"/>
      <c r="L84" s="25" t="n"/>
      <c r="M84" s="143" t="n"/>
      <c r="N84" s="25" t="n"/>
      <c r="O84" s="143" t="n"/>
      <c r="P84" s="25" t="n"/>
      <c r="Q84" s="139">
        <f>IF($M84="","",IF(OR($N84="完了",$N84="クローズ"),IF($O84="",0,MAX(0,$O84-$M84)),MAX(0,TODAY()-$M84)))</f>
        <v/>
      </c>
      <c r="R84" s="139">
        <f>IF(AND($B84&lt;&gt;"",$O84&lt;&gt;""),$O84-$B84,"")</f>
        <v/>
      </c>
      <c r="S84" s="25" t="n"/>
    </row>
    <row r="85" ht="25" customHeight="1">
      <c r="A85" s="25">
        <f>IF($B85="","","CA-"&amp;TEXT(ROW()-4,"0000"))</f>
        <v/>
      </c>
      <c r="B85" s="143" t="n"/>
      <c r="C85" s="25" t="n"/>
      <c r="D85" s="25" t="n"/>
      <c r="E85" s="25" t="n"/>
      <c r="F85" s="25" t="n"/>
      <c r="G85" s="25" t="n"/>
      <c r="H85" s="25" t="n"/>
      <c r="I85" s="28" t="n"/>
      <c r="J85" s="28" t="n"/>
      <c r="K85" s="28" t="n"/>
      <c r="L85" s="25" t="n"/>
      <c r="M85" s="143" t="n"/>
      <c r="N85" s="25" t="n"/>
      <c r="O85" s="143" t="n"/>
      <c r="P85" s="25" t="n"/>
      <c r="Q85" s="139">
        <f>IF($M85="","",IF(OR($N85="完了",$N85="クローズ"),IF($O85="",0,MAX(0,$O85-$M85)),MAX(0,TODAY()-$M85)))</f>
        <v/>
      </c>
      <c r="R85" s="139">
        <f>IF(AND($B85&lt;&gt;"",$O85&lt;&gt;""),$O85-$B85,"")</f>
        <v/>
      </c>
      <c r="S85" s="25" t="n"/>
    </row>
    <row r="86" ht="25" customHeight="1">
      <c r="A86" s="25">
        <f>IF($B86="","","CA-"&amp;TEXT(ROW()-4,"0000"))</f>
        <v/>
      </c>
      <c r="B86" s="143" t="n"/>
      <c r="C86" s="25" t="n"/>
      <c r="D86" s="25" t="n"/>
      <c r="E86" s="25" t="n"/>
      <c r="F86" s="25" t="n"/>
      <c r="G86" s="25" t="n"/>
      <c r="H86" s="25" t="n"/>
      <c r="I86" s="28" t="n"/>
      <c r="J86" s="28" t="n"/>
      <c r="K86" s="28" t="n"/>
      <c r="L86" s="25" t="n"/>
      <c r="M86" s="143" t="n"/>
      <c r="N86" s="25" t="n"/>
      <c r="O86" s="143" t="n"/>
      <c r="P86" s="25" t="n"/>
      <c r="Q86" s="139">
        <f>IF($M86="","",IF(OR($N86="完了",$N86="クローズ"),IF($O86="",0,MAX(0,$O86-$M86)),MAX(0,TODAY()-$M86)))</f>
        <v/>
      </c>
      <c r="R86" s="139">
        <f>IF(AND($B86&lt;&gt;"",$O86&lt;&gt;""),$O86-$B86,"")</f>
        <v/>
      </c>
      <c r="S86" s="25" t="n"/>
    </row>
    <row r="87" ht="25" customHeight="1">
      <c r="A87" s="25">
        <f>IF($B87="","","CA-"&amp;TEXT(ROW()-4,"0000"))</f>
        <v/>
      </c>
      <c r="B87" s="143" t="n"/>
      <c r="C87" s="25" t="n"/>
      <c r="D87" s="25" t="n"/>
      <c r="E87" s="25" t="n"/>
      <c r="F87" s="25" t="n"/>
      <c r="G87" s="25" t="n"/>
      <c r="H87" s="25" t="n"/>
      <c r="I87" s="28" t="n"/>
      <c r="J87" s="28" t="n"/>
      <c r="K87" s="28" t="n"/>
      <c r="L87" s="25" t="n"/>
      <c r="M87" s="143" t="n"/>
      <c r="N87" s="25" t="n"/>
      <c r="O87" s="143" t="n"/>
      <c r="P87" s="25" t="n"/>
      <c r="Q87" s="139">
        <f>IF($M87="","",IF(OR($N87="完了",$N87="クローズ"),IF($O87="",0,MAX(0,$O87-$M87)),MAX(0,TODAY()-$M87)))</f>
        <v/>
      </c>
      <c r="R87" s="139">
        <f>IF(AND($B87&lt;&gt;"",$O87&lt;&gt;""),$O87-$B87,"")</f>
        <v/>
      </c>
      <c r="S87" s="25" t="n"/>
    </row>
    <row r="88" ht="25" customHeight="1">
      <c r="A88" s="25">
        <f>IF($B88="","","CA-"&amp;TEXT(ROW()-4,"0000"))</f>
        <v/>
      </c>
      <c r="B88" s="143" t="n"/>
      <c r="C88" s="25" t="n"/>
      <c r="D88" s="25" t="n"/>
      <c r="E88" s="25" t="n"/>
      <c r="F88" s="25" t="n"/>
      <c r="G88" s="25" t="n"/>
      <c r="H88" s="25" t="n"/>
      <c r="I88" s="28" t="n"/>
      <c r="J88" s="28" t="n"/>
      <c r="K88" s="28" t="n"/>
      <c r="L88" s="25" t="n"/>
      <c r="M88" s="143" t="n"/>
      <c r="N88" s="25" t="n"/>
      <c r="O88" s="143" t="n"/>
      <c r="P88" s="25" t="n"/>
      <c r="Q88" s="139">
        <f>IF($M88="","",IF(OR($N88="完了",$N88="クローズ"),IF($O88="",0,MAX(0,$O88-$M88)),MAX(0,TODAY()-$M88)))</f>
        <v/>
      </c>
      <c r="R88" s="139">
        <f>IF(AND($B88&lt;&gt;"",$O88&lt;&gt;""),$O88-$B88,"")</f>
        <v/>
      </c>
      <c r="S88" s="25" t="n"/>
    </row>
    <row r="89" ht="25" customHeight="1">
      <c r="A89" s="25">
        <f>IF($B89="","","CA-"&amp;TEXT(ROW()-4,"0000"))</f>
        <v/>
      </c>
      <c r="B89" s="143" t="n"/>
      <c r="C89" s="25" t="n"/>
      <c r="D89" s="25" t="n"/>
      <c r="E89" s="25" t="n"/>
      <c r="F89" s="25" t="n"/>
      <c r="G89" s="25" t="n"/>
      <c r="H89" s="25" t="n"/>
      <c r="I89" s="28" t="n"/>
      <c r="J89" s="28" t="n"/>
      <c r="K89" s="28" t="n"/>
      <c r="L89" s="25" t="n"/>
      <c r="M89" s="143" t="n"/>
      <c r="N89" s="25" t="n"/>
      <c r="O89" s="143" t="n"/>
      <c r="P89" s="25" t="n"/>
      <c r="Q89" s="139">
        <f>IF($M89="","",IF(OR($N89="完了",$N89="クローズ"),IF($O89="",0,MAX(0,$O89-$M89)),MAX(0,TODAY()-$M89)))</f>
        <v/>
      </c>
      <c r="R89" s="139">
        <f>IF(AND($B89&lt;&gt;"",$O89&lt;&gt;""),$O89-$B89,"")</f>
        <v/>
      </c>
      <c r="S89" s="25" t="n"/>
    </row>
    <row r="90" ht="25" customHeight="1">
      <c r="A90" s="25">
        <f>IF($B90="","","CA-"&amp;TEXT(ROW()-4,"0000"))</f>
        <v/>
      </c>
      <c r="B90" s="143" t="n"/>
      <c r="C90" s="25" t="n"/>
      <c r="D90" s="25" t="n"/>
      <c r="E90" s="25" t="n"/>
      <c r="F90" s="25" t="n"/>
      <c r="G90" s="25" t="n"/>
      <c r="H90" s="25" t="n"/>
      <c r="I90" s="28" t="n"/>
      <c r="J90" s="28" t="n"/>
      <c r="K90" s="28" t="n"/>
      <c r="L90" s="25" t="n"/>
      <c r="M90" s="143" t="n"/>
      <c r="N90" s="25" t="n"/>
      <c r="O90" s="143" t="n"/>
      <c r="P90" s="25" t="n"/>
      <c r="Q90" s="139">
        <f>IF($M90="","",IF(OR($N90="完了",$N90="クローズ"),IF($O90="",0,MAX(0,$O90-$M90)),MAX(0,TODAY()-$M90)))</f>
        <v/>
      </c>
      <c r="R90" s="139">
        <f>IF(AND($B90&lt;&gt;"",$O90&lt;&gt;""),$O90-$B90,"")</f>
        <v/>
      </c>
      <c r="S90" s="25" t="n"/>
    </row>
    <row r="91" ht="25" customHeight="1">
      <c r="A91" s="25">
        <f>IF($B91="","","CA-"&amp;TEXT(ROW()-4,"0000"))</f>
        <v/>
      </c>
      <c r="B91" s="143" t="n"/>
      <c r="C91" s="25" t="n"/>
      <c r="D91" s="25" t="n"/>
      <c r="E91" s="25" t="n"/>
      <c r="F91" s="25" t="n"/>
      <c r="G91" s="25" t="n"/>
      <c r="H91" s="25" t="n"/>
      <c r="I91" s="28" t="n"/>
      <c r="J91" s="28" t="n"/>
      <c r="K91" s="28" t="n"/>
      <c r="L91" s="25" t="n"/>
      <c r="M91" s="143" t="n"/>
      <c r="N91" s="25" t="n"/>
      <c r="O91" s="143" t="n"/>
      <c r="P91" s="25" t="n"/>
      <c r="Q91" s="139">
        <f>IF($M91="","",IF(OR($N91="完了",$N91="クローズ"),IF($O91="",0,MAX(0,$O91-$M91)),MAX(0,TODAY()-$M91)))</f>
        <v/>
      </c>
      <c r="R91" s="139">
        <f>IF(AND($B91&lt;&gt;"",$O91&lt;&gt;""),$O91-$B91,"")</f>
        <v/>
      </c>
      <c r="S91" s="25" t="n"/>
    </row>
    <row r="92" ht="25" customHeight="1">
      <c r="A92" s="25">
        <f>IF($B92="","","CA-"&amp;TEXT(ROW()-4,"0000"))</f>
        <v/>
      </c>
      <c r="B92" s="143" t="n"/>
      <c r="C92" s="25" t="n"/>
      <c r="D92" s="25" t="n"/>
      <c r="E92" s="25" t="n"/>
      <c r="F92" s="25" t="n"/>
      <c r="G92" s="25" t="n"/>
      <c r="H92" s="25" t="n"/>
      <c r="I92" s="28" t="n"/>
      <c r="J92" s="28" t="n"/>
      <c r="K92" s="28" t="n"/>
      <c r="L92" s="25" t="n"/>
      <c r="M92" s="143" t="n"/>
      <c r="N92" s="25" t="n"/>
      <c r="O92" s="143" t="n"/>
      <c r="P92" s="25" t="n"/>
      <c r="Q92" s="139">
        <f>IF($M92="","",IF(OR($N92="完了",$N92="クローズ"),IF($O92="",0,MAX(0,$O92-$M92)),MAX(0,TODAY()-$M92)))</f>
        <v/>
      </c>
      <c r="R92" s="139">
        <f>IF(AND($B92&lt;&gt;"",$O92&lt;&gt;""),$O92-$B92,"")</f>
        <v/>
      </c>
      <c r="S92" s="25" t="n"/>
    </row>
    <row r="93" ht="25" customHeight="1">
      <c r="A93" s="25">
        <f>IF($B93="","","CA-"&amp;TEXT(ROW()-4,"0000"))</f>
        <v/>
      </c>
      <c r="B93" s="143" t="n"/>
      <c r="C93" s="25" t="n"/>
      <c r="D93" s="25" t="n"/>
      <c r="E93" s="25" t="n"/>
      <c r="F93" s="25" t="n"/>
      <c r="G93" s="25" t="n"/>
      <c r="H93" s="25" t="n"/>
      <c r="I93" s="28" t="n"/>
      <c r="J93" s="28" t="n"/>
      <c r="K93" s="28" t="n"/>
      <c r="L93" s="25" t="n"/>
      <c r="M93" s="143" t="n"/>
      <c r="N93" s="25" t="n"/>
      <c r="O93" s="143" t="n"/>
      <c r="P93" s="25" t="n"/>
      <c r="Q93" s="139">
        <f>IF($M93="","",IF(OR($N93="完了",$N93="クローズ"),IF($O93="",0,MAX(0,$O93-$M93)),MAX(0,TODAY()-$M93)))</f>
        <v/>
      </c>
      <c r="R93" s="139">
        <f>IF(AND($B93&lt;&gt;"",$O93&lt;&gt;""),$O93-$B93,"")</f>
        <v/>
      </c>
      <c r="S93" s="25" t="n"/>
    </row>
    <row r="94" ht="25" customHeight="1">
      <c r="A94" s="25">
        <f>IF($B94="","","CA-"&amp;TEXT(ROW()-4,"0000"))</f>
        <v/>
      </c>
      <c r="B94" s="143" t="n"/>
      <c r="C94" s="25" t="n"/>
      <c r="D94" s="25" t="n"/>
      <c r="E94" s="25" t="n"/>
      <c r="F94" s="25" t="n"/>
      <c r="G94" s="25" t="n"/>
      <c r="H94" s="25" t="n"/>
      <c r="I94" s="28" t="n"/>
      <c r="J94" s="28" t="n"/>
      <c r="K94" s="28" t="n"/>
      <c r="L94" s="25" t="n"/>
      <c r="M94" s="143" t="n"/>
      <c r="N94" s="25" t="n"/>
      <c r="O94" s="143" t="n"/>
      <c r="P94" s="25" t="n"/>
      <c r="Q94" s="139">
        <f>IF($M94="","",IF(OR($N94="完了",$N94="クローズ"),IF($O94="",0,MAX(0,$O94-$M94)),MAX(0,TODAY()-$M94)))</f>
        <v/>
      </c>
      <c r="R94" s="139">
        <f>IF(AND($B94&lt;&gt;"",$O94&lt;&gt;""),$O94-$B94,"")</f>
        <v/>
      </c>
      <c r="S94" s="25" t="n"/>
    </row>
    <row r="95" ht="25" customHeight="1">
      <c r="A95" s="25">
        <f>IF($B95="","","CA-"&amp;TEXT(ROW()-4,"0000"))</f>
        <v/>
      </c>
      <c r="B95" s="143" t="n"/>
      <c r="C95" s="25" t="n"/>
      <c r="D95" s="25" t="n"/>
      <c r="E95" s="25" t="n"/>
      <c r="F95" s="25" t="n"/>
      <c r="G95" s="25" t="n"/>
      <c r="H95" s="25" t="n"/>
      <c r="I95" s="28" t="n"/>
      <c r="J95" s="28" t="n"/>
      <c r="K95" s="28" t="n"/>
      <c r="L95" s="25" t="n"/>
      <c r="M95" s="143" t="n"/>
      <c r="N95" s="25" t="n"/>
      <c r="O95" s="143" t="n"/>
      <c r="P95" s="25" t="n"/>
      <c r="Q95" s="139">
        <f>IF($M95="","",IF(OR($N95="完了",$N95="クローズ"),IF($O95="",0,MAX(0,$O95-$M95)),MAX(0,TODAY()-$M95)))</f>
        <v/>
      </c>
      <c r="R95" s="139">
        <f>IF(AND($B95&lt;&gt;"",$O95&lt;&gt;""),$O95-$B95,"")</f>
        <v/>
      </c>
      <c r="S95" s="25" t="n"/>
    </row>
    <row r="96" ht="25" customHeight="1">
      <c r="A96" s="25">
        <f>IF($B96="","","CA-"&amp;TEXT(ROW()-4,"0000"))</f>
        <v/>
      </c>
      <c r="B96" s="143" t="n"/>
      <c r="C96" s="25" t="n"/>
      <c r="D96" s="25" t="n"/>
      <c r="E96" s="25" t="n"/>
      <c r="F96" s="25" t="n"/>
      <c r="G96" s="25" t="n"/>
      <c r="H96" s="25" t="n"/>
      <c r="I96" s="28" t="n"/>
      <c r="J96" s="28" t="n"/>
      <c r="K96" s="28" t="n"/>
      <c r="L96" s="25" t="n"/>
      <c r="M96" s="143" t="n"/>
      <c r="N96" s="25" t="n"/>
      <c r="O96" s="143" t="n"/>
      <c r="P96" s="25" t="n"/>
      <c r="Q96" s="139">
        <f>IF($M96="","",IF(OR($N96="完了",$N96="クローズ"),IF($O96="",0,MAX(0,$O96-$M96)),MAX(0,TODAY()-$M96)))</f>
        <v/>
      </c>
      <c r="R96" s="139">
        <f>IF(AND($B96&lt;&gt;"",$O96&lt;&gt;""),$O96-$B96,"")</f>
        <v/>
      </c>
      <c r="S96" s="25" t="n"/>
    </row>
    <row r="97" ht="25" customHeight="1">
      <c r="A97" s="25">
        <f>IF($B97="","","CA-"&amp;TEXT(ROW()-4,"0000"))</f>
        <v/>
      </c>
      <c r="B97" s="143" t="n"/>
      <c r="C97" s="25" t="n"/>
      <c r="D97" s="25" t="n"/>
      <c r="E97" s="25" t="n"/>
      <c r="F97" s="25" t="n"/>
      <c r="G97" s="25" t="n"/>
      <c r="H97" s="25" t="n"/>
      <c r="I97" s="28" t="n"/>
      <c r="J97" s="28" t="n"/>
      <c r="K97" s="28" t="n"/>
      <c r="L97" s="25" t="n"/>
      <c r="M97" s="143" t="n"/>
      <c r="N97" s="25" t="n"/>
      <c r="O97" s="143" t="n"/>
      <c r="P97" s="25" t="n"/>
      <c r="Q97" s="139">
        <f>IF($M97="","",IF(OR($N97="完了",$N97="クローズ"),IF($O97="",0,MAX(0,$O97-$M97)),MAX(0,TODAY()-$M97)))</f>
        <v/>
      </c>
      <c r="R97" s="139">
        <f>IF(AND($B97&lt;&gt;"",$O97&lt;&gt;""),$O97-$B97,"")</f>
        <v/>
      </c>
      <c r="S97" s="25" t="n"/>
    </row>
    <row r="98" ht="25" customHeight="1">
      <c r="A98" s="25">
        <f>IF($B98="","","CA-"&amp;TEXT(ROW()-4,"0000"))</f>
        <v/>
      </c>
      <c r="B98" s="143" t="n"/>
      <c r="C98" s="25" t="n"/>
      <c r="D98" s="25" t="n"/>
      <c r="E98" s="25" t="n"/>
      <c r="F98" s="25" t="n"/>
      <c r="G98" s="25" t="n"/>
      <c r="H98" s="25" t="n"/>
      <c r="I98" s="28" t="n"/>
      <c r="J98" s="28" t="n"/>
      <c r="K98" s="28" t="n"/>
      <c r="L98" s="25" t="n"/>
      <c r="M98" s="143" t="n"/>
      <c r="N98" s="25" t="n"/>
      <c r="O98" s="143" t="n"/>
      <c r="P98" s="25" t="n"/>
      <c r="Q98" s="139">
        <f>IF($M98="","",IF(OR($N98="完了",$N98="クローズ"),IF($O98="",0,MAX(0,$O98-$M98)),MAX(0,TODAY()-$M98)))</f>
        <v/>
      </c>
      <c r="R98" s="139">
        <f>IF(AND($B98&lt;&gt;"",$O98&lt;&gt;""),$O98-$B98,"")</f>
        <v/>
      </c>
      <c r="S98" s="25" t="n"/>
    </row>
    <row r="99" ht="25" customHeight="1">
      <c r="A99" s="25">
        <f>IF($B99="","","CA-"&amp;TEXT(ROW()-4,"0000"))</f>
        <v/>
      </c>
      <c r="B99" s="143" t="n"/>
      <c r="C99" s="25" t="n"/>
      <c r="D99" s="25" t="n"/>
      <c r="E99" s="25" t="n"/>
      <c r="F99" s="25" t="n"/>
      <c r="G99" s="25" t="n"/>
      <c r="H99" s="25" t="n"/>
      <c r="I99" s="28" t="n"/>
      <c r="J99" s="28" t="n"/>
      <c r="K99" s="28" t="n"/>
      <c r="L99" s="25" t="n"/>
      <c r="M99" s="143" t="n"/>
      <c r="N99" s="25" t="n"/>
      <c r="O99" s="143" t="n"/>
      <c r="P99" s="25" t="n"/>
      <c r="Q99" s="139">
        <f>IF($M99="","",IF(OR($N99="完了",$N99="クローズ"),IF($O99="",0,MAX(0,$O99-$M99)),MAX(0,TODAY()-$M99)))</f>
        <v/>
      </c>
      <c r="R99" s="139">
        <f>IF(AND($B99&lt;&gt;"",$O99&lt;&gt;""),$O99-$B99,"")</f>
        <v/>
      </c>
      <c r="S99" s="25" t="n"/>
    </row>
    <row r="100" ht="25" customHeight="1">
      <c r="A100" s="25">
        <f>IF($B100="","","CA-"&amp;TEXT(ROW()-4,"0000"))</f>
        <v/>
      </c>
      <c r="B100" s="143" t="n"/>
      <c r="C100" s="25" t="n"/>
      <c r="D100" s="25" t="n"/>
      <c r="E100" s="25" t="n"/>
      <c r="F100" s="25" t="n"/>
      <c r="G100" s="25" t="n"/>
      <c r="H100" s="25" t="n"/>
      <c r="I100" s="28" t="n"/>
      <c r="J100" s="28" t="n"/>
      <c r="K100" s="28" t="n"/>
      <c r="L100" s="25" t="n"/>
      <c r="M100" s="143" t="n"/>
      <c r="N100" s="25" t="n"/>
      <c r="O100" s="143" t="n"/>
      <c r="P100" s="25" t="n"/>
      <c r="Q100" s="139">
        <f>IF($M100="","",IF(OR($N100="完了",$N100="クローズ"),IF($O100="",0,MAX(0,$O100-$M100)),MAX(0,TODAY()-$M100)))</f>
        <v/>
      </c>
      <c r="R100" s="139">
        <f>IF(AND($B100&lt;&gt;"",$O100&lt;&gt;""),$O100-$B100,"")</f>
        <v/>
      </c>
      <c r="S100" s="25" t="n"/>
    </row>
    <row r="101" ht="25" customHeight="1">
      <c r="A101" s="25">
        <f>IF($B101="","","CA-"&amp;TEXT(ROW()-4,"0000"))</f>
        <v/>
      </c>
      <c r="B101" s="143" t="n"/>
      <c r="C101" s="25" t="n"/>
      <c r="D101" s="25" t="n"/>
      <c r="E101" s="25" t="n"/>
      <c r="F101" s="25" t="n"/>
      <c r="G101" s="25" t="n"/>
      <c r="H101" s="25" t="n"/>
      <c r="I101" s="28" t="n"/>
      <c r="J101" s="28" t="n"/>
      <c r="K101" s="28" t="n"/>
      <c r="L101" s="25" t="n"/>
      <c r="M101" s="143" t="n"/>
      <c r="N101" s="25" t="n"/>
      <c r="O101" s="143" t="n"/>
      <c r="P101" s="25" t="n"/>
      <c r="Q101" s="139">
        <f>IF($M101="","",IF(OR($N101="完了",$N101="クローズ"),IF($O101="",0,MAX(0,$O101-$M101)),MAX(0,TODAY()-$M101)))</f>
        <v/>
      </c>
      <c r="R101" s="139">
        <f>IF(AND($B101&lt;&gt;"",$O101&lt;&gt;""),$O101-$B101,"")</f>
        <v/>
      </c>
      <c r="S101" s="25" t="n"/>
    </row>
    <row r="102" ht="25" customHeight="1">
      <c r="A102" s="25">
        <f>IF($B102="","","CA-"&amp;TEXT(ROW()-4,"0000"))</f>
        <v/>
      </c>
      <c r="B102" s="143" t="n"/>
      <c r="C102" s="25" t="n"/>
      <c r="D102" s="25" t="n"/>
      <c r="E102" s="25" t="n"/>
      <c r="F102" s="25" t="n"/>
      <c r="G102" s="25" t="n"/>
      <c r="H102" s="25" t="n"/>
      <c r="I102" s="28" t="n"/>
      <c r="J102" s="28" t="n"/>
      <c r="K102" s="28" t="n"/>
      <c r="L102" s="25" t="n"/>
      <c r="M102" s="143" t="n"/>
      <c r="N102" s="25" t="n"/>
      <c r="O102" s="143" t="n"/>
      <c r="P102" s="25" t="n"/>
      <c r="Q102" s="139">
        <f>IF($M102="","",IF(OR($N102="完了",$N102="クローズ"),IF($O102="",0,MAX(0,$O102-$M102)),MAX(0,TODAY()-$M102)))</f>
        <v/>
      </c>
      <c r="R102" s="139">
        <f>IF(AND($B102&lt;&gt;"",$O102&lt;&gt;""),$O102-$B102,"")</f>
        <v/>
      </c>
      <c r="S102" s="25" t="n"/>
    </row>
    <row r="103" ht="25" customHeight="1">
      <c r="A103" s="25">
        <f>IF($B103="","","CA-"&amp;TEXT(ROW()-4,"0000"))</f>
        <v/>
      </c>
      <c r="B103" s="143" t="n"/>
      <c r="C103" s="25" t="n"/>
      <c r="D103" s="25" t="n"/>
      <c r="E103" s="25" t="n"/>
      <c r="F103" s="25" t="n"/>
      <c r="G103" s="25" t="n"/>
      <c r="H103" s="25" t="n"/>
      <c r="I103" s="28" t="n"/>
      <c r="J103" s="28" t="n"/>
      <c r="K103" s="28" t="n"/>
      <c r="L103" s="25" t="n"/>
      <c r="M103" s="143" t="n"/>
      <c r="N103" s="25" t="n"/>
      <c r="O103" s="143" t="n"/>
      <c r="P103" s="25" t="n"/>
      <c r="Q103" s="139">
        <f>IF($M103="","",IF(OR($N103="完了",$N103="クローズ"),IF($O103="",0,MAX(0,$O103-$M103)),MAX(0,TODAY()-$M103)))</f>
        <v/>
      </c>
      <c r="R103" s="139">
        <f>IF(AND($B103&lt;&gt;"",$O103&lt;&gt;""),$O103-$B103,"")</f>
        <v/>
      </c>
      <c r="S103" s="25" t="n"/>
    </row>
    <row r="104" ht="25" customHeight="1">
      <c r="A104" s="25">
        <f>IF($B104="","","CA-"&amp;TEXT(ROW()-4,"0000"))</f>
        <v/>
      </c>
      <c r="B104" s="143" t="n"/>
      <c r="C104" s="25" t="n"/>
      <c r="D104" s="25" t="n"/>
      <c r="E104" s="25" t="n"/>
      <c r="F104" s="25" t="n"/>
      <c r="G104" s="25" t="n"/>
      <c r="H104" s="25" t="n"/>
      <c r="I104" s="28" t="n"/>
      <c r="J104" s="28" t="n"/>
      <c r="K104" s="28" t="n"/>
      <c r="L104" s="25" t="n"/>
      <c r="M104" s="143" t="n"/>
      <c r="N104" s="25" t="n"/>
      <c r="O104" s="143" t="n"/>
      <c r="P104" s="25" t="n"/>
      <c r="Q104" s="139">
        <f>IF($M104="","",IF(OR($N104="完了",$N104="クローズ"),IF($O104="",0,MAX(0,$O104-$M104)),MAX(0,TODAY()-$M104)))</f>
        <v/>
      </c>
      <c r="R104" s="139">
        <f>IF(AND($B104&lt;&gt;"",$O104&lt;&gt;""),$O104-$B104,"")</f>
        <v/>
      </c>
      <c r="S104" s="25" t="n"/>
    </row>
    <row r="105" ht="25" customHeight="1">
      <c r="A105" s="25">
        <f>IF($B105="","","CA-"&amp;TEXT(ROW()-4,"0000"))</f>
        <v/>
      </c>
      <c r="B105" s="143" t="n"/>
      <c r="C105" s="25" t="n"/>
      <c r="D105" s="25" t="n"/>
      <c r="E105" s="25" t="n"/>
      <c r="F105" s="25" t="n"/>
      <c r="G105" s="25" t="n"/>
      <c r="H105" s="25" t="n"/>
      <c r="I105" s="28" t="n"/>
      <c r="J105" s="28" t="n"/>
      <c r="K105" s="28" t="n"/>
      <c r="L105" s="25" t="n"/>
      <c r="M105" s="143" t="n"/>
      <c r="N105" s="25" t="n"/>
      <c r="O105" s="143" t="n"/>
      <c r="P105" s="25" t="n"/>
      <c r="Q105" s="139">
        <f>IF($M105="","",IF(OR($N105="完了",$N105="クローズ"),IF($O105="",0,MAX(0,$O105-$M105)),MAX(0,TODAY()-$M105)))</f>
        <v/>
      </c>
      <c r="R105" s="139">
        <f>IF(AND($B105&lt;&gt;"",$O105&lt;&gt;""),$O105-$B105,"")</f>
        <v/>
      </c>
      <c r="S105" s="25" t="n"/>
    </row>
    <row r="106" ht="25" customHeight="1">
      <c r="A106" s="25">
        <f>IF($B106="","","CA-"&amp;TEXT(ROW()-4,"0000"))</f>
        <v/>
      </c>
      <c r="B106" s="143" t="n"/>
      <c r="C106" s="25" t="n"/>
      <c r="D106" s="25" t="n"/>
      <c r="E106" s="25" t="n"/>
      <c r="F106" s="25" t="n"/>
      <c r="G106" s="25" t="n"/>
      <c r="H106" s="25" t="n"/>
      <c r="I106" s="28" t="n"/>
      <c r="J106" s="28" t="n"/>
      <c r="K106" s="28" t="n"/>
      <c r="L106" s="25" t="n"/>
      <c r="M106" s="143" t="n"/>
      <c r="N106" s="25" t="n"/>
      <c r="O106" s="143" t="n"/>
      <c r="P106" s="25" t="n"/>
      <c r="Q106" s="139">
        <f>IF($M106="","",IF(OR($N106="完了",$N106="クローズ"),IF($O106="",0,MAX(0,$O106-$M106)),MAX(0,TODAY()-$M106)))</f>
        <v/>
      </c>
      <c r="R106" s="139">
        <f>IF(AND($B106&lt;&gt;"",$O106&lt;&gt;""),$O106-$B106,"")</f>
        <v/>
      </c>
      <c r="S106" s="25" t="n"/>
    </row>
    <row r="107" ht="25" customHeight="1">
      <c r="A107" s="25">
        <f>IF($B107="","","CA-"&amp;TEXT(ROW()-4,"0000"))</f>
        <v/>
      </c>
      <c r="B107" s="143" t="n"/>
      <c r="C107" s="25" t="n"/>
      <c r="D107" s="25" t="n"/>
      <c r="E107" s="25" t="n"/>
      <c r="F107" s="25" t="n"/>
      <c r="G107" s="25" t="n"/>
      <c r="H107" s="25" t="n"/>
      <c r="I107" s="28" t="n"/>
      <c r="J107" s="28" t="n"/>
      <c r="K107" s="28" t="n"/>
      <c r="L107" s="25" t="n"/>
      <c r="M107" s="143" t="n"/>
      <c r="N107" s="25" t="n"/>
      <c r="O107" s="143" t="n"/>
      <c r="P107" s="25" t="n"/>
      <c r="Q107" s="139">
        <f>IF($M107="","",IF(OR($N107="完了",$N107="クローズ"),IF($O107="",0,MAX(0,$O107-$M107)),MAX(0,TODAY()-$M107)))</f>
        <v/>
      </c>
      <c r="R107" s="139">
        <f>IF(AND($B107&lt;&gt;"",$O107&lt;&gt;""),$O107-$B107,"")</f>
        <v/>
      </c>
      <c r="S107" s="25" t="n"/>
    </row>
    <row r="108" ht="25" customHeight="1">
      <c r="A108" s="25">
        <f>IF($B108="","","CA-"&amp;TEXT(ROW()-4,"0000"))</f>
        <v/>
      </c>
      <c r="B108" s="143" t="n"/>
      <c r="C108" s="25" t="n"/>
      <c r="D108" s="25" t="n"/>
      <c r="E108" s="25" t="n"/>
      <c r="F108" s="25" t="n"/>
      <c r="G108" s="25" t="n"/>
      <c r="H108" s="25" t="n"/>
      <c r="I108" s="28" t="n"/>
      <c r="J108" s="28" t="n"/>
      <c r="K108" s="28" t="n"/>
      <c r="L108" s="25" t="n"/>
      <c r="M108" s="143" t="n"/>
      <c r="N108" s="25" t="n"/>
      <c r="O108" s="143" t="n"/>
      <c r="P108" s="25" t="n"/>
      <c r="Q108" s="139">
        <f>IF($M108="","",IF(OR($N108="完了",$N108="クローズ"),IF($O108="",0,MAX(0,$O108-$M108)),MAX(0,TODAY()-$M108)))</f>
        <v/>
      </c>
      <c r="R108" s="139">
        <f>IF(AND($B108&lt;&gt;"",$O108&lt;&gt;""),$O108-$B108,"")</f>
        <v/>
      </c>
      <c r="S108" s="25" t="n"/>
    </row>
    <row r="109" ht="25" customHeight="1">
      <c r="A109" s="25">
        <f>IF($B109="","","CA-"&amp;TEXT(ROW()-4,"0000"))</f>
        <v/>
      </c>
      <c r="B109" s="143" t="n"/>
      <c r="C109" s="25" t="n"/>
      <c r="D109" s="25" t="n"/>
      <c r="E109" s="25" t="n"/>
      <c r="F109" s="25" t="n"/>
      <c r="G109" s="25" t="n"/>
      <c r="H109" s="25" t="n"/>
      <c r="I109" s="28" t="n"/>
      <c r="J109" s="28" t="n"/>
      <c r="K109" s="28" t="n"/>
      <c r="L109" s="25" t="n"/>
      <c r="M109" s="143" t="n"/>
      <c r="N109" s="25" t="n"/>
      <c r="O109" s="143" t="n"/>
      <c r="P109" s="25" t="n"/>
      <c r="Q109" s="139">
        <f>IF($M109="","",IF(OR($N109="完了",$N109="クローズ"),IF($O109="",0,MAX(0,$O109-$M109)),MAX(0,TODAY()-$M109)))</f>
        <v/>
      </c>
      <c r="R109" s="139">
        <f>IF(AND($B109&lt;&gt;"",$O109&lt;&gt;""),$O109-$B109,"")</f>
        <v/>
      </c>
      <c r="S109" s="25" t="n"/>
    </row>
    <row r="110" ht="25" customHeight="1">
      <c r="A110" s="25">
        <f>IF($B110="","","CA-"&amp;TEXT(ROW()-4,"0000"))</f>
        <v/>
      </c>
      <c r="B110" s="143" t="n"/>
      <c r="C110" s="25" t="n"/>
      <c r="D110" s="25" t="n"/>
      <c r="E110" s="25" t="n"/>
      <c r="F110" s="25" t="n"/>
      <c r="G110" s="25" t="n"/>
      <c r="H110" s="25" t="n"/>
      <c r="I110" s="28" t="n"/>
      <c r="J110" s="28" t="n"/>
      <c r="K110" s="28" t="n"/>
      <c r="L110" s="25" t="n"/>
      <c r="M110" s="143" t="n"/>
      <c r="N110" s="25" t="n"/>
      <c r="O110" s="143" t="n"/>
      <c r="P110" s="25" t="n"/>
      <c r="Q110" s="139">
        <f>IF($M110="","",IF(OR($N110="完了",$N110="クローズ"),IF($O110="",0,MAX(0,$O110-$M110)),MAX(0,TODAY()-$M110)))</f>
        <v/>
      </c>
      <c r="R110" s="139">
        <f>IF(AND($B110&lt;&gt;"",$O110&lt;&gt;""),$O110-$B110,"")</f>
        <v/>
      </c>
      <c r="S110" s="25" t="n"/>
    </row>
    <row r="111" ht="25" customHeight="1">
      <c r="A111" s="25">
        <f>IF($B111="","","CA-"&amp;TEXT(ROW()-4,"0000"))</f>
        <v/>
      </c>
      <c r="B111" s="143" t="n"/>
      <c r="C111" s="25" t="n"/>
      <c r="D111" s="25" t="n"/>
      <c r="E111" s="25" t="n"/>
      <c r="F111" s="25" t="n"/>
      <c r="G111" s="25" t="n"/>
      <c r="H111" s="25" t="n"/>
      <c r="I111" s="28" t="n"/>
      <c r="J111" s="28" t="n"/>
      <c r="K111" s="28" t="n"/>
      <c r="L111" s="25" t="n"/>
      <c r="M111" s="143" t="n"/>
      <c r="N111" s="25" t="n"/>
      <c r="O111" s="143" t="n"/>
      <c r="P111" s="25" t="n"/>
      <c r="Q111" s="139">
        <f>IF($M111="","",IF(OR($N111="完了",$N111="クローズ"),IF($O111="",0,MAX(0,$O111-$M111)),MAX(0,TODAY()-$M111)))</f>
        <v/>
      </c>
      <c r="R111" s="139">
        <f>IF(AND($B111&lt;&gt;"",$O111&lt;&gt;""),$O111-$B111,"")</f>
        <v/>
      </c>
      <c r="S111" s="25" t="n"/>
    </row>
    <row r="112" ht="25" customHeight="1">
      <c r="A112" s="25">
        <f>IF($B112="","","CA-"&amp;TEXT(ROW()-4,"0000"))</f>
        <v/>
      </c>
      <c r="B112" s="143" t="n"/>
      <c r="C112" s="25" t="n"/>
      <c r="D112" s="25" t="n"/>
      <c r="E112" s="25" t="n"/>
      <c r="F112" s="25" t="n"/>
      <c r="G112" s="25" t="n"/>
      <c r="H112" s="25" t="n"/>
      <c r="I112" s="28" t="n"/>
      <c r="J112" s="28" t="n"/>
      <c r="K112" s="28" t="n"/>
      <c r="L112" s="25" t="n"/>
      <c r="M112" s="143" t="n"/>
      <c r="N112" s="25" t="n"/>
      <c r="O112" s="143" t="n"/>
      <c r="P112" s="25" t="n"/>
      <c r="Q112" s="139">
        <f>IF($M112="","",IF(OR($N112="完了",$N112="クローズ"),IF($O112="",0,MAX(0,$O112-$M112)),MAX(0,TODAY()-$M112)))</f>
        <v/>
      </c>
      <c r="R112" s="139">
        <f>IF(AND($B112&lt;&gt;"",$O112&lt;&gt;""),$O112-$B112,"")</f>
        <v/>
      </c>
      <c r="S112" s="25" t="n"/>
    </row>
    <row r="113" ht="25" customHeight="1">
      <c r="A113" s="25">
        <f>IF($B113="","","CA-"&amp;TEXT(ROW()-4,"0000"))</f>
        <v/>
      </c>
      <c r="B113" s="143" t="n"/>
      <c r="C113" s="25" t="n"/>
      <c r="D113" s="25" t="n"/>
      <c r="E113" s="25" t="n"/>
      <c r="F113" s="25" t="n"/>
      <c r="G113" s="25" t="n"/>
      <c r="H113" s="25" t="n"/>
      <c r="I113" s="28" t="n"/>
      <c r="J113" s="28" t="n"/>
      <c r="K113" s="28" t="n"/>
      <c r="L113" s="25" t="n"/>
      <c r="M113" s="143" t="n"/>
      <c r="N113" s="25" t="n"/>
      <c r="O113" s="143" t="n"/>
      <c r="P113" s="25" t="n"/>
      <c r="Q113" s="139">
        <f>IF($M113="","",IF(OR($N113="完了",$N113="クローズ"),IF($O113="",0,MAX(0,$O113-$M113)),MAX(0,TODAY()-$M113)))</f>
        <v/>
      </c>
      <c r="R113" s="139">
        <f>IF(AND($B113&lt;&gt;"",$O113&lt;&gt;""),$O113-$B113,"")</f>
        <v/>
      </c>
      <c r="S113" s="25" t="n"/>
    </row>
    <row r="114" ht="25" customHeight="1">
      <c r="A114" s="25">
        <f>IF($B114="","","CA-"&amp;TEXT(ROW()-4,"0000"))</f>
        <v/>
      </c>
      <c r="B114" s="143" t="n"/>
      <c r="C114" s="25" t="n"/>
      <c r="D114" s="25" t="n"/>
      <c r="E114" s="25" t="n"/>
      <c r="F114" s="25" t="n"/>
      <c r="G114" s="25" t="n"/>
      <c r="H114" s="25" t="n"/>
      <c r="I114" s="28" t="n"/>
      <c r="J114" s="28" t="n"/>
      <c r="K114" s="28" t="n"/>
      <c r="L114" s="25" t="n"/>
      <c r="M114" s="143" t="n"/>
      <c r="N114" s="25" t="n"/>
      <c r="O114" s="143" t="n"/>
      <c r="P114" s="25" t="n"/>
      <c r="Q114" s="139">
        <f>IF($M114="","",IF(OR($N114="完了",$N114="クローズ"),IF($O114="",0,MAX(0,$O114-$M114)),MAX(0,TODAY()-$M114)))</f>
        <v/>
      </c>
      <c r="R114" s="139">
        <f>IF(AND($B114&lt;&gt;"",$O114&lt;&gt;""),$O114-$B114,"")</f>
        <v/>
      </c>
      <c r="S114" s="25" t="n"/>
    </row>
    <row r="115" ht="25" customHeight="1">
      <c r="A115" s="25">
        <f>IF($B115="","","CA-"&amp;TEXT(ROW()-4,"0000"))</f>
        <v/>
      </c>
      <c r="B115" s="143" t="n"/>
      <c r="C115" s="25" t="n"/>
      <c r="D115" s="25" t="n"/>
      <c r="E115" s="25" t="n"/>
      <c r="F115" s="25" t="n"/>
      <c r="G115" s="25" t="n"/>
      <c r="H115" s="25" t="n"/>
      <c r="I115" s="28" t="n"/>
      <c r="J115" s="28" t="n"/>
      <c r="K115" s="28" t="n"/>
      <c r="L115" s="25" t="n"/>
      <c r="M115" s="143" t="n"/>
      <c r="N115" s="25" t="n"/>
      <c r="O115" s="143" t="n"/>
      <c r="P115" s="25" t="n"/>
      <c r="Q115" s="139">
        <f>IF($M115="","",IF(OR($N115="完了",$N115="クローズ"),IF($O115="",0,MAX(0,$O115-$M115)),MAX(0,TODAY()-$M115)))</f>
        <v/>
      </c>
      <c r="R115" s="139">
        <f>IF(AND($B115&lt;&gt;"",$O115&lt;&gt;""),$O115-$B115,"")</f>
        <v/>
      </c>
      <c r="S115" s="25" t="n"/>
    </row>
    <row r="116" ht="25" customHeight="1">
      <c r="A116" s="25">
        <f>IF($B116="","","CA-"&amp;TEXT(ROW()-4,"0000"))</f>
        <v/>
      </c>
      <c r="B116" s="143" t="n"/>
      <c r="C116" s="25" t="n"/>
      <c r="D116" s="25" t="n"/>
      <c r="E116" s="25" t="n"/>
      <c r="F116" s="25" t="n"/>
      <c r="G116" s="25" t="n"/>
      <c r="H116" s="25" t="n"/>
      <c r="I116" s="28" t="n"/>
      <c r="J116" s="28" t="n"/>
      <c r="K116" s="28" t="n"/>
      <c r="L116" s="25" t="n"/>
      <c r="M116" s="143" t="n"/>
      <c r="N116" s="25" t="n"/>
      <c r="O116" s="143" t="n"/>
      <c r="P116" s="25" t="n"/>
      <c r="Q116" s="139">
        <f>IF($M116="","",IF(OR($N116="完了",$N116="クローズ"),IF($O116="",0,MAX(0,$O116-$M116)),MAX(0,TODAY()-$M116)))</f>
        <v/>
      </c>
      <c r="R116" s="139">
        <f>IF(AND($B116&lt;&gt;"",$O116&lt;&gt;""),$O116-$B116,"")</f>
        <v/>
      </c>
      <c r="S116" s="25" t="n"/>
    </row>
    <row r="117" ht="25" customHeight="1">
      <c r="A117" s="25">
        <f>IF($B117="","","CA-"&amp;TEXT(ROW()-4,"0000"))</f>
        <v/>
      </c>
      <c r="B117" s="143" t="n"/>
      <c r="C117" s="25" t="n"/>
      <c r="D117" s="25" t="n"/>
      <c r="E117" s="25" t="n"/>
      <c r="F117" s="25" t="n"/>
      <c r="G117" s="25" t="n"/>
      <c r="H117" s="25" t="n"/>
      <c r="I117" s="28" t="n"/>
      <c r="J117" s="28" t="n"/>
      <c r="K117" s="28" t="n"/>
      <c r="L117" s="25" t="n"/>
      <c r="M117" s="143" t="n"/>
      <c r="N117" s="25" t="n"/>
      <c r="O117" s="143" t="n"/>
      <c r="P117" s="25" t="n"/>
      <c r="Q117" s="139">
        <f>IF($M117="","",IF(OR($N117="完了",$N117="クローズ"),IF($O117="",0,MAX(0,$O117-$M117)),MAX(0,TODAY()-$M117)))</f>
        <v/>
      </c>
      <c r="R117" s="139">
        <f>IF(AND($B117&lt;&gt;"",$O117&lt;&gt;""),$O117-$B117,"")</f>
        <v/>
      </c>
      <c r="S117" s="25" t="n"/>
    </row>
    <row r="118" ht="25" customHeight="1">
      <c r="A118" s="25">
        <f>IF($B118="","","CA-"&amp;TEXT(ROW()-4,"0000"))</f>
        <v/>
      </c>
      <c r="B118" s="143" t="n"/>
      <c r="C118" s="25" t="n"/>
      <c r="D118" s="25" t="n"/>
      <c r="E118" s="25" t="n"/>
      <c r="F118" s="25" t="n"/>
      <c r="G118" s="25" t="n"/>
      <c r="H118" s="25" t="n"/>
      <c r="I118" s="28" t="n"/>
      <c r="J118" s="28" t="n"/>
      <c r="K118" s="28" t="n"/>
      <c r="L118" s="25" t="n"/>
      <c r="M118" s="143" t="n"/>
      <c r="N118" s="25" t="n"/>
      <c r="O118" s="143" t="n"/>
      <c r="P118" s="25" t="n"/>
      <c r="Q118" s="139">
        <f>IF($M118="","",IF(OR($N118="完了",$N118="クローズ"),IF($O118="",0,MAX(0,$O118-$M118)),MAX(0,TODAY()-$M118)))</f>
        <v/>
      </c>
      <c r="R118" s="139">
        <f>IF(AND($B118&lt;&gt;"",$O118&lt;&gt;""),$O118-$B118,"")</f>
        <v/>
      </c>
      <c r="S118" s="25" t="n"/>
    </row>
    <row r="119" ht="25" customHeight="1">
      <c r="A119" s="25">
        <f>IF($B119="","","CA-"&amp;TEXT(ROW()-4,"0000"))</f>
        <v/>
      </c>
      <c r="B119" s="143" t="n"/>
      <c r="C119" s="25" t="n"/>
      <c r="D119" s="25" t="n"/>
      <c r="E119" s="25" t="n"/>
      <c r="F119" s="25" t="n"/>
      <c r="G119" s="25" t="n"/>
      <c r="H119" s="25" t="n"/>
      <c r="I119" s="28" t="n"/>
      <c r="J119" s="28" t="n"/>
      <c r="K119" s="28" t="n"/>
      <c r="L119" s="25" t="n"/>
      <c r="M119" s="143" t="n"/>
      <c r="N119" s="25" t="n"/>
      <c r="O119" s="143" t="n"/>
      <c r="P119" s="25" t="n"/>
      <c r="Q119" s="139">
        <f>IF($M119="","",IF(OR($N119="完了",$N119="クローズ"),IF($O119="",0,MAX(0,$O119-$M119)),MAX(0,TODAY()-$M119)))</f>
        <v/>
      </c>
      <c r="R119" s="139">
        <f>IF(AND($B119&lt;&gt;"",$O119&lt;&gt;""),$O119-$B119,"")</f>
        <v/>
      </c>
      <c r="S119" s="25" t="n"/>
    </row>
    <row r="120" ht="25" customHeight="1">
      <c r="A120" s="25">
        <f>IF($B120="","","CA-"&amp;TEXT(ROW()-4,"0000"))</f>
        <v/>
      </c>
      <c r="B120" s="143" t="n"/>
      <c r="C120" s="25" t="n"/>
      <c r="D120" s="25" t="n"/>
      <c r="E120" s="25" t="n"/>
      <c r="F120" s="25" t="n"/>
      <c r="G120" s="25" t="n"/>
      <c r="H120" s="25" t="n"/>
      <c r="I120" s="28" t="n"/>
      <c r="J120" s="28" t="n"/>
      <c r="K120" s="28" t="n"/>
      <c r="L120" s="25" t="n"/>
      <c r="M120" s="143" t="n"/>
      <c r="N120" s="25" t="n"/>
      <c r="O120" s="143" t="n"/>
      <c r="P120" s="25" t="n"/>
      <c r="Q120" s="139">
        <f>IF($M120="","",IF(OR($N120="完了",$N120="クローズ"),IF($O120="",0,MAX(0,$O120-$M120)),MAX(0,TODAY()-$M120)))</f>
        <v/>
      </c>
      <c r="R120" s="139">
        <f>IF(AND($B120&lt;&gt;"",$O120&lt;&gt;""),$O120-$B120,"")</f>
        <v/>
      </c>
      <c r="S120" s="25" t="n"/>
    </row>
    <row r="121" ht="25" customHeight="1">
      <c r="A121" s="25">
        <f>IF($B121="","","CA-"&amp;TEXT(ROW()-4,"0000"))</f>
        <v/>
      </c>
      <c r="B121" s="143" t="n"/>
      <c r="C121" s="25" t="n"/>
      <c r="D121" s="25" t="n"/>
      <c r="E121" s="25" t="n"/>
      <c r="F121" s="25" t="n"/>
      <c r="G121" s="25" t="n"/>
      <c r="H121" s="25" t="n"/>
      <c r="I121" s="28" t="n"/>
      <c r="J121" s="28" t="n"/>
      <c r="K121" s="28" t="n"/>
      <c r="L121" s="25" t="n"/>
      <c r="M121" s="143" t="n"/>
      <c r="N121" s="25" t="n"/>
      <c r="O121" s="143" t="n"/>
      <c r="P121" s="25" t="n"/>
      <c r="Q121" s="139">
        <f>IF($M121="","",IF(OR($N121="完了",$N121="クローズ"),IF($O121="",0,MAX(0,$O121-$M121)),MAX(0,TODAY()-$M121)))</f>
        <v/>
      </c>
      <c r="R121" s="139">
        <f>IF(AND($B121&lt;&gt;"",$O121&lt;&gt;""),$O121-$B121,"")</f>
        <v/>
      </c>
      <c r="S121" s="25" t="n"/>
    </row>
    <row r="122" ht="25" customHeight="1">
      <c r="A122" s="25">
        <f>IF($B122="","","CA-"&amp;TEXT(ROW()-4,"0000"))</f>
        <v/>
      </c>
      <c r="B122" s="143" t="n"/>
      <c r="C122" s="25" t="n"/>
      <c r="D122" s="25" t="n"/>
      <c r="E122" s="25" t="n"/>
      <c r="F122" s="25" t="n"/>
      <c r="G122" s="25" t="n"/>
      <c r="H122" s="25" t="n"/>
      <c r="I122" s="28" t="n"/>
      <c r="J122" s="28" t="n"/>
      <c r="K122" s="28" t="n"/>
      <c r="L122" s="25" t="n"/>
      <c r="M122" s="143" t="n"/>
      <c r="N122" s="25" t="n"/>
      <c r="O122" s="143" t="n"/>
      <c r="P122" s="25" t="n"/>
      <c r="Q122" s="139">
        <f>IF($M122="","",IF(OR($N122="完了",$N122="クローズ"),IF($O122="",0,MAX(0,$O122-$M122)),MAX(0,TODAY()-$M122)))</f>
        <v/>
      </c>
      <c r="R122" s="139">
        <f>IF(AND($B122&lt;&gt;"",$O122&lt;&gt;""),$O122-$B122,"")</f>
        <v/>
      </c>
      <c r="S122" s="25" t="n"/>
    </row>
    <row r="123" ht="25" customHeight="1">
      <c r="A123" s="25">
        <f>IF($B123="","","CA-"&amp;TEXT(ROW()-4,"0000"))</f>
        <v/>
      </c>
      <c r="B123" s="143" t="n"/>
      <c r="C123" s="25" t="n"/>
      <c r="D123" s="25" t="n"/>
      <c r="E123" s="25" t="n"/>
      <c r="F123" s="25" t="n"/>
      <c r="G123" s="25" t="n"/>
      <c r="H123" s="25" t="n"/>
      <c r="I123" s="28" t="n"/>
      <c r="J123" s="28" t="n"/>
      <c r="K123" s="28" t="n"/>
      <c r="L123" s="25" t="n"/>
      <c r="M123" s="143" t="n"/>
      <c r="N123" s="25" t="n"/>
      <c r="O123" s="143" t="n"/>
      <c r="P123" s="25" t="n"/>
      <c r="Q123" s="139">
        <f>IF($M123="","",IF(OR($N123="完了",$N123="クローズ"),IF($O123="",0,MAX(0,$O123-$M123)),MAX(0,TODAY()-$M123)))</f>
        <v/>
      </c>
      <c r="R123" s="139">
        <f>IF(AND($B123&lt;&gt;"",$O123&lt;&gt;""),$O123-$B123,"")</f>
        <v/>
      </c>
      <c r="S123" s="25" t="n"/>
    </row>
    <row r="124" ht="25" customHeight="1">
      <c r="A124" s="25">
        <f>IF($B124="","","CA-"&amp;TEXT(ROW()-4,"0000"))</f>
        <v/>
      </c>
      <c r="B124" s="143" t="n"/>
      <c r="C124" s="25" t="n"/>
      <c r="D124" s="25" t="n"/>
      <c r="E124" s="25" t="n"/>
      <c r="F124" s="25" t="n"/>
      <c r="G124" s="25" t="n"/>
      <c r="H124" s="25" t="n"/>
      <c r="I124" s="28" t="n"/>
      <c r="J124" s="28" t="n"/>
      <c r="K124" s="28" t="n"/>
      <c r="L124" s="25" t="n"/>
      <c r="M124" s="143" t="n"/>
      <c r="N124" s="25" t="n"/>
      <c r="O124" s="143" t="n"/>
      <c r="P124" s="25" t="n"/>
      <c r="Q124" s="139">
        <f>IF($M124="","",IF(OR($N124="完了",$N124="クローズ"),IF($O124="",0,MAX(0,$O124-$M124)),MAX(0,TODAY()-$M124)))</f>
        <v/>
      </c>
      <c r="R124" s="139">
        <f>IF(AND($B124&lt;&gt;"",$O124&lt;&gt;""),$O124-$B124,"")</f>
        <v/>
      </c>
      <c r="S124" s="25" t="n"/>
    </row>
    <row r="125" ht="25" customHeight="1">
      <c r="A125" s="25">
        <f>IF($B125="","","CA-"&amp;TEXT(ROW()-4,"0000"))</f>
        <v/>
      </c>
      <c r="B125" s="143" t="n"/>
      <c r="C125" s="25" t="n"/>
      <c r="D125" s="25" t="n"/>
      <c r="E125" s="25" t="n"/>
      <c r="F125" s="25" t="n"/>
      <c r="G125" s="25" t="n"/>
      <c r="H125" s="25" t="n"/>
      <c r="I125" s="28" t="n"/>
      <c r="J125" s="28" t="n"/>
      <c r="K125" s="28" t="n"/>
      <c r="L125" s="25" t="n"/>
      <c r="M125" s="143" t="n"/>
      <c r="N125" s="25" t="n"/>
      <c r="O125" s="143" t="n"/>
      <c r="P125" s="25" t="n"/>
      <c r="Q125" s="139">
        <f>IF($M125="","",IF(OR($N125="完了",$N125="クローズ"),IF($O125="",0,MAX(0,$O125-$M125)),MAX(0,TODAY()-$M125)))</f>
        <v/>
      </c>
      <c r="R125" s="139">
        <f>IF(AND($B125&lt;&gt;"",$O125&lt;&gt;""),$O125-$B125,"")</f>
        <v/>
      </c>
      <c r="S125" s="25" t="n"/>
    </row>
    <row r="126" ht="25" customHeight="1">
      <c r="A126" s="25">
        <f>IF($B126="","","CA-"&amp;TEXT(ROW()-4,"0000"))</f>
        <v/>
      </c>
      <c r="B126" s="143" t="n"/>
      <c r="C126" s="25" t="n"/>
      <c r="D126" s="25" t="n"/>
      <c r="E126" s="25" t="n"/>
      <c r="F126" s="25" t="n"/>
      <c r="G126" s="25" t="n"/>
      <c r="H126" s="25" t="n"/>
      <c r="I126" s="28" t="n"/>
      <c r="J126" s="28" t="n"/>
      <c r="K126" s="28" t="n"/>
      <c r="L126" s="25" t="n"/>
      <c r="M126" s="143" t="n"/>
      <c r="N126" s="25" t="n"/>
      <c r="O126" s="143" t="n"/>
      <c r="P126" s="25" t="n"/>
      <c r="Q126" s="139">
        <f>IF($M126="","",IF(OR($N126="完了",$N126="クローズ"),IF($O126="",0,MAX(0,$O126-$M126)),MAX(0,TODAY()-$M126)))</f>
        <v/>
      </c>
      <c r="R126" s="139">
        <f>IF(AND($B126&lt;&gt;"",$O126&lt;&gt;""),$O126-$B126,"")</f>
        <v/>
      </c>
      <c r="S126" s="25" t="n"/>
    </row>
    <row r="127" ht="25" customHeight="1">
      <c r="A127" s="25">
        <f>IF($B127="","","CA-"&amp;TEXT(ROW()-4,"0000"))</f>
        <v/>
      </c>
      <c r="B127" s="143" t="n"/>
      <c r="C127" s="25" t="n"/>
      <c r="D127" s="25" t="n"/>
      <c r="E127" s="25" t="n"/>
      <c r="F127" s="25" t="n"/>
      <c r="G127" s="25" t="n"/>
      <c r="H127" s="25" t="n"/>
      <c r="I127" s="28" t="n"/>
      <c r="J127" s="28" t="n"/>
      <c r="K127" s="28" t="n"/>
      <c r="L127" s="25" t="n"/>
      <c r="M127" s="143" t="n"/>
      <c r="N127" s="25" t="n"/>
      <c r="O127" s="143" t="n"/>
      <c r="P127" s="25" t="n"/>
      <c r="Q127" s="139">
        <f>IF($M127="","",IF(OR($N127="完了",$N127="クローズ"),IF($O127="",0,MAX(0,$O127-$M127)),MAX(0,TODAY()-$M127)))</f>
        <v/>
      </c>
      <c r="R127" s="139">
        <f>IF(AND($B127&lt;&gt;"",$O127&lt;&gt;""),$O127-$B127,"")</f>
        <v/>
      </c>
      <c r="S127" s="25" t="n"/>
    </row>
    <row r="128" ht="25" customHeight="1">
      <c r="A128" s="25">
        <f>IF($B128="","","CA-"&amp;TEXT(ROW()-4,"0000"))</f>
        <v/>
      </c>
      <c r="B128" s="143" t="n"/>
      <c r="C128" s="25" t="n"/>
      <c r="D128" s="25" t="n"/>
      <c r="E128" s="25" t="n"/>
      <c r="F128" s="25" t="n"/>
      <c r="G128" s="25" t="n"/>
      <c r="H128" s="25" t="n"/>
      <c r="I128" s="28" t="n"/>
      <c r="J128" s="28" t="n"/>
      <c r="K128" s="28" t="n"/>
      <c r="L128" s="25" t="n"/>
      <c r="M128" s="143" t="n"/>
      <c r="N128" s="25" t="n"/>
      <c r="O128" s="143" t="n"/>
      <c r="P128" s="25" t="n"/>
      <c r="Q128" s="139">
        <f>IF($M128="","",IF(OR($N128="完了",$N128="クローズ"),IF($O128="",0,MAX(0,$O128-$M128)),MAX(0,TODAY()-$M128)))</f>
        <v/>
      </c>
      <c r="R128" s="139">
        <f>IF(AND($B128&lt;&gt;"",$O128&lt;&gt;""),$O128-$B128,"")</f>
        <v/>
      </c>
      <c r="S128" s="25" t="n"/>
    </row>
    <row r="129" ht="25" customHeight="1">
      <c r="A129" s="25">
        <f>IF($B129="","","CA-"&amp;TEXT(ROW()-4,"0000"))</f>
        <v/>
      </c>
      <c r="B129" s="143" t="n"/>
      <c r="C129" s="25" t="n"/>
      <c r="D129" s="25" t="n"/>
      <c r="E129" s="25" t="n"/>
      <c r="F129" s="25" t="n"/>
      <c r="G129" s="25" t="n"/>
      <c r="H129" s="25" t="n"/>
      <c r="I129" s="28" t="n"/>
      <c r="J129" s="28" t="n"/>
      <c r="K129" s="28" t="n"/>
      <c r="L129" s="25" t="n"/>
      <c r="M129" s="143" t="n"/>
      <c r="N129" s="25" t="n"/>
      <c r="O129" s="143" t="n"/>
      <c r="P129" s="25" t="n"/>
      <c r="Q129" s="139">
        <f>IF($M129="","",IF(OR($N129="完了",$N129="クローズ"),IF($O129="",0,MAX(0,$O129-$M129)),MAX(0,TODAY()-$M129)))</f>
        <v/>
      </c>
      <c r="R129" s="139">
        <f>IF(AND($B129&lt;&gt;"",$O129&lt;&gt;""),$O129-$B129,"")</f>
        <v/>
      </c>
      <c r="S129" s="25" t="n"/>
    </row>
    <row r="130" ht="25" customHeight="1">
      <c r="A130" s="25">
        <f>IF($B130="","","CA-"&amp;TEXT(ROW()-4,"0000"))</f>
        <v/>
      </c>
      <c r="B130" s="143" t="n"/>
      <c r="C130" s="25" t="n"/>
      <c r="D130" s="25" t="n"/>
      <c r="E130" s="25" t="n"/>
      <c r="F130" s="25" t="n"/>
      <c r="G130" s="25" t="n"/>
      <c r="H130" s="25" t="n"/>
      <c r="I130" s="28" t="n"/>
      <c r="J130" s="28" t="n"/>
      <c r="K130" s="28" t="n"/>
      <c r="L130" s="25" t="n"/>
      <c r="M130" s="143" t="n"/>
      <c r="N130" s="25" t="n"/>
      <c r="O130" s="143" t="n"/>
      <c r="P130" s="25" t="n"/>
      <c r="Q130" s="139">
        <f>IF($M130="","",IF(OR($N130="完了",$N130="クローズ"),IF($O130="",0,MAX(0,$O130-$M130)),MAX(0,TODAY()-$M130)))</f>
        <v/>
      </c>
      <c r="R130" s="139">
        <f>IF(AND($B130&lt;&gt;"",$O130&lt;&gt;""),$O130-$B130,"")</f>
        <v/>
      </c>
      <c r="S130" s="25" t="n"/>
    </row>
    <row r="131" ht="25" customHeight="1">
      <c r="A131" s="25">
        <f>IF($B131="","","CA-"&amp;TEXT(ROW()-4,"0000"))</f>
        <v/>
      </c>
      <c r="B131" s="143" t="n"/>
      <c r="C131" s="25" t="n"/>
      <c r="D131" s="25" t="n"/>
      <c r="E131" s="25" t="n"/>
      <c r="F131" s="25" t="n"/>
      <c r="G131" s="25" t="n"/>
      <c r="H131" s="25" t="n"/>
      <c r="I131" s="28" t="n"/>
      <c r="J131" s="28" t="n"/>
      <c r="K131" s="28" t="n"/>
      <c r="L131" s="25" t="n"/>
      <c r="M131" s="143" t="n"/>
      <c r="N131" s="25" t="n"/>
      <c r="O131" s="143" t="n"/>
      <c r="P131" s="25" t="n"/>
      <c r="Q131" s="139">
        <f>IF($M131="","",IF(OR($N131="完了",$N131="クローズ"),IF($O131="",0,MAX(0,$O131-$M131)),MAX(0,TODAY()-$M131)))</f>
        <v/>
      </c>
      <c r="R131" s="139">
        <f>IF(AND($B131&lt;&gt;"",$O131&lt;&gt;""),$O131-$B131,"")</f>
        <v/>
      </c>
      <c r="S131" s="25" t="n"/>
    </row>
    <row r="132" ht="25" customHeight="1">
      <c r="A132" s="25">
        <f>IF($B132="","","CA-"&amp;TEXT(ROW()-4,"0000"))</f>
        <v/>
      </c>
      <c r="B132" s="143" t="n"/>
      <c r="C132" s="25" t="n"/>
      <c r="D132" s="25" t="n"/>
      <c r="E132" s="25" t="n"/>
      <c r="F132" s="25" t="n"/>
      <c r="G132" s="25" t="n"/>
      <c r="H132" s="25" t="n"/>
      <c r="I132" s="28" t="n"/>
      <c r="J132" s="28" t="n"/>
      <c r="K132" s="28" t="n"/>
      <c r="L132" s="25" t="n"/>
      <c r="M132" s="143" t="n"/>
      <c r="N132" s="25" t="n"/>
      <c r="O132" s="143" t="n"/>
      <c r="P132" s="25" t="n"/>
      <c r="Q132" s="139">
        <f>IF($M132="","",IF(OR($N132="完了",$N132="クローズ"),IF($O132="",0,MAX(0,$O132-$M132)),MAX(0,TODAY()-$M132)))</f>
        <v/>
      </c>
      <c r="R132" s="139">
        <f>IF(AND($B132&lt;&gt;"",$O132&lt;&gt;""),$O132-$B132,"")</f>
        <v/>
      </c>
      <c r="S132" s="25" t="n"/>
    </row>
    <row r="133" ht="25" customHeight="1">
      <c r="A133" s="25">
        <f>IF($B133="","","CA-"&amp;TEXT(ROW()-4,"0000"))</f>
        <v/>
      </c>
      <c r="B133" s="143" t="n"/>
      <c r="C133" s="25" t="n"/>
      <c r="D133" s="25" t="n"/>
      <c r="E133" s="25" t="n"/>
      <c r="F133" s="25" t="n"/>
      <c r="G133" s="25" t="n"/>
      <c r="H133" s="25" t="n"/>
      <c r="I133" s="28" t="n"/>
      <c r="J133" s="28" t="n"/>
      <c r="K133" s="28" t="n"/>
      <c r="L133" s="25" t="n"/>
      <c r="M133" s="143" t="n"/>
      <c r="N133" s="25" t="n"/>
      <c r="O133" s="143" t="n"/>
      <c r="P133" s="25" t="n"/>
      <c r="Q133" s="139">
        <f>IF($M133="","",IF(OR($N133="完了",$N133="クローズ"),IF($O133="",0,MAX(0,$O133-$M133)),MAX(0,TODAY()-$M133)))</f>
        <v/>
      </c>
      <c r="R133" s="139">
        <f>IF(AND($B133&lt;&gt;"",$O133&lt;&gt;""),$O133-$B133,"")</f>
        <v/>
      </c>
      <c r="S133" s="25" t="n"/>
    </row>
    <row r="134" ht="25" customHeight="1">
      <c r="A134" s="25">
        <f>IF($B134="","","CA-"&amp;TEXT(ROW()-4,"0000"))</f>
        <v/>
      </c>
      <c r="B134" s="143" t="n"/>
      <c r="C134" s="25" t="n"/>
      <c r="D134" s="25" t="n"/>
      <c r="E134" s="25" t="n"/>
      <c r="F134" s="25" t="n"/>
      <c r="G134" s="25" t="n"/>
      <c r="H134" s="25" t="n"/>
      <c r="I134" s="28" t="n"/>
      <c r="J134" s="28" t="n"/>
      <c r="K134" s="28" t="n"/>
      <c r="L134" s="25" t="n"/>
      <c r="M134" s="143" t="n"/>
      <c r="N134" s="25" t="n"/>
      <c r="O134" s="143" t="n"/>
      <c r="P134" s="25" t="n"/>
      <c r="Q134" s="139">
        <f>IF($M134="","",IF(OR($N134="完了",$N134="クローズ"),IF($O134="",0,MAX(0,$O134-$M134)),MAX(0,TODAY()-$M134)))</f>
        <v/>
      </c>
      <c r="R134" s="139">
        <f>IF(AND($B134&lt;&gt;"",$O134&lt;&gt;""),$O134-$B134,"")</f>
        <v/>
      </c>
      <c r="S134" s="25" t="n"/>
    </row>
    <row r="135" ht="25" customHeight="1">
      <c r="A135" s="25">
        <f>IF($B135="","","CA-"&amp;TEXT(ROW()-4,"0000"))</f>
        <v/>
      </c>
      <c r="B135" s="143" t="n"/>
      <c r="C135" s="25" t="n"/>
      <c r="D135" s="25" t="n"/>
      <c r="E135" s="25" t="n"/>
      <c r="F135" s="25" t="n"/>
      <c r="G135" s="25" t="n"/>
      <c r="H135" s="25" t="n"/>
      <c r="I135" s="28" t="n"/>
      <c r="J135" s="28" t="n"/>
      <c r="K135" s="28" t="n"/>
      <c r="L135" s="25" t="n"/>
      <c r="M135" s="143" t="n"/>
      <c r="N135" s="25" t="n"/>
      <c r="O135" s="143" t="n"/>
      <c r="P135" s="25" t="n"/>
      <c r="Q135" s="139">
        <f>IF($M135="","",IF(OR($N135="完了",$N135="クローズ"),IF($O135="",0,MAX(0,$O135-$M135)),MAX(0,TODAY()-$M135)))</f>
        <v/>
      </c>
      <c r="R135" s="139">
        <f>IF(AND($B135&lt;&gt;"",$O135&lt;&gt;""),$O135-$B135,"")</f>
        <v/>
      </c>
      <c r="S135" s="25" t="n"/>
    </row>
    <row r="136" ht="25" customHeight="1">
      <c r="A136" s="25">
        <f>IF($B136="","","CA-"&amp;TEXT(ROW()-4,"0000"))</f>
        <v/>
      </c>
      <c r="B136" s="143" t="n"/>
      <c r="C136" s="25" t="n"/>
      <c r="D136" s="25" t="n"/>
      <c r="E136" s="25" t="n"/>
      <c r="F136" s="25" t="n"/>
      <c r="G136" s="25" t="n"/>
      <c r="H136" s="25" t="n"/>
      <c r="I136" s="28" t="n"/>
      <c r="J136" s="28" t="n"/>
      <c r="K136" s="28" t="n"/>
      <c r="L136" s="25" t="n"/>
      <c r="M136" s="143" t="n"/>
      <c r="N136" s="25" t="n"/>
      <c r="O136" s="143" t="n"/>
      <c r="P136" s="25" t="n"/>
      <c r="Q136" s="139">
        <f>IF($M136="","",IF(OR($N136="完了",$N136="クローズ"),IF($O136="",0,MAX(0,$O136-$M136)),MAX(0,TODAY()-$M136)))</f>
        <v/>
      </c>
      <c r="R136" s="139">
        <f>IF(AND($B136&lt;&gt;"",$O136&lt;&gt;""),$O136-$B136,"")</f>
        <v/>
      </c>
      <c r="S136" s="25" t="n"/>
    </row>
    <row r="137" ht="25" customHeight="1">
      <c r="A137" s="25">
        <f>IF($B137="","","CA-"&amp;TEXT(ROW()-4,"0000"))</f>
        <v/>
      </c>
      <c r="B137" s="143" t="n"/>
      <c r="C137" s="25" t="n"/>
      <c r="D137" s="25" t="n"/>
      <c r="E137" s="25" t="n"/>
      <c r="F137" s="25" t="n"/>
      <c r="G137" s="25" t="n"/>
      <c r="H137" s="25" t="n"/>
      <c r="I137" s="28" t="n"/>
      <c r="J137" s="28" t="n"/>
      <c r="K137" s="28" t="n"/>
      <c r="L137" s="25" t="n"/>
      <c r="M137" s="143" t="n"/>
      <c r="N137" s="25" t="n"/>
      <c r="O137" s="143" t="n"/>
      <c r="P137" s="25" t="n"/>
      <c r="Q137" s="139">
        <f>IF($M137="","",IF(OR($N137="完了",$N137="クローズ"),IF($O137="",0,MAX(0,$O137-$M137)),MAX(0,TODAY()-$M137)))</f>
        <v/>
      </c>
      <c r="R137" s="139">
        <f>IF(AND($B137&lt;&gt;"",$O137&lt;&gt;""),$O137-$B137,"")</f>
        <v/>
      </c>
      <c r="S137" s="25" t="n"/>
    </row>
    <row r="138" ht="25" customHeight="1">
      <c r="A138" s="25">
        <f>IF($B138="","","CA-"&amp;TEXT(ROW()-4,"0000"))</f>
        <v/>
      </c>
      <c r="B138" s="143" t="n"/>
      <c r="C138" s="25" t="n"/>
      <c r="D138" s="25" t="n"/>
      <c r="E138" s="25" t="n"/>
      <c r="F138" s="25" t="n"/>
      <c r="G138" s="25" t="n"/>
      <c r="H138" s="25" t="n"/>
      <c r="I138" s="28" t="n"/>
      <c r="J138" s="28" t="n"/>
      <c r="K138" s="28" t="n"/>
      <c r="L138" s="25" t="n"/>
      <c r="M138" s="143" t="n"/>
      <c r="N138" s="25" t="n"/>
      <c r="O138" s="143" t="n"/>
      <c r="P138" s="25" t="n"/>
      <c r="Q138" s="139">
        <f>IF($M138="","",IF(OR($N138="完了",$N138="クローズ"),IF($O138="",0,MAX(0,$O138-$M138)),MAX(0,TODAY()-$M138)))</f>
        <v/>
      </c>
      <c r="R138" s="139">
        <f>IF(AND($B138&lt;&gt;"",$O138&lt;&gt;""),$O138-$B138,"")</f>
        <v/>
      </c>
      <c r="S138" s="25" t="n"/>
    </row>
    <row r="139" ht="25" customHeight="1">
      <c r="A139" s="25">
        <f>IF($B139="","","CA-"&amp;TEXT(ROW()-4,"0000"))</f>
        <v/>
      </c>
      <c r="B139" s="143" t="n"/>
      <c r="C139" s="25" t="n"/>
      <c r="D139" s="25" t="n"/>
      <c r="E139" s="25" t="n"/>
      <c r="F139" s="25" t="n"/>
      <c r="G139" s="25" t="n"/>
      <c r="H139" s="25" t="n"/>
      <c r="I139" s="28" t="n"/>
      <c r="J139" s="28" t="n"/>
      <c r="K139" s="28" t="n"/>
      <c r="L139" s="25" t="n"/>
      <c r="M139" s="143" t="n"/>
      <c r="N139" s="25" t="n"/>
      <c r="O139" s="143" t="n"/>
      <c r="P139" s="25" t="n"/>
      <c r="Q139" s="139">
        <f>IF($M139="","",IF(OR($N139="完了",$N139="クローズ"),IF($O139="",0,MAX(0,$O139-$M139)),MAX(0,TODAY()-$M139)))</f>
        <v/>
      </c>
      <c r="R139" s="139">
        <f>IF(AND($B139&lt;&gt;"",$O139&lt;&gt;""),$O139-$B139,"")</f>
        <v/>
      </c>
      <c r="S139" s="25" t="n"/>
    </row>
    <row r="140" ht="25" customHeight="1">
      <c r="A140" s="25">
        <f>IF($B140="","","CA-"&amp;TEXT(ROW()-4,"0000"))</f>
        <v/>
      </c>
      <c r="B140" s="143" t="n"/>
      <c r="C140" s="25" t="n"/>
      <c r="D140" s="25" t="n"/>
      <c r="E140" s="25" t="n"/>
      <c r="F140" s="25" t="n"/>
      <c r="G140" s="25" t="n"/>
      <c r="H140" s="25" t="n"/>
      <c r="I140" s="28" t="n"/>
      <c r="J140" s="28" t="n"/>
      <c r="K140" s="28" t="n"/>
      <c r="L140" s="25" t="n"/>
      <c r="M140" s="143" t="n"/>
      <c r="N140" s="25" t="n"/>
      <c r="O140" s="143" t="n"/>
      <c r="P140" s="25" t="n"/>
      <c r="Q140" s="139">
        <f>IF($M140="","",IF(OR($N140="完了",$N140="クローズ"),IF($O140="",0,MAX(0,$O140-$M140)),MAX(0,TODAY()-$M140)))</f>
        <v/>
      </c>
      <c r="R140" s="139">
        <f>IF(AND($B140&lt;&gt;"",$O140&lt;&gt;""),$O140-$B140,"")</f>
        <v/>
      </c>
      <c r="S140" s="25" t="n"/>
    </row>
    <row r="141" ht="25" customHeight="1">
      <c r="A141" s="25">
        <f>IF($B141="","","CA-"&amp;TEXT(ROW()-4,"0000"))</f>
        <v/>
      </c>
      <c r="B141" s="143" t="n"/>
      <c r="C141" s="25" t="n"/>
      <c r="D141" s="25" t="n"/>
      <c r="E141" s="25" t="n"/>
      <c r="F141" s="25" t="n"/>
      <c r="G141" s="25" t="n"/>
      <c r="H141" s="25" t="n"/>
      <c r="I141" s="28" t="n"/>
      <c r="J141" s="28" t="n"/>
      <c r="K141" s="28" t="n"/>
      <c r="L141" s="25" t="n"/>
      <c r="M141" s="143" t="n"/>
      <c r="N141" s="25" t="n"/>
      <c r="O141" s="143" t="n"/>
      <c r="P141" s="25" t="n"/>
      <c r="Q141" s="139">
        <f>IF($M141="","",IF(OR($N141="完了",$N141="クローズ"),IF($O141="",0,MAX(0,$O141-$M141)),MAX(0,TODAY()-$M141)))</f>
        <v/>
      </c>
      <c r="R141" s="139">
        <f>IF(AND($B141&lt;&gt;"",$O141&lt;&gt;""),$O141-$B141,"")</f>
        <v/>
      </c>
      <c r="S141" s="25" t="n"/>
    </row>
    <row r="142" ht="25" customHeight="1">
      <c r="A142" s="25">
        <f>IF($B142="","","CA-"&amp;TEXT(ROW()-4,"0000"))</f>
        <v/>
      </c>
      <c r="B142" s="143" t="n"/>
      <c r="C142" s="25" t="n"/>
      <c r="D142" s="25" t="n"/>
      <c r="E142" s="25" t="n"/>
      <c r="F142" s="25" t="n"/>
      <c r="G142" s="25" t="n"/>
      <c r="H142" s="25" t="n"/>
      <c r="I142" s="28" t="n"/>
      <c r="J142" s="28" t="n"/>
      <c r="K142" s="28" t="n"/>
      <c r="L142" s="25" t="n"/>
      <c r="M142" s="143" t="n"/>
      <c r="N142" s="25" t="n"/>
      <c r="O142" s="143" t="n"/>
      <c r="P142" s="25" t="n"/>
      <c r="Q142" s="139">
        <f>IF($M142="","",IF(OR($N142="完了",$N142="クローズ"),IF($O142="",0,MAX(0,$O142-$M142)),MAX(0,TODAY()-$M142)))</f>
        <v/>
      </c>
      <c r="R142" s="139">
        <f>IF(AND($B142&lt;&gt;"",$O142&lt;&gt;""),$O142-$B142,"")</f>
        <v/>
      </c>
      <c r="S142" s="25" t="n"/>
    </row>
    <row r="143" ht="25" customHeight="1">
      <c r="A143" s="25">
        <f>IF($B143="","","CA-"&amp;TEXT(ROW()-4,"0000"))</f>
        <v/>
      </c>
      <c r="B143" s="143" t="n"/>
      <c r="C143" s="25" t="n"/>
      <c r="D143" s="25" t="n"/>
      <c r="E143" s="25" t="n"/>
      <c r="F143" s="25" t="n"/>
      <c r="G143" s="25" t="n"/>
      <c r="H143" s="25" t="n"/>
      <c r="I143" s="28" t="n"/>
      <c r="J143" s="28" t="n"/>
      <c r="K143" s="28" t="n"/>
      <c r="L143" s="25" t="n"/>
      <c r="M143" s="143" t="n"/>
      <c r="N143" s="25" t="n"/>
      <c r="O143" s="143" t="n"/>
      <c r="P143" s="25" t="n"/>
      <c r="Q143" s="139">
        <f>IF($M143="","",IF(OR($N143="完了",$N143="クローズ"),IF($O143="",0,MAX(0,$O143-$M143)),MAX(0,TODAY()-$M143)))</f>
        <v/>
      </c>
      <c r="R143" s="139">
        <f>IF(AND($B143&lt;&gt;"",$O143&lt;&gt;""),$O143-$B143,"")</f>
        <v/>
      </c>
      <c r="S143" s="25" t="n"/>
    </row>
    <row r="144" ht="25" customHeight="1">
      <c r="A144" s="25">
        <f>IF($B144="","","CA-"&amp;TEXT(ROW()-4,"0000"))</f>
        <v/>
      </c>
      <c r="B144" s="143" t="n"/>
      <c r="C144" s="25" t="n"/>
      <c r="D144" s="25" t="n"/>
      <c r="E144" s="25" t="n"/>
      <c r="F144" s="25" t="n"/>
      <c r="G144" s="25" t="n"/>
      <c r="H144" s="25" t="n"/>
      <c r="I144" s="28" t="n"/>
      <c r="J144" s="28" t="n"/>
      <c r="K144" s="28" t="n"/>
      <c r="L144" s="25" t="n"/>
      <c r="M144" s="143" t="n"/>
      <c r="N144" s="25" t="n"/>
      <c r="O144" s="143" t="n"/>
      <c r="P144" s="25" t="n"/>
      <c r="Q144" s="139">
        <f>IF($M144="","",IF(OR($N144="完了",$N144="クローズ"),IF($O144="",0,MAX(0,$O144-$M144)),MAX(0,TODAY()-$M144)))</f>
        <v/>
      </c>
      <c r="R144" s="139">
        <f>IF(AND($B144&lt;&gt;"",$O144&lt;&gt;""),$O144-$B144,"")</f>
        <v/>
      </c>
      <c r="S144" s="25" t="n"/>
    </row>
    <row r="145" ht="25" customHeight="1">
      <c r="A145" s="25">
        <f>IF($B145="","","CA-"&amp;TEXT(ROW()-4,"0000"))</f>
        <v/>
      </c>
      <c r="B145" s="143" t="n"/>
      <c r="C145" s="25" t="n"/>
      <c r="D145" s="25" t="n"/>
      <c r="E145" s="25" t="n"/>
      <c r="F145" s="25" t="n"/>
      <c r="G145" s="25" t="n"/>
      <c r="H145" s="25" t="n"/>
      <c r="I145" s="28" t="n"/>
      <c r="J145" s="28" t="n"/>
      <c r="K145" s="28" t="n"/>
      <c r="L145" s="25" t="n"/>
      <c r="M145" s="143" t="n"/>
      <c r="N145" s="25" t="n"/>
      <c r="O145" s="143" t="n"/>
      <c r="P145" s="25" t="n"/>
      <c r="Q145" s="139">
        <f>IF($M145="","",IF(OR($N145="完了",$N145="クローズ"),IF($O145="",0,MAX(0,$O145-$M145)),MAX(0,TODAY()-$M145)))</f>
        <v/>
      </c>
      <c r="R145" s="139">
        <f>IF(AND($B145&lt;&gt;"",$O145&lt;&gt;""),$O145-$B145,"")</f>
        <v/>
      </c>
      <c r="S145" s="25" t="n"/>
    </row>
    <row r="146" ht="25" customHeight="1">
      <c r="A146" s="25">
        <f>IF($B146="","","CA-"&amp;TEXT(ROW()-4,"0000"))</f>
        <v/>
      </c>
      <c r="B146" s="143" t="n"/>
      <c r="C146" s="25" t="n"/>
      <c r="D146" s="25" t="n"/>
      <c r="E146" s="25" t="n"/>
      <c r="F146" s="25" t="n"/>
      <c r="G146" s="25" t="n"/>
      <c r="H146" s="25" t="n"/>
      <c r="I146" s="28" t="n"/>
      <c r="J146" s="28" t="n"/>
      <c r="K146" s="28" t="n"/>
      <c r="L146" s="25" t="n"/>
      <c r="M146" s="143" t="n"/>
      <c r="N146" s="25" t="n"/>
      <c r="O146" s="143" t="n"/>
      <c r="P146" s="25" t="n"/>
      <c r="Q146" s="139">
        <f>IF($M146="","",IF(OR($N146="完了",$N146="クローズ"),IF($O146="",0,MAX(0,$O146-$M146)),MAX(0,TODAY()-$M146)))</f>
        <v/>
      </c>
      <c r="R146" s="139">
        <f>IF(AND($B146&lt;&gt;"",$O146&lt;&gt;""),$O146-$B146,"")</f>
        <v/>
      </c>
      <c r="S146" s="25" t="n"/>
    </row>
    <row r="147" ht="25" customHeight="1">
      <c r="A147" s="25">
        <f>IF($B147="","","CA-"&amp;TEXT(ROW()-4,"0000"))</f>
        <v/>
      </c>
      <c r="B147" s="143" t="n"/>
      <c r="C147" s="25" t="n"/>
      <c r="D147" s="25" t="n"/>
      <c r="E147" s="25" t="n"/>
      <c r="F147" s="25" t="n"/>
      <c r="G147" s="25" t="n"/>
      <c r="H147" s="25" t="n"/>
      <c r="I147" s="28" t="n"/>
      <c r="J147" s="28" t="n"/>
      <c r="K147" s="28" t="n"/>
      <c r="L147" s="25" t="n"/>
      <c r="M147" s="143" t="n"/>
      <c r="N147" s="25" t="n"/>
      <c r="O147" s="143" t="n"/>
      <c r="P147" s="25" t="n"/>
      <c r="Q147" s="139">
        <f>IF($M147="","",IF(OR($N147="完了",$N147="クローズ"),IF($O147="",0,MAX(0,$O147-$M147)),MAX(0,TODAY()-$M147)))</f>
        <v/>
      </c>
      <c r="R147" s="139">
        <f>IF(AND($B147&lt;&gt;"",$O147&lt;&gt;""),$O147-$B147,"")</f>
        <v/>
      </c>
      <c r="S147" s="25" t="n"/>
    </row>
    <row r="148" ht="25" customHeight="1">
      <c r="A148" s="25">
        <f>IF($B148="","","CA-"&amp;TEXT(ROW()-4,"0000"))</f>
        <v/>
      </c>
      <c r="B148" s="143" t="n"/>
      <c r="C148" s="25" t="n"/>
      <c r="D148" s="25" t="n"/>
      <c r="E148" s="25" t="n"/>
      <c r="F148" s="25" t="n"/>
      <c r="G148" s="25" t="n"/>
      <c r="H148" s="25" t="n"/>
      <c r="I148" s="28" t="n"/>
      <c r="J148" s="28" t="n"/>
      <c r="K148" s="28" t="n"/>
      <c r="L148" s="25" t="n"/>
      <c r="M148" s="143" t="n"/>
      <c r="N148" s="25" t="n"/>
      <c r="O148" s="143" t="n"/>
      <c r="P148" s="25" t="n"/>
      <c r="Q148" s="139">
        <f>IF($M148="","",IF(OR($N148="完了",$N148="クローズ"),IF($O148="",0,MAX(0,$O148-$M148)),MAX(0,TODAY()-$M148)))</f>
        <v/>
      </c>
      <c r="R148" s="139">
        <f>IF(AND($B148&lt;&gt;"",$O148&lt;&gt;""),$O148-$B148,"")</f>
        <v/>
      </c>
      <c r="S148" s="25" t="n"/>
    </row>
    <row r="149" ht="25" customHeight="1">
      <c r="A149" s="25">
        <f>IF($B149="","","CA-"&amp;TEXT(ROW()-4,"0000"))</f>
        <v/>
      </c>
      <c r="B149" s="143" t="n"/>
      <c r="C149" s="25" t="n"/>
      <c r="D149" s="25" t="n"/>
      <c r="E149" s="25" t="n"/>
      <c r="F149" s="25" t="n"/>
      <c r="G149" s="25" t="n"/>
      <c r="H149" s="25" t="n"/>
      <c r="I149" s="28" t="n"/>
      <c r="J149" s="28" t="n"/>
      <c r="K149" s="28" t="n"/>
      <c r="L149" s="25" t="n"/>
      <c r="M149" s="143" t="n"/>
      <c r="N149" s="25" t="n"/>
      <c r="O149" s="143" t="n"/>
      <c r="P149" s="25" t="n"/>
      <c r="Q149" s="139">
        <f>IF($M149="","",IF(OR($N149="完了",$N149="クローズ"),IF($O149="",0,MAX(0,$O149-$M149)),MAX(0,TODAY()-$M149)))</f>
        <v/>
      </c>
      <c r="R149" s="139">
        <f>IF(AND($B149&lt;&gt;"",$O149&lt;&gt;""),$O149-$B149,"")</f>
        <v/>
      </c>
      <c r="S149" s="25" t="n"/>
    </row>
    <row r="150" ht="25" customHeight="1">
      <c r="A150" s="25">
        <f>IF($B150="","","CA-"&amp;TEXT(ROW()-4,"0000"))</f>
        <v/>
      </c>
      <c r="B150" s="143" t="n"/>
      <c r="C150" s="25" t="n"/>
      <c r="D150" s="25" t="n"/>
      <c r="E150" s="25" t="n"/>
      <c r="F150" s="25" t="n"/>
      <c r="G150" s="25" t="n"/>
      <c r="H150" s="25" t="n"/>
      <c r="I150" s="28" t="n"/>
      <c r="J150" s="28" t="n"/>
      <c r="K150" s="28" t="n"/>
      <c r="L150" s="25" t="n"/>
      <c r="M150" s="143" t="n"/>
      <c r="N150" s="25" t="n"/>
      <c r="O150" s="143" t="n"/>
      <c r="P150" s="25" t="n"/>
      <c r="Q150" s="139">
        <f>IF($M150="","",IF(OR($N150="完了",$N150="クローズ"),IF($O150="",0,MAX(0,$O150-$M150)),MAX(0,TODAY()-$M150)))</f>
        <v/>
      </c>
      <c r="R150" s="139">
        <f>IF(AND($B150&lt;&gt;"",$O150&lt;&gt;""),$O150-$B150,"")</f>
        <v/>
      </c>
      <c r="S150" s="25" t="n"/>
    </row>
    <row r="151" ht="25" customHeight="1">
      <c r="A151" s="25">
        <f>IF($B151="","","CA-"&amp;TEXT(ROW()-4,"0000"))</f>
        <v/>
      </c>
      <c r="B151" s="143" t="n"/>
      <c r="C151" s="25" t="n"/>
      <c r="D151" s="25" t="n"/>
      <c r="E151" s="25" t="n"/>
      <c r="F151" s="25" t="n"/>
      <c r="G151" s="25" t="n"/>
      <c r="H151" s="25" t="n"/>
      <c r="I151" s="28" t="n"/>
      <c r="J151" s="28" t="n"/>
      <c r="K151" s="28" t="n"/>
      <c r="L151" s="25" t="n"/>
      <c r="M151" s="143" t="n"/>
      <c r="N151" s="25" t="n"/>
      <c r="O151" s="143" t="n"/>
      <c r="P151" s="25" t="n"/>
      <c r="Q151" s="139">
        <f>IF($M151="","",IF(OR($N151="完了",$N151="クローズ"),IF($O151="",0,MAX(0,$O151-$M151)),MAX(0,TODAY()-$M151)))</f>
        <v/>
      </c>
      <c r="R151" s="139">
        <f>IF(AND($B151&lt;&gt;"",$O151&lt;&gt;""),$O151-$B151,"")</f>
        <v/>
      </c>
      <c r="S151" s="25" t="n"/>
    </row>
    <row r="152" ht="25" customHeight="1">
      <c r="A152" s="25">
        <f>IF($B152="","","CA-"&amp;TEXT(ROW()-4,"0000"))</f>
        <v/>
      </c>
      <c r="B152" s="143" t="n"/>
      <c r="C152" s="25" t="n"/>
      <c r="D152" s="25" t="n"/>
      <c r="E152" s="25" t="n"/>
      <c r="F152" s="25" t="n"/>
      <c r="G152" s="25" t="n"/>
      <c r="H152" s="25" t="n"/>
      <c r="I152" s="28" t="n"/>
      <c r="J152" s="28" t="n"/>
      <c r="K152" s="28" t="n"/>
      <c r="L152" s="25" t="n"/>
      <c r="M152" s="143" t="n"/>
      <c r="N152" s="25" t="n"/>
      <c r="O152" s="143" t="n"/>
      <c r="P152" s="25" t="n"/>
      <c r="Q152" s="139">
        <f>IF($M152="","",IF(OR($N152="完了",$N152="クローズ"),IF($O152="",0,MAX(0,$O152-$M152)),MAX(0,TODAY()-$M152)))</f>
        <v/>
      </c>
      <c r="R152" s="139">
        <f>IF(AND($B152&lt;&gt;"",$O152&lt;&gt;""),$O152-$B152,"")</f>
        <v/>
      </c>
      <c r="S152" s="25" t="n"/>
    </row>
    <row r="153" ht="25" customHeight="1">
      <c r="A153" s="25">
        <f>IF($B153="","","CA-"&amp;TEXT(ROW()-4,"0000"))</f>
        <v/>
      </c>
      <c r="B153" s="143" t="n"/>
      <c r="C153" s="25" t="n"/>
      <c r="D153" s="25" t="n"/>
      <c r="E153" s="25" t="n"/>
      <c r="F153" s="25" t="n"/>
      <c r="G153" s="25" t="n"/>
      <c r="H153" s="25" t="n"/>
      <c r="I153" s="28" t="n"/>
      <c r="J153" s="28" t="n"/>
      <c r="K153" s="28" t="n"/>
      <c r="L153" s="25" t="n"/>
      <c r="M153" s="143" t="n"/>
      <c r="N153" s="25" t="n"/>
      <c r="O153" s="143" t="n"/>
      <c r="P153" s="25" t="n"/>
      <c r="Q153" s="139">
        <f>IF($M153="","",IF(OR($N153="完了",$N153="クローズ"),IF($O153="",0,MAX(0,$O153-$M153)),MAX(0,TODAY()-$M153)))</f>
        <v/>
      </c>
      <c r="R153" s="139">
        <f>IF(AND($B153&lt;&gt;"",$O153&lt;&gt;""),$O153-$B153,"")</f>
        <v/>
      </c>
      <c r="S153" s="25" t="n"/>
    </row>
    <row r="154" ht="25" customHeight="1">
      <c r="A154" s="25">
        <f>IF($B154="","","CA-"&amp;TEXT(ROW()-4,"0000"))</f>
        <v/>
      </c>
      <c r="B154" s="143" t="n"/>
      <c r="C154" s="25" t="n"/>
      <c r="D154" s="25" t="n"/>
      <c r="E154" s="25" t="n"/>
      <c r="F154" s="25" t="n"/>
      <c r="G154" s="25" t="n"/>
      <c r="H154" s="25" t="n"/>
      <c r="I154" s="28" t="n"/>
      <c r="J154" s="28" t="n"/>
      <c r="K154" s="28" t="n"/>
      <c r="L154" s="25" t="n"/>
      <c r="M154" s="143" t="n"/>
      <c r="N154" s="25" t="n"/>
      <c r="O154" s="143" t="n"/>
      <c r="P154" s="25" t="n"/>
      <c r="Q154" s="139">
        <f>IF($M154="","",IF(OR($N154="完了",$N154="クローズ"),IF($O154="",0,MAX(0,$O154-$M154)),MAX(0,TODAY()-$M154)))</f>
        <v/>
      </c>
      <c r="R154" s="139">
        <f>IF(AND($B154&lt;&gt;"",$O154&lt;&gt;""),$O154-$B154,"")</f>
        <v/>
      </c>
      <c r="S154" s="25" t="n"/>
    </row>
    <row r="155" ht="25" customHeight="1">
      <c r="A155" s="25">
        <f>IF($B155="","","CA-"&amp;TEXT(ROW()-4,"0000"))</f>
        <v/>
      </c>
      <c r="B155" s="143" t="n"/>
      <c r="C155" s="25" t="n"/>
      <c r="D155" s="25" t="n"/>
      <c r="E155" s="25" t="n"/>
      <c r="F155" s="25" t="n"/>
      <c r="G155" s="25" t="n"/>
      <c r="H155" s="25" t="n"/>
      <c r="I155" s="28" t="n"/>
      <c r="J155" s="28" t="n"/>
      <c r="K155" s="28" t="n"/>
      <c r="L155" s="25" t="n"/>
      <c r="M155" s="143" t="n"/>
      <c r="N155" s="25" t="n"/>
      <c r="O155" s="143" t="n"/>
      <c r="P155" s="25" t="n"/>
      <c r="Q155" s="139">
        <f>IF($M155="","",IF(OR($N155="完了",$N155="クローズ"),IF($O155="",0,MAX(0,$O155-$M155)),MAX(0,TODAY()-$M155)))</f>
        <v/>
      </c>
      <c r="R155" s="139">
        <f>IF(AND($B155&lt;&gt;"",$O155&lt;&gt;""),$O155-$B155,"")</f>
        <v/>
      </c>
      <c r="S155" s="25" t="n"/>
    </row>
    <row r="156" ht="25" customHeight="1">
      <c r="A156" s="25">
        <f>IF($B156="","","CA-"&amp;TEXT(ROW()-4,"0000"))</f>
        <v/>
      </c>
      <c r="B156" s="143" t="n"/>
      <c r="C156" s="25" t="n"/>
      <c r="D156" s="25" t="n"/>
      <c r="E156" s="25" t="n"/>
      <c r="F156" s="25" t="n"/>
      <c r="G156" s="25" t="n"/>
      <c r="H156" s="25" t="n"/>
      <c r="I156" s="28" t="n"/>
      <c r="J156" s="28" t="n"/>
      <c r="K156" s="28" t="n"/>
      <c r="L156" s="25" t="n"/>
      <c r="M156" s="143" t="n"/>
      <c r="N156" s="25" t="n"/>
      <c r="O156" s="143" t="n"/>
      <c r="P156" s="25" t="n"/>
      <c r="Q156" s="139">
        <f>IF($M156="","",IF(OR($N156="完了",$N156="クローズ"),IF($O156="",0,MAX(0,$O156-$M156)),MAX(0,TODAY()-$M156)))</f>
        <v/>
      </c>
      <c r="R156" s="139">
        <f>IF(AND($B156&lt;&gt;"",$O156&lt;&gt;""),$O156-$B156,"")</f>
        <v/>
      </c>
      <c r="S156" s="25" t="n"/>
    </row>
    <row r="157" ht="25" customHeight="1">
      <c r="A157" s="25">
        <f>IF($B157="","","CA-"&amp;TEXT(ROW()-4,"0000"))</f>
        <v/>
      </c>
      <c r="B157" s="143" t="n"/>
      <c r="C157" s="25" t="n"/>
      <c r="D157" s="25" t="n"/>
      <c r="E157" s="25" t="n"/>
      <c r="F157" s="25" t="n"/>
      <c r="G157" s="25" t="n"/>
      <c r="H157" s="25" t="n"/>
      <c r="I157" s="28" t="n"/>
      <c r="J157" s="28" t="n"/>
      <c r="K157" s="28" t="n"/>
      <c r="L157" s="25" t="n"/>
      <c r="M157" s="143" t="n"/>
      <c r="N157" s="25" t="n"/>
      <c r="O157" s="143" t="n"/>
      <c r="P157" s="25" t="n"/>
      <c r="Q157" s="139">
        <f>IF($M157="","",IF(OR($N157="完了",$N157="クローズ"),IF($O157="",0,MAX(0,$O157-$M157)),MAX(0,TODAY()-$M157)))</f>
        <v/>
      </c>
      <c r="R157" s="139">
        <f>IF(AND($B157&lt;&gt;"",$O157&lt;&gt;""),$O157-$B157,"")</f>
        <v/>
      </c>
      <c r="S157" s="25" t="n"/>
    </row>
    <row r="158" ht="25" customHeight="1">
      <c r="A158" s="25">
        <f>IF($B158="","","CA-"&amp;TEXT(ROW()-4,"0000"))</f>
        <v/>
      </c>
      <c r="B158" s="143" t="n"/>
      <c r="C158" s="25" t="n"/>
      <c r="D158" s="25" t="n"/>
      <c r="E158" s="25" t="n"/>
      <c r="F158" s="25" t="n"/>
      <c r="G158" s="25" t="n"/>
      <c r="H158" s="25" t="n"/>
      <c r="I158" s="28" t="n"/>
      <c r="J158" s="28" t="n"/>
      <c r="K158" s="28" t="n"/>
      <c r="L158" s="25" t="n"/>
      <c r="M158" s="143" t="n"/>
      <c r="N158" s="25" t="n"/>
      <c r="O158" s="143" t="n"/>
      <c r="P158" s="25" t="n"/>
      <c r="Q158" s="139">
        <f>IF($M158="","",IF(OR($N158="完了",$N158="クローズ"),IF($O158="",0,MAX(0,$O158-$M158)),MAX(0,TODAY()-$M158)))</f>
        <v/>
      </c>
      <c r="R158" s="139">
        <f>IF(AND($B158&lt;&gt;"",$O158&lt;&gt;""),$O158-$B158,"")</f>
        <v/>
      </c>
      <c r="S158" s="25" t="n"/>
    </row>
    <row r="159" ht="25" customHeight="1">
      <c r="A159" s="25">
        <f>IF($B159="","","CA-"&amp;TEXT(ROW()-4,"0000"))</f>
        <v/>
      </c>
      <c r="B159" s="143" t="n"/>
      <c r="C159" s="25" t="n"/>
      <c r="D159" s="25" t="n"/>
      <c r="E159" s="25" t="n"/>
      <c r="F159" s="25" t="n"/>
      <c r="G159" s="25" t="n"/>
      <c r="H159" s="25" t="n"/>
      <c r="I159" s="28" t="n"/>
      <c r="J159" s="28" t="n"/>
      <c r="K159" s="28" t="n"/>
      <c r="L159" s="25" t="n"/>
      <c r="M159" s="143" t="n"/>
      <c r="N159" s="25" t="n"/>
      <c r="O159" s="143" t="n"/>
      <c r="P159" s="25" t="n"/>
      <c r="Q159" s="139">
        <f>IF($M159="","",IF(OR($N159="完了",$N159="クローズ"),IF($O159="",0,MAX(0,$O159-$M159)),MAX(0,TODAY()-$M159)))</f>
        <v/>
      </c>
      <c r="R159" s="139">
        <f>IF(AND($B159&lt;&gt;"",$O159&lt;&gt;""),$O159-$B159,"")</f>
        <v/>
      </c>
      <c r="S159" s="25" t="n"/>
    </row>
    <row r="160" ht="25" customHeight="1">
      <c r="A160" s="25">
        <f>IF($B160="","","CA-"&amp;TEXT(ROW()-4,"0000"))</f>
        <v/>
      </c>
      <c r="B160" s="143" t="n"/>
      <c r="C160" s="25" t="n"/>
      <c r="D160" s="25" t="n"/>
      <c r="E160" s="25" t="n"/>
      <c r="F160" s="25" t="n"/>
      <c r="G160" s="25" t="n"/>
      <c r="H160" s="25" t="n"/>
      <c r="I160" s="28" t="n"/>
      <c r="J160" s="28" t="n"/>
      <c r="K160" s="28" t="n"/>
      <c r="L160" s="25" t="n"/>
      <c r="M160" s="143" t="n"/>
      <c r="N160" s="25" t="n"/>
      <c r="O160" s="143" t="n"/>
      <c r="P160" s="25" t="n"/>
      <c r="Q160" s="139">
        <f>IF($M160="","",IF(OR($N160="完了",$N160="クローズ"),IF($O160="",0,MAX(0,$O160-$M160)),MAX(0,TODAY()-$M160)))</f>
        <v/>
      </c>
      <c r="R160" s="139">
        <f>IF(AND($B160&lt;&gt;"",$O160&lt;&gt;""),$O160-$B160,"")</f>
        <v/>
      </c>
      <c r="S160" s="25" t="n"/>
    </row>
    <row r="161" ht="25" customHeight="1">
      <c r="A161" s="25">
        <f>IF($B161="","","CA-"&amp;TEXT(ROW()-4,"0000"))</f>
        <v/>
      </c>
      <c r="B161" s="143" t="n"/>
      <c r="C161" s="25" t="n"/>
      <c r="D161" s="25" t="n"/>
      <c r="E161" s="25" t="n"/>
      <c r="F161" s="25" t="n"/>
      <c r="G161" s="25" t="n"/>
      <c r="H161" s="25" t="n"/>
      <c r="I161" s="28" t="n"/>
      <c r="J161" s="28" t="n"/>
      <c r="K161" s="28" t="n"/>
      <c r="L161" s="25" t="n"/>
      <c r="M161" s="143" t="n"/>
      <c r="N161" s="25" t="n"/>
      <c r="O161" s="143" t="n"/>
      <c r="P161" s="25" t="n"/>
      <c r="Q161" s="139">
        <f>IF($M161="","",IF(OR($N161="完了",$N161="クローズ"),IF($O161="",0,MAX(0,$O161-$M161)),MAX(0,TODAY()-$M161)))</f>
        <v/>
      </c>
      <c r="R161" s="139">
        <f>IF(AND($B161&lt;&gt;"",$O161&lt;&gt;""),$O161-$B161,"")</f>
        <v/>
      </c>
      <c r="S161" s="25" t="n"/>
    </row>
    <row r="162" ht="25" customHeight="1">
      <c r="A162" s="25">
        <f>IF($B162="","","CA-"&amp;TEXT(ROW()-4,"0000"))</f>
        <v/>
      </c>
      <c r="B162" s="143" t="n"/>
      <c r="C162" s="25" t="n"/>
      <c r="D162" s="25" t="n"/>
      <c r="E162" s="25" t="n"/>
      <c r="F162" s="25" t="n"/>
      <c r="G162" s="25" t="n"/>
      <c r="H162" s="25" t="n"/>
      <c r="I162" s="28" t="n"/>
      <c r="J162" s="28" t="n"/>
      <c r="K162" s="28" t="n"/>
      <c r="L162" s="25" t="n"/>
      <c r="M162" s="143" t="n"/>
      <c r="N162" s="25" t="n"/>
      <c r="O162" s="143" t="n"/>
      <c r="P162" s="25" t="n"/>
      <c r="Q162" s="139">
        <f>IF($M162="","",IF(OR($N162="完了",$N162="クローズ"),IF($O162="",0,MAX(0,$O162-$M162)),MAX(0,TODAY()-$M162)))</f>
        <v/>
      </c>
      <c r="R162" s="139">
        <f>IF(AND($B162&lt;&gt;"",$O162&lt;&gt;""),$O162-$B162,"")</f>
        <v/>
      </c>
      <c r="S162" s="25" t="n"/>
    </row>
    <row r="163" ht="25" customHeight="1">
      <c r="A163" s="25">
        <f>IF($B163="","","CA-"&amp;TEXT(ROW()-4,"0000"))</f>
        <v/>
      </c>
      <c r="B163" s="143" t="n"/>
      <c r="C163" s="25" t="n"/>
      <c r="D163" s="25" t="n"/>
      <c r="E163" s="25" t="n"/>
      <c r="F163" s="25" t="n"/>
      <c r="G163" s="25" t="n"/>
      <c r="H163" s="25" t="n"/>
      <c r="I163" s="28" t="n"/>
      <c r="J163" s="28" t="n"/>
      <c r="K163" s="28" t="n"/>
      <c r="L163" s="25" t="n"/>
      <c r="M163" s="143" t="n"/>
      <c r="N163" s="25" t="n"/>
      <c r="O163" s="143" t="n"/>
      <c r="P163" s="25" t="n"/>
      <c r="Q163" s="139">
        <f>IF($M163="","",IF(OR($N163="完了",$N163="クローズ"),IF($O163="",0,MAX(0,$O163-$M163)),MAX(0,TODAY()-$M163)))</f>
        <v/>
      </c>
      <c r="R163" s="139">
        <f>IF(AND($B163&lt;&gt;"",$O163&lt;&gt;""),$O163-$B163,"")</f>
        <v/>
      </c>
      <c r="S163" s="25" t="n"/>
    </row>
    <row r="164" ht="25" customHeight="1">
      <c r="A164" s="25">
        <f>IF($B164="","","CA-"&amp;TEXT(ROW()-4,"0000"))</f>
        <v/>
      </c>
      <c r="B164" s="143" t="n"/>
      <c r="C164" s="25" t="n"/>
      <c r="D164" s="25" t="n"/>
      <c r="E164" s="25" t="n"/>
      <c r="F164" s="25" t="n"/>
      <c r="G164" s="25" t="n"/>
      <c r="H164" s="25" t="n"/>
      <c r="I164" s="28" t="n"/>
      <c r="J164" s="28" t="n"/>
      <c r="K164" s="28" t="n"/>
      <c r="L164" s="25" t="n"/>
      <c r="M164" s="143" t="n"/>
      <c r="N164" s="25" t="n"/>
      <c r="O164" s="143" t="n"/>
      <c r="P164" s="25" t="n"/>
      <c r="Q164" s="139">
        <f>IF($M164="","",IF(OR($N164="完了",$N164="クローズ"),IF($O164="",0,MAX(0,$O164-$M164)),MAX(0,TODAY()-$M164)))</f>
        <v/>
      </c>
      <c r="R164" s="139">
        <f>IF(AND($B164&lt;&gt;"",$O164&lt;&gt;""),$O164-$B164,"")</f>
        <v/>
      </c>
      <c r="S164" s="25" t="n"/>
    </row>
    <row r="165" ht="25" customHeight="1">
      <c r="A165" s="25">
        <f>IF($B165="","","CA-"&amp;TEXT(ROW()-4,"0000"))</f>
        <v/>
      </c>
      <c r="B165" s="143" t="n"/>
      <c r="C165" s="25" t="n"/>
      <c r="D165" s="25" t="n"/>
      <c r="E165" s="25" t="n"/>
      <c r="F165" s="25" t="n"/>
      <c r="G165" s="25" t="n"/>
      <c r="H165" s="25" t="n"/>
      <c r="I165" s="28" t="n"/>
      <c r="J165" s="28" t="n"/>
      <c r="K165" s="28" t="n"/>
      <c r="L165" s="25" t="n"/>
      <c r="M165" s="143" t="n"/>
      <c r="N165" s="25" t="n"/>
      <c r="O165" s="143" t="n"/>
      <c r="P165" s="25" t="n"/>
      <c r="Q165" s="139">
        <f>IF($M165="","",IF(OR($N165="完了",$N165="クローズ"),IF($O165="",0,MAX(0,$O165-$M165)),MAX(0,TODAY()-$M165)))</f>
        <v/>
      </c>
      <c r="R165" s="139">
        <f>IF(AND($B165&lt;&gt;"",$O165&lt;&gt;""),$O165-$B165,"")</f>
        <v/>
      </c>
      <c r="S165" s="25" t="n"/>
    </row>
    <row r="166" ht="25" customHeight="1">
      <c r="A166" s="25">
        <f>IF($B166="","","CA-"&amp;TEXT(ROW()-4,"0000"))</f>
        <v/>
      </c>
      <c r="B166" s="143" t="n"/>
      <c r="C166" s="25" t="n"/>
      <c r="D166" s="25" t="n"/>
      <c r="E166" s="25" t="n"/>
      <c r="F166" s="25" t="n"/>
      <c r="G166" s="25" t="n"/>
      <c r="H166" s="25" t="n"/>
      <c r="I166" s="28" t="n"/>
      <c r="J166" s="28" t="n"/>
      <c r="K166" s="28" t="n"/>
      <c r="L166" s="25" t="n"/>
      <c r="M166" s="143" t="n"/>
      <c r="N166" s="25" t="n"/>
      <c r="O166" s="143" t="n"/>
      <c r="P166" s="25" t="n"/>
      <c r="Q166" s="139">
        <f>IF($M166="","",IF(OR($N166="完了",$N166="クローズ"),IF($O166="",0,MAX(0,$O166-$M166)),MAX(0,TODAY()-$M166)))</f>
        <v/>
      </c>
      <c r="R166" s="139">
        <f>IF(AND($B166&lt;&gt;"",$O166&lt;&gt;""),$O166-$B166,"")</f>
        <v/>
      </c>
      <c r="S166" s="25" t="n"/>
    </row>
    <row r="167" ht="25" customHeight="1">
      <c r="A167" s="25">
        <f>IF($B167="","","CA-"&amp;TEXT(ROW()-4,"0000"))</f>
        <v/>
      </c>
      <c r="B167" s="143" t="n"/>
      <c r="C167" s="25" t="n"/>
      <c r="D167" s="25" t="n"/>
      <c r="E167" s="25" t="n"/>
      <c r="F167" s="25" t="n"/>
      <c r="G167" s="25" t="n"/>
      <c r="H167" s="25" t="n"/>
      <c r="I167" s="28" t="n"/>
      <c r="J167" s="28" t="n"/>
      <c r="K167" s="28" t="n"/>
      <c r="L167" s="25" t="n"/>
      <c r="M167" s="143" t="n"/>
      <c r="N167" s="25" t="n"/>
      <c r="O167" s="143" t="n"/>
      <c r="P167" s="25" t="n"/>
      <c r="Q167" s="139">
        <f>IF($M167="","",IF(OR($N167="完了",$N167="クローズ"),IF($O167="",0,MAX(0,$O167-$M167)),MAX(0,TODAY()-$M167)))</f>
        <v/>
      </c>
      <c r="R167" s="139">
        <f>IF(AND($B167&lt;&gt;"",$O167&lt;&gt;""),$O167-$B167,"")</f>
        <v/>
      </c>
      <c r="S167" s="25" t="n"/>
    </row>
    <row r="168" ht="25" customHeight="1">
      <c r="A168" s="25">
        <f>IF($B168="","","CA-"&amp;TEXT(ROW()-4,"0000"))</f>
        <v/>
      </c>
      <c r="B168" s="143" t="n"/>
      <c r="C168" s="25" t="n"/>
      <c r="D168" s="25" t="n"/>
      <c r="E168" s="25" t="n"/>
      <c r="F168" s="25" t="n"/>
      <c r="G168" s="25" t="n"/>
      <c r="H168" s="25" t="n"/>
      <c r="I168" s="28" t="n"/>
      <c r="J168" s="28" t="n"/>
      <c r="K168" s="28" t="n"/>
      <c r="L168" s="25" t="n"/>
      <c r="M168" s="143" t="n"/>
      <c r="N168" s="25" t="n"/>
      <c r="O168" s="143" t="n"/>
      <c r="P168" s="25" t="n"/>
      <c r="Q168" s="139">
        <f>IF($M168="","",IF(OR($N168="完了",$N168="クローズ"),IF($O168="",0,MAX(0,$O168-$M168)),MAX(0,TODAY()-$M168)))</f>
        <v/>
      </c>
      <c r="R168" s="139">
        <f>IF(AND($B168&lt;&gt;"",$O168&lt;&gt;""),$O168-$B168,"")</f>
        <v/>
      </c>
      <c r="S168" s="25" t="n"/>
    </row>
    <row r="169" ht="25" customHeight="1">
      <c r="A169" s="25">
        <f>IF($B169="","","CA-"&amp;TEXT(ROW()-4,"0000"))</f>
        <v/>
      </c>
      <c r="B169" s="143" t="n"/>
      <c r="C169" s="25" t="n"/>
      <c r="D169" s="25" t="n"/>
      <c r="E169" s="25" t="n"/>
      <c r="F169" s="25" t="n"/>
      <c r="G169" s="25" t="n"/>
      <c r="H169" s="25" t="n"/>
      <c r="I169" s="28" t="n"/>
      <c r="J169" s="28" t="n"/>
      <c r="K169" s="28" t="n"/>
      <c r="L169" s="25" t="n"/>
      <c r="M169" s="143" t="n"/>
      <c r="N169" s="25" t="n"/>
      <c r="O169" s="143" t="n"/>
      <c r="P169" s="25" t="n"/>
      <c r="Q169" s="139">
        <f>IF($M169="","",IF(OR($N169="完了",$N169="クローズ"),IF($O169="",0,MAX(0,$O169-$M169)),MAX(0,TODAY()-$M169)))</f>
        <v/>
      </c>
      <c r="R169" s="139">
        <f>IF(AND($B169&lt;&gt;"",$O169&lt;&gt;""),$O169-$B169,"")</f>
        <v/>
      </c>
      <c r="S169" s="25" t="n"/>
    </row>
    <row r="170" ht="25" customHeight="1">
      <c r="A170" s="25">
        <f>IF($B170="","","CA-"&amp;TEXT(ROW()-4,"0000"))</f>
        <v/>
      </c>
      <c r="B170" s="143" t="n"/>
      <c r="C170" s="25" t="n"/>
      <c r="D170" s="25" t="n"/>
      <c r="E170" s="25" t="n"/>
      <c r="F170" s="25" t="n"/>
      <c r="G170" s="25" t="n"/>
      <c r="H170" s="25" t="n"/>
      <c r="I170" s="28" t="n"/>
      <c r="J170" s="28" t="n"/>
      <c r="K170" s="28" t="n"/>
      <c r="L170" s="25" t="n"/>
      <c r="M170" s="143" t="n"/>
      <c r="N170" s="25" t="n"/>
      <c r="O170" s="143" t="n"/>
      <c r="P170" s="25" t="n"/>
      <c r="Q170" s="139">
        <f>IF($M170="","",IF(OR($N170="完了",$N170="クローズ"),IF($O170="",0,MAX(0,$O170-$M170)),MAX(0,TODAY()-$M170)))</f>
        <v/>
      </c>
      <c r="R170" s="139">
        <f>IF(AND($B170&lt;&gt;"",$O170&lt;&gt;""),$O170-$B170,"")</f>
        <v/>
      </c>
      <c r="S170" s="25" t="n"/>
    </row>
    <row r="171" ht="25" customHeight="1">
      <c r="A171" s="25">
        <f>IF($B171="","","CA-"&amp;TEXT(ROW()-4,"0000"))</f>
        <v/>
      </c>
      <c r="B171" s="143" t="n"/>
      <c r="C171" s="25" t="n"/>
      <c r="D171" s="25" t="n"/>
      <c r="E171" s="25" t="n"/>
      <c r="F171" s="25" t="n"/>
      <c r="G171" s="25" t="n"/>
      <c r="H171" s="25" t="n"/>
      <c r="I171" s="28" t="n"/>
      <c r="J171" s="28" t="n"/>
      <c r="K171" s="28" t="n"/>
      <c r="L171" s="25" t="n"/>
      <c r="M171" s="143" t="n"/>
      <c r="N171" s="25" t="n"/>
      <c r="O171" s="143" t="n"/>
      <c r="P171" s="25" t="n"/>
      <c r="Q171" s="139">
        <f>IF($M171="","",IF(OR($N171="完了",$N171="クローズ"),IF($O171="",0,MAX(0,$O171-$M171)),MAX(0,TODAY()-$M171)))</f>
        <v/>
      </c>
      <c r="R171" s="139">
        <f>IF(AND($B171&lt;&gt;"",$O171&lt;&gt;""),$O171-$B171,"")</f>
        <v/>
      </c>
      <c r="S171" s="25" t="n"/>
    </row>
    <row r="172" ht="25" customHeight="1">
      <c r="A172" s="25">
        <f>IF($B172="","","CA-"&amp;TEXT(ROW()-4,"0000"))</f>
        <v/>
      </c>
      <c r="B172" s="143" t="n"/>
      <c r="C172" s="25" t="n"/>
      <c r="D172" s="25" t="n"/>
      <c r="E172" s="25" t="n"/>
      <c r="F172" s="25" t="n"/>
      <c r="G172" s="25" t="n"/>
      <c r="H172" s="25" t="n"/>
      <c r="I172" s="28" t="n"/>
      <c r="J172" s="28" t="n"/>
      <c r="K172" s="28" t="n"/>
      <c r="L172" s="25" t="n"/>
      <c r="M172" s="143" t="n"/>
      <c r="N172" s="25" t="n"/>
      <c r="O172" s="143" t="n"/>
      <c r="P172" s="25" t="n"/>
      <c r="Q172" s="139">
        <f>IF($M172="","",IF(OR($N172="完了",$N172="クローズ"),IF($O172="",0,MAX(0,$O172-$M172)),MAX(0,TODAY()-$M172)))</f>
        <v/>
      </c>
      <c r="R172" s="139">
        <f>IF(AND($B172&lt;&gt;"",$O172&lt;&gt;""),$O172-$B172,"")</f>
        <v/>
      </c>
      <c r="S172" s="25" t="n"/>
    </row>
    <row r="173" ht="25" customHeight="1">
      <c r="A173" s="25">
        <f>IF($B173="","","CA-"&amp;TEXT(ROW()-4,"0000"))</f>
        <v/>
      </c>
      <c r="B173" s="143" t="n"/>
      <c r="C173" s="25" t="n"/>
      <c r="D173" s="25" t="n"/>
      <c r="E173" s="25" t="n"/>
      <c r="F173" s="25" t="n"/>
      <c r="G173" s="25" t="n"/>
      <c r="H173" s="25" t="n"/>
      <c r="I173" s="28" t="n"/>
      <c r="J173" s="28" t="n"/>
      <c r="K173" s="28" t="n"/>
      <c r="L173" s="25" t="n"/>
      <c r="M173" s="143" t="n"/>
      <c r="N173" s="25" t="n"/>
      <c r="O173" s="143" t="n"/>
      <c r="P173" s="25" t="n"/>
      <c r="Q173" s="139">
        <f>IF($M173="","",IF(OR($N173="完了",$N173="クローズ"),IF($O173="",0,MAX(0,$O173-$M173)),MAX(0,TODAY()-$M173)))</f>
        <v/>
      </c>
      <c r="R173" s="139">
        <f>IF(AND($B173&lt;&gt;"",$O173&lt;&gt;""),$O173-$B173,"")</f>
        <v/>
      </c>
      <c r="S173" s="25" t="n"/>
    </row>
    <row r="174" ht="25" customHeight="1">
      <c r="A174" s="25">
        <f>IF($B174="","","CA-"&amp;TEXT(ROW()-4,"0000"))</f>
        <v/>
      </c>
      <c r="B174" s="143" t="n"/>
      <c r="C174" s="25" t="n"/>
      <c r="D174" s="25" t="n"/>
      <c r="E174" s="25" t="n"/>
      <c r="F174" s="25" t="n"/>
      <c r="G174" s="25" t="n"/>
      <c r="H174" s="25" t="n"/>
      <c r="I174" s="28" t="n"/>
      <c r="J174" s="28" t="n"/>
      <c r="K174" s="28" t="n"/>
      <c r="L174" s="25" t="n"/>
      <c r="M174" s="143" t="n"/>
      <c r="N174" s="25" t="n"/>
      <c r="O174" s="143" t="n"/>
      <c r="P174" s="25" t="n"/>
      <c r="Q174" s="139">
        <f>IF($M174="","",IF(OR($N174="完了",$N174="クローズ"),IF($O174="",0,MAX(0,$O174-$M174)),MAX(0,TODAY()-$M174)))</f>
        <v/>
      </c>
      <c r="R174" s="139">
        <f>IF(AND($B174&lt;&gt;"",$O174&lt;&gt;""),$O174-$B174,"")</f>
        <v/>
      </c>
      <c r="S174" s="25" t="n"/>
    </row>
    <row r="175" ht="25" customHeight="1">
      <c r="A175" s="25">
        <f>IF($B175="","","CA-"&amp;TEXT(ROW()-4,"0000"))</f>
        <v/>
      </c>
      <c r="B175" s="143" t="n"/>
      <c r="C175" s="25" t="n"/>
      <c r="D175" s="25" t="n"/>
      <c r="E175" s="25" t="n"/>
      <c r="F175" s="25" t="n"/>
      <c r="G175" s="25" t="n"/>
      <c r="H175" s="25" t="n"/>
      <c r="I175" s="28" t="n"/>
      <c r="J175" s="28" t="n"/>
      <c r="K175" s="28" t="n"/>
      <c r="L175" s="25" t="n"/>
      <c r="M175" s="143" t="n"/>
      <c r="N175" s="25" t="n"/>
      <c r="O175" s="143" t="n"/>
      <c r="P175" s="25" t="n"/>
      <c r="Q175" s="139">
        <f>IF($M175="","",IF(OR($N175="完了",$N175="クローズ"),IF($O175="",0,MAX(0,$O175-$M175)),MAX(0,TODAY()-$M175)))</f>
        <v/>
      </c>
      <c r="R175" s="139">
        <f>IF(AND($B175&lt;&gt;"",$O175&lt;&gt;""),$O175-$B175,"")</f>
        <v/>
      </c>
      <c r="S175" s="25" t="n"/>
    </row>
    <row r="176" ht="25" customHeight="1">
      <c r="A176" s="25">
        <f>IF($B176="","","CA-"&amp;TEXT(ROW()-4,"0000"))</f>
        <v/>
      </c>
      <c r="B176" s="143" t="n"/>
      <c r="C176" s="25" t="n"/>
      <c r="D176" s="25" t="n"/>
      <c r="E176" s="25" t="n"/>
      <c r="F176" s="25" t="n"/>
      <c r="G176" s="25" t="n"/>
      <c r="H176" s="25" t="n"/>
      <c r="I176" s="28" t="n"/>
      <c r="J176" s="28" t="n"/>
      <c r="K176" s="28" t="n"/>
      <c r="L176" s="25" t="n"/>
      <c r="M176" s="143" t="n"/>
      <c r="N176" s="25" t="n"/>
      <c r="O176" s="143" t="n"/>
      <c r="P176" s="25" t="n"/>
      <c r="Q176" s="139">
        <f>IF($M176="","",IF(OR($N176="完了",$N176="クローズ"),IF($O176="",0,MAX(0,$O176-$M176)),MAX(0,TODAY()-$M176)))</f>
        <v/>
      </c>
      <c r="R176" s="139">
        <f>IF(AND($B176&lt;&gt;"",$O176&lt;&gt;""),$O176-$B176,"")</f>
        <v/>
      </c>
      <c r="S176" s="25" t="n"/>
    </row>
    <row r="177" ht="25" customHeight="1">
      <c r="A177" s="25">
        <f>IF($B177="","","CA-"&amp;TEXT(ROW()-4,"0000"))</f>
        <v/>
      </c>
      <c r="B177" s="143" t="n"/>
      <c r="C177" s="25" t="n"/>
      <c r="D177" s="25" t="n"/>
      <c r="E177" s="25" t="n"/>
      <c r="F177" s="25" t="n"/>
      <c r="G177" s="25" t="n"/>
      <c r="H177" s="25" t="n"/>
      <c r="I177" s="28" t="n"/>
      <c r="J177" s="28" t="n"/>
      <c r="K177" s="28" t="n"/>
      <c r="L177" s="25" t="n"/>
      <c r="M177" s="143" t="n"/>
      <c r="N177" s="25" t="n"/>
      <c r="O177" s="143" t="n"/>
      <c r="P177" s="25" t="n"/>
      <c r="Q177" s="139">
        <f>IF($M177="","",IF(OR($N177="完了",$N177="クローズ"),IF($O177="",0,MAX(0,$O177-$M177)),MAX(0,TODAY()-$M177)))</f>
        <v/>
      </c>
      <c r="R177" s="139">
        <f>IF(AND($B177&lt;&gt;"",$O177&lt;&gt;""),$O177-$B177,"")</f>
        <v/>
      </c>
      <c r="S177" s="25" t="n"/>
    </row>
    <row r="178" ht="25" customHeight="1">
      <c r="A178" s="25">
        <f>IF($B178="","","CA-"&amp;TEXT(ROW()-4,"0000"))</f>
        <v/>
      </c>
      <c r="B178" s="143" t="n"/>
      <c r="C178" s="25" t="n"/>
      <c r="D178" s="25" t="n"/>
      <c r="E178" s="25" t="n"/>
      <c r="F178" s="25" t="n"/>
      <c r="G178" s="25" t="n"/>
      <c r="H178" s="25" t="n"/>
      <c r="I178" s="28" t="n"/>
      <c r="J178" s="28" t="n"/>
      <c r="K178" s="28" t="n"/>
      <c r="L178" s="25" t="n"/>
      <c r="M178" s="143" t="n"/>
      <c r="N178" s="25" t="n"/>
      <c r="O178" s="143" t="n"/>
      <c r="P178" s="25" t="n"/>
      <c r="Q178" s="139">
        <f>IF($M178="","",IF(OR($N178="完了",$N178="クローズ"),IF($O178="",0,MAX(0,$O178-$M178)),MAX(0,TODAY()-$M178)))</f>
        <v/>
      </c>
      <c r="R178" s="139">
        <f>IF(AND($B178&lt;&gt;"",$O178&lt;&gt;""),$O178-$B178,"")</f>
        <v/>
      </c>
      <c r="S178" s="25" t="n"/>
    </row>
    <row r="179" ht="25" customHeight="1">
      <c r="A179" s="25">
        <f>IF($B179="","","CA-"&amp;TEXT(ROW()-4,"0000"))</f>
        <v/>
      </c>
      <c r="B179" s="143" t="n"/>
      <c r="C179" s="25" t="n"/>
      <c r="D179" s="25" t="n"/>
      <c r="E179" s="25" t="n"/>
      <c r="F179" s="25" t="n"/>
      <c r="G179" s="25" t="n"/>
      <c r="H179" s="25" t="n"/>
      <c r="I179" s="28" t="n"/>
      <c r="J179" s="28" t="n"/>
      <c r="K179" s="28" t="n"/>
      <c r="L179" s="25" t="n"/>
      <c r="M179" s="143" t="n"/>
      <c r="N179" s="25" t="n"/>
      <c r="O179" s="143" t="n"/>
      <c r="P179" s="25" t="n"/>
      <c r="Q179" s="139">
        <f>IF($M179="","",IF(OR($N179="完了",$N179="クローズ"),IF($O179="",0,MAX(0,$O179-$M179)),MAX(0,TODAY()-$M179)))</f>
        <v/>
      </c>
      <c r="R179" s="139">
        <f>IF(AND($B179&lt;&gt;"",$O179&lt;&gt;""),$O179-$B179,"")</f>
        <v/>
      </c>
      <c r="S179" s="25" t="n"/>
    </row>
    <row r="180" ht="25" customHeight="1">
      <c r="A180" s="25">
        <f>IF($B180="","","CA-"&amp;TEXT(ROW()-4,"0000"))</f>
        <v/>
      </c>
      <c r="B180" s="143" t="n"/>
      <c r="C180" s="25" t="n"/>
      <c r="D180" s="25" t="n"/>
      <c r="E180" s="25" t="n"/>
      <c r="F180" s="25" t="n"/>
      <c r="G180" s="25" t="n"/>
      <c r="H180" s="25" t="n"/>
      <c r="I180" s="28" t="n"/>
      <c r="J180" s="28" t="n"/>
      <c r="K180" s="28" t="n"/>
      <c r="L180" s="25" t="n"/>
      <c r="M180" s="143" t="n"/>
      <c r="N180" s="25" t="n"/>
      <c r="O180" s="143" t="n"/>
      <c r="P180" s="25" t="n"/>
      <c r="Q180" s="139">
        <f>IF($M180="","",IF(OR($N180="完了",$N180="クローズ"),IF($O180="",0,MAX(0,$O180-$M180)),MAX(0,TODAY()-$M180)))</f>
        <v/>
      </c>
      <c r="R180" s="139">
        <f>IF(AND($B180&lt;&gt;"",$O180&lt;&gt;""),$O180-$B180,"")</f>
        <v/>
      </c>
      <c r="S180" s="25" t="n"/>
    </row>
    <row r="181" ht="25" customHeight="1">
      <c r="A181" s="25">
        <f>IF($B181="","","CA-"&amp;TEXT(ROW()-4,"0000"))</f>
        <v/>
      </c>
      <c r="B181" s="143" t="n"/>
      <c r="C181" s="25" t="n"/>
      <c r="D181" s="25" t="n"/>
      <c r="E181" s="25" t="n"/>
      <c r="F181" s="25" t="n"/>
      <c r="G181" s="25" t="n"/>
      <c r="H181" s="25" t="n"/>
      <c r="I181" s="28" t="n"/>
      <c r="J181" s="28" t="n"/>
      <c r="K181" s="28" t="n"/>
      <c r="L181" s="25" t="n"/>
      <c r="M181" s="143" t="n"/>
      <c r="N181" s="25" t="n"/>
      <c r="O181" s="143" t="n"/>
      <c r="P181" s="25" t="n"/>
      <c r="Q181" s="139">
        <f>IF($M181="","",IF(OR($N181="完了",$N181="クローズ"),IF($O181="",0,MAX(0,$O181-$M181)),MAX(0,TODAY()-$M181)))</f>
        <v/>
      </c>
      <c r="R181" s="139">
        <f>IF(AND($B181&lt;&gt;"",$O181&lt;&gt;""),$O181-$B181,"")</f>
        <v/>
      </c>
      <c r="S181" s="25" t="n"/>
    </row>
    <row r="182" ht="25" customHeight="1">
      <c r="A182" s="25">
        <f>IF($B182="","","CA-"&amp;TEXT(ROW()-4,"0000"))</f>
        <v/>
      </c>
      <c r="B182" s="143" t="n"/>
      <c r="C182" s="25" t="n"/>
      <c r="D182" s="25" t="n"/>
      <c r="E182" s="25" t="n"/>
      <c r="F182" s="25" t="n"/>
      <c r="G182" s="25" t="n"/>
      <c r="H182" s="25" t="n"/>
      <c r="I182" s="28" t="n"/>
      <c r="J182" s="28" t="n"/>
      <c r="K182" s="28" t="n"/>
      <c r="L182" s="25" t="n"/>
      <c r="M182" s="143" t="n"/>
      <c r="N182" s="25" t="n"/>
      <c r="O182" s="143" t="n"/>
      <c r="P182" s="25" t="n"/>
      <c r="Q182" s="139">
        <f>IF($M182="","",IF(OR($N182="完了",$N182="クローズ"),IF($O182="",0,MAX(0,$O182-$M182)),MAX(0,TODAY()-$M182)))</f>
        <v/>
      </c>
      <c r="R182" s="139">
        <f>IF(AND($B182&lt;&gt;"",$O182&lt;&gt;""),$O182-$B182,"")</f>
        <v/>
      </c>
      <c r="S182" s="25" t="n"/>
    </row>
    <row r="183" ht="25" customHeight="1">
      <c r="A183" s="25">
        <f>IF($B183="","","CA-"&amp;TEXT(ROW()-4,"0000"))</f>
        <v/>
      </c>
      <c r="B183" s="143" t="n"/>
      <c r="C183" s="25" t="n"/>
      <c r="D183" s="25" t="n"/>
      <c r="E183" s="25" t="n"/>
      <c r="F183" s="25" t="n"/>
      <c r="G183" s="25" t="n"/>
      <c r="H183" s="25" t="n"/>
      <c r="I183" s="28" t="n"/>
      <c r="J183" s="28" t="n"/>
      <c r="K183" s="28" t="n"/>
      <c r="L183" s="25" t="n"/>
      <c r="M183" s="143" t="n"/>
      <c r="N183" s="25" t="n"/>
      <c r="O183" s="143" t="n"/>
      <c r="P183" s="25" t="n"/>
      <c r="Q183" s="139">
        <f>IF($M183="","",IF(OR($N183="完了",$N183="クローズ"),IF($O183="",0,MAX(0,$O183-$M183)),MAX(0,TODAY()-$M183)))</f>
        <v/>
      </c>
      <c r="R183" s="139">
        <f>IF(AND($B183&lt;&gt;"",$O183&lt;&gt;""),$O183-$B183,"")</f>
        <v/>
      </c>
      <c r="S183" s="25" t="n"/>
    </row>
    <row r="184" ht="25" customHeight="1">
      <c r="A184" s="25">
        <f>IF($B184="","","CA-"&amp;TEXT(ROW()-4,"0000"))</f>
        <v/>
      </c>
      <c r="B184" s="143" t="n"/>
      <c r="C184" s="25" t="n"/>
      <c r="D184" s="25" t="n"/>
      <c r="E184" s="25" t="n"/>
      <c r="F184" s="25" t="n"/>
      <c r="G184" s="25" t="n"/>
      <c r="H184" s="25" t="n"/>
      <c r="I184" s="28" t="n"/>
      <c r="J184" s="28" t="n"/>
      <c r="K184" s="28" t="n"/>
      <c r="L184" s="25" t="n"/>
      <c r="M184" s="143" t="n"/>
      <c r="N184" s="25" t="n"/>
      <c r="O184" s="143" t="n"/>
      <c r="P184" s="25" t="n"/>
      <c r="Q184" s="139">
        <f>IF($M184="","",IF(OR($N184="完了",$N184="クローズ"),IF($O184="",0,MAX(0,$O184-$M184)),MAX(0,TODAY()-$M184)))</f>
        <v/>
      </c>
      <c r="R184" s="139">
        <f>IF(AND($B184&lt;&gt;"",$O184&lt;&gt;""),$O184-$B184,"")</f>
        <v/>
      </c>
      <c r="S184" s="25" t="n"/>
    </row>
    <row r="185" ht="25" customHeight="1">
      <c r="A185" s="25">
        <f>IF($B185="","","CA-"&amp;TEXT(ROW()-4,"0000"))</f>
        <v/>
      </c>
      <c r="B185" s="143" t="n"/>
      <c r="C185" s="25" t="n"/>
      <c r="D185" s="25" t="n"/>
      <c r="E185" s="25" t="n"/>
      <c r="F185" s="25" t="n"/>
      <c r="G185" s="25" t="n"/>
      <c r="H185" s="25" t="n"/>
      <c r="I185" s="28" t="n"/>
      <c r="J185" s="28" t="n"/>
      <c r="K185" s="28" t="n"/>
      <c r="L185" s="25" t="n"/>
      <c r="M185" s="143" t="n"/>
      <c r="N185" s="25" t="n"/>
      <c r="O185" s="143" t="n"/>
      <c r="P185" s="25" t="n"/>
      <c r="Q185" s="139">
        <f>IF($M185="","",IF(OR($N185="完了",$N185="クローズ"),IF($O185="",0,MAX(0,$O185-$M185)),MAX(0,TODAY()-$M185)))</f>
        <v/>
      </c>
      <c r="R185" s="139">
        <f>IF(AND($B185&lt;&gt;"",$O185&lt;&gt;""),$O185-$B185,"")</f>
        <v/>
      </c>
      <c r="S185" s="25" t="n"/>
    </row>
    <row r="186" ht="25" customHeight="1">
      <c r="A186" s="25">
        <f>IF($B186="","","CA-"&amp;TEXT(ROW()-4,"0000"))</f>
        <v/>
      </c>
      <c r="B186" s="143" t="n"/>
      <c r="C186" s="25" t="n"/>
      <c r="D186" s="25" t="n"/>
      <c r="E186" s="25" t="n"/>
      <c r="F186" s="25" t="n"/>
      <c r="G186" s="25" t="n"/>
      <c r="H186" s="25" t="n"/>
      <c r="I186" s="28" t="n"/>
      <c r="J186" s="28" t="n"/>
      <c r="K186" s="28" t="n"/>
      <c r="L186" s="25" t="n"/>
      <c r="M186" s="143" t="n"/>
      <c r="N186" s="25" t="n"/>
      <c r="O186" s="143" t="n"/>
      <c r="P186" s="25" t="n"/>
      <c r="Q186" s="139">
        <f>IF($M186="","",IF(OR($N186="完了",$N186="クローズ"),IF($O186="",0,MAX(0,$O186-$M186)),MAX(0,TODAY()-$M186)))</f>
        <v/>
      </c>
      <c r="R186" s="139">
        <f>IF(AND($B186&lt;&gt;"",$O186&lt;&gt;""),$O186-$B186,"")</f>
        <v/>
      </c>
      <c r="S186" s="25" t="n"/>
    </row>
    <row r="187" ht="25" customHeight="1">
      <c r="A187" s="25">
        <f>IF($B187="","","CA-"&amp;TEXT(ROW()-4,"0000"))</f>
        <v/>
      </c>
      <c r="B187" s="143" t="n"/>
      <c r="C187" s="25" t="n"/>
      <c r="D187" s="25" t="n"/>
      <c r="E187" s="25" t="n"/>
      <c r="F187" s="25" t="n"/>
      <c r="G187" s="25" t="n"/>
      <c r="H187" s="25" t="n"/>
      <c r="I187" s="28" t="n"/>
      <c r="J187" s="28" t="n"/>
      <c r="K187" s="28" t="n"/>
      <c r="L187" s="25" t="n"/>
      <c r="M187" s="143" t="n"/>
      <c r="N187" s="25" t="n"/>
      <c r="O187" s="143" t="n"/>
      <c r="P187" s="25" t="n"/>
      <c r="Q187" s="139">
        <f>IF($M187="","",IF(OR($N187="完了",$N187="クローズ"),IF($O187="",0,MAX(0,$O187-$M187)),MAX(0,TODAY()-$M187)))</f>
        <v/>
      </c>
      <c r="R187" s="139">
        <f>IF(AND($B187&lt;&gt;"",$O187&lt;&gt;""),$O187-$B187,"")</f>
        <v/>
      </c>
      <c r="S187" s="25" t="n"/>
    </row>
    <row r="188" ht="25" customHeight="1">
      <c r="A188" s="25">
        <f>IF($B188="","","CA-"&amp;TEXT(ROW()-4,"0000"))</f>
        <v/>
      </c>
      <c r="B188" s="143" t="n"/>
      <c r="C188" s="25" t="n"/>
      <c r="D188" s="25" t="n"/>
      <c r="E188" s="25" t="n"/>
      <c r="F188" s="25" t="n"/>
      <c r="G188" s="25" t="n"/>
      <c r="H188" s="25" t="n"/>
      <c r="I188" s="28" t="n"/>
      <c r="J188" s="28" t="n"/>
      <c r="K188" s="28" t="n"/>
      <c r="L188" s="25" t="n"/>
      <c r="M188" s="143" t="n"/>
      <c r="N188" s="25" t="n"/>
      <c r="O188" s="143" t="n"/>
      <c r="P188" s="25" t="n"/>
      <c r="Q188" s="139">
        <f>IF($M188="","",IF(OR($N188="完了",$N188="クローズ"),IF($O188="",0,MAX(0,$O188-$M188)),MAX(0,TODAY()-$M188)))</f>
        <v/>
      </c>
      <c r="R188" s="139">
        <f>IF(AND($B188&lt;&gt;"",$O188&lt;&gt;""),$O188-$B188,"")</f>
        <v/>
      </c>
      <c r="S188" s="25" t="n"/>
    </row>
    <row r="189" ht="25" customHeight="1">
      <c r="A189" s="25">
        <f>IF($B189="","","CA-"&amp;TEXT(ROW()-4,"0000"))</f>
        <v/>
      </c>
      <c r="B189" s="143" t="n"/>
      <c r="C189" s="25" t="n"/>
      <c r="D189" s="25" t="n"/>
      <c r="E189" s="25" t="n"/>
      <c r="F189" s="25" t="n"/>
      <c r="G189" s="25" t="n"/>
      <c r="H189" s="25" t="n"/>
      <c r="I189" s="28" t="n"/>
      <c r="J189" s="28" t="n"/>
      <c r="K189" s="28" t="n"/>
      <c r="L189" s="25" t="n"/>
      <c r="M189" s="143" t="n"/>
      <c r="N189" s="25" t="n"/>
      <c r="O189" s="143" t="n"/>
      <c r="P189" s="25" t="n"/>
      <c r="Q189" s="139">
        <f>IF($M189="","",IF(OR($N189="完了",$N189="クローズ"),IF($O189="",0,MAX(0,$O189-$M189)),MAX(0,TODAY()-$M189)))</f>
        <v/>
      </c>
      <c r="R189" s="139">
        <f>IF(AND($B189&lt;&gt;"",$O189&lt;&gt;""),$O189-$B189,"")</f>
        <v/>
      </c>
      <c r="S189" s="25" t="n"/>
    </row>
    <row r="190" ht="25" customHeight="1">
      <c r="A190" s="25">
        <f>IF($B190="","","CA-"&amp;TEXT(ROW()-4,"0000"))</f>
        <v/>
      </c>
      <c r="B190" s="143" t="n"/>
      <c r="C190" s="25" t="n"/>
      <c r="D190" s="25" t="n"/>
      <c r="E190" s="25" t="n"/>
      <c r="F190" s="25" t="n"/>
      <c r="G190" s="25" t="n"/>
      <c r="H190" s="25" t="n"/>
      <c r="I190" s="28" t="n"/>
      <c r="J190" s="28" t="n"/>
      <c r="K190" s="28" t="n"/>
      <c r="L190" s="25" t="n"/>
      <c r="M190" s="143" t="n"/>
      <c r="N190" s="25" t="n"/>
      <c r="O190" s="143" t="n"/>
      <c r="P190" s="25" t="n"/>
      <c r="Q190" s="139">
        <f>IF($M190="","",IF(OR($N190="完了",$N190="クローズ"),IF($O190="",0,MAX(0,$O190-$M190)),MAX(0,TODAY()-$M190)))</f>
        <v/>
      </c>
      <c r="R190" s="139">
        <f>IF(AND($B190&lt;&gt;"",$O190&lt;&gt;""),$O190-$B190,"")</f>
        <v/>
      </c>
      <c r="S190" s="25" t="n"/>
    </row>
    <row r="191" ht="25" customHeight="1">
      <c r="A191" s="25">
        <f>IF($B191="","","CA-"&amp;TEXT(ROW()-4,"0000"))</f>
        <v/>
      </c>
      <c r="B191" s="143" t="n"/>
      <c r="C191" s="25" t="n"/>
      <c r="D191" s="25" t="n"/>
      <c r="E191" s="25" t="n"/>
      <c r="F191" s="25" t="n"/>
      <c r="G191" s="25" t="n"/>
      <c r="H191" s="25" t="n"/>
      <c r="I191" s="28" t="n"/>
      <c r="J191" s="28" t="n"/>
      <c r="K191" s="28" t="n"/>
      <c r="L191" s="25" t="n"/>
      <c r="M191" s="143" t="n"/>
      <c r="N191" s="25" t="n"/>
      <c r="O191" s="143" t="n"/>
      <c r="P191" s="25" t="n"/>
      <c r="Q191" s="139">
        <f>IF($M191="","",IF(OR($N191="完了",$N191="クローズ"),IF($O191="",0,MAX(0,$O191-$M191)),MAX(0,TODAY()-$M191)))</f>
        <v/>
      </c>
      <c r="R191" s="139">
        <f>IF(AND($B191&lt;&gt;"",$O191&lt;&gt;""),$O191-$B191,"")</f>
        <v/>
      </c>
      <c r="S191" s="25" t="n"/>
    </row>
    <row r="192" ht="25" customHeight="1">
      <c r="A192" s="25">
        <f>IF($B192="","","CA-"&amp;TEXT(ROW()-4,"0000"))</f>
        <v/>
      </c>
      <c r="B192" s="143" t="n"/>
      <c r="C192" s="25" t="n"/>
      <c r="D192" s="25" t="n"/>
      <c r="E192" s="25" t="n"/>
      <c r="F192" s="25" t="n"/>
      <c r="G192" s="25" t="n"/>
      <c r="H192" s="25" t="n"/>
      <c r="I192" s="28" t="n"/>
      <c r="J192" s="28" t="n"/>
      <c r="K192" s="28" t="n"/>
      <c r="L192" s="25" t="n"/>
      <c r="M192" s="143" t="n"/>
      <c r="N192" s="25" t="n"/>
      <c r="O192" s="143" t="n"/>
      <c r="P192" s="25" t="n"/>
      <c r="Q192" s="139">
        <f>IF($M192="","",IF(OR($N192="完了",$N192="クローズ"),IF($O192="",0,MAX(0,$O192-$M192)),MAX(0,TODAY()-$M192)))</f>
        <v/>
      </c>
      <c r="R192" s="139">
        <f>IF(AND($B192&lt;&gt;"",$O192&lt;&gt;""),$O192-$B192,"")</f>
        <v/>
      </c>
      <c r="S192" s="25" t="n"/>
    </row>
    <row r="193" ht="25" customHeight="1">
      <c r="A193" s="25">
        <f>IF($B193="","","CA-"&amp;TEXT(ROW()-4,"0000"))</f>
        <v/>
      </c>
      <c r="B193" s="143" t="n"/>
      <c r="C193" s="25" t="n"/>
      <c r="D193" s="25" t="n"/>
      <c r="E193" s="25" t="n"/>
      <c r="F193" s="25" t="n"/>
      <c r="G193" s="25" t="n"/>
      <c r="H193" s="25" t="n"/>
      <c r="I193" s="28" t="n"/>
      <c r="J193" s="28" t="n"/>
      <c r="K193" s="28" t="n"/>
      <c r="L193" s="25" t="n"/>
      <c r="M193" s="143" t="n"/>
      <c r="N193" s="25" t="n"/>
      <c r="O193" s="143" t="n"/>
      <c r="P193" s="25" t="n"/>
      <c r="Q193" s="139">
        <f>IF($M193="","",IF(OR($N193="完了",$N193="クローズ"),IF($O193="",0,MAX(0,$O193-$M193)),MAX(0,TODAY()-$M193)))</f>
        <v/>
      </c>
      <c r="R193" s="139">
        <f>IF(AND($B193&lt;&gt;"",$O193&lt;&gt;""),$O193-$B193,"")</f>
        <v/>
      </c>
      <c r="S193" s="25" t="n"/>
    </row>
    <row r="194" ht="25" customHeight="1">
      <c r="A194" s="25">
        <f>IF($B194="","","CA-"&amp;TEXT(ROW()-4,"0000"))</f>
        <v/>
      </c>
      <c r="B194" s="143" t="n"/>
      <c r="C194" s="25" t="n"/>
      <c r="D194" s="25" t="n"/>
      <c r="E194" s="25" t="n"/>
      <c r="F194" s="25" t="n"/>
      <c r="G194" s="25" t="n"/>
      <c r="H194" s="25" t="n"/>
      <c r="I194" s="28" t="n"/>
      <c r="J194" s="28" t="n"/>
      <c r="K194" s="28" t="n"/>
      <c r="L194" s="25" t="n"/>
      <c r="M194" s="143" t="n"/>
      <c r="N194" s="25" t="n"/>
      <c r="O194" s="143" t="n"/>
      <c r="P194" s="25" t="n"/>
      <c r="Q194" s="139">
        <f>IF($M194="","",IF(OR($N194="完了",$N194="クローズ"),IF($O194="",0,MAX(0,$O194-$M194)),MAX(0,TODAY()-$M194)))</f>
        <v/>
      </c>
      <c r="R194" s="139">
        <f>IF(AND($B194&lt;&gt;"",$O194&lt;&gt;""),$O194-$B194,"")</f>
        <v/>
      </c>
      <c r="S194" s="25" t="n"/>
    </row>
    <row r="195" ht="25" customHeight="1">
      <c r="A195" s="25">
        <f>IF($B195="","","CA-"&amp;TEXT(ROW()-4,"0000"))</f>
        <v/>
      </c>
      <c r="B195" s="143" t="n"/>
      <c r="C195" s="25" t="n"/>
      <c r="D195" s="25" t="n"/>
      <c r="E195" s="25" t="n"/>
      <c r="F195" s="25" t="n"/>
      <c r="G195" s="25" t="n"/>
      <c r="H195" s="25" t="n"/>
      <c r="I195" s="28" t="n"/>
      <c r="J195" s="28" t="n"/>
      <c r="K195" s="28" t="n"/>
      <c r="L195" s="25" t="n"/>
      <c r="M195" s="143" t="n"/>
      <c r="N195" s="25" t="n"/>
      <c r="O195" s="143" t="n"/>
      <c r="P195" s="25" t="n"/>
      <c r="Q195" s="139">
        <f>IF($M195="","",IF(OR($N195="完了",$N195="クローズ"),IF($O195="",0,MAX(0,$O195-$M195)),MAX(0,TODAY()-$M195)))</f>
        <v/>
      </c>
      <c r="R195" s="139">
        <f>IF(AND($B195&lt;&gt;"",$O195&lt;&gt;""),$O195-$B195,"")</f>
        <v/>
      </c>
      <c r="S195" s="25" t="n"/>
    </row>
    <row r="196" ht="25" customHeight="1">
      <c r="A196" s="25">
        <f>IF($B196="","","CA-"&amp;TEXT(ROW()-4,"0000"))</f>
        <v/>
      </c>
      <c r="B196" s="143" t="n"/>
      <c r="C196" s="25" t="n"/>
      <c r="D196" s="25" t="n"/>
      <c r="E196" s="25" t="n"/>
      <c r="F196" s="25" t="n"/>
      <c r="G196" s="25" t="n"/>
      <c r="H196" s="25" t="n"/>
      <c r="I196" s="28" t="n"/>
      <c r="J196" s="28" t="n"/>
      <c r="K196" s="28" t="n"/>
      <c r="L196" s="25" t="n"/>
      <c r="M196" s="143" t="n"/>
      <c r="N196" s="25" t="n"/>
      <c r="O196" s="143" t="n"/>
      <c r="P196" s="25" t="n"/>
      <c r="Q196" s="139">
        <f>IF($M196="","",IF(OR($N196="完了",$N196="クローズ"),IF($O196="",0,MAX(0,$O196-$M196)),MAX(0,TODAY()-$M196)))</f>
        <v/>
      </c>
      <c r="R196" s="139">
        <f>IF(AND($B196&lt;&gt;"",$O196&lt;&gt;""),$O196-$B196,"")</f>
        <v/>
      </c>
      <c r="S196" s="25" t="n"/>
    </row>
    <row r="197" ht="25" customHeight="1">
      <c r="A197" s="25">
        <f>IF($B197="","","CA-"&amp;TEXT(ROW()-4,"0000"))</f>
        <v/>
      </c>
      <c r="B197" s="143" t="n"/>
      <c r="C197" s="25" t="n"/>
      <c r="D197" s="25" t="n"/>
      <c r="E197" s="25" t="n"/>
      <c r="F197" s="25" t="n"/>
      <c r="G197" s="25" t="n"/>
      <c r="H197" s="25" t="n"/>
      <c r="I197" s="28" t="n"/>
      <c r="J197" s="28" t="n"/>
      <c r="K197" s="28" t="n"/>
      <c r="L197" s="25" t="n"/>
      <c r="M197" s="143" t="n"/>
      <c r="N197" s="25" t="n"/>
      <c r="O197" s="143" t="n"/>
      <c r="P197" s="25" t="n"/>
      <c r="Q197" s="139">
        <f>IF($M197="","",IF(OR($N197="完了",$N197="クローズ"),IF($O197="",0,MAX(0,$O197-$M197)),MAX(0,TODAY()-$M197)))</f>
        <v/>
      </c>
      <c r="R197" s="139">
        <f>IF(AND($B197&lt;&gt;"",$O197&lt;&gt;""),$O197-$B197,"")</f>
        <v/>
      </c>
      <c r="S197" s="25" t="n"/>
    </row>
    <row r="198" ht="25" customHeight="1">
      <c r="A198" s="25">
        <f>IF($B198="","","CA-"&amp;TEXT(ROW()-4,"0000"))</f>
        <v/>
      </c>
      <c r="B198" s="143" t="n"/>
      <c r="C198" s="25" t="n"/>
      <c r="D198" s="25" t="n"/>
      <c r="E198" s="25" t="n"/>
      <c r="F198" s="25" t="n"/>
      <c r="G198" s="25" t="n"/>
      <c r="H198" s="25" t="n"/>
      <c r="I198" s="28" t="n"/>
      <c r="J198" s="28" t="n"/>
      <c r="K198" s="28" t="n"/>
      <c r="L198" s="25" t="n"/>
      <c r="M198" s="143" t="n"/>
      <c r="N198" s="25" t="n"/>
      <c r="O198" s="143" t="n"/>
      <c r="P198" s="25" t="n"/>
      <c r="Q198" s="139">
        <f>IF($M198="","",IF(OR($N198="完了",$N198="クローズ"),IF($O198="",0,MAX(0,$O198-$M198)),MAX(0,TODAY()-$M198)))</f>
        <v/>
      </c>
      <c r="R198" s="139">
        <f>IF(AND($B198&lt;&gt;"",$O198&lt;&gt;""),$O198-$B198,"")</f>
        <v/>
      </c>
      <c r="S198" s="25" t="n"/>
    </row>
    <row r="199" ht="25" customHeight="1">
      <c r="A199" s="25">
        <f>IF($B199="","","CA-"&amp;TEXT(ROW()-4,"0000"))</f>
        <v/>
      </c>
      <c r="B199" s="143" t="n"/>
      <c r="C199" s="25" t="n"/>
      <c r="D199" s="25" t="n"/>
      <c r="E199" s="25" t="n"/>
      <c r="F199" s="25" t="n"/>
      <c r="G199" s="25" t="n"/>
      <c r="H199" s="25" t="n"/>
      <c r="I199" s="28" t="n"/>
      <c r="J199" s="28" t="n"/>
      <c r="K199" s="28" t="n"/>
      <c r="L199" s="25" t="n"/>
      <c r="M199" s="143" t="n"/>
      <c r="N199" s="25" t="n"/>
      <c r="O199" s="143" t="n"/>
      <c r="P199" s="25" t="n"/>
      <c r="Q199" s="139">
        <f>IF($M199="","",IF(OR($N199="完了",$N199="クローズ"),IF($O199="",0,MAX(0,$O199-$M199)),MAX(0,TODAY()-$M199)))</f>
        <v/>
      </c>
      <c r="R199" s="139">
        <f>IF(AND($B199&lt;&gt;"",$O199&lt;&gt;""),$O199-$B199,"")</f>
        <v/>
      </c>
      <c r="S199" s="25" t="n"/>
    </row>
    <row r="200" ht="25" customHeight="1">
      <c r="A200" s="25">
        <f>IF($B200="","","CA-"&amp;TEXT(ROW()-4,"0000"))</f>
        <v/>
      </c>
      <c r="B200" s="143" t="n"/>
      <c r="C200" s="25" t="n"/>
      <c r="D200" s="25" t="n"/>
      <c r="E200" s="25" t="n"/>
      <c r="F200" s="25" t="n"/>
      <c r="G200" s="25" t="n"/>
      <c r="H200" s="25" t="n"/>
      <c r="I200" s="28" t="n"/>
      <c r="J200" s="28" t="n"/>
      <c r="K200" s="28" t="n"/>
      <c r="L200" s="25" t="n"/>
      <c r="M200" s="143" t="n"/>
      <c r="N200" s="25" t="n"/>
      <c r="O200" s="143" t="n"/>
      <c r="P200" s="25" t="n"/>
      <c r="Q200" s="139">
        <f>IF($M200="","",IF(OR($N200="完了",$N200="クローズ"),IF($O200="",0,MAX(0,$O200-$M200)),MAX(0,TODAY()-$M200)))</f>
        <v/>
      </c>
      <c r="R200" s="139">
        <f>IF(AND($B200&lt;&gt;"",$O200&lt;&gt;""),$O200-$B200,"")</f>
        <v/>
      </c>
      <c r="S200" s="25" t="n"/>
    </row>
    <row r="201" ht="25" customHeight="1">
      <c r="A201" s="25">
        <f>IF($B201="","","CA-"&amp;TEXT(ROW()-4,"0000"))</f>
        <v/>
      </c>
      <c r="B201" s="143" t="n"/>
      <c r="C201" s="25" t="n"/>
      <c r="D201" s="25" t="n"/>
      <c r="E201" s="25" t="n"/>
      <c r="F201" s="25" t="n"/>
      <c r="G201" s="25" t="n"/>
      <c r="H201" s="25" t="n"/>
      <c r="I201" s="28" t="n"/>
      <c r="J201" s="28" t="n"/>
      <c r="K201" s="28" t="n"/>
      <c r="L201" s="25" t="n"/>
      <c r="M201" s="143" t="n"/>
      <c r="N201" s="25" t="n"/>
      <c r="O201" s="143" t="n"/>
      <c r="P201" s="25" t="n"/>
      <c r="Q201" s="139">
        <f>IF($M201="","",IF(OR($N201="完了",$N201="クローズ"),IF($O201="",0,MAX(0,$O201-$M201)),MAX(0,TODAY()-$M201)))</f>
        <v/>
      </c>
      <c r="R201" s="139">
        <f>IF(AND($B201&lt;&gt;"",$O201&lt;&gt;""),$O201-$B201,"")</f>
        <v/>
      </c>
      <c r="S201" s="25" t="n"/>
    </row>
    <row r="202" ht="25" customHeight="1">
      <c r="A202" s="25">
        <f>IF($B202="","","CA-"&amp;TEXT(ROW()-4,"0000"))</f>
        <v/>
      </c>
      <c r="B202" s="143" t="n"/>
      <c r="C202" s="25" t="n"/>
      <c r="D202" s="25" t="n"/>
      <c r="E202" s="25" t="n"/>
      <c r="F202" s="25" t="n"/>
      <c r="G202" s="25" t="n"/>
      <c r="H202" s="25" t="n"/>
      <c r="I202" s="28" t="n"/>
      <c r="J202" s="28" t="n"/>
      <c r="K202" s="28" t="n"/>
      <c r="L202" s="25" t="n"/>
      <c r="M202" s="143" t="n"/>
      <c r="N202" s="25" t="n"/>
      <c r="O202" s="143" t="n"/>
      <c r="P202" s="25" t="n"/>
      <c r="Q202" s="139">
        <f>IF($M202="","",IF(OR($N202="完了",$N202="クローズ"),IF($O202="",0,MAX(0,$O202-$M202)),MAX(0,TODAY()-$M202)))</f>
        <v/>
      </c>
      <c r="R202" s="139">
        <f>IF(AND($B202&lt;&gt;"",$O202&lt;&gt;""),$O202-$B202,"")</f>
        <v/>
      </c>
      <c r="S202" s="25" t="n"/>
    </row>
    <row r="203" ht="25" customHeight="1">
      <c r="A203" s="25">
        <f>IF($B203="","","CA-"&amp;TEXT(ROW()-4,"0000"))</f>
        <v/>
      </c>
      <c r="B203" s="143" t="n"/>
      <c r="C203" s="25" t="n"/>
      <c r="D203" s="25" t="n"/>
      <c r="E203" s="25" t="n"/>
      <c r="F203" s="25" t="n"/>
      <c r="G203" s="25" t="n"/>
      <c r="H203" s="25" t="n"/>
      <c r="I203" s="28" t="n"/>
      <c r="J203" s="28" t="n"/>
      <c r="K203" s="28" t="n"/>
      <c r="L203" s="25" t="n"/>
      <c r="M203" s="143" t="n"/>
      <c r="N203" s="25" t="n"/>
      <c r="O203" s="143" t="n"/>
      <c r="P203" s="25" t="n"/>
      <c r="Q203" s="139">
        <f>IF($M203="","",IF(OR($N203="完了",$N203="クローズ"),IF($O203="",0,MAX(0,$O203-$M203)),MAX(0,TODAY()-$M203)))</f>
        <v/>
      </c>
      <c r="R203" s="139">
        <f>IF(AND($B203&lt;&gt;"",$O203&lt;&gt;""),$O203-$B203,"")</f>
        <v/>
      </c>
      <c r="S203" s="25" t="n"/>
    </row>
    <row r="204" ht="25" customHeight="1">
      <c r="A204" s="25">
        <f>IF($B204="","","CA-"&amp;TEXT(ROW()-4,"0000"))</f>
        <v/>
      </c>
      <c r="B204" s="143" t="n"/>
      <c r="C204" s="25" t="n"/>
      <c r="D204" s="25" t="n"/>
      <c r="E204" s="25" t="n"/>
      <c r="F204" s="25" t="n"/>
      <c r="G204" s="25" t="n"/>
      <c r="H204" s="25" t="n"/>
      <c r="I204" s="28" t="n"/>
      <c r="J204" s="28" t="n"/>
      <c r="K204" s="28" t="n"/>
      <c r="L204" s="25" t="n"/>
      <c r="M204" s="143" t="n"/>
      <c r="N204" s="25" t="n"/>
      <c r="O204" s="143" t="n"/>
      <c r="P204" s="25" t="n"/>
      <c r="Q204" s="139">
        <f>IF($M204="","",IF(OR($N204="完了",$N204="クローズ"),IF($O204="",0,MAX(0,$O204-$M204)),MAX(0,TODAY()-$M204)))</f>
        <v/>
      </c>
      <c r="R204" s="139">
        <f>IF(AND($B204&lt;&gt;"",$O204&lt;&gt;""),$O204-$B204,"")</f>
        <v/>
      </c>
      <c r="S204" s="25" t="n"/>
    </row>
    <row r="205" ht="25" customHeight="1">
      <c r="A205" s="25">
        <f>IF($B205="","","CA-"&amp;TEXT(ROW()-4,"0000"))</f>
        <v/>
      </c>
      <c r="B205" s="143" t="n"/>
      <c r="C205" s="25" t="n"/>
      <c r="D205" s="25" t="n"/>
      <c r="E205" s="25" t="n"/>
      <c r="F205" s="25" t="n"/>
      <c r="G205" s="25" t="n"/>
      <c r="H205" s="25" t="n"/>
      <c r="I205" s="28" t="n"/>
      <c r="J205" s="28" t="n"/>
      <c r="K205" s="28" t="n"/>
      <c r="L205" s="25" t="n"/>
      <c r="M205" s="143" t="n"/>
      <c r="N205" s="25" t="n"/>
      <c r="O205" s="143" t="n"/>
      <c r="P205" s="25" t="n"/>
      <c r="Q205" s="139">
        <f>IF($M205="","",IF(OR($N205="完了",$N205="クローズ"),IF($O205="",0,MAX(0,$O205-$M205)),MAX(0,TODAY()-$M205)))</f>
        <v/>
      </c>
      <c r="R205" s="139">
        <f>IF(AND($B205&lt;&gt;"",$O205&lt;&gt;""),$O205-$B205,"")</f>
        <v/>
      </c>
      <c r="S205" s="25" t="n"/>
    </row>
    <row r="206" ht="25" customHeight="1">
      <c r="A206" s="25">
        <f>IF($B206="","","CA-"&amp;TEXT(ROW()-4,"0000"))</f>
        <v/>
      </c>
      <c r="B206" s="143" t="n"/>
      <c r="C206" s="25" t="n"/>
      <c r="D206" s="25" t="n"/>
      <c r="E206" s="25" t="n"/>
      <c r="F206" s="25" t="n"/>
      <c r="G206" s="25" t="n"/>
      <c r="H206" s="25" t="n"/>
      <c r="I206" s="28" t="n"/>
      <c r="J206" s="28" t="n"/>
      <c r="K206" s="28" t="n"/>
      <c r="L206" s="25" t="n"/>
      <c r="M206" s="143" t="n"/>
      <c r="N206" s="25" t="n"/>
      <c r="O206" s="143" t="n"/>
      <c r="P206" s="25" t="n"/>
      <c r="Q206" s="139">
        <f>IF($M206="","",IF(OR($N206="完了",$N206="クローズ"),IF($O206="",0,MAX(0,$O206-$M206)),MAX(0,TODAY()-$M206)))</f>
        <v/>
      </c>
      <c r="R206" s="139">
        <f>IF(AND($B206&lt;&gt;"",$O206&lt;&gt;""),$O206-$B206,"")</f>
        <v/>
      </c>
      <c r="S206" s="25" t="n"/>
    </row>
    <row r="207" ht="25" customHeight="1">
      <c r="A207" s="25">
        <f>IF($B207="","","CA-"&amp;TEXT(ROW()-4,"0000"))</f>
        <v/>
      </c>
      <c r="B207" s="143" t="n"/>
      <c r="C207" s="25" t="n"/>
      <c r="D207" s="25" t="n"/>
      <c r="E207" s="25" t="n"/>
      <c r="F207" s="25" t="n"/>
      <c r="G207" s="25" t="n"/>
      <c r="H207" s="25" t="n"/>
      <c r="I207" s="28" t="n"/>
      <c r="J207" s="28" t="n"/>
      <c r="K207" s="28" t="n"/>
      <c r="L207" s="25" t="n"/>
      <c r="M207" s="143" t="n"/>
      <c r="N207" s="25" t="n"/>
      <c r="O207" s="143" t="n"/>
      <c r="P207" s="25" t="n"/>
      <c r="Q207" s="139">
        <f>IF($M207="","",IF(OR($N207="完了",$N207="クローズ"),IF($O207="",0,MAX(0,$O207-$M207)),MAX(0,TODAY()-$M207)))</f>
        <v/>
      </c>
      <c r="R207" s="139">
        <f>IF(AND($B207&lt;&gt;"",$O207&lt;&gt;""),$O207-$B207,"")</f>
        <v/>
      </c>
      <c r="S207" s="25" t="n"/>
    </row>
    <row r="208" ht="25" customHeight="1">
      <c r="A208" s="25">
        <f>IF($B208="","","CA-"&amp;TEXT(ROW()-4,"0000"))</f>
        <v/>
      </c>
      <c r="B208" s="143" t="n"/>
      <c r="C208" s="25" t="n"/>
      <c r="D208" s="25" t="n"/>
      <c r="E208" s="25" t="n"/>
      <c r="F208" s="25" t="n"/>
      <c r="G208" s="25" t="n"/>
      <c r="H208" s="25" t="n"/>
      <c r="I208" s="28" t="n"/>
      <c r="J208" s="28" t="n"/>
      <c r="K208" s="28" t="n"/>
      <c r="L208" s="25" t="n"/>
      <c r="M208" s="143" t="n"/>
      <c r="N208" s="25" t="n"/>
      <c r="O208" s="143" t="n"/>
      <c r="P208" s="25" t="n"/>
      <c r="Q208" s="139">
        <f>IF($M208="","",IF(OR($N208="完了",$N208="クローズ"),IF($O208="",0,MAX(0,$O208-$M208)),MAX(0,TODAY()-$M208)))</f>
        <v/>
      </c>
      <c r="R208" s="139">
        <f>IF(AND($B208&lt;&gt;"",$O208&lt;&gt;""),$O208-$B208,"")</f>
        <v/>
      </c>
      <c r="S208" s="25" t="n"/>
    </row>
    <row r="209" ht="25" customHeight="1">
      <c r="A209" s="25">
        <f>IF($B209="","","CA-"&amp;TEXT(ROW()-4,"0000"))</f>
        <v/>
      </c>
      <c r="B209" s="143" t="n"/>
      <c r="C209" s="25" t="n"/>
      <c r="D209" s="25" t="n"/>
      <c r="E209" s="25" t="n"/>
      <c r="F209" s="25" t="n"/>
      <c r="G209" s="25" t="n"/>
      <c r="H209" s="25" t="n"/>
      <c r="I209" s="28" t="n"/>
      <c r="J209" s="28" t="n"/>
      <c r="K209" s="28" t="n"/>
      <c r="L209" s="25" t="n"/>
      <c r="M209" s="143" t="n"/>
      <c r="N209" s="25" t="n"/>
      <c r="O209" s="143" t="n"/>
      <c r="P209" s="25" t="n"/>
      <c r="Q209" s="139">
        <f>IF($M209="","",IF(OR($N209="完了",$N209="クローズ"),IF($O209="",0,MAX(0,$O209-$M209)),MAX(0,TODAY()-$M209)))</f>
        <v/>
      </c>
      <c r="R209" s="139">
        <f>IF(AND($B209&lt;&gt;"",$O209&lt;&gt;""),$O209-$B209,"")</f>
        <v/>
      </c>
      <c r="S209" s="25" t="n"/>
    </row>
    <row r="210" ht="25" customHeight="1">
      <c r="A210" s="25">
        <f>IF($B210="","","CA-"&amp;TEXT(ROW()-4,"0000"))</f>
        <v/>
      </c>
      <c r="B210" s="143" t="n"/>
      <c r="C210" s="25" t="n"/>
      <c r="D210" s="25" t="n"/>
      <c r="E210" s="25" t="n"/>
      <c r="F210" s="25" t="n"/>
      <c r="G210" s="25" t="n"/>
      <c r="H210" s="25" t="n"/>
      <c r="I210" s="28" t="n"/>
      <c r="J210" s="28" t="n"/>
      <c r="K210" s="28" t="n"/>
      <c r="L210" s="25" t="n"/>
      <c r="M210" s="143" t="n"/>
      <c r="N210" s="25" t="n"/>
      <c r="O210" s="143" t="n"/>
      <c r="P210" s="25" t="n"/>
      <c r="Q210" s="139">
        <f>IF($M210="","",IF(OR($N210="完了",$N210="クローズ"),IF($O210="",0,MAX(0,$O210-$M210)),MAX(0,TODAY()-$M210)))</f>
        <v/>
      </c>
      <c r="R210" s="139">
        <f>IF(AND($B210&lt;&gt;"",$O210&lt;&gt;""),$O210-$B210,"")</f>
        <v/>
      </c>
      <c r="S210" s="25" t="n"/>
    </row>
    <row r="211" ht="25" customHeight="1">
      <c r="A211" s="25">
        <f>IF($B211="","","CA-"&amp;TEXT(ROW()-4,"0000"))</f>
        <v/>
      </c>
      <c r="B211" s="143" t="n"/>
      <c r="C211" s="25" t="n"/>
      <c r="D211" s="25" t="n"/>
      <c r="E211" s="25" t="n"/>
      <c r="F211" s="25" t="n"/>
      <c r="G211" s="25" t="n"/>
      <c r="H211" s="25" t="n"/>
      <c r="I211" s="28" t="n"/>
      <c r="J211" s="28" t="n"/>
      <c r="K211" s="28" t="n"/>
      <c r="L211" s="25" t="n"/>
      <c r="M211" s="143" t="n"/>
      <c r="N211" s="25" t="n"/>
      <c r="O211" s="143" t="n"/>
      <c r="P211" s="25" t="n"/>
      <c r="Q211" s="139">
        <f>IF($M211="","",IF(OR($N211="完了",$N211="クローズ"),IF($O211="",0,MAX(0,$O211-$M211)),MAX(0,TODAY()-$M211)))</f>
        <v/>
      </c>
      <c r="R211" s="139">
        <f>IF(AND($B211&lt;&gt;"",$O211&lt;&gt;""),$O211-$B211,"")</f>
        <v/>
      </c>
      <c r="S211" s="25" t="n"/>
    </row>
    <row r="212" ht="25" customHeight="1">
      <c r="A212" s="25">
        <f>IF($B212="","","CA-"&amp;TEXT(ROW()-4,"0000"))</f>
        <v/>
      </c>
      <c r="B212" s="143" t="n"/>
      <c r="C212" s="25" t="n"/>
      <c r="D212" s="25" t="n"/>
      <c r="E212" s="25" t="n"/>
      <c r="F212" s="25" t="n"/>
      <c r="G212" s="25" t="n"/>
      <c r="H212" s="25" t="n"/>
      <c r="I212" s="28" t="n"/>
      <c r="J212" s="28" t="n"/>
      <c r="K212" s="28" t="n"/>
      <c r="L212" s="25" t="n"/>
      <c r="M212" s="143" t="n"/>
      <c r="N212" s="25" t="n"/>
      <c r="O212" s="143" t="n"/>
      <c r="P212" s="25" t="n"/>
      <c r="Q212" s="139">
        <f>IF($M212="","",IF(OR($N212="完了",$N212="クローズ"),IF($O212="",0,MAX(0,$O212-$M212)),MAX(0,TODAY()-$M212)))</f>
        <v/>
      </c>
      <c r="R212" s="139">
        <f>IF(AND($B212&lt;&gt;"",$O212&lt;&gt;""),$O212-$B212,"")</f>
        <v/>
      </c>
      <c r="S212" s="25" t="n"/>
    </row>
    <row r="213" ht="25" customHeight="1">
      <c r="A213" s="25">
        <f>IF($B213="","","CA-"&amp;TEXT(ROW()-4,"0000"))</f>
        <v/>
      </c>
      <c r="B213" s="143" t="n"/>
      <c r="C213" s="25" t="n"/>
      <c r="D213" s="25" t="n"/>
      <c r="E213" s="25" t="n"/>
      <c r="F213" s="25" t="n"/>
      <c r="G213" s="25" t="n"/>
      <c r="H213" s="25" t="n"/>
      <c r="I213" s="28" t="n"/>
      <c r="J213" s="28" t="n"/>
      <c r="K213" s="28" t="n"/>
      <c r="L213" s="25" t="n"/>
      <c r="M213" s="143" t="n"/>
      <c r="N213" s="25" t="n"/>
      <c r="O213" s="143" t="n"/>
      <c r="P213" s="25" t="n"/>
      <c r="Q213" s="139">
        <f>IF($M213="","",IF(OR($N213="完了",$N213="クローズ"),IF($O213="",0,MAX(0,$O213-$M213)),MAX(0,TODAY()-$M213)))</f>
        <v/>
      </c>
      <c r="R213" s="139">
        <f>IF(AND($B213&lt;&gt;"",$O213&lt;&gt;""),$O213-$B213,"")</f>
        <v/>
      </c>
      <c r="S213" s="25" t="n"/>
    </row>
    <row r="214" ht="25" customHeight="1">
      <c r="A214" s="25">
        <f>IF($B214="","","CA-"&amp;TEXT(ROW()-4,"0000"))</f>
        <v/>
      </c>
      <c r="B214" s="143" t="n"/>
      <c r="C214" s="25" t="n"/>
      <c r="D214" s="25" t="n"/>
      <c r="E214" s="25" t="n"/>
      <c r="F214" s="25" t="n"/>
      <c r="G214" s="25" t="n"/>
      <c r="H214" s="25" t="n"/>
      <c r="I214" s="28" t="n"/>
      <c r="J214" s="28" t="n"/>
      <c r="K214" s="28" t="n"/>
      <c r="L214" s="25" t="n"/>
      <c r="M214" s="143" t="n"/>
      <c r="N214" s="25" t="n"/>
      <c r="O214" s="143" t="n"/>
      <c r="P214" s="25" t="n"/>
      <c r="Q214" s="139">
        <f>IF($M214="","",IF(OR($N214="完了",$N214="クローズ"),IF($O214="",0,MAX(0,$O214-$M214)),MAX(0,TODAY()-$M214)))</f>
        <v/>
      </c>
      <c r="R214" s="139">
        <f>IF(AND($B214&lt;&gt;"",$O214&lt;&gt;""),$O214-$B214,"")</f>
        <v/>
      </c>
      <c r="S214" s="25" t="n"/>
    </row>
    <row r="215" ht="25" customHeight="1">
      <c r="A215" s="25">
        <f>IF($B215="","","CA-"&amp;TEXT(ROW()-4,"0000"))</f>
        <v/>
      </c>
      <c r="B215" s="143" t="n"/>
      <c r="C215" s="25" t="n"/>
      <c r="D215" s="25" t="n"/>
      <c r="E215" s="25" t="n"/>
      <c r="F215" s="25" t="n"/>
      <c r="G215" s="25" t="n"/>
      <c r="H215" s="25" t="n"/>
      <c r="I215" s="28" t="n"/>
      <c r="J215" s="28" t="n"/>
      <c r="K215" s="28" t="n"/>
      <c r="L215" s="25" t="n"/>
      <c r="M215" s="143" t="n"/>
      <c r="N215" s="25" t="n"/>
      <c r="O215" s="143" t="n"/>
      <c r="P215" s="25" t="n"/>
      <c r="Q215" s="139">
        <f>IF($M215="","",IF(OR($N215="完了",$N215="クローズ"),IF($O215="",0,MAX(0,$O215-$M215)),MAX(0,TODAY()-$M215)))</f>
        <v/>
      </c>
      <c r="R215" s="139">
        <f>IF(AND($B215&lt;&gt;"",$O215&lt;&gt;""),$O215-$B215,"")</f>
        <v/>
      </c>
      <c r="S215" s="25" t="n"/>
    </row>
    <row r="216" ht="25" customHeight="1">
      <c r="A216" s="25">
        <f>IF($B216="","","CA-"&amp;TEXT(ROW()-4,"0000"))</f>
        <v/>
      </c>
      <c r="B216" s="143" t="n"/>
      <c r="C216" s="25" t="n"/>
      <c r="D216" s="25" t="n"/>
      <c r="E216" s="25" t="n"/>
      <c r="F216" s="25" t="n"/>
      <c r="G216" s="25" t="n"/>
      <c r="H216" s="25" t="n"/>
      <c r="I216" s="28" t="n"/>
      <c r="J216" s="28" t="n"/>
      <c r="K216" s="28" t="n"/>
      <c r="L216" s="25" t="n"/>
      <c r="M216" s="143" t="n"/>
      <c r="N216" s="25" t="n"/>
      <c r="O216" s="143" t="n"/>
      <c r="P216" s="25" t="n"/>
      <c r="Q216" s="139">
        <f>IF($M216="","",IF(OR($N216="完了",$N216="クローズ"),IF($O216="",0,MAX(0,$O216-$M216)),MAX(0,TODAY()-$M216)))</f>
        <v/>
      </c>
      <c r="R216" s="139">
        <f>IF(AND($B216&lt;&gt;"",$O216&lt;&gt;""),$O216-$B216,"")</f>
        <v/>
      </c>
      <c r="S216" s="25" t="n"/>
    </row>
    <row r="217" ht="25" customHeight="1">
      <c r="A217" s="25">
        <f>IF($B217="","","CA-"&amp;TEXT(ROW()-4,"0000"))</f>
        <v/>
      </c>
      <c r="B217" s="143" t="n"/>
      <c r="C217" s="25" t="n"/>
      <c r="D217" s="25" t="n"/>
      <c r="E217" s="25" t="n"/>
      <c r="F217" s="25" t="n"/>
      <c r="G217" s="25" t="n"/>
      <c r="H217" s="25" t="n"/>
      <c r="I217" s="28" t="n"/>
      <c r="J217" s="28" t="n"/>
      <c r="K217" s="28" t="n"/>
      <c r="L217" s="25" t="n"/>
      <c r="M217" s="143" t="n"/>
      <c r="N217" s="25" t="n"/>
      <c r="O217" s="143" t="n"/>
      <c r="P217" s="25" t="n"/>
      <c r="Q217" s="139">
        <f>IF($M217="","",IF(OR($N217="完了",$N217="クローズ"),IF($O217="",0,MAX(0,$O217-$M217)),MAX(0,TODAY()-$M217)))</f>
        <v/>
      </c>
      <c r="R217" s="139">
        <f>IF(AND($B217&lt;&gt;"",$O217&lt;&gt;""),$O217-$B217,"")</f>
        <v/>
      </c>
      <c r="S217" s="25" t="n"/>
    </row>
    <row r="218" ht="25" customHeight="1">
      <c r="A218" s="25">
        <f>IF($B218="","","CA-"&amp;TEXT(ROW()-4,"0000"))</f>
        <v/>
      </c>
      <c r="B218" s="143" t="n"/>
      <c r="C218" s="25" t="n"/>
      <c r="D218" s="25" t="n"/>
      <c r="E218" s="25" t="n"/>
      <c r="F218" s="25" t="n"/>
      <c r="G218" s="25" t="n"/>
      <c r="H218" s="25" t="n"/>
      <c r="I218" s="28" t="n"/>
      <c r="J218" s="28" t="n"/>
      <c r="K218" s="28" t="n"/>
      <c r="L218" s="25" t="n"/>
      <c r="M218" s="143" t="n"/>
      <c r="N218" s="25" t="n"/>
      <c r="O218" s="143" t="n"/>
      <c r="P218" s="25" t="n"/>
      <c r="Q218" s="139">
        <f>IF($M218="","",IF(OR($N218="完了",$N218="クローズ"),IF($O218="",0,MAX(0,$O218-$M218)),MAX(0,TODAY()-$M218)))</f>
        <v/>
      </c>
      <c r="R218" s="139">
        <f>IF(AND($B218&lt;&gt;"",$O218&lt;&gt;""),$O218-$B218,"")</f>
        <v/>
      </c>
      <c r="S218" s="25" t="n"/>
    </row>
    <row r="219" ht="25" customHeight="1">
      <c r="A219" s="25">
        <f>IF($B219="","","CA-"&amp;TEXT(ROW()-4,"0000"))</f>
        <v/>
      </c>
      <c r="B219" s="143" t="n"/>
      <c r="C219" s="25" t="n"/>
      <c r="D219" s="25" t="n"/>
      <c r="E219" s="25" t="n"/>
      <c r="F219" s="25" t="n"/>
      <c r="G219" s="25" t="n"/>
      <c r="H219" s="25" t="n"/>
      <c r="I219" s="28" t="n"/>
      <c r="J219" s="28" t="n"/>
      <c r="K219" s="28" t="n"/>
      <c r="L219" s="25" t="n"/>
      <c r="M219" s="143" t="n"/>
      <c r="N219" s="25" t="n"/>
      <c r="O219" s="143" t="n"/>
      <c r="P219" s="25" t="n"/>
      <c r="Q219" s="139">
        <f>IF($M219="","",IF(OR($N219="完了",$N219="クローズ"),IF($O219="",0,MAX(0,$O219-$M219)),MAX(0,TODAY()-$M219)))</f>
        <v/>
      </c>
      <c r="R219" s="139">
        <f>IF(AND($B219&lt;&gt;"",$O219&lt;&gt;""),$O219-$B219,"")</f>
        <v/>
      </c>
      <c r="S219" s="25" t="n"/>
    </row>
    <row r="220" ht="25" customHeight="1">
      <c r="A220" s="25">
        <f>IF($B220="","","CA-"&amp;TEXT(ROW()-4,"0000"))</f>
        <v/>
      </c>
      <c r="B220" s="143" t="n"/>
      <c r="C220" s="25" t="n"/>
      <c r="D220" s="25" t="n"/>
      <c r="E220" s="25" t="n"/>
      <c r="F220" s="25" t="n"/>
      <c r="G220" s="25" t="n"/>
      <c r="H220" s="25" t="n"/>
      <c r="I220" s="28" t="n"/>
      <c r="J220" s="28" t="n"/>
      <c r="K220" s="28" t="n"/>
      <c r="L220" s="25" t="n"/>
      <c r="M220" s="143" t="n"/>
      <c r="N220" s="25" t="n"/>
      <c r="O220" s="143" t="n"/>
      <c r="P220" s="25" t="n"/>
      <c r="Q220" s="139">
        <f>IF($M220="","",IF(OR($N220="完了",$N220="クローズ"),IF($O220="",0,MAX(0,$O220-$M220)),MAX(0,TODAY()-$M220)))</f>
        <v/>
      </c>
      <c r="R220" s="139">
        <f>IF(AND($B220&lt;&gt;"",$O220&lt;&gt;""),$O220-$B220,"")</f>
        <v/>
      </c>
      <c r="S220" s="25" t="n"/>
    </row>
    <row r="221" ht="25" customHeight="1">
      <c r="A221" s="25">
        <f>IF($B221="","","CA-"&amp;TEXT(ROW()-4,"0000"))</f>
        <v/>
      </c>
      <c r="B221" s="143" t="n"/>
      <c r="C221" s="25" t="n"/>
      <c r="D221" s="25" t="n"/>
      <c r="E221" s="25" t="n"/>
      <c r="F221" s="25" t="n"/>
      <c r="G221" s="25" t="n"/>
      <c r="H221" s="25" t="n"/>
      <c r="I221" s="28" t="n"/>
      <c r="J221" s="28" t="n"/>
      <c r="K221" s="28" t="n"/>
      <c r="L221" s="25" t="n"/>
      <c r="M221" s="143" t="n"/>
      <c r="N221" s="25" t="n"/>
      <c r="O221" s="143" t="n"/>
      <c r="P221" s="25" t="n"/>
      <c r="Q221" s="139">
        <f>IF($M221="","",IF(OR($N221="完了",$N221="クローズ"),IF($O221="",0,MAX(0,$O221-$M221)),MAX(0,TODAY()-$M221)))</f>
        <v/>
      </c>
      <c r="R221" s="139">
        <f>IF(AND($B221&lt;&gt;"",$O221&lt;&gt;""),$O221-$B221,"")</f>
        <v/>
      </c>
      <c r="S221" s="25" t="n"/>
    </row>
    <row r="222" ht="25" customHeight="1">
      <c r="A222" s="25">
        <f>IF($B222="","","CA-"&amp;TEXT(ROW()-4,"0000"))</f>
        <v/>
      </c>
      <c r="B222" s="143" t="n"/>
      <c r="C222" s="25" t="n"/>
      <c r="D222" s="25" t="n"/>
      <c r="E222" s="25" t="n"/>
      <c r="F222" s="25" t="n"/>
      <c r="G222" s="25" t="n"/>
      <c r="H222" s="25" t="n"/>
      <c r="I222" s="28" t="n"/>
      <c r="J222" s="28" t="n"/>
      <c r="K222" s="28" t="n"/>
      <c r="L222" s="25" t="n"/>
      <c r="M222" s="143" t="n"/>
      <c r="N222" s="25" t="n"/>
      <c r="O222" s="143" t="n"/>
      <c r="P222" s="25" t="n"/>
      <c r="Q222" s="139">
        <f>IF($M222="","",IF(OR($N222="完了",$N222="クローズ"),IF($O222="",0,MAX(0,$O222-$M222)),MAX(0,TODAY()-$M222)))</f>
        <v/>
      </c>
      <c r="R222" s="139">
        <f>IF(AND($B222&lt;&gt;"",$O222&lt;&gt;""),$O222-$B222,"")</f>
        <v/>
      </c>
      <c r="S222" s="25" t="n"/>
    </row>
    <row r="223" ht="25" customHeight="1">
      <c r="A223" s="25">
        <f>IF($B223="","","CA-"&amp;TEXT(ROW()-4,"0000"))</f>
        <v/>
      </c>
      <c r="B223" s="143" t="n"/>
      <c r="C223" s="25" t="n"/>
      <c r="D223" s="25" t="n"/>
      <c r="E223" s="25" t="n"/>
      <c r="F223" s="25" t="n"/>
      <c r="G223" s="25" t="n"/>
      <c r="H223" s="25" t="n"/>
      <c r="I223" s="28" t="n"/>
      <c r="J223" s="28" t="n"/>
      <c r="K223" s="28" t="n"/>
      <c r="L223" s="25" t="n"/>
      <c r="M223" s="143" t="n"/>
      <c r="N223" s="25" t="n"/>
      <c r="O223" s="143" t="n"/>
      <c r="P223" s="25" t="n"/>
      <c r="Q223" s="139">
        <f>IF($M223="","",IF(OR($N223="完了",$N223="クローズ"),IF($O223="",0,MAX(0,$O223-$M223)),MAX(0,TODAY()-$M223)))</f>
        <v/>
      </c>
      <c r="R223" s="139">
        <f>IF(AND($B223&lt;&gt;"",$O223&lt;&gt;""),$O223-$B223,"")</f>
        <v/>
      </c>
      <c r="S223" s="25" t="n"/>
    </row>
    <row r="224" ht="25" customHeight="1">
      <c r="A224" s="25">
        <f>IF($B224="","","CA-"&amp;TEXT(ROW()-4,"0000"))</f>
        <v/>
      </c>
      <c r="B224" s="143" t="n"/>
      <c r="C224" s="25" t="n"/>
      <c r="D224" s="25" t="n"/>
      <c r="E224" s="25" t="n"/>
      <c r="F224" s="25" t="n"/>
      <c r="G224" s="25" t="n"/>
      <c r="H224" s="25" t="n"/>
      <c r="I224" s="28" t="n"/>
      <c r="J224" s="28" t="n"/>
      <c r="K224" s="28" t="n"/>
      <c r="L224" s="25" t="n"/>
      <c r="M224" s="143" t="n"/>
      <c r="N224" s="25" t="n"/>
      <c r="O224" s="143" t="n"/>
      <c r="P224" s="25" t="n"/>
      <c r="Q224" s="139">
        <f>IF($M224="","",IF(OR($N224="完了",$N224="クローズ"),IF($O224="",0,MAX(0,$O224-$M224)),MAX(0,TODAY()-$M224)))</f>
        <v/>
      </c>
      <c r="R224" s="139">
        <f>IF(AND($B224&lt;&gt;"",$O224&lt;&gt;""),$O224-$B224,"")</f>
        <v/>
      </c>
      <c r="S224" s="25" t="n"/>
    </row>
    <row r="225" ht="25" customHeight="1">
      <c r="A225" s="25">
        <f>IF($B225="","","CA-"&amp;TEXT(ROW()-4,"0000"))</f>
        <v/>
      </c>
      <c r="B225" s="143" t="n"/>
      <c r="C225" s="25" t="n"/>
      <c r="D225" s="25" t="n"/>
      <c r="E225" s="25" t="n"/>
      <c r="F225" s="25" t="n"/>
      <c r="G225" s="25" t="n"/>
      <c r="H225" s="25" t="n"/>
      <c r="I225" s="28" t="n"/>
      <c r="J225" s="28" t="n"/>
      <c r="K225" s="28" t="n"/>
      <c r="L225" s="25" t="n"/>
      <c r="M225" s="143" t="n"/>
      <c r="N225" s="25" t="n"/>
      <c r="O225" s="143" t="n"/>
      <c r="P225" s="25" t="n"/>
      <c r="Q225" s="139">
        <f>IF($M225="","",IF(OR($N225="完了",$N225="クローズ"),IF($O225="",0,MAX(0,$O225-$M225)),MAX(0,TODAY()-$M225)))</f>
        <v/>
      </c>
      <c r="R225" s="139">
        <f>IF(AND($B225&lt;&gt;"",$O225&lt;&gt;""),$O225-$B225,"")</f>
        <v/>
      </c>
      <c r="S225" s="25" t="n"/>
    </row>
    <row r="226" ht="25" customHeight="1">
      <c r="A226" s="25">
        <f>IF($B226="","","CA-"&amp;TEXT(ROW()-4,"0000"))</f>
        <v/>
      </c>
      <c r="B226" s="143" t="n"/>
      <c r="C226" s="25" t="n"/>
      <c r="D226" s="25" t="n"/>
      <c r="E226" s="25" t="n"/>
      <c r="F226" s="25" t="n"/>
      <c r="G226" s="25" t="n"/>
      <c r="H226" s="25" t="n"/>
      <c r="I226" s="28" t="n"/>
      <c r="J226" s="28" t="n"/>
      <c r="K226" s="28" t="n"/>
      <c r="L226" s="25" t="n"/>
      <c r="M226" s="143" t="n"/>
      <c r="N226" s="25" t="n"/>
      <c r="O226" s="143" t="n"/>
      <c r="P226" s="25" t="n"/>
      <c r="Q226" s="139">
        <f>IF($M226="","",IF(OR($N226="完了",$N226="クローズ"),IF($O226="",0,MAX(0,$O226-$M226)),MAX(0,TODAY()-$M226)))</f>
        <v/>
      </c>
      <c r="R226" s="139">
        <f>IF(AND($B226&lt;&gt;"",$O226&lt;&gt;""),$O226-$B226,"")</f>
        <v/>
      </c>
      <c r="S226" s="25" t="n"/>
    </row>
    <row r="227" ht="25" customHeight="1">
      <c r="A227" s="25">
        <f>IF($B227="","","CA-"&amp;TEXT(ROW()-4,"0000"))</f>
        <v/>
      </c>
      <c r="B227" s="143" t="n"/>
      <c r="C227" s="25" t="n"/>
      <c r="D227" s="25" t="n"/>
      <c r="E227" s="25" t="n"/>
      <c r="F227" s="25" t="n"/>
      <c r="G227" s="25" t="n"/>
      <c r="H227" s="25" t="n"/>
      <c r="I227" s="28" t="n"/>
      <c r="J227" s="28" t="n"/>
      <c r="K227" s="28" t="n"/>
      <c r="L227" s="25" t="n"/>
      <c r="M227" s="143" t="n"/>
      <c r="N227" s="25" t="n"/>
      <c r="O227" s="143" t="n"/>
      <c r="P227" s="25" t="n"/>
      <c r="Q227" s="139">
        <f>IF($M227="","",IF(OR($N227="完了",$N227="クローズ"),IF($O227="",0,MAX(0,$O227-$M227)),MAX(0,TODAY()-$M227)))</f>
        <v/>
      </c>
      <c r="R227" s="139">
        <f>IF(AND($B227&lt;&gt;"",$O227&lt;&gt;""),$O227-$B227,"")</f>
        <v/>
      </c>
      <c r="S227" s="25" t="n"/>
    </row>
    <row r="228" ht="25" customHeight="1">
      <c r="A228" s="25">
        <f>IF($B228="","","CA-"&amp;TEXT(ROW()-4,"0000"))</f>
        <v/>
      </c>
      <c r="B228" s="143" t="n"/>
      <c r="C228" s="25" t="n"/>
      <c r="D228" s="25" t="n"/>
      <c r="E228" s="25" t="n"/>
      <c r="F228" s="25" t="n"/>
      <c r="G228" s="25" t="n"/>
      <c r="H228" s="25" t="n"/>
      <c r="I228" s="28" t="n"/>
      <c r="J228" s="28" t="n"/>
      <c r="K228" s="28" t="n"/>
      <c r="L228" s="25" t="n"/>
      <c r="M228" s="143" t="n"/>
      <c r="N228" s="25" t="n"/>
      <c r="O228" s="143" t="n"/>
      <c r="P228" s="25" t="n"/>
      <c r="Q228" s="139">
        <f>IF($M228="","",IF(OR($N228="完了",$N228="クローズ"),IF($O228="",0,MAX(0,$O228-$M228)),MAX(0,TODAY()-$M228)))</f>
        <v/>
      </c>
      <c r="R228" s="139">
        <f>IF(AND($B228&lt;&gt;"",$O228&lt;&gt;""),$O228-$B228,"")</f>
        <v/>
      </c>
      <c r="S228" s="25" t="n"/>
    </row>
    <row r="229" ht="25" customHeight="1">
      <c r="A229" s="25">
        <f>IF($B229="","","CA-"&amp;TEXT(ROW()-4,"0000"))</f>
        <v/>
      </c>
      <c r="B229" s="143" t="n"/>
      <c r="C229" s="25" t="n"/>
      <c r="D229" s="25" t="n"/>
      <c r="E229" s="25" t="n"/>
      <c r="F229" s="25" t="n"/>
      <c r="G229" s="25" t="n"/>
      <c r="H229" s="25" t="n"/>
      <c r="I229" s="28" t="n"/>
      <c r="J229" s="28" t="n"/>
      <c r="K229" s="28" t="n"/>
      <c r="L229" s="25" t="n"/>
      <c r="M229" s="143" t="n"/>
      <c r="N229" s="25" t="n"/>
      <c r="O229" s="143" t="n"/>
      <c r="P229" s="25" t="n"/>
      <c r="Q229" s="139">
        <f>IF($M229="","",IF(OR($N229="完了",$N229="クローズ"),IF($O229="",0,MAX(0,$O229-$M229)),MAX(0,TODAY()-$M229)))</f>
        <v/>
      </c>
      <c r="R229" s="139">
        <f>IF(AND($B229&lt;&gt;"",$O229&lt;&gt;""),$O229-$B229,"")</f>
        <v/>
      </c>
      <c r="S229" s="25" t="n"/>
    </row>
    <row r="230" ht="25" customHeight="1">
      <c r="A230" s="25">
        <f>IF($B230="","","CA-"&amp;TEXT(ROW()-4,"0000"))</f>
        <v/>
      </c>
      <c r="B230" s="143" t="n"/>
      <c r="C230" s="25" t="n"/>
      <c r="D230" s="25" t="n"/>
      <c r="E230" s="25" t="n"/>
      <c r="F230" s="25" t="n"/>
      <c r="G230" s="25" t="n"/>
      <c r="H230" s="25" t="n"/>
      <c r="I230" s="28" t="n"/>
      <c r="J230" s="28" t="n"/>
      <c r="K230" s="28" t="n"/>
      <c r="L230" s="25" t="n"/>
      <c r="M230" s="143" t="n"/>
      <c r="N230" s="25" t="n"/>
      <c r="O230" s="143" t="n"/>
      <c r="P230" s="25" t="n"/>
      <c r="Q230" s="139">
        <f>IF($M230="","",IF(OR($N230="完了",$N230="クローズ"),IF($O230="",0,MAX(0,$O230-$M230)),MAX(0,TODAY()-$M230)))</f>
        <v/>
      </c>
      <c r="R230" s="139">
        <f>IF(AND($B230&lt;&gt;"",$O230&lt;&gt;""),$O230-$B230,"")</f>
        <v/>
      </c>
      <c r="S230" s="25" t="n"/>
    </row>
    <row r="231" ht="25" customHeight="1">
      <c r="A231" s="25">
        <f>IF($B231="","","CA-"&amp;TEXT(ROW()-4,"0000"))</f>
        <v/>
      </c>
      <c r="B231" s="143" t="n"/>
      <c r="C231" s="25" t="n"/>
      <c r="D231" s="25" t="n"/>
      <c r="E231" s="25" t="n"/>
      <c r="F231" s="25" t="n"/>
      <c r="G231" s="25" t="n"/>
      <c r="H231" s="25" t="n"/>
      <c r="I231" s="28" t="n"/>
      <c r="J231" s="28" t="n"/>
      <c r="K231" s="28" t="n"/>
      <c r="L231" s="25" t="n"/>
      <c r="M231" s="143" t="n"/>
      <c r="N231" s="25" t="n"/>
      <c r="O231" s="143" t="n"/>
      <c r="P231" s="25" t="n"/>
      <c r="Q231" s="139">
        <f>IF($M231="","",IF(OR($N231="完了",$N231="クローズ"),IF($O231="",0,MAX(0,$O231-$M231)),MAX(0,TODAY()-$M231)))</f>
        <v/>
      </c>
      <c r="R231" s="139">
        <f>IF(AND($B231&lt;&gt;"",$O231&lt;&gt;""),$O231-$B231,"")</f>
        <v/>
      </c>
      <c r="S231" s="25" t="n"/>
    </row>
    <row r="232" ht="25" customHeight="1">
      <c r="A232" s="25">
        <f>IF($B232="","","CA-"&amp;TEXT(ROW()-4,"0000"))</f>
        <v/>
      </c>
      <c r="B232" s="143" t="n"/>
      <c r="C232" s="25" t="n"/>
      <c r="D232" s="25" t="n"/>
      <c r="E232" s="25" t="n"/>
      <c r="F232" s="25" t="n"/>
      <c r="G232" s="25" t="n"/>
      <c r="H232" s="25" t="n"/>
      <c r="I232" s="28" t="n"/>
      <c r="J232" s="28" t="n"/>
      <c r="K232" s="28" t="n"/>
      <c r="L232" s="25" t="n"/>
      <c r="M232" s="143" t="n"/>
      <c r="N232" s="25" t="n"/>
      <c r="O232" s="143" t="n"/>
      <c r="P232" s="25" t="n"/>
      <c r="Q232" s="139">
        <f>IF($M232="","",IF(OR($N232="完了",$N232="クローズ"),IF($O232="",0,MAX(0,$O232-$M232)),MAX(0,TODAY()-$M232)))</f>
        <v/>
      </c>
      <c r="R232" s="139">
        <f>IF(AND($B232&lt;&gt;"",$O232&lt;&gt;""),$O232-$B232,"")</f>
        <v/>
      </c>
      <c r="S232" s="25" t="n"/>
    </row>
    <row r="233" ht="25" customHeight="1">
      <c r="A233" s="25">
        <f>IF($B233="","","CA-"&amp;TEXT(ROW()-4,"0000"))</f>
        <v/>
      </c>
      <c r="B233" s="143" t="n"/>
      <c r="C233" s="25" t="n"/>
      <c r="D233" s="25" t="n"/>
      <c r="E233" s="25" t="n"/>
      <c r="F233" s="25" t="n"/>
      <c r="G233" s="25" t="n"/>
      <c r="H233" s="25" t="n"/>
      <c r="I233" s="28" t="n"/>
      <c r="J233" s="28" t="n"/>
      <c r="K233" s="28" t="n"/>
      <c r="L233" s="25" t="n"/>
      <c r="M233" s="143" t="n"/>
      <c r="N233" s="25" t="n"/>
      <c r="O233" s="143" t="n"/>
      <c r="P233" s="25" t="n"/>
      <c r="Q233" s="139">
        <f>IF($M233="","",IF(OR($N233="完了",$N233="クローズ"),IF($O233="",0,MAX(0,$O233-$M233)),MAX(0,TODAY()-$M233)))</f>
        <v/>
      </c>
      <c r="R233" s="139">
        <f>IF(AND($B233&lt;&gt;"",$O233&lt;&gt;""),$O233-$B233,"")</f>
        <v/>
      </c>
      <c r="S233" s="25" t="n"/>
    </row>
    <row r="234" ht="25" customHeight="1">
      <c r="A234" s="25">
        <f>IF($B234="","","CA-"&amp;TEXT(ROW()-4,"0000"))</f>
        <v/>
      </c>
      <c r="B234" s="143" t="n"/>
      <c r="C234" s="25" t="n"/>
      <c r="D234" s="25" t="n"/>
      <c r="E234" s="25" t="n"/>
      <c r="F234" s="25" t="n"/>
      <c r="G234" s="25" t="n"/>
      <c r="H234" s="25" t="n"/>
      <c r="I234" s="28" t="n"/>
      <c r="J234" s="28" t="n"/>
      <c r="K234" s="28" t="n"/>
      <c r="L234" s="25" t="n"/>
      <c r="M234" s="143" t="n"/>
      <c r="N234" s="25" t="n"/>
      <c r="O234" s="143" t="n"/>
      <c r="P234" s="25" t="n"/>
      <c r="Q234" s="139">
        <f>IF($M234="","",IF(OR($N234="完了",$N234="クローズ"),IF($O234="",0,MAX(0,$O234-$M234)),MAX(0,TODAY()-$M234)))</f>
        <v/>
      </c>
      <c r="R234" s="139">
        <f>IF(AND($B234&lt;&gt;"",$O234&lt;&gt;""),$O234-$B234,"")</f>
        <v/>
      </c>
      <c r="S234" s="25" t="n"/>
    </row>
    <row r="235" ht="25" customHeight="1">
      <c r="A235" s="25">
        <f>IF($B235="","","CA-"&amp;TEXT(ROW()-4,"0000"))</f>
        <v/>
      </c>
      <c r="B235" s="143" t="n"/>
      <c r="C235" s="25" t="n"/>
      <c r="D235" s="25" t="n"/>
      <c r="E235" s="25" t="n"/>
      <c r="F235" s="25" t="n"/>
      <c r="G235" s="25" t="n"/>
      <c r="H235" s="25" t="n"/>
      <c r="I235" s="28" t="n"/>
      <c r="J235" s="28" t="n"/>
      <c r="K235" s="28" t="n"/>
      <c r="L235" s="25" t="n"/>
      <c r="M235" s="143" t="n"/>
      <c r="N235" s="25" t="n"/>
      <c r="O235" s="143" t="n"/>
      <c r="P235" s="25" t="n"/>
      <c r="Q235" s="139">
        <f>IF($M235="","",IF(OR($N235="完了",$N235="クローズ"),IF($O235="",0,MAX(0,$O235-$M235)),MAX(0,TODAY()-$M235)))</f>
        <v/>
      </c>
      <c r="R235" s="139">
        <f>IF(AND($B235&lt;&gt;"",$O235&lt;&gt;""),$O235-$B235,"")</f>
        <v/>
      </c>
      <c r="S235" s="25" t="n"/>
    </row>
    <row r="236" ht="25" customHeight="1">
      <c r="A236" s="25">
        <f>IF($B236="","","CA-"&amp;TEXT(ROW()-4,"0000"))</f>
        <v/>
      </c>
      <c r="B236" s="143" t="n"/>
      <c r="C236" s="25" t="n"/>
      <c r="D236" s="25" t="n"/>
      <c r="E236" s="25" t="n"/>
      <c r="F236" s="25" t="n"/>
      <c r="G236" s="25" t="n"/>
      <c r="H236" s="25" t="n"/>
      <c r="I236" s="28" t="n"/>
      <c r="J236" s="28" t="n"/>
      <c r="K236" s="28" t="n"/>
      <c r="L236" s="25" t="n"/>
      <c r="M236" s="143" t="n"/>
      <c r="N236" s="25" t="n"/>
      <c r="O236" s="143" t="n"/>
      <c r="P236" s="25" t="n"/>
      <c r="Q236" s="139">
        <f>IF($M236="","",IF(OR($N236="完了",$N236="クローズ"),IF($O236="",0,MAX(0,$O236-$M236)),MAX(0,TODAY()-$M236)))</f>
        <v/>
      </c>
      <c r="R236" s="139">
        <f>IF(AND($B236&lt;&gt;"",$O236&lt;&gt;""),$O236-$B236,"")</f>
        <v/>
      </c>
      <c r="S236" s="25" t="n"/>
    </row>
    <row r="237" ht="25" customHeight="1">
      <c r="A237" s="25">
        <f>IF($B237="","","CA-"&amp;TEXT(ROW()-4,"0000"))</f>
        <v/>
      </c>
      <c r="B237" s="143" t="n"/>
      <c r="C237" s="25" t="n"/>
      <c r="D237" s="25" t="n"/>
      <c r="E237" s="25" t="n"/>
      <c r="F237" s="25" t="n"/>
      <c r="G237" s="25" t="n"/>
      <c r="H237" s="25" t="n"/>
      <c r="I237" s="28" t="n"/>
      <c r="J237" s="28" t="n"/>
      <c r="K237" s="28" t="n"/>
      <c r="L237" s="25" t="n"/>
      <c r="M237" s="143" t="n"/>
      <c r="N237" s="25" t="n"/>
      <c r="O237" s="143" t="n"/>
      <c r="P237" s="25" t="n"/>
      <c r="Q237" s="139">
        <f>IF($M237="","",IF(OR($N237="完了",$N237="クローズ"),IF($O237="",0,MAX(0,$O237-$M237)),MAX(0,TODAY()-$M237)))</f>
        <v/>
      </c>
      <c r="R237" s="139">
        <f>IF(AND($B237&lt;&gt;"",$O237&lt;&gt;""),$O237-$B237,"")</f>
        <v/>
      </c>
      <c r="S237" s="25" t="n"/>
    </row>
    <row r="238" ht="25" customHeight="1">
      <c r="A238" s="25">
        <f>IF($B238="","","CA-"&amp;TEXT(ROW()-4,"0000"))</f>
        <v/>
      </c>
      <c r="B238" s="143" t="n"/>
      <c r="C238" s="25" t="n"/>
      <c r="D238" s="25" t="n"/>
      <c r="E238" s="25" t="n"/>
      <c r="F238" s="25" t="n"/>
      <c r="G238" s="25" t="n"/>
      <c r="H238" s="25" t="n"/>
      <c r="I238" s="28" t="n"/>
      <c r="J238" s="28" t="n"/>
      <c r="K238" s="28" t="n"/>
      <c r="L238" s="25" t="n"/>
      <c r="M238" s="143" t="n"/>
      <c r="N238" s="25" t="n"/>
      <c r="O238" s="143" t="n"/>
      <c r="P238" s="25" t="n"/>
      <c r="Q238" s="139">
        <f>IF($M238="","",IF(OR($N238="完了",$N238="クローズ"),IF($O238="",0,MAX(0,$O238-$M238)),MAX(0,TODAY()-$M238)))</f>
        <v/>
      </c>
      <c r="R238" s="139">
        <f>IF(AND($B238&lt;&gt;"",$O238&lt;&gt;""),$O238-$B238,"")</f>
        <v/>
      </c>
      <c r="S238" s="25" t="n"/>
    </row>
    <row r="239" ht="25" customHeight="1">
      <c r="A239" s="25">
        <f>IF($B239="","","CA-"&amp;TEXT(ROW()-4,"0000"))</f>
        <v/>
      </c>
      <c r="B239" s="143" t="n"/>
      <c r="C239" s="25" t="n"/>
      <c r="D239" s="25" t="n"/>
      <c r="E239" s="25" t="n"/>
      <c r="F239" s="25" t="n"/>
      <c r="G239" s="25" t="n"/>
      <c r="H239" s="25" t="n"/>
      <c r="I239" s="28" t="n"/>
      <c r="J239" s="28" t="n"/>
      <c r="K239" s="28" t="n"/>
      <c r="L239" s="25" t="n"/>
      <c r="M239" s="143" t="n"/>
      <c r="N239" s="25" t="n"/>
      <c r="O239" s="143" t="n"/>
      <c r="P239" s="25" t="n"/>
      <c r="Q239" s="139">
        <f>IF($M239="","",IF(OR($N239="完了",$N239="クローズ"),IF($O239="",0,MAX(0,$O239-$M239)),MAX(0,TODAY()-$M239)))</f>
        <v/>
      </c>
      <c r="R239" s="139">
        <f>IF(AND($B239&lt;&gt;"",$O239&lt;&gt;""),$O239-$B239,"")</f>
        <v/>
      </c>
      <c r="S239" s="25" t="n"/>
    </row>
    <row r="240" ht="25" customHeight="1">
      <c r="A240" s="25">
        <f>IF($B240="","","CA-"&amp;TEXT(ROW()-4,"0000"))</f>
        <v/>
      </c>
      <c r="B240" s="143" t="n"/>
      <c r="C240" s="25" t="n"/>
      <c r="D240" s="25" t="n"/>
      <c r="E240" s="25" t="n"/>
      <c r="F240" s="25" t="n"/>
      <c r="G240" s="25" t="n"/>
      <c r="H240" s="25" t="n"/>
      <c r="I240" s="28" t="n"/>
      <c r="J240" s="28" t="n"/>
      <c r="K240" s="28" t="n"/>
      <c r="L240" s="25" t="n"/>
      <c r="M240" s="143" t="n"/>
      <c r="N240" s="25" t="n"/>
      <c r="O240" s="143" t="n"/>
      <c r="P240" s="25" t="n"/>
      <c r="Q240" s="139">
        <f>IF($M240="","",IF(OR($N240="完了",$N240="クローズ"),IF($O240="",0,MAX(0,$O240-$M240)),MAX(0,TODAY()-$M240)))</f>
        <v/>
      </c>
      <c r="R240" s="139">
        <f>IF(AND($B240&lt;&gt;"",$O240&lt;&gt;""),$O240-$B240,"")</f>
        <v/>
      </c>
      <c r="S240" s="25" t="n"/>
    </row>
    <row r="241" ht="25" customHeight="1">
      <c r="A241" s="25">
        <f>IF($B241="","","CA-"&amp;TEXT(ROW()-4,"0000"))</f>
        <v/>
      </c>
      <c r="B241" s="143" t="n"/>
      <c r="C241" s="25" t="n"/>
      <c r="D241" s="25" t="n"/>
      <c r="E241" s="25" t="n"/>
      <c r="F241" s="25" t="n"/>
      <c r="G241" s="25" t="n"/>
      <c r="H241" s="25" t="n"/>
      <c r="I241" s="28" t="n"/>
      <c r="J241" s="28" t="n"/>
      <c r="K241" s="28" t="n"/>
      <c r="L241" s="25" t="n"/>
      <c r="M241" s="143" t="n"/>
      <c r="N241" s="25" t="n"/>
      <c r="O241" s="143" t="n"/>
      <c r="P241" s="25" t="n"/>
      <c r="Q241" s="139">
        <f>IF($M241="","",IF(OR($N241="完了",$N241="クローズ"),IF($O241="",0,MAX(0,$O241-$M241)),MAX(0,TODAY()-$M241)))</f>
        <v/>
      </c>
      <c r="R241" s="139">
        <f>IF(AND($B241&lt;&gt;"",$O241&lt;&gt;""),$O241-$B241,"")</f>
        <v/>
      </c>
      <c r="S241" s="25" t="n"/>
    </row>
    <row r="242" ht="25" customHeight="1">
      <c r="A242" s="25">
        <f>IF($B242="","","CA-"&amp;TEXT(ROW()-4,"0000"))</f>
        <v/>
      </c>
      <c r="B242" s="143" t="n"/>
      <c r="C242" s="25" t="n"/>
      <c r="D242" s="25" t="n"/>
      <c r="E242" s="25" t="n"/>
      <c r="F242" s="25" t="n"/>
      <c r="G242" s="25" t="n"/>
      <c r="H242" s="25" t="n"/>
      <c r="I242" s="28" t="n"/>
      <c r="J242" s="28" t="n"/>
      <c r="K242" s="28" t="n"/>
      <c r="L242" s="25" t="n"/>
      <c r="M242" s="143" t="n"/>
      <c r="N242" s="25" t="n"/>
      <c r="O242" s="143" t="n"/>
      <c r="P242" s="25" t="n"/>
      <c r="Q242" s="139">
        <f>IF($M242="","",IF(OR($N242="完了",$N242="クローズ"),IF($O242="",0,MAX(0,$O242-$M242)),MAX(0,TODAY()-$M242)))</f>
        <v/>
      </c>
      <c r="R242" s="139">
        <f>IF(AND($B242&lt;&gt;"",$O242&lt;&gt;""),$O242-$B242,"")</f>
        <v/>
      </c>
      <c r="S242" s="25" t="n"/>
    </row>
    <row r="243" ht="25" customHeight="1">
      <c r="A243" s="25">
        <f>IF($B243="","","CA-"&amp;TEXT(ROW()-4,"0000"))</f>
        <v/>
      </c>
      <c r="B243" s="143" t="n"/>
      <c r="C243" s="25" t="n"/>
      <c r="D243" s="25" t="n"/>
      <c r="E243" s="25" t="n"/>
      <c r="F243" s="25" t="n"/>
      <c r="G243" s="25" t="n"/>
      <c r="H243" s="25" t="n"/>
      <c r="I243" s="28" t="n"/>
      <c r="J243" s="28" t="n"/>
      <c r="K243" s="28" t="n"/>
      <c r="L243" s="25" t="n"/>
      <c r="M243" s="143" t="n"/>
      <c r="N243" s="25" t="n"/>
      <c r="O243" s="143" t="n"/>
      <c r="P243" s="25" t="n"/>
      <c r="Q243" s="139">
        <f>IF($M243="","",IF(OR($N243="完了",$N243="クローズ"),IF($O243="",0,MAX(0,$O243-$M243)),MAX(0,TODAY()-$M243)))</f>
        <v/>
      </c>
      <c r="R243" s="139">
        <f>IF(AND($B243&lt;&gt;"",$O243&lt;&gt;""),$O243-$B243,"")</f>
        <v/>
      </c>
      <c r="S243" s="25" t="n"/>
    </row>
    <row r="244" ht="25" customHeight="1">
      <c r="A244" s="25">
        <f>IF($B244="","","CA-"&amp;TEXT(ROW()-4,"0000"))</f>
        <v/>
      </c>
      <c r="B244" s="143" t="n"/>
      <c r="C244" s="25" t="n"/>
      <c r="D244" s="25" t="n"/>
      <c r="E244" s="25" t="n"/>
      <c r="F244" s="25" t="n"/>
      <c r="G244" s="25" t="n"/>
      <c r="H244" s="25" t="n"/>
      <c r="I244" s="28" t="n"/>
      <c r="J244" s="28" t="n"/>
      <c r="K244" s="28" t="n"/>
      <c r="L244" s="25" t="n"/>
      <c r="M244" s="143" t="n"/>
      <c r="N244" s="25" t="n"/>
      <c r="O244" s="143" t="n"/>
      <c r="P244" s="25" t="n"/>
      <c r="Q244" s="139">
        <f>IF($M244="","",IF(OR($N244="完了",$N244="クローズ"),IF($O244="",0,MAX(0,$O244-$M244)),MAX(0,TODAY()-$M244)))</f>
        <v/>
      </c>
      <c r="R244" s="139">
        <f>IF(AND($B244&lt;&gt;"",$O244&lt;&gt;""),$O244-$B244,"")</f>
        <v/>
      </c>
      <c r="S244" s="25" t="n"/>
    </row>
    <row r="245" ht="25" customHeight="1">
      <c r="A245" s="25">
        <f>IF($B245="","","CA-"&amp;TEXT(ROW()-4,"0000"))</f>
        <v/>
      </c>
      <c r="B245" s="143" t="n"/>
      <c r="C245" s="25" t="n"/>
      <c r="D245" s="25" t="n"/>
      <c r="E245" s="25" t="n"/>
      <c r="F245" s="25" t="n"/>
      <c r="G245" s="25" t="n"/>
      <c r="H245" s="25" t="n"/>
      <c r="I245" s="28" t="n"/>
      <c r="J245" s="28" t="n"/>
      <c r="K245" s="28" t="n"/>
      <c r="L245" s="25" t="n"/>
      <c r="M245" s="143" t="n"/>
      <c r="N245" s="25" t="n"/>
      <c r="O245" s="143" t="n"/>
      <c r="P245" s="25" t="n"/>
      <c r="Q245" s="139">
        <f>IF($M245="","",IF(OR($N245="完了",$N245="クローズ"),IF($O245="",0,MAX(0,$O245-$M245)),MAX(0,TODAY()-$M245)))</f>
        <v/>
      </c>
      <c r="R245" s="139">
        <f>IF(AND($B245&lt;&gt;"",$O245&lt;&gt;""),$O245-$B245,"")</f>
        <v/>
      </c>
      <c r="S245" s="25" t="n"/>
    </row>
    <row r="246" ht="25" customHeight="1">
      <c r="A246" s="25">
        <f>IF($B246="","","CA-"&amp;TEXT(ROW()-4,"0000"))</f>
        <v/>
      </c>
      <c r="B246" s="143" t="n"/>
      <c r="C246" s="25" t="n"/>
      <c r="D246" s="25" t="n"/>
      <c r="E246" s="25" t="n"/>
      <c r="F246" s="25" t="n"/>
      <c r="G246" s="25" t="n"/>
      <c r="H246" s="25" t="n"/>
      <c r="I246" s="28" t="n"/>
      <c r="J246" s="28" t="n"/>
      <c r="K246" s="28" t="n"/>
      <c r="L246" s="25" t="n"/>
      <c r="M246" s="143" t="n"/>
      <c r="N246" s="25" t="n"/>
      <c r="O246" s="143" t="n"/>
      <c r="P246" s="25" t="n"/>
      <c r="Q246" s="139">
        <f>IF($M246="","",IF(OR($N246="完了",$N246="クローズ"),IF($O246="",0,MAX(0,$O246-$M246)),MAX(0,TODAY()-$M246)))</f>
        <v/>
      </c>
      <c r="R246" s="139">
        <f>IF(AND($B246&lt;&gt;"",$O246&lt;&gt;""),$O246-$B246,"")</f>
        <v/>
      </c>
      <c r="S246" s="25" t="n"/>
    </row>
    <row r="247" ht="25" customHeight="1">
      <c r="A247" s="25">
        <f>IF($B247="","","CA-"&amp;TEXT(ROW()-4,"0000"))</f>
        <v/>
      </c>
      <c r="B247" s="143" t="n"/>
      <c r="C247" s="25" t="n"/>
      <c r="D247" s="25" t="n"/>
      <c r="E247" s="25" t="n"/>
      <c r="F247" s="25" t="n"/>
      <c r="G247" s="25" t="n"/>
      <c r="H247" s="25" t="n"/>
      <c r="I247" s="28" t="n"/>
      <c r="J247" s="28" t="n"/>
      <c r="K247" s="28" t="n"/>
      <c r="L247" s="25" t="n"/>
      <c r="M247" s="143" t="n"/>
      <c r="N247" s="25" t="n"/>
      <c r="O247" s="143" t="n"/>
      <c r="P247" s="25" t="n"/>
      <c r="Q247" s="139">
        <f>IF($M247="","",IF(OR($N247="完了",$N247="クローズ"),IF($O247="",0,MAX(0,$O247-$M247)),MAX(0,TODAY()-$M247)))</f>
        <v/>
      </c>
      <c r="R247" s="139">
        <f>IF(AND($B247&lt;&gt;"",$O247&lt;&gt;""),$O247-$B247,"")</f>
        <v/>
      </c>
      <c r="S247" s="25" t="n"/>
    </row>
    <row r="248" ht="25" customHeight="1">
      <c r="A248" s="25">
        <f>IF($B248="","","CA-"&amp;TEXT(ROW()-4,"0000"))</f>
        <v/>
      </c>
      <c r="B248" s="143" t="n"/>
      <c r="C248" s="25" t="n"/>
      <c r="D248" s="25" t="n"/>
      <c r="E248" s="25" t="n"/>
      <c r="F248" s="25" t="n"/>
      <c r="G248" s="25" t="n"/>
      <c r="H248" s="25" t="n"/>
      <c r="I248" s="28" t="n"/>
      <c r="J248" s="28" t="n"/>
      <c r="K248" s="28" t="n"/>
      <c r="L248" s="25" t="n"/>
      <c r="M248" s="143" t="n"/>
      <c r="N248" s="25" t="n"/>
      <c r="O248" s="143" t="n"/>
      <c r="P248" s="25" t="n"/>
      <c r="Q248" s="139">
        <f>IF($M248="","",IF(OR($N248="完了",$N248="クローズ"),IF($O248="",0,MAX(0,$O248-$M248)),MAX(0,TODAY()-$M248)))</f>
        <v/>
      </c>
      <c r="R248" s="139">
        <f>IF(AND($B248&lt;&gt;"",$O248&lt;&gt;""),$O248-$B248,"")</f>
        <v/>
      </c>
      <c r="S248" s="25" t="n"/>
    </row>
    <row r="249" ht="25" customHeight="1">
      <c r="A249" s="25">
        <f>IF($B249="","","CA-"&amp;TEXT(ROW()-4,"0000"))</f>
        <v/>
      </c>
      <c r="B249" s="143" t="n"/>
      <c r="C249" s="25" t="n"/>
      <c r="D249" s="25" t="n"/>
      <c r="E249" s="25" t="n"/>
      <c r="F249" s="25" t="n"/>
      <c r="G249" s="25" t="n"/>
      <c r="H249" s="25" t="n"/>
      <c r="I249" s="28" t="n"/>
      <c r="J249" s="28" t="n"/>
      <c r="K249" s="28" t="n"/>
      <c r="L249" s="25" t="n"/>
      <c r="M249" s="143" t="n"/>
      <c r="N249" s="25" t="n"/>
      <c r="O249" s="143" t="n"/>
      <c r="P249" s="25" t="n"/>
      <c r="Q249" s="139">
        <f>IF($M249="","",IF(OR($N249="完了",$N249="クローズ"),IF($O249="",0,MAX(0,$O249-$M249)),MAX(0,TODAY()-$M249)))</f>
        <v/>
      </c>
      <c r="R249" s="139">
        <f>IF(AND($B249&lt;&gt;"",$O249&lt;&gt;""),$O249-$B249,"")</f>
        <v/>
      </c>
      <c r="S249" s="25" t="n"/>
    </row>
    <row r="250" ht="25" customHeight="1">
      <c r="A250" s="25">
        <f>IF($B250="","","CA-"&amp;TEXT(ROW()-4,"0000"))</f>
        <v/>
      </c>
      <c r="B250" s="143" t="n"/>
      <c r="C250" s="25" t="n"/>
      <c r="D250" s="25" t="n"/>
      <c r="E250" s="25" t="n"/>
      <c r="F250" s="25" t="n"/>
      <c r="G250" s="25" t="n"/>
      <c r="H250" s="25" t="n"/>
      <c r="I250" s="28" t="n"/>
      <c r="J250" s="28" t="n"/>
      <c r="K250" s="28" t="n"/>
      <c r="L250" s="25" t="n"/>
      <c r="M250" s="143" t="n"/>
      <c r="N250" s="25" t="n"/>
      <c r="O250" s="143" t="n"/>
      <c r="P250" s="25" t="n"/>
      <c r="Q250" s="139">
        <f>IF($M250="","",IF(OR($N250="完了",$N250="クローズ"),IF($O250="",0,MAX(0,$O250-$M250)),MAX(0,TODAY()-$M250)))</f>
        <v/>
      </c>
      <c r="R250" s="139">
        <f>IF(AND($B250&lt;&gt;"",$O250&lt;&gt;""),$O250-$B250,"")</f>
        <v/>
      </c>
      <c r="S250" s="25" t="n"/>
    </row>
    <row r="251" ht="25" customHeight="1">
      <c r="A251" s="25">
        <f>IF($B251="","","CA-"&amp;TEXT(ROW()-4,"0000"))</f>
        <v/>
      </c>
      <c r="B251" s="143" t="n"/>
      <c r="C251" s="25" t="n"/>
      <c r="D251" s="25" t="n"/>
      <c r="E251" s="25" t="n"/>
      <c r="F251" s="25" t="n"/>
      <c r="G251" s="25" t="n"/>
      <c r="H251" s="25" t="n"/>
      <c r="I251" s="28" t="n"/>
      <c r="J251" s="28" t="n"/>
      <c r="K251" s="28" t="n"/>
      <c r="L251" s="25" t="n"/>
      <c r="M251" s="143" t="n"/>
      <c r="N251" s="25" t="n"/>
      <c r="O251" s="143" t="n"/>
      <c r="P251" s="25" t="n"/>
      <c r="Q251" s="139">
        <f>IF($M251="","",IF(OR($N251="完了",$N251="クローズ"),IF($O251="",0,MAX(0,$O251-$M251)),MAX(0,TODAY()-$M251)))</f>
        <v/>
      </c>
      <c r="R251" s="139">
        <f>IF(AND($B251&lt;&gt;"",$O251&lt;&gt;""),$O251-$B251,"")</f>
        <v/>
      </c>
      <c r="S251" s="25" t="n"/>
    </row>
    <row r="252" ht="25" customHeight="1">
      <c r="A252" s="25">
        <f>IF($B252="","","CA-"&amp;TEXT(ROW()-4,"0000"))</f>
        <v/>
      </c>
      <c r="B252" s="143" t="n"/>
      <c r="C252" s="25" t="n"/>
      <c r="D252" s="25" t="n"/>
      <c r="E252" s="25" t="n"/>
      <c r="F252" s="25" t="n"/>
      <c r="G252" s="25" t="n"/>
      <c r="H252" s="25" t="n"/>
      <c r="I252" s="28" t="n"/>
      <c r="J252" s="28" t="n"/>
      <c r="K252" s="28" t="n"/>
      <c r="L252" s="25" t="n"/>
      <c r="M252" s="143" t="n"/>
      <c r="N252" s="25" t="n"/>
      <c r="O252" s="143" t="n"/>
      <c r="P252" s="25" t="n"/>
      <c r="Q252" s="139">
        <f>IF($M252="","",IF(OR($N252="完了",$N252="クローズ"),IF($O252="",0,MAX(0,$O252-$M252)),MAX(0,TODAY()-$M252)))</f>
        <v/>
      </c>
      <c r="R252" s="139">
        <f>IF(AND($B252&lt;&gt;"",$O252&lt;&gt;""),$O252-$B252,"")</f>
        <v/>
      </c>
      <c r="S252" s="25" t="n"/>
    </row>
    <row r="253" ht="25" customHeight="1">
      <c r="A253" s="25">
        <f>IF($B253="","","CA-"&amp;TEXT(ROW()-4,"0000"))</f>
        <v/>
      </c>
      <c r="B253" s="143" t="n"/>
      <c r="C253" s="25" t="n"/>
      <c r="D253" s="25" t="n"/>
      <c r="E253" s="25" t="n"/>
      <c r="F253" s="25" t="n"/>
      <c r="G253" s="25" t="n"/>
      <c r="H253" s="25" t="n"/>
      <c r="I253" s="28" t="n"/>
      <c r="J253" s="28" t="n"/>
      <c r="K253" s="28" t="n"/>
      <c r="L253" s="25" t="n"/>
      <c r="M253" s="143" t="n"/>
      <c r="N253" s="25" t="n"/>
      <c r="O253" s="143" t="n"/>
      <c r="P253" s="25" t="n"/>
      <c r="Q253" s="139">
        <f>IF($M253="","",IF(OR($N253="完了",$N253="クローズ"),IF($O253="",0,MAX(0,$O253-$M253)),MAX(0,TODAY()-$M253)))</f>
        <v/>
      </c>
      <c r="R253" s="139">
        <f>IF(AND($B253&lt;&gt;"",$O253&lt;&gt;""),$O253-$B253,"")</f>
        <v/>
      </c>
      <c r="S253" s="25" t="n"/>
    </row>
    <row r="254" ht="25" customHeight="1">
      <c r="A254" s="25">
        <f>IF($B254="","","CA-"&amp;TEXT(ROW()-4,"0000"))</f>
        <v/>
      </c>
      <c r="B254" s="143" t="n"/>
      <c r="C254" s="25" t="n"/>
      <c r="D254" s="25" t="n"/>
      <c r="E254" s="25" t="n"/>
      <c r="F254" s="25" t="n"/>
      <c r="G254" s="25" t="n"/>
      <c r="H254" s="25" t="n"/>
      <c r="I254" s="28" t="n"/>
      <c r="J254" s="28" t="n"/>
      <c r="K254" s="28" t="n"/>
      <c r="L254" s="25" t="n"/>
      <c r="M254" s="143" t="n"/>
      <c r="N254" s="25" t="n"/>
      <c r="O254" s="143" t="n"/>
      <c r="P254" s="25" t="n"/>
      <c r="Q254" s="139">
        <f>IF($M254="","",IF(OR($N254="完了",$N254="クローズ"),IF($O254="",0,MAX(0,$O254-$M254)),MAX(0,TODAY()-$M254)))</f>
        <v/>
      </c>
      <c r="R254" s="139">
        <f>IF(AND($B254&lt;&gt;"",$O254&lt;&gt;""),$O254-$B254,"")</f>
        <v/>
      </c>
      <c r="S254" s="25" t="n"/>
    </row>
  </sheetData>
  <mergeCells count="2">
    <mergeCell ref="A2:S2"/>
    <mergeCell ref="A1:S1"/>
  </mergeCells>
  <conditionalFormatting sqref="N5:N254">
    <cfRule type="containsText" priority="1" operator="containsText" dxfId="0" text="已完成"/>
    <cfRule type="containsText" priority="2" operator="containsText" dxfId="0" text="已关闭"/>
    <cfRule type="containsText" priority="3" operator="containsText" dxfId="2" text="延期"/>
  </conditionalFormatting>
  <conditionalFormatting sqref="Q5:Q254">
    <cfRule type="cellIs" priority="4" operator="greaterThan" dxfId="2">
      <formula>0</formula>
    </cfRule>
  </conditionalFormatting>
  <dataValidations count="6">
    <dataValidation sqref="E5:E254" showDropDown="0" showInputMessage="0" showErrorMessage="0" allowBlank="1" type="list">
      <formula1>"カスタマーサポート,アフターサービス,現地対応,コールセンター,物流・納品,オンラインサービス,技術サポート,店舗・小売,B2Bプロジェクト納品,医療・コンサルティング・教育,施設管理,その他"</formula1>
    </dataValidation>
    <dataValidation sqref="F5:F254" showDropDown="0" showInputMessage="0" showErrorMessage="0" allowBlank="1" type="list">
      <formula1>"応答遅延,態度・対話,未解決,手順不遵守,情報誤り,納品遅延,苦情エスカレーション,システム・ツール,スタッフ教育,その他"</formula1>
    </dataValidation>
    <dataValidation sqref="G5:G254" showDropDown="0" showInputMessage="0" showErrorMessage="0" allowBlank="1" type="list">
      <formula1>"低,中,高,最重要"</formula1>
    </dataValidation>
    <dataValidation sqref="H5:H254" showDropDown="0" showInputMessage="0" showErrorMessage="0" allowBlank="1" type="list">
      <formula1>"顧客,品質確認,上長,従業員,第三方,系统监控,その他"</formula1>
    </dataValidation>
    <dataValidation sqref="N5:N254" showDropDown="0" showInputMessage="0" showErrorMessage="0" allowBlank="1" type="list">
      <formula1>"評価待ち,対応中,完了,クローズ,延期,取消"</formula1>
    </dataValidation>
    <dataValidation sqref="P5:P254" showDropDown="0" showInputMessage="0" showErrorMessage="0" allowBlank="1" type="list">
      <formula1>"有効,一部有効,無効,検証待ち"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8" customWidth="1" min="8" max="8"/>
    <col width="12" customWidth="1" min="9" max="9"/>
    <col width="12" customWidth="1" min="10" max="10"/>
    <col width="12" customWidth="1" min="11" max="11"/>
    <col width="12" customWidth="1" min="12" max="12"/>
    <col width="18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</cols>
  <sheetData>
    <row r="1" ht="32" customHeight="1">
      <c r="A1" s="37" t="inlineStr">
        <is>
          <t>集計ダッシュボード：サービス品質評価とフィードバック循環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22" customHeight="1">
      <c r="A2" s="11" t="inlineStr">
        <is>
          <t>ダッシュボードは「評価記録」と「フィードバック改善」の先頭250行を自動集計します。拡張する場合は、数式をコピーするか行数を増やしてください。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56" t="inlineStr">
        <is>
          <t>集計年度</t>
        </is>
      </c>
      <c r="K3" s="72" t="n">
        <v>2026</v>
      </c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</row>
    <row r="4" ht="15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</row>
    <row r="5" ht="24" customHeight="1">
      <c r="A5" s="144" t="inlineStr">
        <is>
          <t>評価件数</t>
        </is>
      </c>
      <c r="B5" s="145" t="n"/>
      <c r="C5" s="146" t="n"/>
      <c r="D5" s="144" t="inlineStr">
        <is>
          <t>平均点</t>
        </is>
      </c>
      <c r="E5" s="145" t="n"/>
      <c r="F5" s="146" t="n"/>
      <c r="G5" s="144" t="inlineStr">
        <is>
          <t>優秀率</t>
        </is>
      </c>
      <c r="H5" s="145" t="n"/>
      <c r="I5" s="146" t="n"/>
      <c r="J5" s="144" t="inlineStr">
        <is>
          <t>低評価件数</t>
        </is>
      </c>
      <c r="K5" s="145" t="n"/>
      <c r="L5" s="146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</row>
    <row r="6" ht="24" customHeight="1">
      <c r="A6" s="147">
        <f>COUNT('評価記録'!$R$5:$R$254)</f>
        <v/>
      </c>
      <c r="B6" s="148" t="n"/>
      <c r="C6" s="149" t="n"/>
      <c r="D6" s="147">
        <f>IFERROR(ROUND(AVERAGE('評価記録'!$R$5:$R$254),1),"")</f>
        <v/>
      </c>
      <c r="E6" s="148" t="n"/>
      <c r="F6" s="149" t="n"/>
      <c r="G6" s="150">
        <f>IFERROR(COUNTIF('評価記録'!$S$5:$S$254,"優秀")/COUNT('評価記録'!$R$5:$R$254),0)</f>
        <v/>
      </c>
      <c r="H6" s="148" t="n"/>
      <c r="I6" s="149" t="n"/>
      <c r="J6" s="151">
        <f>COUNTIF('評価記録'!$S$5:$S$254,"要注意")+COUNTIF('評価記録'!$S$5:$S$254,"不合格")</f>
        <v/>
      </c>
      <c r="K6" s="148" t="n"/>
      <c r="L6" s="149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</row>
    <row r="8" ht="24" customHeight="1">
      <c r="A8" s="144" t="inlineStr">
        <is>
          <t>エスカレーション率</t>
        </is>
      </c>
      <c r="B8" s="145" t="n"/>
      <c r="C8" s="146" t="n"/>
      <c r="D8" s="144" t="inlineStr">
        <is>
          <t>未対応改善</t>
        </is>
      </c>
      <c r="E8" s="145" t="n"/>
      <c r="F8" s="146" t="n"/>
      <c r="G8" s="144" t="inlineStr">
        <is>
          <t>遅延改善</t>
        </is>
      </c>
      <c r="H8" s="145" t="n"/>
      <c r="I8" s="146" t="n"/>
      <c r="J8" s="144" t="inlineStr">
        <is>
          <t>平均対応期間</t>
        </is>
      </c>
      <c r="K8" s="145" t="n"/>
      <c r="L8" s="146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</row>
    <row r="9" ht="24" customHeight="1">
      <c r="A9" s="150">
        <f>IFERROR(COUNTIF('評価記録'!$T$5:$T$254,"はい")/COUNT('評価記録'!$R$5:$R$254),0)</f>
        <v/>
      </c>
      <c r="B9" s="148" t="n"/>
      <c r="C9" s="149" t="n"/>
      <c r="D9" s="147">
        <f>COUNTIF('フィードバック改善'!$N$5:$N$254,"評価待ち")+COUNTIF('フィードバック改善'!$N$5:$N$254,"対応中")+COUNTIF('フィードバック改善'!$N$5:$N$254,"延期")</f>
        <v/>
      </c>
      <c r="E9" s="148" t="n"/>
      <c r="F9" s="149" t="n"/>
      <c r="G9" s="147">
        <f>COUNTIF('フィードバック改善'!$Q$5:$Q$254,"&gt;0")</f>
        <v/>
      </c>
      <c r="H9" s="148" t="n"/>
      <c r="I9" s="149" t="n"/>
      <c r="J9" s="152">
        <f>IFERROR(ROUND(AVERAGE('フィードバック改善'!$R$5:$R$254),1),"")</f>
        <v/>
      </c>
      <c r="K9" s="148" t="n"/>
      <c r="L9" s="149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</row>
    <row r="10" ht="15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</row>
    <row r="11" ht="15" customHeight="1">
      <c r="A11" s="135" t="inlineStr">
        <is>
          <t>業務場面別集計</t>
        </is>
      </c>
      <c r="B11" s="136" t="n"/>
      <c r="C11" s="136" t="n"/>
      <c r="D11" s="136" t="n"/>
      <c r="E11" s="136" t="n"/>
      <c r="F11" s="137" t="n"/>
      <c r="G11" s="4" t="n"/>
      <c r="H11" s="135" t="inlineStr">
        <is>
          <t>課題分類別集計</t>
        </is>
      </c>
      <c r="I11" s="136" t="n"/>
      <c r="J11" s="136" t="n"/>
      <c r="K11" s="137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</row>
    <row r="12" ht="22" customHeight="1">
      <c r="A12" s="46" t="inlineStr">
        <is>
          <t>業務場面</t>
        </is>
      </c>
      <c r="B12" s="46" t="inlineStr">
        <is>
          <t>評価数</t>
        </is>
      </c>
      <c r="C12" s="46" t="inlineStr">
        <is>
          <t>平均点</t>
        </is>
      </c>
      <c r="D12" s="46" t="inlineStr">
        <is>
          <t>低評価数</t>
        </is>
      </c>
      <c r="E12" s="46" t="inlineStr">
        <is>
          <t>エスカレーション数</t>
        </is>
      </c>
      <c r="F12" s="46" t="inlineStr">
        <is>
          <t>未完了改善</t>
        </is>
      </c>
      <c r="G12" s="4" t="n"/>
      <c r="H12" s="46" t="inlineStr">
        <is>
          <t>課題分類</t>
        </is>
      </c>
      <c r="I12" s="46" t="inlineStr">
        <is>
          <t>未完了数</t>
        </is>
      </c>
      <c r="J12" s="46" t="inlineStr">
        <is>
          <t>遅延数</t>
        </is>
      </c>
      <c r="K12" s="46" t="inlineStr">
        <is>
          <t>完了・クローズ</t>
        </is>
      </c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</row>
    <row r="13" ht="22" customHeight="1">
      <c r="A13" s="25" t="inlineStr">
        <is>
          <t>カスタマーサポート</t>
        </is>
      </c>
      <c r="B13" s="25">
        <f>COUNTIF('評価記録'!$E$5:$E$254,$A13)</f>
        <v/>
      </c>
      <c r="C13" s="142">
        <f>IF($B13=0,"",ROUND(SUMIFS('評価記録'!$R$5:$R$254,'評価記録'!$E$5:$E$254,$A13)/$B13,1))</f>
        <v/>
      </c>
      <c r="D13" s="25">
        <f>COUNTIFS('評価記録'!$E$5:$E$254,$A13,'評価記録'!$S$5:$S$254,"要注意")+COUNTIFS('評価記録'!$E$5:$E$254,$A13,'評価記録'!$S$5:$S$254,"不合格")</f>
        <v/>
      </c>
      <c r="E13" s="25">
        <f>COUNTIFS('評価記録'!$E$5:$E$254,$A13,'評価記録'!$T$5:$T$254,"はい")</f>
        <v/>
      </c>
      <c r="F13" s="25">
        <f>COUNTIFS('フィードバック改善'!$E$5:$E$254,$A13,'フィードバック改善'!$N$5:$N$254,"評価待ち")+COUNTIFS('フィードバック改善'!$E$5:$E$254,$A13,'フィードバック改善'!$N$5:$N$254,"対応中")+COUNTIFS('フィードバック改善'!$E$5:$E$254,$A13,'フィードバック改善'!$N$5:$N$254,"延期")</f>
        <v/>
      </c>
      <c r="G13" s="4" t="n"/>
      <c r="H13" s="25" t="inlineStr">
        <is>
          <t>応答遅延</t>
        </is>
      </c>
      <c r="I13" s="25">
        <f>COUNTIFS('フィードバック改善'!$F$5:$F$254,$H13,'フィードバック改善'!$N$5:$N$254,"評価待ち")+COUNTIFS('フィードバック改善'!$F$5:$F$254,$H13,'フィードバック改善'!$N$5:$N$254,"対応中")+COUNTIFS('フィードバック改善'!$F$5:$F$254,$H13,'フィードバック改善'!$N$5:$N$254,"延期")</f>
        <v/>
      </c>
      <c r="J13" s="25">
        <f>COUNTIFS('フィードバック改善'!$F$5:$F$254,$H13,'フィードバック改善'!$Q$5:$Q$254,"&gt;0")</f>
        <v/>
      </c>
      <c r="K13" s="25">
        <f>COUNTIFS('フィードバック改善'!$F$5:$F$254,$H13,'フィードバック改善'!$N$5:$N$254,"完了")+COUNTIFS('フィードバック改善'!$F$5:$F$254,$H13,'フィードバック改善'!$N$5:$N$254,"クローズ")</f>
        <v/>
      </c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</row>
    <row r="14" ht="22" customHeight="1">
      <c r="A14" s="25" t="inlineStr">
        <is>
          <t>アフターサービス</t>
        </is>
      </c>
      <c r="B14" s="25">
        <f>COUNTIF('評価記録'!$E$5:$E$254,$A14)</f>
        <v/>
      </c>
      <c r="C14" s="142">
        <f>IF($B14=0,"",ROUND(SUMIFS('評価記録'!$R$5:$R$254,'評価記録'!$E$5:$E$254,$A14)/$B14,1))</f>
        <v/>
      </c>
      <c r="D14" s="25">
        <f>COUNTIFS('評価記録'!$E$5:$E$254,$A14,'評価記録'!$S$5:$S$254,"要注意")+COUNTIFS('評価記録'!$E$5:$E$254,$A14,'評価記録'!$S$5:$S$254,"不合格")</f>
        <v/>
      </c>
      <c r="E14" s="25">
        <f>COUNTIFS('評価記録'!$E$5:$E$254,$A14,'評価記録'!$T$5:$T$254,"はい")</f>
        <v/>
      </c>
      <c r="F14" s="25">
        <f>COUNTIFS('フィードバック改善'!$E$5:$E$254,$A14,'フィードバック改善'!$N$5:$N$254,"評価待ち")+COUNTIFS('フィードバック改善'!$E$5:$E$254,$A14,'フィードバック改善'!$N$5:$N$254,"対応中")+COUNTIFS('フィードバック改善'!$E$5:$E$254,$A14,'フィードバック改善'!$N$5:$N$254,"延期")</f>
        <v/>
      </c>
      <c r="G14" s="4" t="n"/>
      <c r="H14" s="25" t="inlineStr">
        <is>
          <t>態度・対話</t>
        </is>
      </c>
      <c r="I14" s="25">
        <f>COUNTIFS('フィードバック改善'!$F$5:$F$254,$H14,'フィードバック改善'!$N$5:$N$254,"評価待ち")+COUNTIFS('フィードバック改善'!$F$5:$F$254,$H14,'フィードバック改善'!$N$5:$N$254,"対応中")+COUNTIFS('フィードバック改善'!$F$5:$F$254,$H14,'フィードバック改善'!$N$5:$N$254,"延期")</f>
        <v/>
      </c>
      <c r="J14" s="25">
        <f>COUNTIFS('フィードバック改善'!$F$5:$F$254,$H14,'フィードバック改善'!$Q$5:$Q$254,"&gt;0")</f>
        <v/>
      </c>
      <c r="K14" s="25">
        <f>COUNTIFS('フィードバック改善'!$F$5:$F$254,$H14,'フィードバック改善'!$N$5:$N$254,"完了")+COUNTIFS('フィードバック改善'!$F$5:$F$254,$H14,'フィードバック改善'!$N$5:$N$254,"クローズ")</f>
        <v/>
      </c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</row>
    <row r="15" ht="22" customHeight="1">
      <c r="A15" s="25" t="inlineStr">
        <is>
          <t>現地対応</t>
        </is>
      </c>
      <c r="B15" s="25">
        <f>COUNTIF('評価記録'!$E$5:$E$254,$A15)</f>
        <v/>
      </c>
      <c r="C15" s="142">
        <f>IF($B15=0,"",ROUND(SUMIFS('評価記録'!$R$5:$R$254,'評価記録'!$E$5:$E$254,$A15)/$B15,1))</f>
        <v/>
      </c>
      <c r="D15" s="25">
        <f>COUNTIFS('評価記録'!$E$5:$E$254,$A15,'評価記録'!$S$5:$S$254,"要注意")+COUNTIFS('評価記録'!$E$5:$E$254,$A15,'評価記録'!$S$5:$S$254,"不合格")</f>
        <v/>
      </c>
      <c r="E15" s="25">
        <f>COUNTIFS('評価記録'!$E$5:$E$254,$A15,'評価記録'!$T$5:$T$254,"はい")</f>
        <v/>
      </c>
      <c r="F15" s="25">
        <f>COUNTIFS('フィードバック改善'!$E$5:$E$254,$A15,'フィードバック改善'!$N$5:$N$254,"評価待ち")+COUNTIFS('フィードバック改善'!$E$5:$E$254,$A15,'フィードバック改善'!$N$5:$N$254,"対応中")+COUNTIFS('フィードバック改善'!$E$5:$E$254,$A15,'フィードバック改善'!$N$5:$N$254,"延期")</f>
        <v/>
      </c>
      <c r="G15" s="4" t="n"/>
      <c r="H15" s="25" t="inlineStr">
        <is>
          <t>未解決</t>
        </is>
      </c>
      <c r="I15" s="25">
        <f>COUNTIFS('フィードバック改善'!$F$5:$F$254,$H15,'フィードバック改善'!$N$5:$N$254,"評価待ち")+COUNTIFS('フィードバック改善'!$F$5:$F$254,$H15,'フィードバック改善'!$N$5:$N$254,"対応中")+COUNTIFS('フィードバック改善'!$F$5:$F$254,$H15,'フィードバック改善'!$N$5:$N$254,"延期")</f>
        <v/>
      </c>
      <c r="J15" s="25">
        <f>COUNTIFS('フィードバック改善'!$F$5:$F$254,$H15,'フィードバック改善'!$Q$5:$Q$254,"&gt;0")</f>
        <v/>
      </c>
      <c r="K15" s="25">
        <f>COUNTIFS('フィードバック改善'!$F$5:$F$254,$H15,'フィードバック改善'!$N$5:$N$254,"完了")+COUNTIFS('フィードバック改善'!$F$5:$F$254,$H15,'フィードバック改善'!$N$5:$N$254,"クローズ")</f>
        <v/>
      </c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</row>
    <row r="16" ht="22" customHeight="1">
      <c r="A16" s="25" t="inlineStr">
        <is>
          <t>コールセンター</t>
        </is>
      </c>
      <c r="B16" s="25">
        <f>COUNTIF('評価記録'!$E$5:$E$254,$A16)</f>
        <v/>
      </c>
      <c r="C16" s="142">
        <f>IF($B16=0,"",ROUND(SUMIFS('評価記録'!$R$5:$R$254,'評価記録'!$E$5:$E$254,$A16)/$B16,1))</f>
        <v/>
      </c>
      <c r="D16" s="25">
        <f>COUNTIFS('評価記録'!$E$5:$E$254,$A16,'評価記録'!$S$5:$S$254,"要注意")+COUNTIFS('評価記録'!$E$5:$E$254,$A16,'評価記録'!$S$5:$S$254,"不合格")</f>
        <v/>
      </c>
      <c r="E16" s="25">
        <f>COUNTIFS('評価記録'!$E$5:$E$254,$A16,'評価記録'!$T$5:$T$254,"はい")</f>
        <v/>
      </c>
      <c r="F16" s="25">
        <f>COUNTIFS('フィードバック改善'!$E$5:$E$254,$A16,'フィードバック改善'!$N$5:$N$254,"評価待ち")+COUNTIFS('フィードバック改善'!$E$5:$E$254,$A16,'フィードバック改善'!$N$5:$N$254,"対応中")+COUNTIFS('フィードバック改善'!$E$5:$E$254,$A16,'フィードバック改善'!$N$5:$N$254,"延期")</f>
        <v/>
      </c>
      <c r="G16" s="4" t="n"/>
      <c r="H16" s="25" t="inlineStr">
        <is>
          <t>手順不遵守</t>
        </is>
      </c>
      <c r="I16" s="25">
        <f>COUNTIFS('フィードバック改善'!$F$5:$F$254,$H16,'フィードバック改善'!$N$5:$N$254,"評価待ち")+COUNTIFS('フィードバック改善'!$F$5:$F$254,$H16,'フィードバック改善'!$N$5:$N$254,"対応中")+COUNTIFS('フィードバック改善'!$F$5:$F$254,$H16,'フィードバック改善'!$N$5:$N$254,"延期")</f>
        <v/>
      </c>
      <c r="J16" s="25">
        <f>COUNTIFS('フィードバック改善'!$F$5:$F$254,$H16,'フィードバック改善'!$Q$5:$Q$254,"&gt;0")</f>
        <v/>
      </c>
      <c r="K16" s="25">
        <f>COUNTIFS('フィードバック改善'!$F$5:$F$254,$H16,'フィードバック改善'!$N$5:$N$254,"完了")+COUNTIFS('フィードバック改善'!$F$5:$F$254,$H16,'フィードバック改善'!$N$5:$N$254,"クローズ")</f>
        <v/>
      </c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</row>
    <row r="17" ht="22" customHeight="1">
      <c r="A17" s="25" t="inlineStr">
        <is>
          <t>物流・納品</t>
        </is>
      </c>
      <c r="B17" s="25">
        <f>COUNTIF('評価記録'!$E$5:$E$254,$A17)</f>
        <v/>
      </c>
      <c r="C17" s="142">
        <f>IF($B17=0,"",ROUND(SUMIFS('評価記録'!$R$5:$R$254,'評価記録'!$E$5:$E$254,$A17)/$B17,1))</f>
        <v/>
      </c>
      <c r="D17" s="25">
        <f>COUNTIFS('評価記録'!$E$5:$E$254,$A17,'評価記録'!$S$5:$S$254,"要注意")+COUNTIFS('評価記録'!$E$5:$E$254,$A17,'評価記録'!$S$5:$S$254,"不合格")</f>
        <v/>
      </c>
      <c r="E17" s="25">
        <f>COUNTIFS('評価記録'!$E$5:$E$254,$A17,'評価記録'!$T$5:$T$254,"はい")</f>
        <v/>
      </c>
      <c r="F17" s="25">
        <f>COUNTIFS('フィードバック改善'!$E$5:$E$254,$A17,'フィードバック改善'!$N$5:$N$254,"評価待ち")+COUNTIFS('フィードバック改善'!$E$5:$E$254,$A17,'フィードバック改善'!$N$5:$N$254,"対応中")+COUNTIFS('フィードバック改善'!$E$5:$E$254,$A17,'フィードバック改善'!$N$5:$N$254,"延期")</f>
        <v/>
      </c>
      <c r="G17" s="4" t="n"/>
      <c r="H17" s="25" t="inlineStr">
        <is>
          <t>情報誤り</t>
        </is>
      </c>
      <c r="I17" s="25">
        <f>COUNTIFS('フィードバック改善'!$F$5:$F$254,$H17,'フィードバック改善'!$N$5:$N$254,"評価待ち")+COUNTIFS('フィードバック改善'!$F$5:$F$254,$H17,'フィードバック改善'!$N$5:$N$254,"対応中")+COUNTIFS('フィードバック改善'!$F$5:$F$254,$H17,'フィードバック改善'!$N$5:$N$254,"延期")</f>
        <v/>
      </c>
      <c r="J17" s="25">
        <f>COUNTIFS('フィードバック改善'!$F$5:$F$254,$H17,'フィードバック改善'!$Q$5:$Q$254,"&gt;0")</f>
        <v/>
      </c>
      <c r="K17" s="25">
        <f>COUNTIFS('フィードバック改善'!$F$5:$F$254,$H17,'フィードバック改善'!$N$5:$N$254,"完了")+COUNTIFS('フィードバック改善'!$F$5:$F$254,$H17,'フィードバック改善'!$N$5:$N$254,"クローズ")</f>
        <v/>
      </c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</row>
    <row r="18" ht="22" customHeight="1">
      <c r="A18" s="25" t="inlineStr">
        <is>
          <t>オンラインサービス</t>
        </is>
      </c>
      <c r="B18" s="25">
        <f>COUNTIF('評価記録'!$E$5:$E$254,$A18)</f>
        <v/>
      </c>
      <c r="C18" s="142">
        <f>IF($B18=0,"",ROUND(SUMIFS('評価記録'!$R$5:$R$254,'評価記録'!$E$5:$E$254,$A18)/$B18,1))</f>
        <v/>
      </c>
      <c r="D18" s="25">
        <f>COUNTIFS('評価記録'!$E$5:$E$254,$A18,'評価記録'!$S$5:$S$254,"要注意")+COUNTIFS('評価記録'!$E$5:$E$254,$A18,'評価記録'!$S$5:$S$254,"不合格")</f>
        <v/>
      </c>
      <c r="E18" s="25">
        <f>COUNTIFS('評価記録'!$E$5:$E$254,$A18,'評価記録'!$T$5:$T$254,"はい")</f>
        <v/>
      </c>
      <c r="F18" s="25">
        <f>COUNTIFS('フィードバック改善'!$E$5:$E$254,$A18,'フィードバック改善'!$N$5:$N$254,"評価待ち")+COUNTIFS('フィードバック改善'!$E$5:$E$254,$A18,'フィードバック改善'!$N$5:$N$254,"対応中")+COUNTIFS('フィードバック改善'!$E$5:$E$254,$A18,'フィードバック改善'!$N$5:$N$254,"延期")</f>
        <v/>
      </c>
      <c r="G18" s="4" t="n"/>
      <c r="H18" s="25" t="inlineStr">
        <is>
          <t>納品遅延</t>
        </is>
      </c>
      <c r="I18" s="25">
        <f>COUNTIFS('フィードバック改善'!$F$5:$F$254,$H18,'フィードバック改善'!$N$5:$N$254,"評価待ち")+COUNTIFS('フィードバック改善'!$F$5:$F$254,$H18,'フィードバック改善'!$N$5:$N$254,"対応中")+COUNTIFS('フィードバック改善'!$F$5:$F$254,$H18,'フィードバック改善'!$N$5:$N$254,"延期")</f>
        <v/>
      </c>
      <c r="J18" s="25">
        <f>COUNTIFS('フィードバック改善'!$F$5:$F$254,$H18,'フィードバック改善'!$Q$5:$Q$254,"&gt;0")</f>
        <v/>
      </c>
      <c r="K18" s="25">
        <f>COUNTIFS('フィードバック改善'!$F$5:$F$254,$H18,'フィードバック改善'!$N$5:$N$254,"完了")+COUNTIFS('フィードバック改善'!$F$5:$F$254,$H18,'フィードバック改善'!$N$5:$N$254,"クローズ")</f>
        <v/>
      </c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</row>
    <row r="19" ht="22" customHeight="1">
      <c r="A19" s="25" t="inlineStr">
        <is>
          <t>技術サポート</t>
        </is>
      </c>
      <c r="B19" s="25">
        <f>COUNTIF('評価記録'!$E$5:$E$254,$A19)</f>
        <v/>
      </c>
      <c r="C19" s="142">
        <f>IF($B19=0,"",ROUND(SUMIFS('評価記録'!$R$5:$R$254,'評価記録'!$E$5:$E$254,$A19)/$B19,1))</f>
        <v/>
      </c>
      <c r="D19" s="25">
        <f>COUNTIFS('評価記録'!$E$5:$E$254,$A19,'評価記録'!$S$5:$S$254,"要注意")+COUNTIFS('評価記録'!$E$5:$E$254,$A19,'評価記録'!$S$5:$S$254,"不合格")</f>
        <v/>
      </c>
      <c r="E19" s="25">
        <f>COUNTIFS('評価記録'!$E$5:$E$254,$A19,'評価記録'!$T$5:$T$254,"はい")</f>
        <v/>
      </c>
      <c r="F19" s="25">
        <f>COUNTIFS('フィードバック改善'!$E$5:$E$254,$A19,'フィードバック改善'!$N$5:$N$254,"評価待ち")+COUNTIFS('フィードバック改善'!$E$5:$E$254,$A19,'フィードバック改善'!$N$5:$N$254,"対応中")+COUNTIFS('フィードバック改善'!$E$5:$E$254,$A19,'フィードバック改善'!$N$5:$N$254,"延期")</f>
        <v/>
      </c>
      <c r="G19" s="4" t="n"/>
      <c r="H19" s="25" t="inlineStr">
        <is>
          <t>苦情エスカレーション</t>
        </is>
      </c>
      <c r="I19" s="25">
        <f>COUNTIFS('フィードバック改善'!$F$5:$F$254,$H19,'フィードバック改善'!$N$5:$N$254,"評価待ち")+COUNTIFS('フィードバック改善'!$F$5:$F$254,$H19,'フィードバック改善'!$N$5:$N$254,"対応中")+COUNTIFS('フィードバック改善'!$F$5:$F$254,$H19,'フィードバック改善'!$N$5:$N$254,"延期")</f>
        <v/>
      </c>
      <c r="J19" s="25">
        <f>COUNTIFS('フィードバック改善'!$F$5:$F$254,$H19,'フィードバック改善'!$Q$5:$Q$254,"&gt;0")</f>
        <v/>
      </c>
      <c r="K19" s="25">
        <f>COUNTIFS('フィードバック改善'!$F$5:$F$254,$H19,'フィードバック改善'!$N$5:$N$254,"完了")+COUNTIFS('フィードバック改善'!$F$5:$F$254,$H19,'フィードバック改善'!$N$5:$N$254,"クローズ")</f>
        <v/>
      </c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</row>
    <row r="20" ht="22" customHeight="1">
      <c r="A20" s="25" t="inlineStr">
        <is>
          <t>店舗・小売</t>
        </is>
      </c>
      <c r="B20" s="25">
        <f>COUNTIF('評価記録'!$E$5:$E$254,$A20)</f>
        <v/>
      </c>
      <c r="C20" s="142">
        <f>IF($B20=0,"",ROUND(SUMIFS('評価記録'!$R$5:$R$254,'評価記録'!$E$5:$E$254,$A20)/$B20,1))</f>
        <v/>
      </c>
      <c r="D20" s="25">
        <f>COUNTIFS('評価記録'!$E$5:$E$254,$A20,'評価記録'!$S$5:$S$254,"要注意")+COUNTIFS('評価記録'!$E$5:$E$254,$A20,'評価記録'!$S$5:$S$254,"不合格")</f>
        <v/>
      </c>
      <c r="E20" s="25">
        <f>COUNTIFS('評価記録'!$E$5:$E$254,$A20,'評価記録'!$T$5:$T$254,"はい")</f>
        <v/>
      </c>
      <c r="F20" s="25">
        <f>COUNTIFS('フィードバック改善'!$E$5:$E$254,$A20,'フィードバック改善'!$N$5:$N$254,"評価待ち")+COUNTIFS('フィードバック改善'!$E$5:$E$254,$A20,'フィードバック改善'!$N$5:$N$254,"対応中")+COUNTIFS('フィードバック改善'!$E$5:$E$254,$A20,'フィードバック改善'!$N$5:$N$254,"延期")</f>
        <v/>
      </c>
      <c r="G20" s="4" t="n"/>
      <c r="H20" s="25" t="inlineStr">
        <is>
          <t>システム・ツール</t>
        </is>
      </c>
      <c r="I20" s="25">
        <f>COUNTIFS('フィードバック改善'!$F$5:$F$254,$H20,'フィードバック改善'!$N$5:$N$254,"評価待ち")+COUNTIFS('フィードバック改善'!$F$5:$F$254,$H20,'フィードバック改善'!$N$5:$N$254,"対応中")+COUNTIFS('フィードバック改善'!$F$5:$F$254,$H20,'フィードバック改善'!$N$5:$N$254,"延期")</f>
        <v/>
      </c>
      <c r="J20" s="25">
        <f>COUNTIFS('フィードバック改善'!$F$5:$F$254,$H20,'フィードバック改善'!$Q$5:$Q$254,"&gt;0")</f>
        <v/>
      </c>
      <c r="K20" s="25">
        <f>COUNTIFS('フィードバック改善'!$F$5:$F$254,$H20,'フィードバック改善'!$N$5:$N$254,"完了")+COUNTIFS('フィードバック改善'!$F$5:$F$254,$H20,'フィードバック改善'!$N$5:$N$254,"クローズ")</f>
        <v/>
      </c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</row>
    <row r="21" ht="22" customHeight="1">
      <c r="A21" s="25" t="inlineStr">
        <is>
          <t>B2Bプロジェクト納品</t>
        </is>
      </c>
      <c r="B21" s="25">
        <f>COUNTIF('評価記録'!$E$5:$E$254,$A21)</f>
        <v/>
      </c>
      <c r="C21" s="142">
        <f>IF($B21=0,"",ROUND(SUMIFS('評価記録'!$R$5:$R$254,'評価記録'!$E$5:$E$254,$A21)/$B21,1))</f>
        <v/>
      </c>
      <c r="D21" s="25">
        <f>COUNTIFS('評価記録'!$E$5:$E$254,$A21,'評価記録'!$S$5:$S$254,"要注意")+COUNTIFS('評価記録'!$E$5:$E$254,$A21,'評価記録'!$S$5:$S$254,"不合格")</f>
        <v/>
      </c>
      <c r="E21" s="25">
        <f>COUNTIFS('評価記録'!$E$5:$E$254,$A21,'評価記録'!$T$5:$T$254,"はい")</f>
        <v/>
      </c>
      <c r="F21" s="25">
        <f>COUNTIFS('フィードバック改善'!$E$5:$E$254,$A21,'フィードバック改善'!$N$5:$N$254,"評価待ち")+COUNTIFS('フィードバック改善'!$E$5:$E$254,$A21,'フィードバック改善'!$N$5:$N$254,"対応中")+COUNTIFS('フィードバック改善'!$E$5:$E$254,$A21,'フィードバック改善'!$N$5:$N$254,"延期")</f>
        <v/>
      </c>
      <c r="G21" s="4" t="n"/>
      <c r="H21" s="25" t="inlineStr">
        <is>
          <t>スタッフ教育</t>
        </is>
      </c>
      <c r="I21" s="25">
        <f>COUNTIFS('フィードバック改善'!$F$5:$F$254,$H21,'フィードバック改善'!$N$5:$N$254,"評価待ち")+COUNTIFS('フィードバック改善'!$F$5:$F$254,$H21,'フィードバック改善'!$N$5:$N$254,"対応中")+COUNTIFS('フィードバック改善'!$F$5:$F$254,$H21,'フィードバック改善'!$N$5:$N$254,"延期")</f>
        <v/>
      </c>
      <c r="J21" s="25">
        <f>COUNTIFS('フィードバック改善'!$F$5:$F$254,$H21,'フィードバック改善'!$Q$5:$Q$254,"&gt;0")</f>
        <v/>
      </c>
      <c r="K21" s="25">
        <f>COUNTIFS('フィードバック改善'!$F$5:$F$254,$H21,'フィードバック改善'!$N$5:$N$254,"完了")+COUNTIFS('フィードバック改善'!$F$5:$F$254,$H21,'フィードバック改善'!$N$5:$N$254,"クローズ")</f>
        <v/>
      </c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</row>
    <row r="22" ht="22" customHeight="1">
      <c r="A22" s="25" t="inlineStr">
        <is>
          <t>医療・コンサルティング・教育</t>
        </is>
      </c>
      <c r="B22" s="25">
        <f>COUNTIF('評価記録'!$E$5:$E$254,$A22)</f>
        <v/>
      </c>
      <c r="C22" s="142">
        <f>IF($B22=0,"",ROUND(SUMIFS('評価記録'!$R$5:$R$254,'評価記録'!$E$5:$E$254,$A22)/$B22,1))</f>
        <v/>
      </c>
      <c r="D22" s="25">
        <f>COUNTIFS('評価記録'!$E$5:$E$254,$A22,'評価記録'!$S$5:$S$254,"要注意")+COUNTIFS('評価記録'!$E$5:$E$254,$A22,'評価記録'!$S$5:$S$254,"不合格")</f>
        <v/>
      </c>
      <c r="E22" s="25">
        <f>COUNTIFS('評価記録'!$E$5:$E$254,$A22,'評価記録'!$T$5:$T$254,"はい")</f>
        <v/>
      </c>
      <c r="F22" s="25">
        <f>COUNTIFS('フィードバック改善'!$E$5:$E$254,$A22,'フィードバック改善'!$N$5:$N$254,"評価待ち")+COUNTIFS('フィードバック改善'!$E$5:$E$254,$A22,'フィードバック改善'!$N$5:$N$254,"対応中")+COUNTIFS('フィードバック改善'!$E$5:$E$254,$A22,'フィードバック改善'!$N$5:$N$254,"延期")</f>
        <v/>
      </c>
      <c r="G22" s="4" t="n"/>
      <c r="H22" s="25" t="inlineStr">
        <is>
          <t>その他</t>
        </is>
      </c>
      <c r="I22" s="25">
        <f>COUNTIFS('フィードバック改善'!$F$5:$F$254,$H22,'フィードバック改善'!$N$5:$N$254,"評価待ち")+COUNTIFS('フィードバック改善'!$F$5:$F$254,$H22,'フィードバック改善'!$N$5:$N$254,"対応中")+COUNTIFS('フィードバック改善'!$F$5:$F$254,$H22,'フィードバック改善'!$N$5:$N$254,"延期")</f>
        <v/>
      </c>
      <c r="J22" s="25">
        <f>COUNTIFS('フィードバック改善'!$F$5:$F$254,$H22,'フィードバック改善'!$Q$5:$Q$254,"&gt;0")</f>
        <v/>
      </c>
      <c r="K22" s="25">
        <f>COUNTIFS('フィードバック改善'!$F$5:$F$254,$H22,'フィードバック改善'!$N$5:$N$254,"完了")+COUNTIFS('フィードバック改善'!$F$5:$F$254,$H22,'フィードバック改善'!$N$5:$N$254,"クローズ")</f>
        <v/>
      </c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</row>
    <row r="23" ht="22" customHeight="1">
      <c r="A23" s="25" t="inlineStr">
        <is>
          <t>施設管理</t>
        </is>
      </c>
      <c r="B23" s="25">
        <f>COUNTIF('評価記録'!$E$5:$E$254,$A23)</f>
        <v/>
      </c>
      <c r="C23" s="142">
        <f>IF($B23=0,"",ROUND(SUMIFS('評価記録'!$R$5:$R$254,'評価記録'!$E$5:$E$254,$A23)/$B23,1))</f>
        <v/>
      </c>
      <c r="D23" s="25">
        <f>COUNTIFS('評価記録'!$E$5:$E$254,$A23,'評価記録'!$S$5:$S$254,"要注意")+COUNTIFS('評価記録'!$E$5:$E$254,$A23,'評価記録'!$S$5:$S$254,"不合格")</f>
        <v/>
      </c>
      <c r="E23" s="25">
        <f>COUNTIFS('評価記録'!$E$5:$E$254,$A23,'評価記録'!$T$5:$T$254,"はい")</f>
        <v/>
      </c>
      <c r="F23" s="25">
        <f>COUNTIFS('フィードバック改善'!$E$5:$E$254,$A23,'フィードバック改善'!$N$5:$N$254,"評価待ち")+COUNTIFS('フィードバック改善'!$E$5:$E$254,$A23,'フィードバック改善'!$N$5:$N$254,"対応中")+COUNTIFS('フィードバック改善'!$E$5:$E$254,$A23,'フィードバック改善'!$N$5:$N$254,"延期")</f>
        <v/>
      </c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</row>
    <row r="24" ht="22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</row>
    <row r="25" ht="22" customHeight="1">
      <c r="A25" s="135" t="inlineStr">
        <is>
          <t>月次推移</t>
        </is>
      </c>
      <c r="B25" s="136" t="n"/>
      <c r="C25" s="136" t="n"/>
      <c r="D25" s="136" t="n"/>
      <c r="E25" s="136" t="n"/>
      <c r="F25" s="137" t="n"/>
      <c r="G25" s="4" t="n"/>
      <c r="H25" s="135" t="inlineStr">
        <is>
          <t>改善状態</t>
        </is>
      </c>
      <c r="I25" s="137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</row>
    <row r="26" ht="22" customHeight="1">
      <c r="A26" s="126" t="inlineStr">
        <is>
          <t>月</t>
        </is>
      </c>
      <c r="B26" s="126" t="inlineStr">
        <is>
          <t>評価数</t>
        </is>
      </c>
      <c r="C26" s="126" t="inlineStr">
        <is>
          <t>平均点</t>
        </is>
      </c>
      <c r="D26" s="126" t="inlineStr">
        <is>
          <t>低評価数</t>
        </is>
      </c>
      <c r="E26" s="126" t="inlineStr">
        <is>
          <t>改善完了</t>
        </is>
      </c>
      <c r="F26" s="126" t="inlineStr">
        <is>
          <t>遅延改善</t>
        </is>
      </c>
      <c r="G26" s="4" t="n"/>
      <c r="H26" s="126" t="inlineStr">
        <is>
          <t>状態</t>
        </is>
      </c>
      <c r="I26" s="126" t="inlineStr">
        <is>
          <t>件数</t>
        </is>
      </c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</row>
    <row r="27" ht="22" customHeight="1">
      <c r="A27" s="153">
        <f>TEXT(DATE($K$3,1,1),"yyyy-mm")</f>
        <v/>
      </c>
      <c r="B27" s="25">
        <f>COUNTIFS('評価記録'!$B$5:$B$254,"&gt;="&amp;DATE($K$3,1,1),'評価記録'!$B$5:$B$254,"&lt;"&amp;DATE($K$3,2,1))</f>
        <v/>
      </c>
      <c r="C27" s="142">
        <f>IF($B27=0,"",ROUND(SUMIFS('評価記録'!$R$5:$R$254,'評価記録'!$B$5:$B$254,"&gt;="&amp;DATE($K$3,1,1),'評価記録'!$B$5:$B$254,"&lt;"&amp;DATE($K$3,2,1))/$B27,1))</f>
        <v/>
      </c>
      <c r="D27" s="25">
        <f>COUNTIFS('評価記録'!$B$5:$B$254,"&gt;="&amp;DATE($K$3,1,1),'評価記録'!$B$5:$B$254,"&lt;"&amp;DATE($K$3,2,1),'評価記録'!$S$5:$S$254,"要注意")+COUNTIFS('評価記録'!$B$5:$B$254,"&gt;="&amp;DATE($K$3,1,1),'評価記録'!$B$5:$B$254,"&lt;"&amp;DATE($K$3,2,1),'評価記録'!$S$5:$S$254,"不合格")</f>
        <v/>
      </c>
      <c r="E27" s="25">
        <f>COUNTIFS('フィードバック改善'!$O$5:$O$254,"&gt;="&amp;DATE($K$3,1,1),'フィードバック改善'!$O$5:$O$254,"&lt;"&amp;DATE($K$3,2,1),'フィードバック改善'!$N$5:$N$254,"完了")+COUNTIFS('フィードバック改善'!$O$5:$O$254,"&gt;="&amp;DATE($K$3,1,1),'フィードバック改善'!$O$5:$O$254,"&lt;"&amp;DATE($K$3,2,1),'フィードバック改善'!$N$5:$N$254,"クローズ")</f>
        <v/>
      </c>
      <c r="F27" s="25">
        <f>COUNTIFS('フィードバック改善'!$M$5:$M$254,"&gt;="&amp;DATE($K$3,1,1),'フィードバック改善'!$M$5:$M$254,"&lt;"&amp;DATE($K$3,2,1),'フィードバック改善'!$Q$5:$Q$254,"&gt;0")</f>
        <v/>
      </c>
      <c r="G27" s="4" t="n"/>
      <c r="H27" s="25" t="inlineStr">
        <is>
          <t>評価待ち</t>
        </is>
      </c>
      <c r="I27" s="25">
        <f>COUNTIF('フィードバック改善'!$N$5:$N$254,$H27)</f>
        <v/>
      </c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</row>
    <row r="28" ht="22" customHeight="1">
      <c r="A28" s="153">
        <f>TEXT(DATE($K$3,2,1),"yyyy-mm")</f>
        <v/>
      </c>
      <c r="B28" s="25">
        <f>COUNTIFS('評価記録'!$B$5:$B$254,"&gt;="&amp;DATE($K$3,2,1),'評価記録'!$B$5:$B$254,"&lt;"&amp;DATE($K$3,3,1))</f>
        <v/>
      </c>
      <c r="C28" s="142">
        <f>IF($B28=0,"",ROUND(SUMIFS('評価記録'!$R$5:$R$254,'評価記録'!$B$5:$B$254,"&gt;="&amp;DATE($K$3,2,1),'評価記録'!$B$5:$B$254,"&lt;"&amp;DATE($K$3,3,1))/$B28,1))</f>
        <v/>
      </c>
      <c r="D28" s="25">
        <f>COUNTIFS('評価記録'!$B$5:$B$254,"&gt;="&amp;DATE($K$3,2,1),'評価記録'!$B$5:$B$254,"&lt;"&amp;DATE($K$3,3,1),'評価記録'!$S$5:$S$254,"要注意")+COUNTIFS('評価記録'!$B$5:$B$254,"&gt;="&amp;DATE($K$3,2,1),'評価記録'!$B$5:$B$254,"&lt;"&amp;DATE($K$3,3,1),'評価記録'!$S$5:$S$254,"不合格")</f>
        <v/>
      </c>
      <c r="E28" s="25">
        <f>COUNTIFS('フィードバック改善'!$O$5:$O$254,"&gt;="&amp;DATE($K$3,2,1),'フィードバック改善'!$O$5:$O$254,"&lt;"&amp;DATE($K$3,3,1),'フィードバック改善'!$N$5:$N$254,"完了")+COUNTIFS('フィードバック改善'!$O$5:$O$254,"&gt;="&amp;DATE($K$3,2,1),'フィードバック改善'!$O$5:$O$254,"&lt;"&amp;DATE($K$3,3,1),'フィードバック改善'!$N$5:$N$254,"クローズ")</f>
        <v/>
      </c>
      <c r="F28" s="25">
        <f>COUNTIFS('フィードバック改善'!$M$5:$M$254,"&gt;="&amp;DATE($K$3,2,1),'フィードバック改善'!$M$5:$M$254,"&lt;"&amp;DATE($K$3,3,1),'フィードバック改善'!$Q$5:$Q$254,"&gt;0")</f>
        <v/>
      </c>
      <c r="G28" s="4" t="n"/>
      <c r="H28" s="25" t="inlineStr">
        <is>
          <t>対応中</t>
        </is>
      </c>
      <c r="I28" s="25">
        <f>COUNTIF('フィードバック改善'!$N$5:$N$254,$H28)</f>
        <v/>
      </c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</row>
    <row r="29" ht="22" customHeight="1">
      <c r="A29" s="153">
        <f>TEXT(DATE($K$3,3,1),"yyyy-mm")</f>
        <v/>
      </c>
      <c r="B29" s="25">
        <f>COUNTIFS('評価記録'!$B$5:$B$254,"&gt;="&amp;DATE($K$3,3,1),'評価記録'!$B$5:$B$254,"&lt;"&amp;DATE($K$3,4,1))</f>
        <v/>
      </c>
      <c r="C29" s="142">
        <f>IF($B29=0,"",ROUND(SUMIFS('評価記録'!$R$5:$R$254,'評価記録'!$B$5:$B$254,"&gt;="&amp;DATE($K$3,3,1),'評価記録'!$B$5:$B$254,"&lt;"&amp;DATE($K$3,4,1))/$B29,1))</f>
        <v/>
      </c>
      <c r="D29" s="25">
        <f>COUNTIFS('評価記録'!$B$5:$B$254,"&gt;="&amp;DATE($K$3,3,1),'評価記録'!$B$5:$B$254,"&lt;"&amp;DATE($K$3,4,1),'評価記録'!$S$5:$S$254,"要注意")+COUNTIFS('評価記録'!$B$5:$B$254,"&gt;="&amp;DATE($K$3,3,1),'評価記録'!$B$5:$B$254,"&lt;"&amp;DATE($K$3,4,1),'評価記録'!$S$5:$S$254,"不合格")</f>
        <v/>
      </c>
      <c r="E29" s="25">
        <f>COUNTIFS('フィードバック改善'!$O$5:$O$254,"&gt;="&amp;DATE($K$3,3,1),'フィードバック改善'!$O$5:$O$254,"&lt;"&amp;DATE($K$3,4,1),'フィードバック改善'!$N$5:$N$254,"完了")+COUNTIFS('フィードバック改善'!$O$5:$O$254,"&gt;="&amp;DATE($K$3,3,1),'フィードバック改善'!$O$5:$O$254,"&lt;"&amp;DATE($K$3,4,1),'フィードバック改善'!$N$5:$N$254,"クローズ")</f>
        <v/>
      </c>
      <c r="F29" s="25">
        <f>COUNTIFS('フィードバック改善'!$M$5:$M$254,"&gt;="&amp;DATE($K$3,3,1),'フィードバック改善'!$M$5:$M$254,"&lt;"&amp;DATE($K$3,4,1),'フィードバック改善'!$Q$5:$Q$254,"&gt;0")</f>
        <v/>
      </c>
      <c r="G29" s="4" t="n"/>
      <c r="H29" s="25" t="inlineStr">
        <is>
          <t>完了</t>
        </is>
      </c>
      <c r="I29" s="25">
        <f>COUNTIF('フィードバック改善'!$N$5:$N$254,$H29)</f>
        <v/>
      </c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</row>
    <row r="30" ht="22" customHeight="1">
      <c r="A30" s="153">
        <f>TEXT(DATE($K$3,4,1),"yyyy-mm")</f>
        <v/>
      </c>
      <c r="B30" s="25">
        <f>COUNTIFS('評価記録'!$B$5:$B$254,"&gt;="&amp;DATE($K$3,4,1),'評価記録'!$B$5:$B$254,"&lt;"&amp;DATE($K$3,5,1))</f>
        <v/>
      </c>
      <c r="C30" s="142">
        <f>IF($B30=0,"",ROUND(SUMIFS('評価記録'!$R$5:$R$254,'評価記録'!$B$5:$B$254,"&gt;="&amp;DATE($K$3,4,1),'評価記録'!$B$5:$B$254,"&lt;"&amp;DATE($K$3,5,1))/$B30,1))</f>
        <v/>
      </c>
      <c r="D30" s="25">
        <f>COUNTIFS('評価記録'!$B$5:$B$254,"&gt;="&amp;DATE($K$3,4,1),'評価記録'!$B$5:$B$254,"&lt;"&amp;DATE($K$3,5,1),'評価記録'!$S$5:$S$254,"要注意")+COUNTIFS('評価記録'!$B$5:$B$254,"&gt;="&amp;DATE($K$3,4,1),'評価記録'!$B$5:$B$254,"&lt;"&amp;DATE($K$3,5,1),'評価記録'!$S$5:$S$254,"不合格")</f>
        <v/>
      </c>
      <c r="E30" s="25">
        <f>COUNTIFS('フィードバック改善'!$O$5:$O$254,"&gt;="&amp;DATE($K$3,4,1),'フィードバック改善'!$O$5:$O$254,"&lt;"&amp;DATE($K$3,5,1),'フィードバック改善'!$N$5:$N$254,"完了")+COUNTIFS('フィードバック改善'!$O$5:$O$254,"&gt;="&amp;DATE($K$3,4,1),'フィードバック改善'!$O$5:$O$254,"&lt;"&amp;DATE($K$3,5,1),'フィードバック改善'!$N$5:$N$254,"クローズ")</f>
        <v/>
      </c>
      <c r="F30" s="25">
        <f>COUNTIFS('フィードバック改善'!$M$5:$M$254,"&gt;="&amp;DATE($K$3,4,1),'フィードバック改善'!$M$5:$M$254,"&lt;"&amp;DATE($K$3,5,1),'フィードバック改善'!$Q$5:$Q$254,"&gt;0")</f>
        <v/>
      </c>
      <c r="G30" s="4" t="n"/>
      <c r="H30" s="25" t="inlineStr">
        <is>
          <t>クローズ</t>
        </is>
      </c>
      <c r="I30" s="25">
        <f>COUNTIF('フィードバック改善'!$N$5:$N$254,$H30)</f>
        <v/>
      </c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</row>
    <row r="31" ht="22" customHeight="1">
      <c r="A31" s="153">
        <f>TEXT(DATE($K$3,5,1),"yyyy-mm")</f>
        <v/>
      </c>
      <c r="B31" s="25">
        <f>COUNTIFS('評価記録'!$B$5:$B$254,"&gt;="&amp;DATE($K$3,5,1),'評価記録'!$B$5:$B$254,"&lt;"&amp;DATE($K$3,6,1))</f>
        <v/>
      </c>
      <c r="C31" s="142">
        <f>IF($B31=0,"",ROUND(SUMIFS('評価記録'!$R$5:$R$254,'評価記録'!$B$5:$B$254,"&gt;="&amp;DATE($K$3,5,1),'評価記録'!$B$5:$B$254,"&lt;"&amp;DATE($K$3,6,1))/$B31,1))</f>
        <v/>
      </c>
      <c r="D31" s="25">
        <f>COUNTIFS('評価記録'!$B$5:$B$254,"&gt;="&amp;DATE($K$3,5,1),'評価記録'!$B$5:$B$254,"&lt;"&amp;DATE($K$3,6,1),'評価記録'!$S$5:$S$254,"要注意")+COUNTIFS('評価記録'!$B$5:$B$254,"&gt;="&amp;DATE($K$3,5,1),'評価記録'!$B$5:$B$254,"&lt;"&amp;DATE($K$3,6,1),'評価記録'!$S$5:$S$254,"不合格")</f>
        <v/>
      </c>
      <c r="E31" s="25">
        <f>COUNTIFS('フィードバック改善'!$O$5:$O$254,"&gt;="&amp;DATE($K$3,5,1),'フィードバック改善'!$O$5:$O$254,"&lt;"&amp;DATE($K$3,6,1),'フィードバック改善'!$N$5:$N$254,"完了")+COUNTIFS('フィードバック改善'!$O$5:$O$254,"&gt;="&amp;DATE($K$3,5,1),'フィードバック改善'!$O$5:$O$254,"&lt;"&amp;DATE($K$3,6,1),'フィードバック改善'!$N$5:$N$254,"クローズ")</f>
        <v/>
      </c>
      <c r="F31" s="25">
        <f>COUNTIFS('フィードバック改善'!$M$5:$M$254,"&gt;="&amp;DATE($K$3,5,1),'フィードバック改善'!$M$5:$M$254,"&lt;"&amp;DATE($K$3,6,1),'フィードバック改善'!$Q$5:$Q$254,"&gt;0")</f>
        <v/>
      </c>
      <c r="G31" s="4" t="n"/>
      <c r="H31" s="25" t="inlineStr">
        <is>
          <t>延期</t>
        </is>
      </c>
      <c r="I31" s="25">
        <f>COUNTIF('フィードバック改善'!$N$5:$N$254,$H31)</f>
        <v/>
      </c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</row>
    <row r="32" ht="22" customHeight="1">
      <c r="A32" s="153">
        <f>TEXT(DATE($K$3,6,1),"yyyy-mm")</f>
        <v/>
      </c>
      <c r="B32" s="25">
        <f>COUNTIFS('評価記録'!$B$5:$B$254,"&gt;="&amp;DATE($K$3,6,1),'評価記録'!$B$5:$B$254,"&lt;"&amp;DATE($K$3,7,1))</f>
        <v/>
      </c>
      <c r="C32" s="142">
        <f>IF($B32=0,"",ROUND(SUMIFS('評価記録'!$R$5:$R$254,'評価記録'!$B$5:$B$254,"&gt;="&amp;DATE($K$3,6,1),'評価記録'!$B$5:$B$254,"&lt;"&amp;DATE($K$3,7,1))/$B32,1))</f>
        <v/>
      </c>
      <c r="D32" s="25">
        <f>COUNTIFS('評価記録'!$B$5:$B$254,"&gt;="&amp;DATE($K$3,6,1),'評価記録'!$B$5:$B$254,"&lt;"&amp;DATE($K$3,7,1),'評価記録'!$S$5:$S$254,"要注意")+COUNTIFS('評価記録'!$B$5:$B$254,"&gt;="&amp;DATE($K$3,6,1),'評価記録'!$B$5:$B$254,"&lt;"&amp;DATE($K$3,7,1),'評価記録'!$S$5:$S$254,"不合格")</f>
        <v/>
      </c>
      <c r="E32" s="25">
        <f>COUNTIFS('フィードバック改善'!$O$5:$O$254,"&gt;="&amp;DATE($K$3,6,1),'フィードバック改善'!$O$5:$O$254,"&lt;"&amp;DATE($K$3,7,1),'フィードバック改善'!$N$5:$N$254,"完了")+COUNTIFS('フィードバック改善'!$O$5:$O$254,"&gt;="&amp;DATE($K$3,6,1),'フィードバック改善'!$O$5:$O$254,"&lt;"&amp;DATE($K$3,7,1),'フィードバック改善'!$N$5:$N$254,"クローズ")</f>
        <v/>
      </c>
      <c r="F32" s="25">
        <f>COUNTIFS('フィードバック改善'!$M$5:$M$254,"&gt;="&amp;DATE($K$3,6,1),'フィードバック改善'!$M$5:$M$254,"&lt;"&amp;DATE($K$3,7,1),'フィードバック改善'!$Q$5:$Q$254,"&gt;0")</f>
        <v/>
      </c>
      <c r="G32" s="4" t="n"/>
      <c r="H32" s="25" t="inlineStr">
        <is>
          <t>取消</t>
        </is>
      </c>
      <c r="I32" s="25">
        <f>COUNTIF('フィードバック改善'!$N$5:$N$254,$H32)</f>
        <v/>
      </c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</row>
    <row r="33" ht="22" customHeight="1">
      <c r="A33" s="153">
        <f>TEXT(DATE($K$3,7,1),"yyyy-mm")</f>
        <v/>
      </c>
      <c r="B33" s="25">
        <f>COUNTIFS('評価記録'!$B$5:$B$254,"&gt;="&amp;DATE($K$3,7,1),'評価記録'!$B$5:$B$254,"&lt;"&amp;DATE($K$3,8,1))</f>
        <v/>
      </c>
      <c r="C33" s="142">
        <f>IF($B33=0,"",ROUND(SUMIFS('評価記録'!$R$5:$R$254,'評価記録'!$B$5:$B$254,"&gt;="&amp;DATE($K$3,7,1),'評価記録'!$B$5:$B$254,"&lt;"&amp;DATE($K$3,8,1))/$B33,1))</f>
        <v/>
      </c>
      <c r="D33" s="25">
        <f>COUNTIFS('評価記録'!$B$5:$B$254,"&gt;="&amp;DATE($K$3,7,1),'評価記録'!$B$5:$B$254,"&lt;"&amp;DATE($K$3,8,1),'評価記録'!$S$5:$S$254,"要注意")+COUNTIFS('評価記録'!$B$5:$B$254,"&gt;="&amp;DATE($K$3,7,1),'評価記録'!$B$5:$B$254,"&lt;"&amp;DATE($K$3,8,1),'評価記録'!$S$5:$S$254,"不合格")</f>
        <v/>
      </c>
      <c r="E33" s="25">
        <f>COUNTIFS('フィードバック改善'!$O$5:$O$254,"&gt;="&amp;DATE($K$3,7,1),'フィードバック改善'!$O$5:$O$254,"&lt;"&amp;DATE($K$3,8,1),'フィードバック改善'!$N$5:$N$254,"完了")+COUNTIFS('フィードバック改善'!$O$5:$O$254,"&gt;="&amp;DATE($K$3,7,1),'フィードバック改善'!$O$5:$O$254,"&lt;"&amp;DATE($K$3,8,1),'フィードバック改善'!$N$5:$N$254,"クローズ")</f>
        <v/>
      </c>
      <c r="F33" s="25">
        <f>COUNTIFS('フィードバック改善'!$M$5:$M$254,"&gt;="&amp;DATE($K$3,7,1),'フィードバック改善'!$M$5:$M$254,"&lt;"&amp;DATE($K$3,8,1),'フィードバック改善'!$Q$5:$Q$254,"&gt;0")</f>
        <v/>
      </c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</row>
    <row r="34" ht="22" customHeight="1">
      <c r="A34" s="153">
        <f>TEXT(DATE($K$3,8,1),"yyyy-mm")</f>
        <v/>
      </c>
      <c r="B34" s="25">
        <f>COUNTIFS('評価記録'!$B$5:$B$254,"&gt;="&amp;DATE($K$3,8,1),'評価記録'!$B$5:$B$254,"&lt;"&amp;DATE($K$3,9,1))</f>
        <v/>
      </c>
      <c r="C34" s="142">
        <f>IF($B34=0,"",ROUND(SUMIFS('評価記録'!$R$5:$R$254,'評価記録'!$B$5:$B$254,"&gt;="&amp;DATE($K$3,8,1),'評価記録'!$B$5:$B$254,"&lt;"&amp;DATE($K$3,9,1))/$B34,1))</f>
        <v/>
      </c>
      <c r="D34" s="25">
        <f>COUNTIFS('評価記録'!$B$5:$B$254,"&gt;="&amp;DATE($K$3,8,1),'評価記録'!$B$5:$B$254,"&lt;"&amp;DATE($K$3,9,1),'評価記録'!$S$5:$S$254,"要注意")+COUNTIFS('評価記録'!$B$5:$B$254,"&gt;="&amp;DATE($K$3,8,1),'評価記録'!$B$5:$B$254,"&lt;"&amp;DATE($K$3,9,1),'評価記録'!$S$5:$S$254,"不合格")</f>
        <v/>
      </c>
      <c r="E34" s="25">
        <f>COUNTIFS('フィードバック改善'!$O$5:$O$254,"&gt;="&amp;DATE($K$3,8,1),'フィードバック改善'!$O$5:$O$254,"&lt;"&amp;DATE($K$3,9,1),'フィードバック改善'!$N$5:$N$254,"完了")+COUNTIFS('フィードバック改善'!$O$5:$O$254,"&gt;="&amp;DATE($K$3,8,1),'フィードバック改善'!$O$5:$O$254,"&lt;"&amp;DATE($K$3,9,1),'フィードバック改善'!$N$5:$N$254,"クローズ")</f>
        <v/>
      </c>
      <c r="F34" s="25">
        <f>COUNTIFS('フィードバック改善'!$M$5:$M$254,"&gt;="&amp;DATE($K$3,8,1),'フィードバック改善'!$M$5:$M$254,"&lt;"&amp;DATE($K$3,9,1),'フィードバック改善'!$Q$5:$Q$254,"&gt;0")</f>
        <v/>
      </c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</row>
    <row r="35" ht="22" customHeight="1">
      <c r="A35" s="153">
        <f>TEXT(DATE($K$3,9,1),"yyyy-mm")</f>
        <v/>
      </c>
      <c r="B35" s="25">
        <f>COUNTIFS('評価記録'!$B$5:$B$254,"&gt;="&amp;DATE($K$3,9,1),'評価記録'!$B$5:$B$254,"&lt;"&amp;DATE($K$3,10,1))</f>
        <v/>
      </c>
      <c r="C35" s="142">
        <f>IF($B35=0,"",ROUND(SUMIFS('評価記録'!$R$5:$R$254,'評価記録'!$B$5:$B$254,"&gt;="&amp;DATE($K$3,9,1),'評価記録'!$B$5:$B$254,"&lt;"&amp;DATE($K$3,10,1))/$B35,1))</f>
        <v/>
      </c>
      <c r="D35" s="25">
        <f>COUNTIFS('評価記録'!$B$5:$B$254,"&gt;="&amp;DATE($K$3,9,1),'評価記録'!$B$5:$B$254,"&lt;"&amp;DATE($K$3,10,1),'評価記録'!$S$5:$S$254,"要注意")+COUNTIFS('評価記録'!$B$5:$B$254,"&gt;="&amp;DATE($K$3,9,1),'評価記録'!$B$5:$B$254,"&lt;"&amp;DATE($K$3,10,1),'評価記録'!$S$5:$S$254,"不合格")</f>
        <v/>
      </c>
      <c r="E35" s="25">
        <f>COUNTIFS('フィードバック改善'!$O$5:$O$254,"&gt;="&amp;DATE($K$3,9,1),'フィードバック改善'!$O$5:$O$254,"&lt;"&amp;DATE($K$3,10,1),'フィードバック改善'!$N$5:$N$254,"完了")+COUNTIFS('フィードバック改善'!$O$5:$O$254,"&gt;="&amp;DATE($K$3,9,1),'フィードバック改善'!$O$5:$O$254,"&lt;"&amp;DATE($K$3,10,1),'フィードバック改善'!$N$5:$N$254,"クローズ")</f>
        <v/>
      </c>
      <c r="F35" s="25">
        <f>COUNTIFS('フィードバック改善'!$M$5:$M$254,"&gt;="&amp;DATE($K$3,9,1),'フィードバック改善'!$M$5:$M$254,"&lt;"&amp;DATE($K$3,10,1),'フィードバック改善'!$Q$5:$Q$254,"&gt;0")</f>
        <v/>
      </c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</row>
    <row r="36" ht="22" customHeight="1">
      <c r="A36" s="153">
        <f>TEXT(DATE($K$3,10,1),"yyyy-mm")</f>
        <v/>
      </c>
      <c r="B36" s="25">
        <f>COUNTIFS('評価記録'!$B$5:$B$254,"&gt;="&amp;DATE($K$3,10,1),'評価記録'!$B$5:$B$254,"&lt;"&amp;DATE($K$3,11,1))</f>
        <v/>
      </c>
      <c r="C36" s="142">
        <f>IF($B36=0,"",ROUND(SUMIFS('評価記録'!$R$5:$R$254,'評価記録'!$B$5:$B$254,"&gt;="&amp;DATE($K$3,10,1),'評価記録'!$B$5:$B$254,"&lt;"&amp;DATE($K$3,11,1))/$B36,1))</f>
        <v/>
      </c>
      <c r="D36" s="25">
        <f>COUNTIFS('評価記録'!$B$5:$B$254,"&gt;="&amp;DATE($K$3,10,1),'評価記録'!$B$5:$B$254,"&lt;"&amp;DATE($K$3,11,1),'評価記録'!$S$5:$S$254,"要注意")+COUNTIFS('評価記録'!$B$5:$B$254,"&gt;="&amp;DATE($K$3,10,1),'評価記録'!$B$5:$B$254,"&lt;"&amp;DATE($K$3,11,1),'評価記録'!$S$5:$S$254,"不合格")</f>
        <v/>
      </c>
      <c r="E36" s="25">
        <f>COUNTIFS('フィードバック改善'!$O$5:$O$254,"&gt;="&amp;DATE($K$3,10,1),'フィードバック改善'!$O$5:$O$254,"&lt;"&amp;DATE($K$3,11,1),'フィードバック改善'!$N$5:$N$254,"完了")+COUNTIFS('フィードバック改善'!$O$5:$O$254,"&gt;="&amp;DATE($K$3,10,1),'フィードバック改善'!$O$5:$O$254,"&lt;"&amp;DATE($K$3,11,1),'フィードバック改善'!$N$5:$N$254,"クローズ")</f>
        <v/>
      </c>
      <c r="F36" s="25">
        <f>COUNTIFS('フィードバック改善'!$M$5:$M$254,"&gt;="&amp;DATE($K$3,10,1),'フィードバック改善'!$M$5:$M$254,"&lt;"&amp;DATE($K$3,11,1),'フィードバック改善'!$Q$5:$Q$254,"&gt;0")</f>
        <v/>
      </c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</row>
    <row r="37" ht="22" customHeight="1">
      <c r="A37" s="153">
        <f>TEXT(DATE($K$3,11,1),"yyyy-mm")</f>
        <v/>
      </c>
      <c r="B37" s="25">
        <f>COUNTIFS('評価記録'!$B$5:$B$254,"&gt;="&amp;DATE($K$3,11,1),'評価記録'!$B$5:$B$254,"&lt;"&amp;DATE($K$3,12,1))</f>
        <v/>
      </c>
      <c r="C37" s="142">
        <f>IF($B37=0,"",ROUND(SUMIFS('評価記録'!$R$5:$R$254,'評価記録'!$B$5:$B$254,"&gt;="&amp;DATE($K$3,11,1),'評価記録'!$B$5:$B$254,"&lt;"&amp;DATE($K$3,12,1))/$B37,1))</f>
        <v/>
      </c>
      <c r="D37" s="25">
        <f>COUNTIFS('評価記録'!$B$5:$B$254,"&gt;="&amp;DATE($K$3,11,1),'評価記録'!$B$5:$B$254,"&lt;"&amp;DATE($K$3,12,1),'評価記録'!$S$5:$S$254,"要注意")+COUNTIFS('評価記録'!$B$5:$B$254,"&gt;="&amp;DATE($K$3,11,1),'評価記録'!$B$5:$B$254,"&lt;"&amp;DATE($K$3,12,1),'評価記録'!$S$5:$S$254,"不合格")</f>
        <v/>
      </c>
      <c r="E37" s="25">
        <f>COUNTIFS('フィードバック改善'!$O$5:$O$254,"&gt;="&amp;DATE($K$3,11,1),'フィードバック改善'!$O$5:$O$254,"&lt;"&amp;DATE($K$3,12,1),'フィードバック改善'!$N$5:$N$254,"完了")+COUNTIFS('フィードバック改善'!$O$5:$O$254,"&gt;="&amp;DATE($K$3,11,1),'フィードバック改善'!$O$5:$O$254,"&lt;"&amp;DATE($K$3,12,1),'フィードバック改善'!$N$5:$N$254,"クローズ")</f>
        <v/>
      </c>
      <c r="F37" s="25">
        <f>COUNTIFS('フィードバック改善'!$M$5:$M$254,"&gt;="&amp;DATE($K$3,11,1),'フィードバック改善'!$M$5:$M$254,"&lt;"&amp;DATE($K$3,12,1),'フィードバック改善'!$Q$5:$Q$254,"&gt;0")</f>
        <v/>
      </c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</row>
    <row r="38" ht="22" customHeight="1">
      <c r="A38" s="153">
        <f>TEXT(DATE($K$3,12,1),"yyyy-mm")</f>
        <v/>
      </c>
      <c r="B38" s="25">
        <f>COUNTIFS('評価記録'!$B$5:$B$254,"&gt;="&amp;DATE($K$3,12,1),'評価記録'!$B$5:$B$254,"&lt;"&amp;DATE($K$3,13,1))</f>
        <v/>
      </c>
      <c r="C38" s="142">
        <f>IF($B38=0,"",ROUND(SUMIFS('評価記録'!$R$5:$R$254,'評価記録'!$B$5:$B$254,"&gt;="&amp;DATE($K$3,12,1),'評価記録'!$B$5:$B$254,"&lt;"&amp;DATE($K$3,13,1))/$B38,1))</f>
        <v/>
      </c>
      <c r="D38" s="25">
        <f>COUNTIFS('評価記録'!$B$5:$B$254,"&gt;="&amp;DATE($K$3,12,1),'評価記録'!$B$5:$B$254,"&lt;"&amp;DATE($K$3,13,1),'評価記録'!$S$5:$S$254,"要注意")+COUNTIFS('評価記録'!$B$5:$B$254,"&gt;="&amp;DATE($K$3,12,1),'評価記録'!$B$5:$B$254,"&lt;"&amp;DATE($K$3,13,1),'評価記録'!$S$5:$S$254,"不合格")</f>
        <v/>
      </c>
      <c r="E38" s="25">
        <f>COUNTIFS('フィードバック改善'!$O$5:$O$254,"&gt;="&amp;DATE($K$3,12,1),'フィードバック改善'!$O$5:$O$254,"&lt;"&amp;DATE($K$3,13,1),'フィードバック改善'!$N$5:$N$254,"完了")+COUNTIFS('フィードバック改善'!$O$5:$O$254,"&gt;="&amp;DATE($K$3,12,1),'フィードバック改善'!$O$5:$O$254,"&lt;"&amp;DATE($K$3,13,1),'フィードバック改善'!$N$5:$N$254,"クローズ")</f>
        <v/>
      </c>
      <c r="F38" s="25">
        <f>COUNTIFS('フィードバック改善'!$M$5:$M$254,"&gt;="&amp;DATE($K$3,12,1),'フィードバック改善'!$M$5:$M$254,"&lt;"&amp;DATE($K$3,13,1),'フィードバック改善'!$Q$5:$Q$254,"&gt;0")</f>
        <v/>
      </c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</row>
  </sheetData>
  <mergeCells count="22">
    <mergeCell ref="J6:L6"/>
    <mergeCell ref="G6:I6"/>
    <mergeCell ref="H25:I25"/>
    <mergeCell ref="A2:U2"/>
    <mergeCell ref="A5:C5"/>
    <mergeCell ref="G5:I5"/>
    <mergeCell ref="A8:C8"/>
    <mergeCell ref="D9:F9"/>
    <mergeCell ref="D8:F8"/>
    <mergeCell ref="D5:F5"/>
    <mergeCell ref="A9:C9"/>
    <mergeCell ref="G9:I9"/>
    <mergeCell ref="J8:L8"/>
    <mergeCell ref="J5:L5"/>
    <mergeCell ref="A11:F11"/>
    <mergeCell ref="H11:K11"/>
    <mergeCell ref="A6:C6"/>
    <mergeCell ref="G8:I8"/>
    <mergeCell ref="J9:L9"/>
    <mergeCell ref="A1:U1"/>
    <mergeCell ref="D6:F6"/>
    <mergeCell ref="A25:F25"/>
  </mergeCells>
  <conditionalFormatting sqref="C13:C24">
    <cfRule type="colorScale" priority="1">
      <colorScale>
        <cfvo type="num" val="0"/>
        <cfvo type="num" val="75"/>
        <cfvo type="num" val="100"/>
        <color rgb="00FCA5A5"/>
        <color rgb="00FDE68A"/>
        <color rgb="00BBF7D0"/>
      </colorScale>
    </cfRule>
  </conditionalFormatting>
  <conditionalFormatting sqref="J13:J22">
    <cfRule type="cellIs" priority="2" operator="greaterThan" dxfId="2">
      <formula>0</formula>
    </cfRule>
  </conditionalFormatting>
  <dataValidations count="1">
    <dataValidation sqref="K3" showDropDown="0" showInputMessage="0" showErrorMessage="1" allowBlank="0" errorTitle="年度" error="请输入 2020-2035 之间的年份。" type="whole" errorStyle="warning" operator="between">
      <formula1>2020</formula1>
      <formula2>2035</formula2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  <col width="30" customWidth="1" min="4" max="4"/>
    <col width="30" customWidth="1" min="5" max="5"/>
    <col width="30" customWidth="1" min="6" max="6"/>
    <col width="30" customWidth="1" min="7" max="7"/>
    <col width="28" customWidth="1" min="8" max="8"/>
  </cols>
  <sheetData>
    <row r="1" ht="32" customHeight="1">
      <c r="A1" s="37" t="inlineStr">
        <is>
          <t>場面別評価ガイド：会社をまたいで使えるサービス品質モニタリング参考</t>
        </is>
      </c>
      <c r="B1" s="1" t="n"/>
      <c r="C1" s="1" t="n"/>
      <c r="D1" s="1" t="n"/>
      <c r="E1" s="1" t="n"/>
      <c r="F1" s="1" t="n"/>
      <c r="G1" s="1" t="n"/>
      <c r="H1" s="1" t="n"/>
    </row>
    <row r="2" ht="22" customHeight="1">
      <c r="A2" s="11" t="inlineStr">
        <is>
          <t>以下は、さまざまな会社がサンプル範囲、評価重点、よくあるリスクをすばやく定義するための参考です。自社の手順に合わせて修正できます。</t>
        </is>
      </c>
      <c r="B2" s="1" t="n"/>
      <c r="C2" s="1" t="n"/>
      <c r="D2" s="1" t="n"/>
      <c r="E2" s="1" t="n"/>
      <c r="F2" s="1" t="n"/>
      <c r="G2" s="1" t="n"/>
      <c r="H2" s="1" t="n"/>
    </row>
    <row r="3" ht="15" customHeight="1">
      <c r="A3" s="4" t="n"/>
      <c r="B3" s="4" t="n"/>
      <c r="C3" s="4" t="n"/>
      <c r="D3" s="4" t="n"/>
      <c r="E3" s="4" t="n"/>
      <c r="F3" s="4" t="n"/>
      <c r="G3" s="4" t="n"/>
      <c r="H3" s="4" t="n"/>
    </row>
    <row r="4" ht="34" customHeight="1">
      <c r="A4" s="46" t="inlineStr">
        <is>
          <t>業務場面</t>
        </is>
      </c>
      <c r="B4" s="46" t="inlineStr">
        <is>
          <t>適用例</t>
        </is>
      </c>
      <c r="C4" s="46" t="inlineStr">
        <is>
          <t>主な確認点</t>
        </is>
      </c>
      <c r="D4" s="46" t="inlineStr">
        <is>
          <t>低評価になりやすい兆候</t>
        </is>
      </c>
      <c r="E4" s="46" t="inlineStr">
        <is>
          <t>推奨サンプリング方法</t>
        </is>
      </c>
      <c r="F4" s="46" t="inlineStr">
        <is>
          <t>追加できる指標</t>
        </is>
      </c>
      <c r="G4" s="46" t="inlineStr">
        <is>
          <t>推奨改善アクション</t>
        </is>
      </c>
      <c r="H4" s="46" t="inlineStr">
        <is>
          <t>メモ</t>
        </is>
      </c>
    </row>
    <row r="5" ht="42" customHeight="1">
      <c r="A5" s="28" t="inlineStr">
        <is>
          <t>カスタマーサポート</t>
        </is>
      </c>
      <c r="B5" s="28" t="inlineStr">
        <is>
          <t>問い合わせ、苦情、請求、会員対応、注文確認</t>
        </is>
      </c>
      <c r="C5" s="28" t="inlineStr">
        <is>
          <t>迅速な応答、明確な説明、感情面のケア、完全な記録</t>
        </is>
      </c>
      <c r="D5" s="28" t="inlineStr">
        <is>
          <t>待ち時間が長い、説明が一貫しない、顧客要望を確認していない</t>
        </is>
      </c>
      <c r="E5" s="28" t="inlineStr">
        <is>
          <t>チャネル、シフト、担当者ごとにランダム抽出</t>
        </is>
      </c>
      <c r="F5" s="28" t="inlineStr">
        <is>
          <t>初回応答時間、満足度、苦情率</t>
        </is>
      </c>
      <c r="G5" s="28" t="inlineStr">
        <is>
          <t>応対文の改善、FAQ追加、通話振り返り</t>
        </is>
      </c>
      <c r="H5" s="28" t="inlineStr">
        <is>
          <t>サポートセンター、インターネットサービス、EC向け</t>
        </is>
      </c>
    </row>
    <row r="6" ht="42" customHeight="1">
      <c r="A6" s="28" t="inlineStr">
        <is>
          <t>アフターサービス</t>
        </is>
      </c>
      <c r="B6" s="28" t="inlineStr">
        <is>
          <t>修理、返品交換、保証、部品サポート</t>
        </is>
      </c>
      <c r="C6" s="28" t="inlineStr">
        <is>
          <t>有効な解決、透明な進行、能動的な進捗連絡</t>
        </is>
      </c>
      <c r="D6" s="28" t="inlineStr">
        <is>
          <t>再修理が多い、約束が守られない、顧客から繰り返し催促される</t>
        </is>
      </c>
      <c r="E6" s="28" t="inlineStr">
        <is>
          <t>チケット状態と課題レベルで抽出</t>
        </is>
      </c>
      <c r="F6" s="28" t="inlineStr">
        <is>
          <t>初回解決率、再修理率、期限超過率</t>
        </is>
      </c>
      <c r="G6" s="28" t="inlineStr">
        <is>
          <t>マイルストーン通知を作り、責任経路を明確にする</t>
        </is>
      </c>
      <c r="H6" s="28" t="inlineStr">
        <is>
          <t>製造、小売、設備サービス向け</t>
        </is>
      </c>
    </row>
    <row r="7" ht="42" customHeight="1">
      <c r="A7" s="28" t="inlineStr">
        <is>
          <t>現地対応</t>
        </is>
      </c>
      <c r="B7" s="28" t="inlineStr">
        <is>
          <t>訪問設置、点検、保守、工事サービス</t>
        </is>
      </c>
      <c r="C7" s="28" t="inlineStr">
        <is>
          <t>時間どおりの訪問、安全・法令遵守、標準作業、完全な記録</t>
        </is>
      </c>
      <c r="D7" s="28" t="inlineStr">
        <is>
          <t>遅刻、指定装備の未着用、サービス記録の不足</t>
        </is>
      </c>
      <c r="E7" s="28" t="inlineStr">
        <is>
          <t>地域、エンジニア、サービスタイプごとに抽出</t>
        </is>
      </c>
      <c r="F7" s="28" t="inlineStr">
        <is>
          <t>定時率、手戻り率、安全インシデント</t>
        </is>
      </c>
      <c r="G7" s="28" t="inlineStr">
        <is>
          <t>現地チェックリスト、標準作業研修</t>
        </is>
      </c>
      <c r="H7" s="28" t="inlineStr">
        <is>
          <t>工事、施設管理、設備運用保守向け</t>
        </is>
      </c>
    </row>
    <row r="8" ht="42" customHeight="1">
      <c r="A8" s="28" t="inlineStr">
        <is>
          <t>コールセンター</t>
        </is>
      </c>
      <c r="B8" s="28" t="inlineStr">
        <is>
          <t>電話相談、アウトバウンドフォロー、苦情受付</t>
        </is>
      </c>
      <c r="C8" s="28" t="inlineStr">
        <is>
          <t>待ち行列体験、通話品質、情報正確性、初回解決</t>
        </is>
      </c>
      <c r="D8" s="28" t="inlineStr">
        <is>
          <t>転送が多い、話す速度が速すぎる、本人確認漏れ</t>
        </is>
      </c>
      <c r="E8" s="28" t="inlineStr">
        <is>
          <t>録音、キュー、ピーク時間帯で抽出</t>
        </is>
      </c>
      <c r="F8" s="28" t="inlineStr">
        <is>
          <t>平均応答時間、放棄率、転送率</t>
        </is>
      </c>
      <c r="G8" s="28" t="inlineStr">
        <is>
          <t>シフト最適化、ナレッジベース更新</t>
        </is>
      </c>
      <c r="H8" s="28" t="inlineStr">
        <is>
          <t>大規模サポート運営向け</t>
        </is>
      </c>
    </row>
    <row r="9" ht="42" customHeight="1">
      <c r="A9" s="28" t="inlineStr">
        <is>
          <t>物流・納品</t>
        </is>
      </c>
      <c r="B9" s="28" t="inlineStr">
        <is>
          <t>倉庫配送、配達、プロジェクト納品、設置引き渡し</t>
        </is>
      </c>
      <c r="C9" s="28" t="inlineStr">
        <is>
          <t>納期遵守、異常連絡、完全な納品、受領確認</t>
        </is>
      </c>
      <c r="D9" s="28" t="inlineStr">
        <is>
          <t>遅延連絡なし、荷物破損、納品資料不足</t>
        </is>
      </c>
      <c r="E9" s="28" t="inlineStr">
        <is>
          <t>異常案件、遅延案件、地域ごとに抽出</t>
        </is>
      </c>
      <c r="F9" s="28" t="inlineStr">
        <is>
          <t>定時納品率、破損率、異常クローズ時間</t>
        </is>
      </c>
      <c r="G9" s="28" t="inlineStr">
        <is>
          <t>早期警告の仕組み、部門横断の責任循環</t>
        </is>
      </c>
      <c r="H9" s="28" t="inlineStr">
        <is>
          <t>サプライチェーン、配送、B2B納品向け</t>
        </is>
      </c>
    </row>
    <row r="10" ht="42" customHeight="1">
      <c r="A10" s="28" t="inlineStr">
        <is>
          <t>オンラインサービス</t>
        </is>
      </c>
      <c r="B10" s="28" t="inlineStr">
        <is>
          <t>アプリ、セルフサービスポータル、オンラインフォーム</t>
        </is>
      </c>
      <c r="C10" s="28" t="inlineStr">
        <is>
          <t>手順が滑らか、案内が明確、課題を追跡できる</t>
        </is>
      </c>
      <c r="D10" s="28" t="inlineStr">
        <is>
          <t>画面案内が誤解を招く、送信に失敗する、利用者が次の手順を理解できない</t>
        </is>
      </c>
      <c r="E10" s="28" t="inlineStr">
        <is>
          <t>導線、入口、失敗記録ごとに抽出</t>
        </is>
      </c>
      <c r="F10" s="28" t="inlineStr">
        <is>
          <t>セルフ完了率、失敗率、NPS</t>
        </is>
      </c>
      <c r="G10" s="28" t="inlineStr">
        <is>
          <t>手順案内を改善し、有人対応への切替手段を追加する</t>
        </is>
      </c>
      <c r="H10" s="28" t="inlineStr">
        <is>
          <t>インターネット、金融、公共サービス向け</t>
        </is>
      </c>
    </row>
    <row r="11" ht="42" customHeight="1">
      <c r="A11" s="28" t="inlineStr">
        <is>
          <t>技術サポート</t>
        </is>
      </c>
      <c r="B11" s="28" t="inlineStr">
        <is>
          <t>SaaS、ソフトウェア、ハードウェア、ITサービスデスク</t>
        </is>
      </c>
      <c r="C11" s="28" t="inlineStr">
        <is>
          <t>正確な切り分け、有効な解決策、知識蓄積、顧客教育</t>
        </is>
      </c>
      <c r="D11" s="28" t="inlineStr">
        <is>
          <t>試行錯誤が多い、振り返り不足、問題再発</t>
        </is>
      </c>
      <c r="E11" s="28" t="inlineStr">
        <is>
          <t>障害タイプと重要度で抽出</t>
        </is>
      </c>
      <c r="F11" s="28" t="inlineStr">
        <is>
          <t>MTTR、再発率、SLA達成率</t>
        </is>
      </c>
      <c r="G11" s="28" t="inlineStr">
        <is>
          <t>ナレッジベース蓄積、障害振り返りの仕組み</t>
        </is>
      </c>
      <c r="H11" s="28" t="inlineStr">
        <is>
          <t>テクノロジー、法人向けサービス、IT運用向け</t>
        </is>
      </c>
    </row>
    <row r="12" ht="42" customHeight="1">
      <c r="A12" s="28" t="inlineStr">
        <is>
          <t>店舗・小売</t>
        </is>
      </c>
      <c r="B12" s="28" t="inlineStr">
        <is>
          <t>販売接客、レジ、返品交換、会員サービス</t>
        </is>
      </c>
      <c r="C12" s="28" t="inlineStr">
        <is>
          <t>主体的な接客、専門的な提案、手順遵守、一貫した体験</t>
        </is>
      </c>
      <c r="D12" s="28" t="inlineStr">
        <is>
          <t>冷たい対応、誤解を招く販売、返品交換説明が不明確</t>
        </is>
      </c>
      <c r="E12" s="28" t="inlineStr">
        <is>
          <t>ミステリー調査、顧客フィードバック、店舗巡回</t>
        </is>
      </c>
      <c r="F12" s="28" t="inlineStr">
        <is>
          <t>転換率、苦情率、フォローアップ満足度</t>
        </is>
      </c>
      <c r="G12" s="28" t="inlineStr">
        <is>
          <t>優良事例の横展開、店舗朝会での訓練</t>
        </is>
      </c>
      <c r="H12" s="28" t="inlineStr">
        <is>
          <t>小売、飲食、チェーンサービス向け</t>
        </is>
      </c>
    </row>
    <row r="13" ht="42" customHeight="1">
      <c r="A13" s="28" t="inlineStr">
        <is>
          <t>B2Bプロジェクト納品</t>
        </is>
      </c>
      <c r="B13" s="28" t="inlineStr">
        <is>
          <t>導入、研修、検収、カスタマーサクセス</t>
        </is>
      </c>
      <c r="C13" s="28" t="inlineStr">
        <is>
          <t>要件確認、透明な進捗、完全な資料、検収品質</t>
        </is>
      </c>
      <c r="D13" s="28" t="inlineStr">
        <is>
          <t>マイルストーン遅延、資料の追加が多い、顧客期待とのずれ</t>
        </is>
      </c>
      <c r="E13" s="28" t="inlineStr">
        <is>
          <t>プロジェクト段階と顧客ランクで抽出</t>
        </is>
      </c>
      <c r="F13" s="28" t="inlineStr">
        <is>
          <t>マイルストーン達成率、初回検収合格率</t>
        </is>
      </c>
      <c r="G13" s="28" t="inlineStr">
        <is>
          <t>標準納品チェックリスト、段階振り返り</t>
        </is>
      </c>
      <c r="H13" s="28" t="inlineStr">
        <is>
          <t>コンサルティング、ソフトウェア、エンジニアリングプロジェクト向け</t>
        </is>
      </c>
    </row>
    <row r="14" ht="42" customHeight="1">
      <c r="A14" s="28" t="inlineStr">
        <is>
          <t>医療・コンサルティング・教育</t>
        </is>
      </c>
      <c r="B14" s="28" t="inlineStr">
        <is>
          <t>予約、相談、教育サービス、フォローアップ</t>
        </is>
      </c>
      <c r="C14" s="28" t="inlineStr">
        <is>
          <t>専門的な説明、個人情報保護、丁寧な対話、遵守記録</t>
        </is>
      </c>
      <c r="D14" s="28" t="inlineStr">
        <is>
          <t>情報不足、個人情報リスク、説明が専門的すぎて分かりにくい</t>
        </is>
      </c>
      <c r="E14" s="28" t="inlineStr">
        <is>
          <t>担当者、講座、サービス工程ごとに抽出</t>
        </is>
      </c>
      <c r="F14" s="28" t="inlineStr">
        <is>
          <t>再来訪率、苦情率、満足度</t>
        </is>
      </c>
      <c r="G14" s="28" t="inlineStr">
        <is>
          <t>標準コミュニケーションテンプレート、センシティブ事項の研修</t>
        </is>
      </c>
      <c r="H14" s="28" t="inlineStr">
        <is>
          <t>専門サービス機関向け</t>
        </is>
      </c>
    </row>
    <row r="15" ht="42" customHeight="1">
      <c r="A15" s="28" t="inlineStr">
        <is>
          <t>施設管理</t>
        </is>
      </c>
      <c r="B15" s="28" t="inlineStr">
        <is>
          <t>修理依頼、清掃、警備、施設保守</t>
        </is>
      </c>
      <c r="C15" s="28" t="inlineStr">
        <is>
          <t>応答速度、手配精度、完了品質、フォローアップ</t>
        </is>
      </c>
      <c r="D15" s="28" t="inlineStr">
        <is>
          <t>手配が遅い、完了確認なし、同種課題の再発</t>
        </is>
      </c>
      <c r="E15" s="28" t="inlineStr">
        <is>
          <t>建物、課題タイプ、時間帯で抽出</t>
        </is>
      </c>
      <c r="F15" s="28" t="inlineStr">
        <is>
          <t>完了所要時間、再修理率、フォローアップ率</t>
        </is>
      </c>
      <c r="G15" s="28" t="inlineStr">
        <is>
          <t>チケットリマインダー、サプライヤー評価</t>
        </is>
      </c>
      <c r="H15" s="28" t="inlineStr">
        <is>
          <t>施設管理、キャンパス、オフィス設備向け</t>
        </is>
      </c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</row>
    <row r="17" ht="15" customHeight="1">
      <c r="A17" s="4" t="n"/>
      <c r="B17" s="4" t="n"/>
      <c r="C17" s="4" t="n"/>
      <c r="D17" s="4" t="n"/>
      <c r="E17" s="4" t="n"/>
      <c r="F17" s="4" t="n"/>
      <c r="G17" s="4" t="n"/>
      <c r="H17" s="4" t="n"/>
    </row>
    <row r="18" ht="15" customHeight="1">
      <c r="A18" s="4" t="n"/>
      <c r="B18" s="4" t="n"/>
      <c r="C18" s="4" t="n"/>
      <c r="D18" s="4" t="n"/>
      <c r="E18" s="4" t="n"/>
      <c r="F18" s="4" t="n"/>
      <c r="G18" s="4" t="n"/>
      <c r="H18" s="4" t="n"/>
    </row>
    <row r="19" ht="15" customHeight="1">
      <c r="A19" s="4" t="n"/>
      <c r="B19" s="4" t="n"/>
      <c r="C19" s="4" t="n"/>
      <c r="D19" s="4" t="n"/>
      <c r="E19" s="4" t="n"/>
      <c r="F19" s="4" t="n"/>
      <c r="G19" s="4" t="n"/>
      <c r="H19" s="4" t="n"/>
    </row>
    <row r="20" ht="15" customHeight="1">
      <c r="A20" s="4" t="n"/>
      <c r="B20" s="4" t="n"/>
      <c r="C20" s="4" t="n"/>
      <c r="D20" s="4" t="n"/>
      <c r="E20" s="4" t="n"/>
      <c r="F20" s="4" t="n"/>
      <c r="G20" s="4" t="n"/>
      <c r="H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</row>
  </sheetData>
  <mergeCells count="2">
    <mergeCell ref="A2:H2"/>
    <mergeCell ref="A1:H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サービス品質モニタリング評価・フィードバック表テンプレート</dc:title>
  <dc:description xmlns:dc="http://purl.org/dc/elements/1.1/">カスタマーサポート、アフターサービス、現地対応、物流納品、オンラインサービス、技術サポート、店舗運営、プロジェクト納品など、幅広い業務場面で使えます。</dc:description>
  <dcterms:created xmlns:dcterms="http://purl.org/dc/terms/" xmlns:xsi="http://www.w3.org/2001/XMLSchema-instance" xsi:type="dcterms:W3CDTF">2026-05-01T03:33:15Z</dcterms:created>
  <dcterms:modified xmlns:dcterms="http://purl.org/dc/terms/" xmlns:xsi="http://www.w3.org/2001/XMLSchema-instance" xsi:type="dcterms:W3CDTF">2026-05-01T03:33:15Z</dcterms:modified>
  <cp:category>Service Operations</cp:category>
</cp:coreProperties>
</file>