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00_Guide" sheetId="1" state="visible" r:id="rId1"/>
    <sheet xmlns:r="http://schemas.openxmlformats.org/officeDocument/2006/relationships" name="01_Settings" sheetId="2" state="visible" r:id="rId2"/>
    <sheet xmlns:r="http://schemas.openxmlformats.org/officeDocument/2006/relationships" name="02_Source_Data" sheetId="3" state="visible" r:id="rId3"/>
    <sheet xmlns:r="http://schemas.openxmlformats.org/officeDocument/2006/relationships" name="03_Daily_Report" sheetId="4" state="visible" r:id="rId4"/>
    <sheet xmlns:r="http://schemas.openxmlformats.org/officeDocument/2006/relationships" name="04_Weekly_Report" sheetId="5" state="visible" r:id="rId5"/>
    <sheet xmlns:r="http://schemas.openxmlformats.org/officeDocument/2006/relationships" name="05_Monthly_Report" sheetId="6" state="visible" r:id="rId6"/>
    <sheet xmlns:r="http://schemas.openxmlformats.org/officeDocument/2006/relationships" name="06_Overview_Dashboard" sheetId="7" state="visible" r:id="rId7"/>
    <sheet xmlns:r="http://schemas.openxmlformats.org/officeDocument/2006/relationships" name="07_Metric_Dictionary" sheetId="8" state="visible" r:id="rId8"/>
  </sheets>
  <definedNames/>
</workbook>
</file>

<file path=xl/styles.xml><?xml version="1.0" encoding="utf-8"?>
<styleSheet xmlns="http://schemas.openxmlformats.org/spreadsheetml/2006/main">
  <numFmts count="4">
    <numFmt numFmtId="164" formatCode="yyyy-mm-dd"/>
    <numFmt numFmtId="165" formatCode="0.0%"/>
    <numFmt numFmtId="166" formatCode="¥#,##0"/>
    <numFmt numFmtId="167" formatCode="0.0"/>
  </numFmts>
  <fonts count="6">
    <font>
      <name val="Carlito"/>
      <sz val="11"/>
    </font>
    <font>
      <name val="Microsoft YaHei"/>
      <b val="1"/>
      <color rgb="001D4ED8"/>
      <sz val="16"/>
    </font>
    <font>
      <name val="Microsoft YaHei"/>
      <color rgb="0064748B"/>
      <sz val="10"/>
    </font>
    <font>
      <name val="Microsoft YaHei"/>
      <b val="1"/>
      <color rgb="000F766E"/>
      <sz val="12"/>
    </font>
    <font>
      <name val="Microsoft YaHei"/>
      <color rgb="001F2937"/>
      <sz val="10"/>
    </font>
    <font>
      <name val="Microsoft YaHei"/>
      <b val="1"/>
      <color rgb="000F172A"/>
      <sz val="10"/>
    </font>
  </fonts>
  <fills count="7">
    <fill>
      <patternFill/>
    </fill>
    <fill>
      <patternFill patternType="gray125"/>
    </fill>
    <fill>
      <patternFill patternType="solid">
        <fgColor rgb="00EEF6FF"/>
      </patternFill>
    </fill>
    <fill>
      <patternFill patternType="solid">
        <fgColor rgb="00F5F8FC"/>
      </patternFill>
    </fill>
    <fill>
      <patternFill patternType="solid">
        <fgColor rgb="00EAF2F8"/>
      </patternFill>
    </fill>
    <fill>
      <patternFill patternType="solid">
        <fgColor rgb="00FFF7ED"/>
      </patternFill>
    </fill>
    <fill>
      <patternFill patternType="solid">
        <fgColor rgb="00F8FAFC"/>
      </patternFill>
    </fill>
  </fills>
  <borders count="2">
    <border/>
    <border/>
  </borders>
  <cellStyleXfs count="1">
    <xf numFmtId="0" fontId="0" fillId="0" borderId="1"/>
  </cellStyleXfs>
  <cellXfs count="94">
    <xf numFmtId="0" fontId="0" fillId="0" borderId="0" pivotButton="0" quotePrefix="0" xfId="0"/>
    <xf numFmtId="0" fontId="0" fillId="0" borderId="1" pivotButton="0" quotePrefix="0" xfId="0"/>
    <xf numFmtId="0" fontId="0" fillId="2" borderId="0" pivotButton="0" quotePrefix="0" xfId="0"/>
    <xf numFmtId="0" fontId="1" fillId="2" borderId="0" pivotButton="0" quotePrefix="0" xfId="0"/>
    <xf numFmtId="0" fontId="1" fillId="2" borderId="0" applyAlignment="1" pivotButton="0" quotePrefix="0" xfId="0">
      <alignment horizontal="left"/>
    </xf>
    <xf numFmtId="0" fontId="1" fillId="2" borderId="0" applyAlignment="1" pivotButton="0" quotePrefix="0" xfId="0">
      <alignment horizontal="left" vertical="center"/>
    </xf>
    <xf numFmtId="0" fontId="0" fillId="2" borderId="1" pivotButton="0" quotePrefix="0" xfId="0"/>
    <xf numFmtId="0" fontId="1" fillId="2" borderId="1" pivotButton="0" quotePrefix="0" xfId="0"/>
    <xf numFmtId="0" fontId="1" fillId="2" borderId="1" applyAlignment="1" pivotButton="0" quotePrefix="0" xfId="0">
      <alignment horizontal="left"/>
    </xf>
    <xf numFmtId="0" fontId="1" fillId="2" borderId="1" applyAlignment="1" pivotButton="0" quotePrefix="0" xfId="0">
      <alignment horizontal="left" vertical="center"/>
    </xf>
    <xf numFmtId="0" fontId="2" fillId="0" borderId="0" pivotButton="0" quotePrefix="0" xfId="0"/>
    <xf numFmtId="0" fontId="2" fillId="0" borderId="0" applyAlignment="1" pivotButton="0" quotePrefix="0" xfId="0">
      <alignment wrapText="1"/>
    </xf>
    <xf numFmtId="0" fontId="2" fillId="0" borderId="0" applyAlignment="1" pivotButton="0" quotePrefix="0" xfId="0">
      <alignment vertical="top" wrapText="1"/>
    </xf>
    <xf numFmtId="0" fontId="2" fillId="0" borderId="1" pivotButton="0" quotePrefix="0" xfId="0"/>
    <xf numFmtId="0" fontId="2" fillId="0" borderId="1" applyAlignment="1" pivotButton="0" quotePrefix="0" xfId="0">
      <alignment wrapText="1"/>
    </xf>
    <xf numFmtId="0" fontId="2" fillId="0" borderId="1" applyAlignment="1" pivotButton="0" quotePrefix="0" xfId="0">
      <alignment vertical="top" wrapText="1"/>
    </xf>
    <xf numFmtId="0" fontId="0" fillId="3" borderId="0" pivotButton="0" quotePrefix="0" xfId="0"/>
    <xf numFmtId="0" fontId="3" fillId="3" borderId="0" pivotButton="0" quotePrefix="0" xfId="0"/>
    <xf numFmtId="0" fontId="3" fillId="3" borderId="0" applyAlignment="1" pivotButton="0" quotePrefix="0" xfId="0">
      <alignment horizontal="left"/>
    </xf>
    <xf numFmtId="0" fontId="3" fillId="3" borderId="0" applyAlignment="1" pivotButton="0" quotePrefix="0" xfId="0">
      <alignment horizontal="left" vertical="center"/>
    </xf>
    <xf numFmtId="0" fontId="0" fillId="3" borderId="1" pivotButton="0" quotePrefix="0" xfId="0"/>
    <xf numFmtId="0" fontId="3" fillId="3" borderId="1" pivotButton="0" quotePrefix="0" xfId="0"/>
    <xf numFmtId="0" fontId="3" fillId="3" borderId="1" applyAlignment="1" pivotButton="0" quotePrefix="0" xfId="0">
      <alignment horizontal="left"/>
    </xf>
    <xf numFmtId="0" fontId="3" fillId="3" borderId="1" applyAlignment="1" pivotButton="0" quotePrefix="0" xfId="0">
      <alignment horizontal="left" vertical="center"/>
    </xf>
    <xf numFmtId="0" fontId="4" fillId="0" borderId="0" pivotButton="0" quotePrefix="0" xfId="0"/>
    <xf numFmtId="0" fontId="4" fillId="0" borderId="0" applyAlignment="1" pivotButton="0" quotePrefix="0" xfId="0">
      <alignment/>
    </xf>
    <xf numFmtId="0" fontId="4" fillId="0" borderId="0" applyAlignment="1" pivotButton="0" quotePrefix="0" xfId="0">
      <alignment vertical="center"/>
    </xf>
    <xf numFmtId="0" fontId="4" fillId="0" borderId="1" pivotButton="0" quotePrefix="0" xfId="0"/>
    <xf numFmtId="0" fontId="4" fillId="0" borderId="1" applyAlignment="1" pivotButton="0" quotePrefix="0" xfId="0">
      <alignment/>
    </xf>
    <xf numFmtId="0" fontId="4" fillId="0" borderId="1" applyAlignment="1" pivotButton="0" quotePrefix="0" xfId="0">
      <alignment vertical="center"/>
    </xf>
    <xf numFmtId="0" fontId="0" fillId="4" borderId="0" pivotButton="0" quotePrefix="0" xfId="0"/>
    <xf numFmtId="0" fontId="5" fillId="4" borderId="0" pivotButton="0" quotePrefix="0" xfId="0"/>
    <xf numFmtId="0" fontId="5" fillId="4" borderId="0" applyAlignment="1" pivotButton="0" quotePrefix="0" xfId="0">
      <alignment wrapText="1"/>
    </xf>
    <xf numFmtId="0" fontId="5" fillId="4" borderId="0" applyAlignment="1" pivotButton="0" quotePrefix="0" xfId="0">
      <alignment horizontal="center" wrapText="1"/>
    </xf>
    <xf numFmtId="0" fontId="5" fillId="4" borderId="0" applyAlignment="1" pivotButton="0" quotePrefix="0" xfId="0">
      <alignment horizontal="center" vertical="center" wrapText="1"/>
    </xf>
    <xf numFmtId="0" fontId="0" fillId="4" borderId="1" pivotButton="0" quotePrefix="0" xfId="0"/>
    <xf numFmtId="0" fontId="5" fillId="4" borderId="1" pivotButton="0" quotePrefix="0" xfId="0"/>
    <xf numFmtId="0" fontId="5" fillId="4" borderId="1" applyAlignment="1" pivotButton="0" quotePrefix="0" xfId="0">
      <alignment wrapText="1"/>
    </xf>
    <xf numFmtId="0" fontId="5" fillId="4" borderId="1" applyAlignment="1" pivotButton="0" quotePrefix="0" xfId="0">
      <alignment horizontal="center" wrapText="1"/>
    </xf>
    <xf numFmtId="0" fontId="5" fillId="4" borderId="1" applyAlignment="1" pivotButton="0" quotePrefix="0" xfId="0">
      <alignment horizontal="center" vertical="center" wrapText="1"/>
    </xf>
    <xf numFmtId="0" fontId="0" fillId="0" borderId="0" applyAlignment="1" pivotButton="0" quotePrefix="0" xfId="0">
      <alignment wrapText="1"/>
    </xf>
    <xf numFmtId="0" fontId="3" fillId="3" borderId="0" applyAlignment="1" pivotButton="0" quotePrefix="0" xfId="0">
      <alignment horizontal="left" vertical="center" wrapText="1"/>
    </xf>
    <xf numFmtId="0" fontId="4" fillId="0" borderId="0" applyAlignment="1" pivotButton="0" quotePrefix="0" xfId="0">
      <alignment vertical="center" wrapText="1"/>
    </xf>
    <xf numFmtId="0" fontId="0" fillId="0" borderId="1" applyAlignment="1" pivotButton="0" quotePrefix="0" xfId="0">
      <alignment wrapText="1"/>
    </xf>
    <xf numFmtId="0" fontId="3" fillId="3" borderId="1" applyAlignment="1" pivotButton="0" quotePrefix="0" xfId="0">
      <alignment horizontal="left" vertical="center" wrapText="1"/>
    </xf>
    <xf numFmtId="0" fontId="4" fillId="0" borderId="1" applyAlignment="1" pivotButton="0" quotePrefix="0" xfId="0">
      <alignment vertical="center" wrapText="1"/>
    </xf>
    <xf numFmtId="0" fontId="4" fillId="5" borderId="0" applyAlignment="1" pivotButton="0" quotePrefix="0" xfId="0">
      <alignment vertical="center"/>
    </xf>
    <xf numFmtId="0" fontId="4" fillId="5" borderId="1" applyAlignment="1" pivotButton="0" quotePrefix="0" xfId="0">
      <alignment vertical="center"/>
    </xf>
    <xf numFmtId="164" fontId="4" fillId="5" borderId="0" applyAlignment="1" pivotButton="0" quotePrefix="0" xfId="0">
      <alignment vertical="center"/>
    </xf>
    <xf numFmtId="164" fontId="4" fillId="5" borderId="1" applyAlignment="1" pivotButton="0" quotePrefix="0" xfId="0">
      <alignment vertical="center"/>
    </xf>
    <xf numFmtId="165" fontId="4" fillId="5" borderId="0" applyAlignment="1" pivotButton="0" quotePrefix="0" xfId="0">
      <alignment vertical="center"/>
    </xf>
    <xf numFmtId="165" fontId="4" fillId="5" borderId="1" applyAlignment="1" pivotButton="0" quotePrefix="0" xfId="0">
      <alignment vertical="center"/>
    </xf>
    <xf numFmtId="164" fontId="4" fillId="0" borderId="0" applyAlignment="1" pivotButton="0" quotePrefix="0" xfId="0">
      <alignment vertical="center"/>
    </xf>
    <xf numFmtId="164" fontId="4" fillId="0" borderId="1" applyAlignment="1" pivotButton="0" quotePrefix="0" xfId="0">
      <alignment vertical="center"/>
    </xf>
    <xf numFmtId="3" fontId="4" fillId="0" borderId="0" applyAlignment="1" pivotButton="0" quotePrefix="0" xfId="0">
      <alignment vertical="center"/>
    </xf>
    <xf numFmtId="3" fontId="4" fillId="0" borderId="1" applyAlignment="1" pivotButton="0" quotePrefix="0" xfId="0">
      <alignment vertical="center"/>
    </xf>
    <xf numFmtId="166" fontId="4" fillId="0" borderId="0" applyAlignment="1" pivotButton="0" quotePrefix="0" xfId="0">
      <alignment vertical="center"/>
    </xf>
    <xf numFmtId="166" fontId="4" fillId="0" borderId="1" applyAlignment="1" pivotButton="0" quotePrefix="0" xfId="0">
      <alignment vertical="center"/>
    </xf>
    <xf numFmtId="167" fontId="4" fillId="0" borderId="0" applyAlignment="1" pivotButton="0" quotePrefix="0" xfId="0">
      <alignment vertical="center"/>
    </xf>
    <xf numFmtId="167" fontId="4" fillId="0" borderId="1" applyAlignment="1" pivotButton="0" quotePrefix="0" xfId="0">
      <alignment vertical="center"/>
    </xf>
    <xf numFmtId="165" fontId="4" fillId="0" borderId="0" applyAlignment="1" pivotButton="0" quotePrefix="0" xfId="0">
      <alignment vertical="center"/>
    </xf>
    <xf numFmtId="165" fontId="4" fillId="0" borderId="1" applyAlignment="1" pivotButton="0" quotePrefix="0" xfId="0">
      <alignment vertical="center"/>
    </xf>
    <xf numFmtId="164" fontId="0" fillId="0" borderId="0" pivotButton="0" quotePrefix="0" xfId="0"/>
    <xf numFmtId="164" fontId="0" fillId="0" borderId="1" pivotButton="0" quotePrefix="0" xfId="0"/>
    <xf numFmtId="164" fontId="4" fillId="0" borderId="0" pivotButton="0" quotePrefix="0" xfId="0"/>
    <xf numFmtId="164" fontId="4" fillId="0" borderId="0" applyAlignment="1" pivotButton="0" quotePrefix="0" xfId="0">
      <alignment/>
    </xf>
    <xf numFmtId="164" fontId="4" fillId="0" borderId="1" pivotButton="0" quotePrefix="0" xfId="0"/>
    <xf numFmtId="164" fontId="4" fillId="0" borderId="1" applyAlignment="1" pivotButton="0" quotePrefix="0" xfId="0">
      <alignment/>
    </xf>
    <xf numFmtId="0" fontId="0" fillId="6" borderId="0" pivotButton="0" quotePrefix="0" xfId="0"/>
    <xf numFmtId="0" fontId="4" fillId="6" borderId="0" pivotButton="0" quotePrefix="0" xfId="0"/>
    <xf numFmtId="0" fontId="4" fillId="6" borderId="0" applyAlignment="1" pivotButton="0" quotePrefix="0" xfId="0">
      <alignment wrapText="1"/>
    </xf>
    <xf numFmtId="0" fontId="4" fillId="6" borderId="0" applyAlignment="1" pivotButton="0" quotePrefix="0" xfId="0">
      <alignment horizontal="center" wrapText="1"/>
    </xf>
    <xf numFmtId="0" fontId="4" fillId="6" borderId="0" applyAlignment="1" pivotButton="0" quotePrefix="0" xfId="0">
      <alignment horizontal="center" vertical="center" wrapText="1"/>
    </xf>
    <xf numFmtId="0" fontId="0" fillId="6" borderId="1" pivotButton="0" quotePrefix="0" xfId="0"/>
    <xf numFmtId="0" fontId="4" fillId="6" borderId="1" pivotButton="0" quotePrefix="0" xfId="0"/>
    <xf numFmtId="0" fontId="4" fillId="6" borderId="1" applyAlignment="1" pivotButton="0" quotePrefix="0" xfId="0">
      <alignment wrapText="1"/>
    </xf>
    <xf numFmtId="0" fontId="4" fillId="6" borderId="1" applyAlignment="1" pivotButton="0" quotePrefix="0" xfId="0">
      <alignment horizontal="center" wrapText="1"/>
    </xf>
    <xf numFmtId="0" fontId="4" fillId="6" borderId="1" applyAlignment="1" pivotButton="0" quotePrefix="0" xfId="0">
      <alignment horizontal="center" vertical="center" wrapText="1"/>
    </xf>
    <xf numFmtId="165" fontId="4" fillId="6" borderId="0" applyAlignment="1" pivotButton="0" quotePrefix="0" xfId="0">
      <alignment horizontal="center" vertical="center" wrapText="1"/>
    </xf>
    <xf numFmtId="165" fontId="4" fillId="6" borderId="1" applyAlignment="1" pivotButton="0" quotePrefix="0" xfId="0">
      <alignment horizontal="center" vertical="center" wrapText="1"/>
    </xf>
    <xf numFmtId="166" fontId="4" fillId="6" borderId="0" applyAlignment="1" pivotButton="0" quotePrefix="0" xfId="0">
      <alignment horizontal="center" vertical="center" wrapText="1"/>
    </xf>
    <xf numFmtId="166" fontId="4" fillId="6" borderId="1" applyAlignment="1" pivotButton="0" quotePrefix="0" xfId="0">
      <alignment horizontal="center" vertical="center" wrapText="1"/>
    </xf>
    <xf numFmtId="167" fontId="4" fillId="6" borderId="0" applyAlignment="1" pivotButton="0" quotePrefix="0" xfId="0">
      <alignment horizontal="center" vertical="center" wrapText="1"/>
    </xf>
    <xf numFmtId="167" fontId="4" fillId="6" borderId="1" applyAlignment="1" pivotButton="0" quotePrefix="0" xfId="0">
      <alignment horizontal="center" vertical="center" wrapText="1"/>
    </xf>
    <xf numFmtId="164" fontId="4" fillId="5" borderId="0" applyAlignment="1" pivotButton="0" quotePrefix="0" xfId="0">
      <alignment vertical="center"/>
    </xf>
    <xf numFmtId="165" fontId="4" fillId="5" borderId="0" applyAlignment="1" pivotButton="0" quotePrefix="0" xfId="0">
      <alignment vertical="center"/>
    </xf>
    <xf numFmtId="164" fontId="4" fillId="0" borderId="0" applyAlignment="1" pivotButton="0" quotePrefix="0" xfId="0">
      <alignment vertical="center"/>
    </xf>
    <xf numFmtId="3" fontId="4" fillId="0" borderId="0" applyAlignment="1" pivotButton="0" quotePrefix="0" xfId="0">
      <alignment vertical="center"/>
    </xf>
    <xf numFmtId="166" fontId="4" fillId="0" borderId="0" applyAlignment="1" pivotButton="0" quotePrefix="0" xfId="0">
      <alignment vertical="center"/>
    </xf>
    <xf numFmtId="167" fontId="4" fillId="0" borderId="0" applyAlignment="1" pivotButton="0" quotePrefix="0" xfId="0">
      <alignment vertical="center"/>
    </xf>
    <xf numFmtId="165" fontId="4" fillId="0" borderId="0" applyAlignment="1" pivotButton="0" quotePrefix="0" xfId="0">
      <alignment vertical="center"/>
    </xf>
    <xf numFmtId="165" fontId="4" fillId="6" borderId="0" applyAlignment="1" pivotButton="0" quotePrefix="0" xfId="0">
      <alignment horizontal="center" vertical="center" wrapText="1"/>
    </xf>
    <xf numFmtId="166" fontId="4" fillId="6" borderId="0" applyAlignment="1" pivotButton="0" quotePrefix="0" xfId="0">
      <alignment horizontal="center" vertical="center" wrapText="1"/>
    </xf>
    <xf numFmtId="167" fontId="4" fillId="6" borderId="0" applyAlignment="1" pivotButton="0" quotePrefix="0" xfId="0">
      <alignment horizontal="center" vertical="center" wrapText="1"/>
    </xf>
  </cellXfs>
  <cellStyles count="1">
    <cellStyle name="Normal" xfId="0"/>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J27"/>
  <sheetViews>
    <sheetView workbookViewId="0">
      <selection activeCell="A1" sqref="A1"/>
    </sheetView>
  </sheetViews>
  <sheetFormatPr baseColWidth="8" defaultRowHeight="15"/>
  <cols>
    <col width="18" customWidth="1" min="1" max="1"/>
    <col width="85" customWidth="1" min="2" max="2"/>
    <col width="58" customWidth="1" min="3" max="3"/>
    <col width="14" customWidth="1" min="4" max="4"/>
    <col width="14" customWidth="1" min="5" max="5"/>
    <col width="14" customWidth="1" min="6" max="6"/>
    <col width="14" customWidth="1" min="7" max="7"/>
    <col width="14" customWidth="1" min="8" max="8"/>
    <col width="14" customWidth="1" min="9" max="9"/>
    <col width="14" customWidth="1" min="10" max="10"/>
  </cols>
  <sheetData>
    <row r="1" ht="30" customHeight="1">
      <c r="A1" s="9" t="inlineStr">
        <is>
          <t>Service Operations Data Daily, Weekly, and Monthly Report Automation Template</t>
        </is>
      </c>
      <c r="B1" s="1" t="n"/>
      <c r="C1" s="1" t="n"/>
      <c r="D1" s="1" t="n"/>
      <c r="E1" s="1" t="n"/>
      <c r="F1" s="1" t="n"/>
      <c r="G1" s="1" t="n"/>
      <c r="H1" s="1" t="n"/>
    </row>
    <row r="2"/>
    <row r="3">
      <c r="A3" s="15" t="inlineStr">
        <is>
          <t>This template supports daily, weekly, and monthly service operations reporting across companies and operating contexts. After source data and settings are updated, the daily report, weekly report, monthly report, and overview dashboard refresh automatically.</t>
        </is>
      </c>
      <c r="B3" s="1" t="n"/>
      <c r="C3" s="1" t="n"/>
      <c r="D3" s="1" t="n"/>
      <c r="E3" s="1" t="n"/>
      <c r="F3" s="1" t="n"/>
      <c r="G3" s="1" t="n"/>
      <c r="H3" s="1" t="n"/>
    </row>
    <row r="4">
      <c r="A4" s="40" t="n"/>
      <c r="B4" s="40" t="n"/>
      <c r="C4" s="40" t="n"/>
      <c r="D4" s="40" t="n"/>
      <c r="E4" s="40" t="n"/>
      <c r="F4" s="40" t="n"/>
      <c r="G4" s="40" t="n"/>
      <c r="H4" s="40" t="n"/>
    </row>
    <row r="5" ht="22" customHeight="1">
      <c r="A5" s="41" t="inlineStr">
        <is>
          <t>How to use</t>
        </is>
      </c>
      <c r="B5" s="40" t="n"/>
      <c r="C5" s="40" t="n"/>
      <c r="D5" s="40" t="n"/>
      <c r="E5" s="40" t="n"/>
      <c r="F5" s="40" t="n"/>
      <c r="G5" s="40" t="n"/>
      <c r="H5" s="40" t="n"/>
    </row>
    <row r="6" ht="18" customHeight="1">
      <c r="A6" s="42" t="inlineStr">
        <is>
          <t>1</t>
        </is>
      </c>
      <c r="B6" s="42" t="inlineStr">
        <is>
          <t>Set the report date, cycle, default operating context, company or division, and thresholds in "01_Settings".</t>
        </is>
      </c>
      <c r="C6" s="40" t="n"/>
      <c r="D6" s="40" t="n"/>
      <c r="E6" s="40" t="n"/>
      <c r="F6" s="40" t="n"/>
      <c r="G6" s="40" t="n"/>
      <c r="H6" s="40" t="n"/>
    </row>
    <row r="7" ht="18" customHeight="1">
      <c r="A7" s="42" t="inlineStr">
        <is>
          <t>2</t>
        </is>
      </c>
      <c r="B7" s="42" t="inlineStr">
        <is>
          <t>Add daily or business-level data in "02_Source_Data". Input columns can be entered manually or imported from systems, while the later calculation columns update automatically.</t>
        </is>
      </c>
      <c r="C7" s="40" t="n"/>
      <c r="D7" s="40" t="n"/>
      <c r="E7" s="40" t="n"/>
      <c r="F7" s="40" t="n"/>
      <c r="G7" s="40" t="n"/>
      <c r="H7" s="40" t="n"/>
    </row>
    <row r="8" ht="18" customHeight="1">
      <c r="A8" s="42" t="inlineStr">
        <is>
          <t>3</t>
        </is>
      </c>
      <c r="B8" s="42" t="inlineStr">
        <is>
          <t>Review metrics, trends, context breakdowns, and action plans in "03_Daily_Report", "04_Weekly_Report", and "05_Monthly_Report".</t>
        </is>
      </c>
      <c r="C8" s="40" t="n"/>
      <c r="D8" s="40" t="n"/>
      <c r="E8" s="40" t="n"/>
      <c r="F8" s="40" t="n"/>
      <c r="G8" s="40" t="n"/>
      <c r="H8" s="40" t="n"/>
    </row>
    <row r="9" ht="18" customHeight="1">
      <c r="A9" s="42" t="inlineStr">
        <is>
          <t>4</t>
        </is>
      </c>
      <c r="B9" s="42" t="inlineStr">
        <is>
          <t>Use "06_Overview_Dashboard" for cross-period review. You can connect the template to query imports, database exports, or scheduled scripts for automated refresh.</t>
        </is>
      </c>
      <c r="C9" s="40" t="n"/>
      <c r="D9" s="40" t="n"/>
      <c r="E9" s="40" t="n"/>
      <c r="F9" s="40" t="n"/>
      <c r="G9" s="40" t="n"/>
      <c r="H9" s="40" t="n"/>
    </row>
    <row r="10">
      <c r="A10" s="40" t="n"/>
      <c r="B10" s="40" t="n"/>
      <c r="C10" s="40" t="n"/>
      <c r="D10" s="40" t="n"/>
      <c r="E10" s="40" t="n"/>
      <c r="F10" s="40" t="n"/>
      <c r="G10" s="40" t="n"/>
      <c r="H10" s="40" t="n"/>
    </row>
    <row r="11" ht="22" customHeight="1">
      <c r="A11" s="41" t="inlineStr">
        <is>
          <t>Covered operating contexts</t>
        </is>
      </c>
      <c r="B11" s="40" t="n"/>
      <c r="C11" s="40" t="n"/>
      <c r="D11" s="40" t="n"/>
      <c r="E11" s="40" t="n"/>
      <c r="F11" s="40" t="n"/>
      <c r="G11" s="40" t="n"/>
      <c r="H11" s="40" t="n"/>
    </row>
    <row r="12" ht="18" customHeight="1">
      <c r="A12" s="42" t="inlineStr">
        <is>
          <t>Service Operations</t>
        </is>
      </c>
      <c r="B12" s="42" t="inlineStr">
        <is>
          <t>Sales Operations</t>
        </is>
      </c>
      <c r="C12" s="42" t="inlineStr">
        <is>
          <t>Customer Success</t>
        </is>
      </c>
      <c r="D12" s="42" t="inlineStr">
        <is>
          <t>E-commerce Fulfillment</t>
        </is>
      </c>
      <c r="E12" s="42" t="inlineStr">
        <is>
          <t>After-sales Support</t>
        </is>
      </c>
      <c r="F12" s="42" t="inlineStr">
        <is>
          <t>Content Operations</t>
        </is>
      </c>
      <c r="G12" s="42" t="inlineStr">
        <is>
          <t>Warehouse Logistics</t>
        </is>
      </c>
      <c r="H12" s="42" t="inlineStr">
        <is>
          <t>Store Operations</t>
        </is>
      </c>
      <c r="I12" s="26" t="inlineStr">
        <is>
          <t>Project Delivery</t>
        </is>
      </c>
      <c r="J12" s="26" t="inlineStr">
        <is>
          <t>Finance Operations</t>
        </is>
      </c>
    </row>
    <row r="13">
      <c r="A13" s="40" t="n"/>
      <c r="B13" s="40" t="n"/>
      <c r="C13" s="40" t="n"/>
      <c r="D13" s="40" t="n"/>
      <c r="E13" s="40" t="n"/>
      <c r="F13" s="40" t="n"/>
      <c r="G13" s="40" t="n"/>
      <c r="H13" s="40" t="n"/>
    </row>
    <row r="14" ht="22" customHeight="1">
      <c r="A14" s="41" t="inlineStr">
        <is>
          <t>Automation logic</t>
        </is>
      </c>
      <c r="B14" s="40" t="n"/>
      <c r="C14" s="40" t="n"/>
      <c r="D14" s="40" t="n"/>
      <c r="E14" s="40" t="n"/>
      <c r="F14" s="40" t="n"/>
      <c r="G14" s="40" t="n"/>
      <c r="H14" s="40" t="n"/>
    </row>
    <row r="15" ht="18" customHeight="1">
      <c r="A15" s="42" t="inlineStr">
        <is>
          <t>Data sources</t>
        </is>
      </c>
      <c r="B15" s="42" t="inlineStr">
        <is>
          <t>Data can come from business systems, customer management systems, ticketing tools, commerce platforms, call centers, store systems, or manual logs.</t>
        </is>
      </c>
      <c r="C15" s="40" t="n"/>
      <c r="D15" s="40" t="n"/>
      <c r="E15" s="40" t="n"/>
      <c r="F15" s="40" t="n"/>
      <c r="G15" s="40" t="n"/>
      <c r="H15" s="40" t="n"/>
    </row>
    <row r="16" ht="18" customHeight="1">
      <c r="A16" s="42" t="inlineStr">
        <is>
          <t>Cleaning and calculation</t>
        </is>
      </c>
      <c r="B16" s="42" t="inlineStr">
        <is>
          <t>Automatic columns in the source data calculate week start, month, completion rate, overdue rate, gross margin, productivity, conversion rate, complaint rate, service level status, and exception flags.</t>
        </is>
      </c>
      <c r="C16" s="40" t="n"/>
      <c r="D16" s="40" t="n"/>
      <c r="E16" s="40" t="n"/>
      <c r="F16" s="40" t="n"/>
      <c r="G16" s="40" t="n"/>
      <c r="H16" s="40" t="n"/>
    </row>
    <row r="17" ht="18" customHeight="1">
      <c r="A17" s="42" t="inlineStr">
        <is>
          <t>Aggregation basis</t>
        </is>
      </c>
      <c r="B17" s="42" t="inlineStr">
        <is>
          <t>Daily reports aggregate by report date, weekly reports run Monday through Sunday, and monthly reports use calendar months. All support filtering by operating context and company or division.</t>
        </is>
      </c>
      <c r="C17" s="40" t="n"/>
      <c r="D17" s="40" t="n"/>
      <c r="E17" s="40" t="n"/>
      <c r="F17" s="40" t="n"/>
      <c r="G17" s="40" t="n"/>
      <c r="H17" s="40" t="n"/>
    </row>
    <row r="18" ht="18" customHeight="1">
      <c r="A18" s="42" t="inlineStr">
        <is>
          <t>Alerts</t>
        </is>
      </c>
      <c r="B18" s="42" t="inlineStr">
        <is>
          <t>Thresholds are maintained in settings, and report status is automatically marked as on track, watch, or monitor.</t>
        </is>
      </c>
      <c r="C18" s="40" t="n"/>
      <c r="D18" s="40" t="n"/>
      <c r="E18" s="40" t="n"/>
      <c r="F18" s="40" t="n"/>
      <c r="G18" s="40" t="n"/>
      <c r="H18" s="40" t="n"/>
    </row>
    <row r="19" ht="18" customHeight="1">
      <c r="A19" s="42" t="inlineStr">
        <is>
          <t>Review loop</t>
        </is>
      </c>
      <c r="B19" s="42" t="inlineStr">
        <is>
          <t>The action plan area at the bottom of each report tracks owners, due dates, status, and review conclusions for exception metrics.</t>
        </is>
      </c>
      <c r="C19" s="40" t="n"/>
      <c r="D19" s="40" t="n"/>
      <c r="E19" s="40" t="n"/>
      <c r="F19" s="40" t="n"/>
      <c r="G19" s="40" t="n"/>
      <c r="H19" s="40" t="n"/>
    </row>
    <row r="20"/>
    <row r="21" ht="22" customHeight="1">
      <c r="A21" s="19" t="inlineStr">
        <is>
          <t>References and measurement notes</t>
        </is>
      </c>
    </row>
    <row r="22" ht="24" customHeight="1">
      <c r="A22" s="34" t="inlineStr">
        <is>
          <t>Source</t>
        </is>
      </c>
      <c r="B22" s="34" t="inlineStr">
        <is>
          <t>Reference</t>
        </is>
      </c>
      <c r="C22" s="34" t="inlineStr">
        <is>
          <t>Notes</t>
        </is>
      </c>
    </row>
    <row r="23" ht="18" customHeight="1">
      <c r="A23" s="26" t="inlineStr">
        <is>
          <t>User-provided page</t>
        </is>
      </c>
      <c r="B23" s="26" t="inlineStr">
        <is>
          <t>Local page</t>
        </is>
      </c>
      <c r="C23" s="26" t="inlineStr">
        <is>
          <t>Recorded as the user-designated topic because the local address is not reachable in this environment.</t>
        </is>
      </c>
    </row>
    <row r="24" ht="18" customHeight="1">
      <c r="A24" s="26" t="inlineStr">
        <is>
          <t>Daily, weekly, and monthly reporting basis</t>
        </is>
      </c>
      <c r="B24" s="26" t="inlineStr">
        <is>
          <t>Reporting basis reference</t>
        </is>
      </c>
      <c r="C24" s="26" t="inlineStr">
        <is>
          <t>Daily, weekly, and monthly grouping, formula summaries, and automation ideas.</t>
        </is>
      </c>
    </row>
    <row r="25" ht="18" customHeight="1">
      <c r="A25" s="26" t="inlineStr">
        <is>
          <t>Report template scenarios</t>
        </is>
      </c>
      <c r="B25" s="26" t="inlineStr">
        <is>
          <t>Report scenario reference</t>
        </is>
      </c>
      <c r="C25" s="26" t="inlineStr">
        <is>
          <t>Summary reports, chart reports, input reports, dashboards, and parameterized queries.</t>
        </is>
      </c>
    </row>
    <row r="26" ht="18" customHeight="1">
      <c r="A26" s="26" t="inlineStr">
        <is>
          <t>Automation workflow</t>
        </is>
      </c>
      <c r="B26" s="26" t="inlineStr">
        <is>
          <t>Automation workflow reference</t>
        </is>
      </c>
      <c r="C26" s="26" t="inlineStr">
        <is>
          <t>Data connection, cleaning, metric calculation, visualization, scheduled execution, and delivery.</t>
        </is>
      </c>
    </row>
    <row r="27" ht="18" customHeight="1">
      <c r="A27" s="26" t="inlineStr">
        <is>
          <t>Multi-dimensional operations analysis</t>
        </is>
      </c>
      <c r="B27" s="26" t="inlineStr">
        <is>
          <t>Multi-dimensional analysis reference</t>
        </is>
      </c>
      <c r="C27" s="26" t="inlineStr">
        <is>
          <t>Base data, metric calculation, visualization, multi-dimensional analysis, and exception alerts.</t>
        </is>
      </c>
    </row>
  </sheetData>
  <mergeCells count="2">
    <mergeCell ref="A3:H3"/>
    <mergeCell ref="A1:H1"/>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R16"/>
  <sheetViews>
    <sheetView workbookViewId="0">
      <selection activeCell="A1" sqref="A1"/>
    </sheetView>
  </sheetViews>
  <sheetFormatPr baseColWidth="8" defaultRowHeight="15"/>
  <cols>
    <col width="18" customWidth="1" min="1" max="1"/>
    <col width="26" customWidth="1" min="2" max="2"/>
    <col width="4" customWidth="1" min="3" max="3"/>
    <col width="16" customWidth="1" min="4" max="4"/>
    <col width="16" customWidth="1" min="5" max="5"/>
    <col width="16" customWidth="1" min="6" max="6"/>
    <col width="16" customWidth="1" min="7" max="7"/>
    <col width="16" customWidth="1" min="8" max="8"/>
    <col width="16" customWidth="1" min="9" max="9"/>
    <col width="16" customWidth="1" min="10" max="10"/>
    <col width="16" customWidth="1" min="11" max="11"/>
    <col width="16" customWidth="1" min="12" max="12"/>
    <col width="16" customWidth="1" min="13" max="13"/>
    <col width="16" customWidth="1" min="14" max="14"/>
    <col width="16" customWidth="1" min="15" max="15"/>
    <col width="16" customWidth="1" min="16" max="16"/>
    <col width="16" customWidth="1" min="17" max="17"/>
    <col width="16" customWidth="1" min="18" max="18"/>
  </cols>
  <sheetData>
    <row r="1" ht="30" customHeight="1">
      <c r="A1" s="9" t="inlineStr">
        <is>
          <t>Settings center</t>
        </is>
      </c>
      <c r="B1" s="1" t="n"/>
      <c r="C1" s="1" t="n"/>
      <c r="D1" s="1" t="n"/>
      <c r="E1" s="1" t="n"/>
      <c r="F1" s="1" t="n"/>
      <c r="G1" s="1" t="n"/>
      <c r="H1" s="1" t="n"/>
    </row>
    <row r="2"/>
    <row r="3" ht="24" customHeight="1">
      <c r="A3" s="34" t="inlineStr">
        <is>
          <t>Input note</t>
        </is>
      </c>
      <c r="B3" s="26" t="inlineStr">
        <is>
          <t>Edit the orange input cells and reports refresh automatically</t>
        </is>
      </c>
      <c r="D3" s="34" t="inlineStr">
        <is>
          <t>Report cycle</t>
        </is>
      </c>
      <c r="E3" s="34" t="n"/>
      <c r="F3" s="34" t="inlineStr">
        <is>
          <t>Operating context</t>
        </is>
      </c>
      <c r="G3" s="34" t="n"/>
      <c r="H3" s="34" t="inlineStr">
        <is>
          <t>Company / Division</t>
        </is>
      </c>
      <c r="I3" s="34" t="n"/>
      <c r="J3" s="34" t="inlineStr">
        <is>
          <t>Channel</t>
        </is>
      </c>
      <c r="K3" s="34" t="n"/>
      <c r="L3" s="34" t="inlineStr">
        <is>
          <t>Business line / Product</t>
        </is>
      </c>
      <c r="M3" s="34" t="n"/>
      <c r="N3" s="34" t="inlineStr">
        <is>
          <t>Region</t>
        </is>
      </c>
      <c r="O3" s="34" t="n"/>
      <c r="P3" s="34" t="inlineStr">
        <is>
          <t>Priority</t>
        </is>
      </c>
      <c r="Q3" s="34" t="n"/>
      <c r="R3" s="34" t="inlineStr">
        <is>
          <t>Action status</t>
        </is>
      </c>
    </row>
    <row r="4" ht="18" customHeight="1">
      <c r="A4" s="34" t="inlineStr">
        <is>
          <t>Report date</t>
        </is>
      </c>
      <c r="B4" s="84">
        <f>TODAY()</f>
        <v/>
      </c>
      <c r="D4" s="26" t="inlineStr">
        <is>
          <t>Daily</t>
        </is>
      </c>
      <c r="E4" s="26" t="n"/>
      <c r="F4" s="26" t="inlineStr">
        <is>
          <t>All</t>
        </is>
      </c>
      <c r="G4" s="26" t="n"/>
      <c r="H4" s="26" t="inlineStr">
        <is>
          <t>All</t>
        </is>
      </c>
      <c r="I4" s="26" t="n"/>
      <c r="J4" s="26" t="inlineStr">
        <is>
          <t>All</t>
        </is>
      </c>
      <c r="K4" s="26" t="n"/>
      <c r="L4" s="26" t="inlineStr">
        <is>
          <t>All</t>
        </is>
      </c>
      <c r="M4" s="26" t="n"/>
      <c r="N4" s="26" t="inlineStr">
        <is>
          <t>All</t>
        </is>
      </c>
      <c r="O4" s="26" t="n"/>
      <c r="P4" s="26" t="inlineStr">
        <is>
          <t>High</t>
        </is>
      </c>
      <c r="Q4" s="26" t="n"/>
      <c r="R4" s="26" t="inlineStr">
        <is>
          <t>Not started</t>
        </is>
      </c>
    </row>
    <row r="5" ht="18" customHeight="1">
      <c r="A5" s="34" t="inlineStr">
        <is>
          <t>Report cycle</t>
        </is>
      </c>
      <c r="B5" s="46" t="inlineStr">
        <is>
          <t>Daily</t>
        </is>
      </c>
      <c r="D5" s="26" t="inlineStr">
        <is>
          <t>Weekly</t>
        </is>
      </c>
      <c r="E5" s="26" t="n"/>
      <c r="F5" s="26" t="inlineStr">
        <is>
          <t>Customer Support Operations</t>
        </is>
      </c>
      <c r="G5" s="26" t="n"/>
      <c r="H5" s="26" t="inlineStr">
        <is>
          <t>East Coast Division</t>
        </is>
      </c>
      <c r="I5" s="26" t="n"/>
      <c r="J5" s="26" t="inlineStr">
        <is>
          <t>Online</t>
        </is>
      </c>
      <c r="K5" s="26" t="n"/>
      <c r="L5" s="26" t="inlineStr">
        <is>
          <t>Standard Service</t>
        </is>
      </c>
      <c r="M5" s="26" t="n"/>
      <c r="N5" s="26" t="inlineStr">
        <is>
          <t>Northeast</t>
        </is>
      </c>
      <c r="O5" s="26" t="n"/>
      <c r="P5" s="26" t="inlineStr">
        <is>
          <t>Medium</t>
        </is>
      </c>
      <c r="Q5" s="26" t="n"/>
      <c r="R5" s="26" t="inlineStr">
        <is>
          <t>In progress</t>
        </is>
      </c>
    </row>
    <row r="6" ht="18" customHeight="1">
      <c r="A6" s="34" t="inlineStr">
        <is>
          <t>Default operating context</t>
        </is>
      </c>
      <c r="B6" s="46" t="inlineStr">
        <is>
          <t>All</t>
        </is>
      </c>
      <c r="D6" s="26" t="inlineStr">
        <is>
          <t>Monthly</t>
        </is>
      </c>
      <c r="E6" s="26" t="n"/>
      <c r="F6" s="26" t="inlineStr">
        <is>
          <t>Sales Operations</t>
        </is>
      </c>
      <c r="G6" s="26" t="n"/>
      <c r="H6" s="26" t="inlineStr">
        <is>
          <t>Southeast Division</t>
        </is>
      </c>
      <c r="I6" s="26" t="n"/>
      <c r="J6" s="26" t="inlineStr">
        <is>
          <t>Retail store</t>
        </is>
      </c>
      <c r="K6" s="26" t="n"/>
      <c r="L6" s="26" t="inlineStr">
        <is>
          <t>Premium Service</t>
        </is>
      </c>
      <c r="M6" s="26" t="n"/>
      <c r="N6" s="26" t="inlineStr">
        <is>
          <t>Southeast</t>
        </is>
      </c>
      <c r="O6" s="26" t="n"/>
      <c r="P6" s="26" t="inlineStr">
        <is>
          <t>Low</t>
        </is>
      </c>
      <c r="Q6" s="26" t="n"/>
      <c r="R6" s="26" t="inlineStr">
        <is>
          <t>Completed</t>
        </is>
      </c>
    </row>
    <row r="7" ht="18" customHeight="1">
      <c r="A7" s="34" t="inlineStr">
        <is>
          <t>Default company / division</t>
        </is>
      </c>
      <c r="B7" s="46" t="inlineStr">
        <is>
          <t>All</t>
        </is>
      </c>
      <c r="D7" s="26" t="n"/>
      <c r="E7" s="26" t="n"/>
      <c r="F7" s="26" t="inlineStr">
        <is>
          <t>E-commerce Operations</t>
        </is>
      </c>
      <c r="G7" s="26" t="n"/>
      <c r="H7" s="26" t="inlineStr">
        <is>
          <t>North Operations Center</t>
        </is>
      </c>
      <c r="I7" s="26" t="n"/>
      <c r="J7" s="26" t="inlineStr">
        <is>
          <t>Phone</t>
        </is>
      </c>
      <c r="K7" s="26" t="n"/>
      <c r="L7" s="26" t="inlineStr">
        <is>
          <t>Membership Program</t>
        </is>
      </c>
      <c r="M7" s="26" t="n"/>
      <c r="N7" s="26" t="inlineStr">
        <is>
          <t>Midwest</t>
        </is>
      </c>
      <c r="O7" s="26" t="n"/>
      <c r="P7" s="26" t="n"/>
      <c r="Q7" s="26" t="n"/>
      <c r="R7" s="26" t="inlineStr">
        <is>
          <t>Delayed</t>
        </is>
      </c>
    </row>
    <row r="8" ht="18" customHeight="1">
      <c r="A8" s="34" t="inlineStr">
        <is>
          <t>Threshold settings</t>
        </is>
      </c>
      <c r="B8" s="46" t="n"/>
      <c r="D8" s="26" t="n"/>
      <c r="E8" s="26" t="n"/>
      <c r="F8" s="26" t="inlineStr">
        <is>
          <t>Supply Chain / Inventory</t>
        </is>
      </c>
      <c r="G8" s="26" t="n"/>
      <c r="H8" s="26" t="inlineStr">
        <is>
          <t>Digital Business Unit</t>
        </is>
      </c>
      <c r="I8" s="26" t="n"/>
      <c r="J8" s="26" t="inlineStr">
        <is>
          <t>Email</t>
        </is>
      </c>
      <c r="K8" s="26" t="n"/>
      <c r="L8" s="26" t="inlineStr">
        <is>
          <t>Enterprise customers</t>
        </is>
      </c>
      <c r="M8" s="26" t="n"/>
      <c r="N8" s="26" t="inlineStr">
        <is>
          <t>Southwest</t>
        </is>
      </c>
      <c r="O8" s="26" t="n"/>
      <c r="P8" s="26" t="n"/>
      <c r="Q8" s="26" t="n"/>
      <c r="R8" s="26" t="inlineStr">
        <is>
          <t>Closed</t>
        </is>
      </c>
    </row>
    <row r="9" ht="18" customHeight="1">
      <c r="A9" s="34" t="inlineStr">
        <is>
          <t>Completion rate target</t>
        </is>
      </c>
      <c r="B9" s="85" t="n">
        <v>0.92</v>
      </c>
      <c r="D9" s="26" t="n"/>
      <c r="E9" s="26" t="n"/>
      <c r="F9" s="26" t="inlineStr">
        <is>
          <t>Production / Delivery</t>
        </is>
      </c>
      <c r="G9" s="26" t="n"/>
      <c r="H9" s="26" t="inlineStr">
        <is>
          <t>International Business Unit</t>
        </is>
      </c>
      <c r="I9" s="26" t="n"/>
      <c r="J9" s="26" t="inlineStr">
        <is>
          <t>Team chat</t>
        </is>
      </c>
      <c r="K9" s="26" t="n"/>
      <c r="L9" s="26" t="inlineStr">
        <is>
          <t>After-sales Coverage</t>
        </is>
      </c>
      <c r="M9" s="26" t="n"/>
      <c r="N9" s="26" t="inlineStr">
        <is>
          <t>International</t>
        </is>
      </c>
      <c r="O9" s="26" t="n"/>
      <c r="P9" s="26" t="n"/>
      <c r="Q9" s="26" t="n"/>
      <c r="R9" s="26" t="n"/>
    </row>
    <row r="10" ht="18" customHeight="1">
      <c r="A10" s="34" t="inlineStr">
        <is>
          <t>Response time limit</t>
        </is>
      </c>
      <c r="B10" s="46" t="n">
        <v>4</v>
      </c>
      <c r="D10" s="26" t="n"/>
      <c r="E10" s="26" t="n"/>
      <c r="F10" s="26" t="inlineStr">
        <is>
          <t>Field Services</t>
        </is>
      </c>
      <c r="G10" s="26" t="n"/>
      <c r="H10" s="26" t="inlineStr">
        <is>
          <t>Corporate Shared Services</t>
        </is>
      </c>
      <c r="I10" s="26" t="n"/>
      <c r="J10" s="26" t="inlineStr">
        <is>
          <t>Mobile app</t>
        </is>
      </c>
      <c r="K10" s="26" t="n"/>
      <c r="L10" s="26" t="inlineStr">
        <is>
          <t>Project Delivery</t>
        </is>
      </c>
      <c r="M10" s="26" t="n"/>
      <c r="N10" s="26" t="inlineStr">
        <is>
          <t>Other</t>
        </is>
      </c>
      <c r="O10" s="26" t="n"/>
      <c r="P10" s="26" t="n"/>
      <c r="Q10" s="26" t="n"/>
      <c r="R10" s="26" t="n"/>
    </row>
    <row r="11" ht="18" customHeight="1">
      <c r="A11" s="34" t="inlineStr">
        <is>
          <t>Resolution time limit</t>
        </is>
      </c>
      <c r="B11" s="46" t="n">
        <v>48</v>
      </c>
      <c r="D11" s="26" t="n"/>
      <c r="E11" s="26" t="n"/>
      <c r="F11" s="26" t="inlineStr">
        <is>
          <t>Growth Marketing</t>
        </is>
      </c>
      <c r="G11" s="26" t="n"/>
      <c r="H11" s="26" t="n"/>
      <c r="I11" s="26" t="n"/>
      <c r="J11" s="26" t="inlineStr">
        <is>
          <t>Marketplace store</t>
        </is>
      </c>
      <c r="K11" s="26" t="n"/>
      <c r="L11" s="26" t="inlineStr">
        <is>
          <t>Other</t>
        </is>
      </c>
      <c r="M11" s="26" t="n"/>
      <c r="N11" s="26" t="n"/>
      <c r="O11" s="26" t="n"/>
      <c r="P11" s="26" t="n"/>
      <c r="Q11" s="26" t="n"/>
      <c r="R11" s="26" t="n"/>
    </row>
    <row r="12" ht="18" customHeight="1">
      <c r="A12" s="34" t="inlineStr">
        <is>
          <t>Overdue rate limit</t>
        </is>
      </c>
      <c r="B12" s="85" t="n">
        <v>0.08</v>
      </c>
      <c r="D12" s="26" t="n"/>
      <c r="E12" s="26" t="n"/>
      <c r="F12" s="26" t="inlineStr">
        <is>
          <t>Finance / Expenses</t>
        </is>
      </c>
      <c r="G12" s="26" t="n"/>
      <c r="H12" s="26" t="n"/>
      <c r="I12" s="26" t="n"/>
      <c r="J12" s="26" t="inlineStr">
        <is>
          <t>Distributor</t>
        </is>
      </c>
      <c r="K12" s="26" t="n"/>
      <c r="L12" s="26" t="n"/>
      <c r="M12" s="26" t="n"/>
      <c r="N12" s="26" t="n"/>
      <c r="O12" s="26" t="n"/>
      <c r="P12" s="26" t="n"/>
      <c r="Q12" s="26" t="n"/>
      <c r="R12" s="26" t="n"/>
    </row>
    <row r="13" ht="18" customHeight="1">
      <c r="A13" s="34" t="inlineStr">
        <is>
          <t>Satisfaction target</t>
        </is>
      </c>
      <c r="B13" s="46" t="n">
        <v>4.5</v>
      </c>
      <c r="D13" s="26" t="n"/>
      <c r="E13" s="26" t="n"/>
      <c r="F13" s="26" t="inlineStr">
        <is>
          <t>Other</t>
        </is>
      </c>
      <c r="G13" s="26" t="n"/>
      <c r="H13" s="26" t="n"/>
      <c r="I13" s="26" t="n"/>
      <c r="J13" s="26" t="inlineStr">
        <is>
          <t>Other</t>
        </is>
      </c>
      <c r="K13" s="26" t="n"/>
      <c r="L13" s="26" t="n"/>
      <c r="M13" s="26" t="n"/>
      <c r="N13" s="26" t="n"/>
      <c r="O13" s="26" t="n"/>
      <c r="P13" s="26" t="n"/>
      <c r="Q13" s="26" t="n"/>
      <c r="R13" s="26" t="n"/>
    </row>
    <row r="14" ht="18" customHeight="1">
      <c r="A14" s="34" t="inlineStr">
        <is>
          <t>Gross margin target</t>
        </is>
      </c>
      <c r="B14" s="85" t="n">
        <v>0.25</v>
      </c>
    </row>
    <row r="15" ht="18" customHeight="1">
      <c r="A15" s="34" t="inlineStr">
        <is>
          <t>Conversion rate target</t>
        </is>
      </c>
      <c r="B15" s="85" t="n">
        <v>0.12</v>
      </c>
    </row>
    <row r="16" ht="18" customHeight="1">
      <c r="A16" s="34" t="inlineStr">
        <is>
          <t>Complaint rate limit</t>
        </is>
      </c>
      <c r="B16" s="85" t="n">
        <v>0.02</v>
      </c>
    </row>
  </sheetData>
  <mergeCells count="1">
    <mergeCell ref="A1:H1"/>
  </mergeCells>
  <dataValidations count="3">
    <dataValidation sqref="B5" showDropDown="0" showInputMessage="0" showErrorMessage="0" allowBlank="0" type="list">
      <formula1>'01_Settings'!$D$4:$D$6</formula1>
    </dataValidation>
    <dataValidation sqref="B6" showDropDown="0" showInputMessage="0" showErrorMessage="0" allowBlank="0" type="list">
      <formula1>'01_Settings'!$F$4:$F$13</formula1>
    </dataValidation>
    <dataValidation sqref="B7" showDropDown="0" showInputMessage="0" showErrorMessage="0" allowBlank="0" type="list">
      <formula1>'01_Settings'!$H$4:$H$10</formula1>
    </dataValidation>
  </dataValidations>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M501"/>
  <sheetViews>
    <sheetView workbookViewId="0">
      <selection activeCell="A1" sqref="A1"/>
    </sheetView>
  </sheetViews>
  <sheetFormatPr baseColWidth="8" defaultRowHeight="15"/>
  <cols>
    <col width="12" customWidth="1" min="1" max="1"/>
    <col width="14" customWidth="1" min="2" max="2"/>
    <col width="14" customWidth="1" min="3" max="3"/>
    <col width="14" customWidth="1" min="4" max="4"/>
    <col width="14" customWidth="1" min="5" max="5"/>
    <col width="10" customWidth="1" min="6" max="6"/>
    <col width="13" customWidth="1" min="7" max="7"/>
    <col width="13" customWidth="1" min="8" max="8"/>
    <col width="13" customWidth="1" min="9" max="9"/>
    <col width="12" customWidth="1" min="10" max="10"/>
    <col width="12" customWidth="1" min="11" max="11"/>
    <col width="12" customWidth="1" min="12" max="12"/>
    <col width="12" customWidth="1" min="13" max="13"/>
    <col width="12" customWidth="1" min="14" max="14"/>
    <col width="12" customWidth="1" min="15" max="15"/>
    <col width="12" customWidth="1" min="16" max="16"/>
    <col width="12" customWidth="1" min="17" max="17"/>
    <col width="12" customWidth="1" min="18" max="18"/>
    <col width="12" customWidth="1" min="19" max="19"/>
    <col width="12" customWidth="1" min="20" max="20"/>
    <col width="12" customWidth="1" min="21" max="21"/>
    <col width="12" customWidth="1" min="22" max="22"/>
    <col width="12" customWidth="1" min="23" max="23"/>
    <col width="12" customWidth="1" min="24" max="24"/>
    <col width="12" customWidth="1" min="25" max="25"/>
    <col width="12" customWidth="1" min="26" max="26"/>
    <col width="18" customWidth="1" min="27" max="27"/>
    <col width="12" customWidth="1" min="28" max="28"/>
    <col width="12" customWidth="1" min="29" max="29"/>
    <col width="12" customWidth="1" min="30" max="30"/>
    <col width="12" customWidth="1" min="31" max="31"/>
    <col width="12" customWidth="1" min="32" max="32"/>
    <col width="12" customWidth="1" min="33" max="33"/>
    <col width="12" customWidth="1" min="34" max="34"/>
    <col width="12" customWidth="1" min="35" max="35"/>
    <col width="12" customWidth="1" min="36" max="36"/>
    <col width="12" customWidth="1" min="37" max="37"/>
    <col width="15" customWidth="1" min="38" max="38"/>
    <col width="15" customWidth="1" min="39" max="39"/>
  </cols>
  <sheetData>
    <row r="1" ht="24" customHeight="1">
      <c r="A1" s="34" t="inlineStr">
        <is>
          <t>Date</t>
        </is>
      </c>
      <c r="B1" s="34" t="inlineStr">
        <is>
          <t>Company / Division</t>
        </is>
      </c>
      <c r="C1" s="34" t="inlineStr">
        <is>
          <t>Operating context</t>
        </is>
      </c>
      <c r="D1" s="34" t="inlineStr">
        <is>
          <t>Business line / Product</t>
        </is>
      </c>
      <c r="E1" s="34" t="inlineStr">
        <is>
          <t>Channel</t>
        </is>
      </c>
      <c r="F1" s="34" t="inlineStr">
        <is>
          <t>Region</t>
        </is>
      </c>
      <c r="G1" s="34" t="inlineStr">
        <is>
          <t>Team / Store</t>
        </is>
      </c>
      <c r="H1" s="34" t="inlineStr">
        <is>
          <t>Owner</t>
        </is>
      </c>
      <c r="I1" s="34" t="inlineStr">
        <is>
          <t>Customer / Project type</t>
        </is>
      </c>
      <c r="J1" s="34" t="inlineStr">
        <is>
          <t>Request / Ticket volume</t>
        </is>
      </c>
      <c r="K1" s="34" t="inlineStr">
        <is>
          <t>Completed volume</t>
        </is>
      </c>
      <c r="L1" s="34" t="inlineStr">
        <is>
          <t>Overdue volume</t>
        </is>
      </c>
      <c r="M1" s="34" t="inlineStr">
        <is>
          <t>Cancellation volume</t>
        </is>
      </c>
      <c r="N1" s="34" t="inlineStr">
        <is>
          <t>Revenue</t>
        </is>
      </c>
      <c r="O1" s="34" t="inlineStr">
        <is>
          <t>Cost</t>
        </is>
      </c>
      <c r="P1" s="34" t="inlineStr">
        <is>
          <t>Labor hours</t>
        </is>
      </c>
      <c r="Q1" s="34" t="inlineStr">
        <is>
          <t>Customer count</t>
        </is>
      </c>
      <c r="R1" s="34" t="inlineStr">
        <is>
          <t>Active users / Visitors</t>
        </is>
      </c>
      <c r="S1" s="34" t="inlineStr">
        <is>
          <t>Conversions</t>
        </is>
      </c>
      <c r="T1" s="34" t="inlineStr">
        <is>
          <t>Complaints / Poor reviews</t>
        </is>
      </c>
      <c r="U1" s="34" t="inlineStr">
        <is>
          <t>Satisfaction score</t>
        </is>
      </c>
      <c r="V1" s="34" t="inlineStr">
        <is>
          <t>Response time (hours)</t>
        </is>
      </c>
      <c r="W1" s="34" t="inlineStr">
        <is>
          <t>Resolution time (hours)</t>
        </is>
      </c>
      <c r="X1" s="34" t="inlineStr">
        <is>
          <t>Inventory / Backlog</t>
        </is>
      </c>
      <c r="Y1" s="34" t="inlineStr">
        <is>
          <t>Target completions</t>
        </is>
      </c>
      <c r="Z1" s="34" t="inlineStr">
        <is>
          <t>Target revenue</t>
        </is>
      </c>
      <c r="AA1" s="34" t="inlineStr">
        <is>
          <t>Note</t>
        </is>
      </c>
      <c r="AB1" s="34" t="inlineStr">
        <is>
          <t>Week start date</t>
        </is>
      </c>
      <c r="AC1" s="34" t="inlineStr">
        <is>
          <t>Month</t>
        </is>
      </c>
      <c r="AD1" s="34" t="inlineStr">
        <is>
          <t>Completion rate</t>
        </is>
      </c>
      <c r="AE1" s="34" t="inlineStr">
        <is>
          <t>Overdue rate</t>
        </is>
      </c>
      <c r="AF1" s="34" t="inlineStr">
        <is>
          <t>Cancellation rate</t>
        </is>
      </c>
      <c r="AG1" s="34" t="inlineStr">
        <is>
          <t>Gross profit</t>
        </is>
      </c>
      <c r="AH1" s="34" t="inlineStr">
        <is>
          <t>Gross margin</t>
        </is>
      </c>
      <c r="AI1" s="34" t="inlineStr">
        <is>
          <t>Productivity (completed/hour)</t>
        </is>
      </c>
      <c r="AJ1" s="34" t="inlineStr">
        <is>
          <t>Conversion rate</t>
        </is>
      </c>
      <c r="AK1" s="34" t="inlineStr">
        <is>
          <t>Complaint rate</t>
        </is>
      </c>
      <c r="AL1" s="34" t="inlineStr">
        <is>
          <t>Service level met</t>
        </is>
      </c>
      <c r="AM1" s="34" t="inlineStr">
        <is>
          <t>Exception flag</t>
        </is>
      </c>
    </row>
    <row r="2" ht="18" customHeight="1">
      <c r="A2" s="86" t="n">
        <v>46084</v>
      </c>
      <c r="B2" s="26" t="inlineStr">
        <is>
          <t>Southeast Division</t>
        </is>
      </c>
      <c r="C2" s="26" t="inlineStr">
        <is>
          <t>Sales Operations</t>
        </is>
      </c>
      <c r="D2" s="26" t="inlineStr">
        <is>
          <t>Premium Service</t>
        </is>
      </c>
      <c r="E2" s="26" t="inlineStr">
        <is>
          <t>Email</t>
        </is>
      </c>
      <c r="F2" s="26" t="inlineStr">
        <is>
          <t>Northeast</t>
        </is>
      </c>
      <c r="G2" s="26" t="inlineStr">
        <is>
          <t>Northeast Team</t>
        </is>
      </c>
      <c r="H2" s="26" t="inlineStr">
        <is>
          <t>John Miller</t>
        </is>
      </c>
      <c r="I2" s="26" t="inlineStr">
        <is>
          <t>Existing customer</t>
        </is>
      </c>
      <c r="J2" s="87" t="n">
        <v>180</v>
      </c>
      <c r="K2" s="87" t="n">
        <v>167</v>
      </c>
      <c r="L2" s="87" t="n">
        <v>19</v>
      </c>
      <c r="M2" s="87" t="n">
        <v>0</v>
      </c>
      <c r="N2" s="88" t="n">
        <v>34498</v>
      </c>
      <c r="O2" s="88" t="n">
        <v>19251</v>
      </c>
      <c r="P2" s="89" t="n">
        <v>14.6</v>
      </c>
      <c r="Q2" s="87" t="n">
        <v>278</v>
      </c>
      <c r="R2" s="87" t="n">
        <v>486</v>
      </c>
      <c r="S2" s="87" t="n">
        <v>52</v>
      </c>
      <c r="T2" s="87" t="n">
        <v>6</v>
      </c>
      <c r="U2" s="89" t="n">
        <v>4.5</v>
      </c>
      <c r="V2" s="89" t="n">
        <v>3.1</v>
      </c>
      <c r="W2" s="89" t="n">
        <v>20.6</v>
      </c>
      <c r="X2" s="87" t="n">
        <v>76</v>
      </c>
      <c r="Y2" s="87" t="n">
        <v>162</v>
      </c>
      <c r="Z2" s="88" t="n">
        <v>35139</v>
      </c>
      <c r="AA2" s="26" t="n"/>
      <c r="AB2" s="86">
        <f>IF($A2="","",$A2-WEEKDAY($A2,2)+1)</f>
        <v/>
      </c>
      <c r="AC2" s="86">
        <f>IF($A2="","",DATE(YEAR($A2),MONTH($A2),1))</f>
        <v/>
      </c>
      <c r="AD2" s="90">
        <f>IF($A2="","",IFERROR($K2/$J2,0))</f>
        <v/>
      </c>
      <c r="AE2" s="90">
        <f>IF($A2="","",IFERROR($L2/$J2,0))</f>
        <v/>
      </c>
      <c r="AF2" s="90">
        <f>IF($A2="","",IFERROR($M2/$J2,0))</f>
        <v/>
      </c>
      <c r="AG2" s="88">
        <f>IF($A2="","",$N2-$O2)</f>
        <v/>
      </c>
      <c r="AH2" s="90">
        <f>IF($A2="","",IFERROR($AG2/$N2,0))</f>
        <v/>
      </c>
      <c r="AI2" s="89">
        <f>IF($A2="","",IFERROR($K2/$P2,0))</f>
        <v/>
      </c>
      <c r="AJ2" s="90">
        <f>IF($A2="","",IFERROR($S2/$R2,0))</f>
        <v/>
      </c>
      <c r="AK2" s="90">
        <f>IF($A2="","",IFERROR($T2/$J2,0))</f>
        <v/>
      </c>
      <c r="AL2" s="26">
        <f>IF($A2="","",IF(AND($AD2&gt;='01_Settings'!$B$9,$V2&lt;='01_Settings'!$B$10,$W2&lt;='01_Settings'!$B$11),"On track","Off track"))</f>
        <v/>
      </c>
      <c r="AM2" s="42">
        <f>IF($A2="","",IF($AD2&lt;'01_Settings'!$B$9,"Low completion rate; ","")&amp;IF($AE2&gt;'01_Settings'!$B$12,"High overdue rate; ","")&amp;IF($U2&lt;'01_Settings'!$B$13,"Low satisfaction; ","")&amp;IF($AH2&lt;'01_Settings'!$B$14,"Low gross margin; ","")&amp;IF($AJ2&lt;'01_Settings'!$B$15,"Low conversion rate; ","")&amp;IF($AK2&gt;'01_Settings'!$B$16,"High complaint rate; ",""))</f>
        <v/>
      </c>
    </row>
    <row r="3" ht="18" customHeight="1">
      <c r="A3" s="86" t="n">
        <v>46084</v>
      </c>
      <c r="B3" s="26" t="inlineStr">
        <is>
          <t>North Operations Center</t>
        </is>
      </c>
      <c r="C3" s="26" t="inlineStr">
        <is>
          <t>Customer Support Operations</t>
        </is>
      </c>
      <c r="D3" s="26" t="inlineStr">
        <is>
          <t>Premium Service</t>
        </is>
      </c>
      <c r="E3" s="26" t="inlineStr">
        <is>
          <t>Phone</t>
        </is>
      </c>
      <c r="F3" s="26" t="inlineStr">
        <is>
          <t>Midwest</t>
        </is>
      </c>
      <c r="G3" s="26" t="inlineStr">
        <is>
          <t>Midwest Team</t>
        </is>
      </c>
      <c r="H3" s="26" t="inlineStr">
        <is>
          <t>Sarah Johnson</t>
        </is>
      </c>
      <c r="I3" s="26" t="inlineStr">
        <is>
          <t>New customer</t>
        </is>
      </c>
      <c r="J3" s="87" t="n">
        <v>167</v>
      </c>
      <c r="K3" s="87" t="n">
        <v>139</v>
      </c>
      <c r="L3" s="87" t="n">
        <v>9</v>
      </c>
      <c r="M3" s="87" t="n">
        <v>2</v>
      </c>
      <c r="N3" s="88" t="n">
        <v>25463</v>
      </c>
      <c r="O3" s="88" t="n">
        <v>15823</v>
      </c>
      <c r="P3" s="89" t="n">
        <v>8</v>
      </c>
      <c r="Q3" s="87" t="n">
        <v>255</v>
      </c>
      <c r="R3" s="87" t="n">
        <v>2551</v>
      </c>
      <c r="S3" s="87" t="n">
        <v>140</v>
      </c>
      <c r="T3" s="87" t="n">
        <v>6</v>
      </c>
      <c r="U3" s="89" t="n">
        <v>3.9</v>
      </c>
      <c r="V3" s="89" t="n">
        <v>2.5</v>
      </c>
      <c r="W3" s="89" t="n">
        <v>25.6</v>
      </c>
      <c r="X3" s="87" t="n">
        <v>97</v>
      </c>
      <c r="Y3" s="87" t="n">
        <v>150</v>
      </c>
      <c r="Z3" s="88" t="n">
        <v>28852</v>
      </c>
      <c r="AA3" s="26" t="n"/>
      <c r="AB3" s="86">
        <f>IF($A3="","",$A3-WEEKDAY($A3,2)+1)</f>
        <v/>
      </c>
      <c r="AC3" s="86">
        <f>IF($A3="","",DATE(YEAR($A3),MONTH($A3),1))</f>
        <v/>
      </c>
      <c r="AD3" s="90">
        <f>IF($A3="","",IFERROR($K3/$J3,0))</f>
        <v/>
      </c>
      <c r="AE3" s="90">
        <f>IF($A3="","",IFERROR($L3/$J3,0))</f>
        <v/>
      </c>
      <c r="AF3" s="90">
        <f>IF($A3="","",IFERROR($M3/$J3,0))</f>
        <v/>
      </c>
      <c r="AG3" s="88">
        <f>IF($A3="","",$N3-$O3)</f>
        <v/>
      </c>
      <c r="AH3" s="90">
        <f>IF($A3="","",IFERROR($AG3/$N3,0))</f>
        <v/>
      </c>
      <c r="AI3" s="89">
        <f>IF($A3="","",IFERROR($K3/$P3,0))</f>
        <v/>
      </c>
      <c r="AJ3" s="90">
        <f>IF($A3="","",IFERROR($S3/$R3,0))</f>
        <v/>
      </c>
      <c r="AK3" s="90">
        <f>IF($A3="","",IFERROR($T3/$J3,0))</f>
        <v/>
      </c>
      <c r="AL3" s="26">
        <f>IF($A3="","",IF(AND($AD3&gt;='01_Settings'!$B$9,$V3&lt;='01_Settings'!$B$10,$W3&lt;='01_Settings'!$B$11),"On track","Off track"))</f>
        <v/>
      </c>
      <c r="AM3" s="42">
        <f>IF($A3="","",IF($AD3&lt;'01_Settings'!$B$9,"Low completion rate; ","")&amp;IF($AE3&gt;'01_Settings'!$B$12,"High overdue rate; ","")&amp;IF($U3&lt;'01_Settings'!$B$13,"Low satisfaction; ","")&amp;IF($AH3&lt;'01_Settings'!$B$14,"Low gross margin; ","")&amp;IF($AJ3&lt;'01_Settings'!$B$15,"Low conversion rate; ","")&amp;IF($AK3&gt;'01_Settings'!$B$16,"High complaint rate; ",""))</f>
        <v/>
      </c>
    </row>
    <row r="4" ht="18" customHeight="1">
      <c r="A4" s="86" t="n">
        <v>46084</v>
      </c>
      <c r="B4" s="26" t="inlineStr">
        <is>
          <t>Southeast Division</t>
        </is>
      </c>
      <c r="C4" s="26" t="inlineStr">
        <is>
          <t>Field Services</t>
        </is>
      </c>
      <c r="D4" s="26" t="inlineStr">
        <is>
          <t>Standard Service</t>
        </is>
      </c>
      <c r="E4" s="26" t="inlineStr">
        <is>
          <t>Team chat</t>
        </is>
      </c>
      <c r="F4" s="26" t="inlineStr">
        <is>
          <t>Southeast</t>
        </is>
      </c>
      <c r="G4" s="26" t="inlineStr">
        <is>
          <t>Southeast Team</t>
        </is>
      </c>
      <c r="H4" s="26" t="inlineStr">
        <is>
          <t>Michael Brown</t>
        </is>
      </c>
      <c r="I4" s="26" t="inlineStr">
        <is>
          <t>High-value customer</t>
        </is>
      </c>
      <c r="J4" s="87" t="n">
        <v>249</v>
      </c>
      <c r="K4" s="87" t="n">
        <v>238</v>
      </c>
      <c r="L4" s="87" t="n">
        <v>14</v>
      </c>
      <c r="M4" s="87" t="n">
        <v>5</v>
      </c>
      <c r="N4" s="88" t="n">
        <v>78595</v>
      </c>
      <c r="O4" s="88" t="n">
        <v>46679</v>
      </c>
      <c r="P4" s="89" t="n">
        <v>26.3</v>
      </c>
      <c r="Q4" s="87" t="n">
        <v>363</v>
      </c>
      <c r="R4" s="87" t="n">
        <v>1556</v>
      </c>
      <c r="S4" s="87" t="n">
        <v>193</v>
      </c>
      <c r="T4" s="87" t="n">
        <v>8</v>
      </c>
      <c r="U4" s="89" t="n">
        <v>3.9</v>
      </c>
      <c r="V4" s="89" t="n">
        <v>4.2</v>
      </c>
      <c r="W4" s="89" t="n">
        <v>23</v>
      </c>
      <c r="X4" s="87" t="n">
        <v>67</v>
      </c>
      <c r="Y4" s="87" t="n">
        <v>224</v>
      </c>
      <c r="Z4" s="88" t="n">
        <v>77671</v>
      </c>
      <c r="AA4" s="26" t="n"/>
      <c r="AB4" s="86">
        <f>IF($A4="","",$A4-WEEKDAY($A4,2)+1)</f>
        <v/>
      </c>
      <c r="AC4" s="86">
        <f>IF($A4="","",DATE(YEAR($A4),MONTH($A4),1))</f>
        <v/>
      </c>
      <c r="AD4" s="90">
        <f>IF($A4="","",IFERROR($K4/$J4,0))</f>
        <v/>
      </c>
      <c r="AE4" s="90">
        <f>IF($A4="","",IFERROR($L4/$J4,0))</f>
        <v/>
      </c>
      <c r="AF4" s="90">
        <f>IF($A4="","",IFERROR($M4/$J4,0))</f>
        <v/>
      </c>
      <c r="AG4" s="88">
        <f>IF($A4="","",$N4-$O4)</f>
        <v/>
      </c>
      <c r="AH4" s="90">
        <f>IF($A4="","",IFERROR($AG4/$N4,0))</f>
        <v/>
      </c>
      <c r="AI4" s="89">
        <f>IF($A4="","",IFERROR($K4/$P4,0))</f>
        <v/>
      </c>
      <c r="AJ4" s="90">
        <f>IF($A4="","",IFERROR($S4/$R4,0))</f>
        <v/>
      </c>
      <c r="AK4" s="90">
        <f>IF($A4="","",IFERROR($T4/$J4,0))</f>
        <v/>
      </c>
      <c r="AL4" s="26">
        <f>IF($A4="","",IF(AND($AD4&gt;='01_Settings'!$B$9,$V4&lt;='01_Settings'!$B$10,$W4&lt;='01_Settings'!$B$11),"On track","Off track"))</f>
        <v/>
      </c>
      <c r="AM4" s="42">
        <f>IF($A4="","",IF($AD4&lt;'01_Settings'!$B$9,"Low completion rate; ","")&amp;IF($AE4&gt;'01_Settings'!$B$12,"High overdue rate; ","")&amp;IF($U4&lt;'01_Settings'!$B$13,"Low satisfaction; ","")&amp;IF($AH4&lt;'01_Settings'!$B$14,"Low gross margin; ","")&amp;IF($AJ4&lt;'01_Settings'!$B$15,"Low conversion rate; ","")&amp;IF($AK4&gt;'01_Settings'!$B$16,"High complaint rate; ",""))</f>
        <v/>
      </c>
    </row>
    <row r="5" ht="18" customHeight="1">
      <c r="A5" s="86" t="n">
        <v>46085</v>
      </c>
      <c r="B5" s="26" t="inlineStr">
        <is>
          <t>North Operations Center</t>
        </is>
      </c>
      <c r="C5" s="26" t="inlineStr">
        <is>
          <t>Growth Marketing</t>
        </is>
      </c>
      <c r="D5" s="26" t="inlineStr">
        <is>
          <t>Premium Service</t>
        </is>
      </c>
      <c r="E5" s="26" t="inlineStr">
        <is>
          <t>Online</t>
        </is>
      </c>
      <c r="F5" s="26" t="inlineStr">
        <is>
          <t>Northeast</t>
        </is>
      </c>
      <c r="G5" s="26" t="inlineStr">
        <is>
          <t>Northeast Team</t>
        </is>
      </c>
      <c r="H5" s="26" t="inlineStr">
        <is>
          <t>David Wilson</t>
        </is>
      </c>
      <c r="I5" s="26" t="inlineStr">
        <is>
          <t>Standard customer</t>
        </is>
      </c>
      <c r="J5" s="87" t="n">
        <v>152</v>
      </c>
      <c r="K5" s="87" t="n">
        <v>144</v>
      </c>
      <c r="L5" s="87" t="n">
        <v>9</v>
      </c>
      <c r="M5" s="87" t="n">
        <v>0</v>
      </c>
      <c r="N5" s="88" t="n">
        <v>50967</v>
      </c>
      <c r="O5" s="88" t="n">
        <v>35837</v>
      </c>
      <c r="P5" s="89" t="n">
        <v>24.8</v>
      </c>
      <c r="Q5" s="87" t="n">
        <v>128</v>
      </c>
      <c r="R5" s="87" t="n">
        <v>2272</v>
      </c>
      <c r="S5" s="87" t="n">
        <v>198</v>
      </c>
      <c r="T5" s="87" t="n">
        <v>6</v>
      </c>
      <c r="U5" s="89" t="n">
        <v>4.3</v>
      </c>
      <c r="V5" s="89" t="n">
        <v>2.3</v>
      </c>
      <c r="W5" s="89" t="n">
        <v>14.9</v>
      </c>
      <c r="X5" s="87" t="n">
        <v>148</v>
      </c>
      <c r="Y5" s="87" t="n">
        <v>136</v>
      </c>
      <c r="Z5" s="88" t="n">
        <v>50543</v>
      </c>
      <c r="AA5" s="26" t="n"/>
      <c r="AB5" s="86">
        <f>IF($A5="","",$A5-WEEKDAY($A5,2)+1)</f>
        <v/>
      </c>
      <c r="AC5" s="86">
        <f>IF($A5="","",DATE(YEAR($A5),MONTH($A5),1))</f>
        <v/>
      </c>
      <c r="AD5" s="90">
        <f>IF($A5="","",IFERROR($K5/$J5,0))</f>
        <v/>
      </c>
      <c r="AE5" s="90">
        <f>IF($A5="","",IFERROR($L5/$J5,0))</f>
        <v/>
      </c>
      <c r="AF5" s="90">
        <f>IF($A5="","",IFERROR($M5/$J5,0))</f>
        <v/>
      </c>
      <c r="AG5" s="88">
        <f>IF($A5="","",$N5-$O5)</f>
        <v/>
      </c>
      <c r="AH5" s="90">
        <f>IF($A5="","",IFERROR($AG5/$N5,0))</f>
        <v/>
      </c>
      <c r="AI5" s="89">
        <f>IF($A5="","",IFERROR($K5/$P5,0))</f>
        <v/>
      </c>
      <c r="AJ5" s="90">
        <f>IF($A5="","",IFERROR($S5/$R5,0))</f>
        <v/>
      </c>
      <c r="AK5" s="90">
        <f>IF($A5="","",IFERROR($T5/$J5,0))</f>
        <v/>
      </c>
      <c r="AL5" s="26">
        <f>IF($A5="","",IF(AND($AD5&gt;='01_Settings'!$B$9,$V5&lt;='01_Settings'!$B$10,$W5&lt;='01_Settings'!$B$11),"On track","Off track"))</f>
        <v/>
      </c>
      <c r="AM5" s="42">
        <f>IF($A5="","",IF($AD5&lt;'01_Settings'!$B$9,"Low completion rate; ","")&amp;IF($AE5&gt;'01_Settings'!$B$12,"High overdue rate; ","")&amp;IF($U5&lt;'01_Settings'!$B$13,"Low satisfaction; ","")&amp;IF($AH5&lt;'01_Settings'!$B$14,"Low gross margin; ","")&amp;IF($AJ5&lt;'01_Settings'!$B$15,"Low conversion rate; ","")&amp;IF($AK5&gt;'01_Settings'!$B$16,"High complaint rate; ",""))</f>
        <v/>
      </c>
    </row>
    <row r="6" ht="18" customHeight="1">
      <c r="A6" s="86" t="n">
        <v>46085</v>
      </c>
      <c r="B6" s="26" t="inlineStr">
        <is>
          <t>Digital Business Unit</t>
        </is>
      </c>
      <c r="C6" s="26" t="inlineStr">
        <is>
          <t>E-commerce Operations</t>
        </is>
      </c>
      <c r="D6" s="26" t="inlineStr">
        <is>
          <t>Premium Service</t>
        </is>
      </c>
      <c r="E6" s="26" t="inlineStr">
        <is>
          <t>Mobile app</t>
        </is>
      </c>
      <c r="F6" s="26" t="inlineStr">
        <is>
          <t>Southeast</t>
        </is>
      </c>
      <c r="G6" s="26" t="inlineStr">
        <is>
          <t>Southeast Team</t>
        </is>
      </c>
      <c r="H6" s="26" t="inlineStr">
        <is>
          <t>Emily Davis</t>
        </is>
      </c>
      <c r="I6" s="26" t="inlineStr">
        <is>
          <t>Standard customer</t>
        </is>
      </c>
      <c r="J6" s="87" t="n">
        <v>259</v>
      </c>
      <c r="K6" s="87" t="n">
        <v>233</v>
      </c>
      <c r="L6" s="87" t="n">
        <v>7</v>
      </c>
      <c r="M6" s="87" t="n">
        <v>0</v>
      </c>
      <c r="N6" s="88" t="n">
        <v>26304</v>
      </c>
      <c r="O6" s="88" t="n">
        <v>18923</v>
      </c>
      <c r="P6" s="89" t="n">
        <v>43</v>
      </c>
      <c r="Q6" s="87" t="n">
        <v>236</v>
      </c>
      <c r="R6" s="87" t="n">
        <v>596</v>
      </c>
      <c r="S6" s="87" t="n">
        <v>51</v>
      </c>
      <c r="T6" s="87" t="n">
        <v>7</v>
      </c>
      <c r="U6" s="89" t="n">
        <v>4.3</v>
      </c>
      <c r="V6" s="89" t="n">
        <v>2.3</v>
      </c>
      <c r="W6" s="89" t="n">
        <v>23.5</v>
      </c>
      <c r="X6" s="87" t="n">
        <v>7</v>
      </c>
      <c r="Y6" s="87" t="n">
        <v>233</v>
      </c>
      <c r="Z6" s="88" t="n">
        <v>27620</v>
      </c>
      <c r="AA6" s="26" t="n"/>
      <c r="AB6" s="86">
        <f>IF($A6="","",$A6-WEEKDAY($A6,2)+1)</f>
        <v/>
      </c>
      <c r="AC6" s="86">
        <f>IF($A6="","",DATE(YEAR($A6),MONTH($A6),1))</f>
        <v/>
      </c>
      <c r="AD6" s="90">
        <f>IF($A6="","",IFERROR($K6/$J6,0))</f>
        <v/>
      </c>
      <c r="AE6" s="90">
        <f>IF($A6="","",IFERROR($L6/$J6,0))</f>
        <v/>
      </c>
      <c r="AF6" s="90">
        <f>IF($A6="","",IFERROR($M6/$J6,0))</f>
        <v/>
      </c>
      <c r="AG6" s="88">
        <f>IF($A6="","",$N6-$O6)</f>
        <v/>
      </c>
      <c r="AH6" s="90">
        <f>IF($A6="","",IFERROR($AG6/$N6,0))</f>
        <v/>
      </c>
      <c r="AI6" s="89">
        <f>IF($A6="","",IFERROR($K6/$P6,0))</f>
        <v/>
      </c>
      <c r="AJ6" s="90">
        <f>IF($A6="","",IFERROR($S6/$R6,0))</f>
        <v/>
      </c>
      <c r="AK6" s="90">
        <f>IF($A6="","",IFERROR($T6/$J6,0))</f>
        <v/>
      </c>
      <c r="AL6" s="26">
        <f>IF($A6="","",IF(AND($AD6&gt;='01_Settings'!$B$9,$V6&lt;='01_Settings'!$B$10,$W6&lt;='01_Settings'!$B$11),"On track","Off track"))</f>
        <v/>
      </c>
      <c r="AM6" s="42">
        <f>IF($A6="","",IF($AD6&lt;'01_Settings'!$B$9,"Low completion rate; ","")&amp;IF($AE6&gt;'01_Settings'!$B$12,"High overdue rate; ","")&amp;IF($U6&lt;'01_Settings'!$B$13,"Low satisfaction; ","")&amp;IF($AH6&lt;'01_Settings'!$B$14,"Low gross margin; ","")&amp;IF($AJ6&lt;'01_Settings'!$B$15,"Low conversion rate; ","")&amp;IF($AK6&gt;'01_Settings'!$B$16,"High complaint rate; ",""))</f>
        <v/>
      </c>
    </row>
    <row r="7" ht="18" customHeight="1">
      <c r="A7" s="86" t="n">
        <v>46085</v>
      </c>
      <c r="B7" s="26" t="inlineStr">
        <is>
          <t>North Operations Center</t>
        </is>
      </c>
      <c r="C7" s="26" t="inlineStr">
        <is>
          <t>Field Services</t>
        </is>
      </c>
      <c r="D7" s="26" t="inlineStr">
        <is>
          <t>Membership Program</t>
        </is>
      </c>
      <c r="E7" s="26" t="inlineStr">
        <is>
          <t>Retail store</t>
        </is>
      </c>
      <c r="F7" s="26" t="inlineStr">
        <is>
          <t>Southwest</t>
        </is>
      </c>
      <c r="G7" s="26" t="inlineStr">
        <is>
          <t>Southwest Team</t>
        </is>
      </c>
      <c r="H7" s="26" t="inlineStr">
        <is>
          <t>John Miller</t>
        </is>
      </c>
      <c r="I7" s="26" t="inlineStr">
        <is>
          <t>Standard customer</t>
        </is>
      </c>
      <c r="J7" s="87" t="n">
        <v>244</v>
      </c>
      <c r="K7" s="87" t="n">
        <v>206</v>
      </c>
      <c r="L7" s="87" t="n">
        <v>4</v>
      </c>
      <c r="M7" s="87" t="n">
        <v>8</v>
      </c>
      <c r="N7" s="88" t="n">
        <v>60956</v>
      </c>
      <c r="O7" s="88" t="n">
        <v>49521</v>
      </c>
      <c r="P7" s="89" t="n">
        <v>37</v>
      </c>
      <c r="Q7" s="87" t="n">
        <v>279</v>
      </c>
      <c r="R7" s="87" t="n">
        <v>814</v>
      </c>
      <c r="S7" s="87" t="n">
        <v>117</v>
      </c>
      <c r="T7" s="87" t="n">
        <v>4</v>
      </c>
      <c r="U7" s="89" t="n">
        <v>4.4</v>
      </c>
      <c r="V7" s="89" t="n">
        <v>4</v>
      </c>
      <c r="W7" s="89" t="n">
        <v>12.3</v>
      </c>
      <c r="X7" s="87" t="n">
        <v>46</v>
      </c>
      <c r="Y7" s="87" t="n">
        <v>219</v>
      </c>
      <c r="Z7" s="88" t="n">
        <v>68043</v>
      </c>
      <c r="AA7" s="26" t="n"/>
      <c r="AB7" s="86">
        <f>IF($A7="","",$A7-WEEKDAY($A7,2)+1)</f>
        <v/>
      </c>
      <c r="AC7" s="86">
        <f>IF($A7="","",DATE(YEAR($A7),MONTH($A7),1))</f>
        <v/>
      </c>
      <c r="AD7" s="90">
        <f>IF($A7="","",IFERROR($K7/$J7,0))</f>
        <v/>
      </c>
      <c r="AE7" s="90">
        <f>IF($A7="","",IFERROR($L7/$J7,0))</f>
        <v/>
      </c>
      <c r="AF7" s="90">
        <f>IF($A7="","",IFERROR($M7/$J7,0))</f>
        <v/>
      </c>
      <c r="AG7" s="88">
        <f>IF($A7="","",$N7-$O7)</f>
        <v/>
      </c>
      <c r="AH7" s="90">
        <f>IF($A7="","",IFERROR($AG7/$N7,0))</f>
        <v/>
      </c>
      <c r="AI7" s="89">
        <f>IF($A7="","",IFERROR($K7/$P7,0))</f>
        <v/>
      </c>
      <c r="AJ7" s="90">
        <f>IF($A7="","",IFERROR($S7/$R7,0))</f>
        <v/>
      </c>
      <c r="AK7" s="90">
        <f>IF($A7="","",IFERROR($T7/$J7,0))</f>
        <v/>
      </c>
      <c r="AL7" s="26">
        <f>IF($A7="","",IF(AND($AD7&gt;='01_Settings'!$B$9,$V7&lt;='01_Settings'!$B$10,$W7&lt;='01_Settings'!$B$11),"On track","Off track"))</f>
        <v/>
      </c>
      <c r="AM7" s="42">
        <f>IF($A7="","",IF($AD7&lt;'01_Settings'!$B$9,"Low completion rate; ","")&amp;IF($AE7&gt;'01_Settings'!$B$12,"High overdue rate; ","")&amp;IF($U7&lt;'01_Settings'!$B$13,"Low satisfaction; ","")&amp;IF($AH7&lt;'01_Settings'!$B$14,"Low gross margin; ","")&amp;IF($AJ7&lt;'01_Settings'!$B$15,"Low conversion rate; ","")&amp;IF($AK7&gt;'01_Settings'!$B$16,"High complaint rate; ",""))</f>
        <v/>
      </c>
    </row>
    <row r="8" ht="18" customHeight="1">
      <c r="A8" s="86" t="n">
        <v>46086</v>
      </c>
      <c r="B8" s="26" t="inlineStr">
        <is>
          <t>North Operations Center</t>
        </is>
      </c>
      <c r="C8" s="26" t="inlineStr">
        <is>
          <t>Field Services</t>
        </is>
      </c>
      <c r="D8" s="26" t="inlineStr">
        <is>
          <t>Standard Service</t>
        </is>
      </c>
      <c r="E8" s="26" t="inlineStr">
        <is>
          <t>Email</t>
        </is>
      </c>
      <c r="F8" s="26" t="inlineStr">
        <is>
          <t>Southeast</t>
        </is>
      </c>
      <c r="G8" s="26" t="inlineStr">
        <is>
          <t>Southeast Team</t>
        </is>
      </c>
      <c r="H8" s="26" t="inlineStr">
        <is>
          <t>Sarah Johnson</t>
        </is>
      </c>
      <c r="I8" s="26" t="inlineStr">
        <is>
          <t>Enterprise customers</t>
        </is>
      </c>
      <c r="J8" s="87" t="n">
        <v>172</v>
      </c>
      <c r="K8" s="87" t="n">
        <v>165</v>
      </c>
      <c r="L8" s="87" t="n">
        <v>19</v>
      </c>
      <c r="M8" s="87" t="n">
        <v>0</v>
      </c>
      <c r="N8" s="88" t="n">
        <v>37257</v>
      </c>
      <c r="O8" s="88" t="n">
        <v>21188</v>
      </c>
      <c r="P8" s="89" t="n">
        <v>29.6</v>
      </c>
      <c r="Q8" s="87" t="n">
        <v>84</v>
      </c>
      <c r="R8" s="87" t="n">
        <v>709</v>
      </c>
      <c r="S8" s="87" t="n">
        <v>84</v>
      </c>
      <c r="T8" s="87" t="n">
        <v>7</v>
      </c>
      <c r="U8" s="89" t="n">
        <v>4</v>
      </c>
      <c r="V8" s="89" t="n">
        <v>3.6</v>
      </c>
      <c r="W8" s="89" t="n">
        <v>25</v>
      </c>
      <c r="X8" s="87" t="n">
        <v>59</v>
      </c>
      <c r="Y8" s="87" t="n">
        <v>154</v>
      </c>
      <c r="Z8" s="88" t="n">
        <v>36511</v>
      </c>
      <c r="AA8" s="26" t="n"/>
      <c r="AB8" s="86">
        <f>IF($A8="","",$A8-WEEKDAY($A8,2)+1)</f>
        <v/>
      </c>
      <c r="AC8" s="86">
        <f>IF($A8="","",DATE(YEAR($A8),MONTH($A8),1))</f>
        <v/>
      </c>
      <c r="AD8" s="90">
        <f>IF($A8="","",IFERROR($K8/$J8,0))</f>
        <v/>
      </c>
      <c r="AE8" s="90">
        <f>IF($A8="","",IFERROR($L8/$J8,0))</f>
        <v/>
      </c>
      <c r="AF8" s="90">
        <f>IF($A8="","",IFERROR($M8/$J8,0))</f>
        <v/>
      </c>
      <c r="AG8" s="88">
        <f>IF($A8="","",$N8-$O8)</f>
        <v/>
      </c>
      <c r="AH8" s="90">
        <f>IF($A8="","",IFERROR($AG8/$N8,0))</f>
        <v/>
      </c>
      <c r="AI8" s="89">
        <f>IF($A8="","",IFERROR($K8/$P8,0))</f>
        <v/>
      </c>
      <c r="AJ8" s="90">
        <f>IF($A8="","",IFERROR($S8/$R8,0))</f>
        <v/>
      </c>
      <c r="AK8" s="90">
        <f>IF($A8="","",IFERROR($T8/$J8,0))</f>
        <v/>
      </c>
      <c r="AL8" s="26">
        <f>IF($A8="","",IF(AND($AD8&gt;='01_Settings'!$B$9,$V8&lt;='01_Settings'!$B$10,$W8&lt;='01_Settings'!$B$11),"On track","Off track"))</f>
        <v/>
      </c>
      <c r="AM8" s="42">
        <f>IF($A8="","",IF($AD8&lt;'01_Settings'!$B$9,"Low completion rate; ","")&amp;IF($AE8&gt;'01_Settings'!$B$12,"High overdue rate; ","")&amp;IF($U8&lt;'01_Settings'!$B$13,"Low satisfaction; ","")&amp;IF($AH8&lt;'01_Settings'!$B$14,"Low gross margin; ","")&amp;IF($AJ8&lt;'01_Settings'!$B$15,"Low conversion rate; ","")&amp;IF($AK8&gt;'01_Settings'!$B$16,"High complaint rate; ",""))</f>
        <v/>
      </c>
    </row>
    <row r="9" ht="18" customHeight="1">
      <c r="A9" s="86" t="n">
        <v>46086</v>
      </c>
      <c r="B9" s="26" t="inlineStr">
        <is>
          <t>North Operations Center</t>
        </is>
      </c>
      <c r="C9" s="26" t="inlineStr">
        <is>
          <t>Supply Chain / Inventory</t>
        </is>
      </c>
      <c r="D9" s="26" t="inlineStr">
        <is>
          <t>After-sales Coverage</t>
        </is>
      </c>
      <c r="E9" s="26" t="inlineStr">
        <is>
          <t>Distributor</t>
        </is>
      </c>
      <c r="F9" s="26" t="inlineStr">
        <is>
          <t>Southwest</t>
        </is>
      </c>
      <c r="G9" s="26" t="inlineStr">
        <is>
          <t>Southwest Team</t>
        </is>
      </c>
      <c r="H9" s="26" t="inlineStr">
        <is>
          <t>Jessica Taylor</t>
        </is>
      </c>
      <c r="I9" s="26" t="inlineStr">
        <is>
          <t>Existing customer</t>
        </is>
      </c>
      <c r="J9" s="87" t="n">
        <v>244</v>
      </c>
      <c r="K9" s="87" t="n">
        <v>204</v>
      </c>
      <c r="L9" s="87" t="n">
        <v>10</v>
      </c>
      <c r="M9" s="87" t="n">
        <v>4</v>
      </c>
      <c r="N9" s="88" t="n">
        <v>52324</v>
      </c>
      <c r="O9" s="88" t="n">
        <v>32029</v>
      </c>
      <c r="P9" s="89" t="n">
        <v>17.8</v>
      </c>
      <c r="Q9" s="87" t="n">
        <v>56</v>
      </c>
      <c r="R9" s="87" t="n">
        <v>397</v>
      </c>
      <c r="S9" s="87" t="n">
        <v>26</v>
      </c>
      <c r="T9" s="87" t="n">
        <v>10</v>
      </c>
      <c r="U9" s="89" t="n">
        <v>4.7</v>
      </c>
      <c r="V9" s="89" t="n">
        <v>1.4</v>
      </c>
      <c r="W9" s="89" t="n">
        <v>14.7</v>
      </c>
      <c r="X9" s="87" t="n">
        <v>176</v>
      </c>
      <c r="Y9" s="87" t="n">
        <v>219</v>
      </c>
      <c r="Z9" s="88" t="n">
        <v>58980</v>
      </c>
      <c r="AA9" s="26" t="n"/>
      <c r="AB9" s="86">
        <f>IF($A9="","",$A9-WEEKDAY($A9,2)+1)</f>
        <v/>
      </c>
      <c r="AC9" s="86">
        <f>IF($A9="","",DATE(YEAR($A9),MONTH($A9),1))</f>
        <v/>
      </c>
      <c r="AD9" s="90">
        <f>IF($A9="","",IFERROR($K9/$J9,0))</f>
        <v/>
      </c>
      <c r="AE9" s="90">
        <f>IF($A9="","",IFERROR($L9/$J9,0))</f>
        <v/>
      </c>
      <c r="AF9" s="90">
        <f>IF($A9="","",IFERROR($M9/$J9,0))</f>
        <v/>
      </c>
      <c r="AG9" s="88">
        <f>IF($A9="","",$N9-$O9)</f>
        <v/>
      </c>
      <c r="AH9" s="90">
        <f>IF($A9="","",IFERROR($AG9/$N9,0))</f>
        <v/>
      </c>
      <c r="AI9" s="89">
        <f>IF($A9="","",IFERROR($K9/$P9,0))</f>
        <v/>
      </c>
      <c r="AJ9" s="90">
        <f>IF($A9="","",IFERROR($S9/$R9,0))</f>
        <v/>
      </c>
      <c r="AK9" s="90">
        <f>IF($A9="","",IFERROR($T9/$J9,0))</f>
        <v/>
      </c>
      <c r="AL9" s="26">
        <f>IF($A9="","",IF(AND($AD9&gt;='01_Settings'!$B$9,$V9&lt;='01_Settings'!$B$10,$W9&lt;='01_Settings'!$B$11),"On track","Off track"))</f>
        <v/>
      </c>
      <c r="AM9" s="42">
        <f>IF($A9="","",IF($AD9&lt;'01_Settings'!$B$9,"Low completion rate; ","")&amp;IF($AE9&gt;'01_Settings'!$B$12,"High overdue rate; ","")&amp;IF($U9&lt;'01_Settings'!$B$13,"Low satisfaction; ","")&amp;IF($AH9&lt;'01_Settings'!$B$14,"Low gross margin; ","")&amp;IF($AJ9&lt;'01_Settings'!$B$15,"Low conversion rate; ","")&amp;IF($AK9&gt;'01_Settings'!$B$16,"High complaint rate; ",""))</f>
        <v/>
      </c>
    </row>
    <row r="10" ht="18" customHeight="1">
      <c r="A10" s="86" t="n">
        <v>46086</v>
      </c>
      <c r="B10" s="26" t="inlineStr">
        <is>
          <t>Digital Business Unit</t>
        </is>
      </c>
      <c r="C10" s="26" t="inlineStr">
        <is>
          <t>Customer Support Operations</t>
        </is>
      </c>
      <c r="D10" s="26" t="inlineStr">
        <is>
          <t>Enterprise customers</t>
        </is>
      </c>
      <c r="E10" s="26" t="inlineStr">
        <is>
          <t>Email</t>
        </is>
      </c>
      <c r="F10" s="26" t="inlineStr">
        <is>
          <t>Southwest</t>
        </is>
      </c>
      <c r="G10" s="26" t="inlineStr">
        <is>
          <t>Southwest Team</t>
        </is>
      </c>
      <c r="H10" s="26" t="inlineStr">
        <is>
          <t>Jessica Taylor</t>
        </is>
      </c>
      <c r="I10" s="26" t="inlineStr">
        <is>
          <t>Existing customer</t>
        </is>
      </c>
      <c r="J10" s="87" t="n">
        <v>226</v>
      </c>
      <c r="K10" s="87" t="n">
        <v>192</v>
      </c>
      <c r="L10" s="87" t="n">
        <v>6</v>
      </c>
      <c r="M10" s="87" t="n">
        <v>4</v>
      </c>
      <c r="N10" s="88" t="n">
        <v>39758</v>
      </c>
      <c r="O10" s="88" t="n">
        <v>26880</v>
      </c>
      <c r="P10" s="89" t="n">
        <v>33.4</v>
      </c>
      <c r="Q10" s="87" t="n">
        <v>364</v>
      </c>
      <c r="R10" s="87" t="n">
        <v>867</v>
      </c>
      <c r="S10" s="87" t="n">
        <v>40</v>
      </c>
      <c r="T10" s="87" t="n">
        <v>7</v>
      </c>
      <c r="U10" s="89" t="n">
        <v>4.6</v>
      </c>
      <c r="V10" s="89" t="n">
        <v>1.5</v>
      </c>
      <c r="W10" s="89" t="n">
        <v>13.4</v>
      </c>
      <c r="X10" s="87" t="n">
        <v>142</v>
      </c>
      <c r="Y10" s="87" t="n">
        <v>203</v>
      </c>
      <c r="Z10" s="88" t="n">
        <v>44138</v>
      </c>
      <c r="AA10" s="26" t="n"/>
      <c r="AB10" s="86">
        <f>IF($A10="","",$A10-WEEKDAY($A10,2)+1)</f>
        <v/>
      </c>
      <c r="AC10" s="86">
        <f>IF($A10="","",DATE(YEAR($A10),MONTH($A10),1))</f>
        <v/>
      </c>
      <c r="AD10" s="90">
        <f>IF($A10="","",IFERROR($K10/$J10,0))</f>
        <v/>
      </c>
      <c r="AE10" s="90">
        <f>IF($A10="","",IFERROR($L10/$J10,0))</f>
        <v/>
      </c>
      <c r="AF10" s="90">
        <f>IF($A10="","",IFERROR($M10/$J10,0))</f>
        <v/>
      </c>
      <c r="AG10" s="88">
        <f>IF($A10="","",$N10-$O10)</f>
        <v/>
      </c>
      <c r="AH10" s="90">
        <f>IF($A10="","",IFERROR($AG10/$N10,0))</f>
        <v/>
      </c>
      <c r="AI10" s="89">
        <f>IF($A10="","",IFERROR($K10/$P10,0))</f>
        <v/>
      </c>
      <c r="AJ10" s="90">
        <f>IF($A10="","",IFERROR($S10/$R10,0))</f>
        <v/>
      </c>
      <c r="AK10" s="90">
        <f>IF($A10="","",IFERROR($T10/$J10,0))</f>
        <v/>
      </c>
      <c r="AL10" s="26">
        <f>IF($A10="","",IF(AND($AD10&gt;='01_Settings'!$B$9,$V10&lt;='01_Settings'!$B$10,$W10&lt;='01_Settings'!$B$11),"On track","Off track"))</f>
        <v/>
      </c>
      <c r="AM10" s="42">
        <f>IF($A10="","",IF($AD10&lt;'01_Settings'!$B$9,"Low completion rate; ","")&amp;IF($AE10&gt;'01_Settings'!$B$12,"High overdue rate; ","")&amp;IF($U10&lt;'01_Settings'!$B$13,"Low satisfaction; ","")&amp;IF($AH10&lt;'01_Settings'!$B$14,"Low gross margin; ","")&amp;IF($AJ10&lt;'01_Settings'!$B$15,"Low conversion rate; ","")&amp;IF($AK10&gt;'01_Settings'!$B$16,"High complaint rate; ",""))</f>
        <v/>
      </c>
    </row>
    <row r="11" ht="18" customHeight="1">
      <c r="A11" s="86" t="n">
        <v>46087</v>
      </c>
      <c r="B11" s="26" t="inlineStr">
        <is>
          <t>Southeast Division</t>
        </is>
      </c>
      <c r="C11" s="26" t="inlineStr">
        <is>
          <t>Growth Marketing</t>
        </is>
      </c>
      <c r="D11" s="26" t="inlineStr">
        <is>
          <t>Enterprise customers</t>
        </is>
      </c>
      <c r="E11" s="26" t="inlineStr">
        <is>
          <t>Retail store</t>
        </is>
      </c>
      <c r="F11" s="26" t="inlineStr">
        <is>
          <t>International</t>
        </is>
      </c>
      <c r="G11" s="26" t="inlineStr">
        <is>
          <t>International Team</t>
        </is>
      </c>
      <c r="H11" s="26" t="inlineStr">
        <is>
          <t>Robert Thomas</t>
        </is>
      </c>
      <c r="I11" s="26" t="inlineStr">
        <is>
          <t>Enterprise customers</t>
        </is>
      </c>
      <c r="J11" s="87" t="n">
        <v>276</v>
      </c>
      <c r="K11" s="87" t="n">
        <v>230</v>
      </c>
      <c r="L11" s="87" t="n">
        <v>23</v>
      </c>
      <c r="M11" s="87" t="n">
        <v>7</v>
      </c>
      <c r="N11" s="88" t="n">
        <v>19418</v>
      </c>
      <c r="O11" s="88" t="n">
        <v>11169</v>
      </c>
      <c r="P11" s="89" t="n">
        <v>41</v>
      </c>
      <c r="Q11" s="87" t="n">
        <v>141</v>
      </c>
      <c r="R11" s="87" t="n">
        <v>922</v>
      </c>
      <c r="S11" s="87" t="n">
        <v>81</v>
      </c>
      <c r="T11" s="87" t="n">
        <v>6</v>
      </c>
      <c r="U11" s="89" t="n">
        <v>4.7</v>
      </c>
      <c r="V11" s="89" t="n">
        <v>5.5</v>
      </c>
      <c r="W11" s="89" t="n">
        <v>12.6</v>
      </c>
      <c r="X11" s="87" t="n">
        <v>5</v>
      </c>
      <c r="Y11" s="87" t="n">
        <v>248</v>
      </c>
      <c r="Z11" s="88" t="n">
        <v>21985</v>
      </c>
      <c r="AA11" s="26" t="n"/>
      <c r="AB11" s="86">
        <f>IF($A11="","",$A11-WEEKDAY($A11,2)+1)</f>
        <v/>
      </c>
      <c r="AC11" s="86">
        <f>IF($A11="","",DATE(YEAR($A11),MONTH($A11),1))</f>
        <v/>
      </c>
      <c r="AD11" s="90">
        <f>IF($A11="","",IFERROR($K11/$J11,0))</f>
        <v/>
      </c>
      <c r="AE11" s="90">
        <f>IF($A11="","",IFERROR($L11/$J11,0))</f>
        <v/>
      </c>
      <c r="AF11" s="90">
        <f>IF($A11="","",IFERROR($M11/$J11,0))</f>
        <v/>
      </c>
      <c r="AG11" s="88">
        <f>IF($A11="","",$N11-$O11)</f>
        <v/>
      </c>
      <c r="AH11" s="90">
        <f>IF($A11="","",IFERROR($AG11/$N11,0))</f>
        <v/>
      </c>
      <c r="AI11" s="89">
        <f>IF($A11="","",IFERROR($K11/$P11,0))</f>
        <v/>
      </c>
      <c r="AJ11" s="90">
        <f>IF($A11="","",IFERROR($S11/$R11,0))</f>
        <v/>
      </c>
      <c r="AK11" s="90">
        <f>IF($A11="","",IFERROR($T11/$J11,0))</f>
        <v/>
      </c>
      <c r="AL11" s="26">
        <f>IF($A11="","",IF(AND($AD11&gt;='01_Settings'!$B$9,$V11&lt;='01_Settings'!$B$10,$W11&lt;='01_Settings'!$B$11),"On track","Off track"))</f>
        <v/>
      </c>
      <c r="AM11" s="42">
        <f>IF($A11="","",IF($AD11&lt;'01_Settings'!$B$9,"Low completion rate; ","")&amp;IF($AE11&gt;'01_Settings'!$B$12,"High overdue rate; ","")&amp;IF($U11&lt;'01_Settings'!$B$13,"Low satisfaction; ","")&amp;IF($AH11&lt;'01_Settings'!$B$14,"Low gross margin; ","")&amp;IF($AJ11&lt;'01_Settings'!$B$15,"Low conversion rate; ","")&amp;IF($AK11&gt;'01_Settings'!$B$16,"High complaint rate; ",""))</f>
        <v/>
      </c>
    </row>
    <row r="12" ht="18" customHeight="1">
      <c r="A12" s="86" t="n">
        <v>46087</v>
      </c>
      <c r="B12" s="26" t="inlineStr">
        <is>
          <t>North Operations Center</t>
        </is>
      </c>
      <c r="C12" s="26" t="inlineStr">
        <is>
          <t>Sales Operations</t>
        </is>
      </c>
      <c r="D12" s="26" t="inlineStr">
        <is>
          <t>Project Delivery</t>
        </is>
      </c>
      <c r="E12" s="26" t="inlineStr">
        <is>
          <t>Marketplace store</t>
        </is>
      </c>
      <c r="F12" s="26" t="inlineStr">
        <is>
          <t>International</t>
        </is>
      </c>
      <c r="G12" s="26" t="inlineStr">
        <is>
          <t>International Team</t>
        </is>
      </c>
      <c r="H12" s="26" t="inlineStr">
        <is>
          <t>Emily Davis</t>
        </is>
      </c>
      <c r="I12" s="26" t="inlineStr">
        <is>
          <t>Existing customer</t>
        </is>
      </c>
      <c r="J12" s="87" t="n">
        <v>272</v>
      </c>
      <c r="K12" s="87" t="n">
        <v>251</v>
      </c>
      <c r="L12" s="87" t="n">
        <v>18</v>
      </c>
      <c r="M12" s="87" t="n">
        <v>2</v>
      </c>
      <c r="N12" s="88" t="n">
        <v>36473</v>
      </c>
      <c r="O12" s="88" t="n">
        <v>20636</v>
      </c>
      <c r="P12" s="89" t="n">
        <v>43.9</v>
      </c>
      <c r="Q12" s="87" t="n">
        <v>51</v>
      </c>
      <c r="R12" s="87" t="n">
        <v>1435</v>
      </c>
      <c r="S12" s="87" t="n">
        <v>67</v>
      </c>
      <c r="T12" s="87" t="n">
        <v>7</v>
      </c>
      <c r="U12" s="89" t="n">
        <v>4.3</v>
      </c>
      <c r="V12" s="89" t="n">
        <v>5.3</v>
      </c>
      <c r="W12" s="89" t="n">
        <v>12.4</v>
      </c>
      <c r="X12" s="87" t="n">
        <v>135</v>
      </c>
      <c r="Y12" s="87" t="n">
        <v>244</v>
      </c>
      <c r="Z12" s="88" t="n">
        <v>37228</v>
      </c>
      <c r="AA12" s="26" t="n"/>
      <c r="AB12" s="86">
        <f>IF($A12="","",$A12-WEEKDAY($A12,2)+1)</f>
        <v/>
      </c>
      <c r="AC12" s="86">
        <f>IF($A12="","",DATE(YEAR($A12),MONTH($A12),1))</f>
        <v/>
      </c>
      <c r="AD12" s="90">
        <f>IF($A12="","",IFERROR($K12/$J12,0))</f>
        <v/>
      </c>
      <c r="AE12" s="90">
        <f>IF($A12="","",IFERROR($L12/$J12,0))</f>
        <v/>
      </c>
      <c r="AF12" s="90">
        <f>IF($A12="","",IFERROR($M12/$J12,0))</f>
        <v/>
      </c>
      <c r="AG12" s="88">
        <f>IF($A12="","",$N12-$O12)</f>
        <v/>
      </c>
      <c r="AH12" s="90">
        <f>IF($A12="","",IFERROR($AG12/$N12,0))</f>
        <v/>
      </c>
      <c r="AI12" s="89">
        <f>IF($A12="","",IFERROR($K12/$P12,0))</f>
        <v/>
      </c>
      <c r="AJ12" s="90">
        <f>IF($A12="","",IFERROR($S12/$R12,0))</f>
        <v/>
      </c>
      <c r="AK12" s="90">
        <f>IF($A12="","",IFERROR($T12/$J12,0))</f>
        <v/>
      </c>
      <c r="AL12" s="26">
        <f>IF($A12="","",IF(AND($AD12&gt;='01_Settings'!$B$9,$V12&lt;='01_Settings'!$B$10,$W12&lt;='01_Settings'!$B$11),"On track","Off track"))</f>
        <v/>
      </c>
      <c r="AM12" s="42">
        <f>IF($A12="","",IF($AD12&lt;'01_Settings'!$B$9,"Low completion rate; ","")&amp;IF($AE12&gt;'01_Settings'!$B$12,"High overdue rate; ","")&amp;IF($U12&lt;'01_Settings'!$B$13,"Low satisfaction; ","")&amp;IF($AH12&lt;'01_Settings'!$B$14,"Low gross margin; ","")&amp;IF($AJ12&lt;'01_Settings'!$B$15,"Low conversion rate; ","")&amp;IF($AK12&gt;'01_Settings'!$B$16,"High complaint rate; ",""))</f>
        <v/>
      </c>
    </row>
    <row r="13" ht="18" customHeight="1">
      <c r="A13" s="86" t="n">
        <v>46087</v>
      </c>
      <c r="B13" s="26" t="inlineStr">
        <is>
          <t>East Coast Division</t>
        </is>
      </c>
      <c r="C13" s="26" t="inlineStr">
        <is>
          <t>E-commerce Operations</t>
        </is>
      </c>
      <c r="D13" s="26" t="inlineStr">
        <is>
          <t>Enterprise customers</t>
        </is>
      </c>
      <c r="E13" s="26" t="inlineStr">
        <is>
          <t>Email</t>
        </is>
      </c>
      <c r="F13" s="26" t="inlineStr">
        <is>
          <t>Northeast</t>
        </is>
      </c>
      <c r="G13" s="26" t="inlineStr">
        <is>
          <t>Northeast Team</t>
        </is>
      </c>
      <c r="H13" s="26" t="inlineStr">
        <is>
          <t>David Wilson</t>
        </is>
      </c>
      <c r="I13" s="26" t="inlineStr">
        <is>
          <t>High-value customer</t>
        </is>
      </c>
      <c r="J13" s="87" t="n">
        <v>75</v>
      </c>
      <c r="K13" s="87" t="n">
        <v>72</v>
      </c>
      <c r="L13" s="87" t="n">
        <v>5</v>
      </c>
      <c r="M13" s="87" t="n">
        <v>2</v>
      </c>
      <c r="N13" s="88" t="n">
        <v>6618</v>
      </c>
      <c r="O13" s="88" t="n">
        <v>3786</v>
      </c>
      <c r="P13" s="89" t="n">
        <v>11.6</v>
      </c>
      <c r="Q13" s="87" t="n">
        <v>309</v>
      </c>
      <c r="R13" s="87" t="n">
        <v>2550</v>
      </c>
      <c r="S13" s="87" t="n">
        <v>198</v>
      </c>
      <c r="T13" s="87" t="n">
        <v>1</v>
      </c>
      <c r="U13" s="89" t="n">
        <v>4.5</v>
      </c>
      <c r="V13" s="89" t="n">
        <v>2.6</v>
      </c>
      <c r="W13" s="89" t="n">
        <v>15.4</v>
      </c>
      <c r="X13" s="87" t="n">
        <v>38</v>
      </c>
      <c r="Y13" s="87" t="n">
        <v>67</v>
      </c>
      <c r="Z13" s="88" t="n">
        <v>6467</v>
      </c>
      <c r="AA13" s="26" t="n"/>
      <c r="AB13" s="86">
        <f>IF($A13="","",$A13-WEEKDAY($A13,2)+1)</f>
        <v/>
      </c>
      <c r="AC13" s="86">
        <f>IF($A13="","",DATE(YEAR($A13),MONTH($A13),1))</f>
        <v/>
      </c>
      <c r="AD13" s="90">
        <f>IF($A13="","",IFERROR($K13/$J13,0))</f>
        <v/>
      </c>
      <c r="AE13" s="90">
        <f>IF($A13="","",IFERROR($L13/$J13,0))</f>
        <v/>
      </c>
      <c r="AF13" s="90">
        <f>IF($A13="","",IFERROR($M13/$J13,0))</f>
        <v/>
      </c>
      <c r="AG13" s="88">
        <f>IF($A13="","",$N13-$O13)</f>
        <v/>
      </c>
      <c r="AH13" s="90">
        <f>IF($A13="","",IFERROR($AG13/$N13,0))</f>
        <v/>
      </c>
      <c r="AI13" s="89">
        <f>IF($A13="","",IFERROR($K13/$P13,0))</f>
        <v/>
      </c>
      <c r="AJ13" s="90">
        <f>IF($A13="","",IFERROR($S13/$R13,0))</f>
        <v/>
      </c>
      <c r="AK13" s="90">
        <f>IF($A13="","",IFERROR($T13/$J13,0))</f>
        <v/>
      </c>
      <c r="AL13" s="26">
        <f>IF($A13="","",IF(AND($AD13&gt;='01_Settings'!$B$9,$V13&lt;='01_Settings'!$B$10,$W13&lt;='01_Settings'!$B$11),"On track","Off track"))</f>
        <v/>
      </c>
      <c r="AM13" s="42">
        <f>IF($A13="","",IF($AD13&lt;'01_Settings'!$B$9,"Low completion rate; ","")&amp;IF($AE13&gt;'01_Settings'!$B$12,"High overdue rate; ","")&amp;IF($U13&lt;'01_Settings'!$B$13,"Low satisfaction; ","")&amp;IF($AH13&lt;'01_Settings'!$B$14,"Low gross margin; ","")&amp;IF($AJ13&lt;'01_Settings'!$B$15,"Low conversion rate; ","")&amp;IF($AK13&gt;'01_Settings'!$B$16,"High complaint rate; ",""))</f>
        <v/>
      </c>
    </row>
    <row r="14" ht="18" customHeight="1">
      <c r="A14" s="86" t="n">
        <v>46088</v>
      </c>
      <c r="B14" s="26" t="inlineStr">
        <is>
          <t>East Coast Division</t>
        </is>
      </c>
      <c r="C14" s="26" t="inlineStr">
        <is>
          <t>Field Services</t>
        </is>
      </c>
      <c r="D14" s="26" t="inlineStr">
        <is>
          <t>After-sales Coverage</t>
        </is>
      </c>
      <c r="E14" s="26" t="inlineStr">
        <is>
          <t>Retail store</t>
        </is>
      </c>
      <c r="F14" s="26" t="inlineStr">
        <is>
          <t>Southeast</t>
        </is>
      </c>
      <c r="G14" s="26" t="inlineStr">
        <is>
          <t>Southeast Team</t>
        </is>
      </c>
      <c r="H14" s="26" t="inlineStr">
        <is>
          <t>David Wilson</t>
        </is>
      </c>
      <c r="I14" s="26" t="inlineStr">
        <is>
          <t>New customer</t>
        </is>
      </c>
      <c r="J14" s="87" t="n">
        <v>197</v>
      </c>
      <c r="K14" s="87" t="n">
        <v>177</v>
      </c>
      <c r="L14" s="87" t="n">
        <v>6</v>
      </c>
      <c r="M14" s="87" t="n">
        <v>3</v>
      </c>
      <c r="N14" s="88" t="n">
        <v>17813</v>
      </c>
      <c r="O14" s="88" t="n">
        <v>10972</v>
      </c>
      <c r="P14" s="89" t="n">
        <v>17.4</v>
      </c>
      <c r="Q14" s="87" t="n">
        <v>244</v>
      </c>
      <c r="R14" s="87" t="n">
        <v>2569</v>
      </c>
      <c r="S14" s="87" t="n">
        <v>319</v>
      </c>
      <c r="T14" s="87" t="n">
        <v>5</v>
      </c>
      <c r="U14" s="89" t="n">
        <v>4.8</v>
      </c>
      <c r="V14" s="89" t="n">
        <v>4.3</v>
      </c>
      <c r="W14" s="89" t="n">
        <v>8.199999999999999</v>
      </c>
      <c r="X14" s="87" t="n">
        <v>146</v>
      </c>
      <c r="Y14" s="87" t="n">
        <v>177</v>
      </c>
      <c r="Z14" s="88" t="n">
        <v>18703</v>
      </c>
      <c r="AA14" s="26" t="n"/>
      <c r="AB14" s="86">
        <f>IF($A14="","",$A14-WEEKDAY($A14,2)+1)</f>
        <v/>
      </c>
      <c r="AC14" s="86">
        <f>IF($A14="","",DATE(YEAR($A14),MONTH($A14),1))</f>
        <v/>
      </c>
      <c r="AD14" s="90">
        <f>IF($A14="","",IFERROR($K14/$J14,0))</f>
        <v/>
      </c>
      <c r="AE14" s="90">
        <f>IF($A14="","",IFERROR($L14/$J14,0))</f>
        <v/>
      </c>
      <c r="AF14" s="90">
        <f>IF($A14="","",IFERROR($M14/$J14,0))</f>
        <v/>
      </c>
      <c r="AG14" s="88">
        <f>IF($A14="","",$N14-$O14)</f>
        <v/>
      </c>
      <c r="AH14" s="90">
        <f>IF($A14="","",IFERROR($AG14/$N14,0))</f>
        <v/>
      </c>
      <c r="AI14" s="89">
        <f>IF($A14="","",IFERROR($K14/$P14,0))</f>
        <v/>
      </c>
      <c r="AJ14" s="90">
        <f>IF($A14="","",IFERROR($S14/$R14,0))</f>
        <v/>
      </c>
      <c r="AK14" s="90">
        <f>IF($A14="","",IFERROR($T14/$J14,0))</f>
        <v/>
      </c>
      <c r="AL14" s="26">
        <f>IF($A14="","",IF(AND($AD14&gt;='01_Settings'!$B$9,$V14&lt;='01_Settings'!$B$10,$W14&lt;='01_Settings'!$B$11),"On track","Off track"))</f>
        <v/>
      </c>
      <c r="AM14" s="42">
        <f>IF($A14="","",IF($AD14&lt;'01_Settings'!$B$9,"Low completion rate; ","")&amp;IF($AE14&gt;'01_Settings'!$B$12,"High overdue rate; ","")&amp;IF($U14&lt;'01_Settings'!$B$13,"Low satisfaction; ","")&amp;IF($AH14&lt;'01_Settings'!$B$14,"Low gross margin; ","")&amp;IF($AJ14&lt;'01_Settings'!$B$15,"Low conversion rate; ","")&amp;IF($AK14&gt;'01_Settings'!$B$16,"High complaint rate; ",""))</f>
        <v/>
      </c>
    </row>
    <row r="15" ht="18" customHeight="1">
      <c r="A15" s="86" t="n">
        <v>46088</v>
      </c>
      <c r="B15" s="26" t="inlineStr">
        <is>
          <t>North Operations Center</t>
        </is>
      </c>
      <c r="C15" s="26" t="inlineStr">
        <is>
          <t>Growth Marketing</t>
        </is>
      </c>
      <c r="D15" s="26" t="inlineStr">
        <is>
          <t>Standard Service</t>
        </is>
      </c>
      <c r="E15" s="26" t="inlineStr">
        <is>
          <t>Retail store</t>
        </is>
      </c>
      <c r="F15" s="26" t="inlineStr">
        <is>
          <t>International</t>
        </is>
      </c>
      <c r="G15" s="26" t="inlineStr">
        <is>
          <t>International Team</t>
        </is>
      </c>
      <c r="H15" s="26" t="inlineStr">
        <is>
          <t>John Miller</t>
        </is>
      </c>
      <c r="I15" s="26" t="inlineStr">
        <is>
          <t>Enterprise customers</t>
        </is>
      </c>
      <c r="J15" s="87" t="n">
        <v>108</v>
      </c>
      <c r="K15" s="87" t="n">
        <v>91</v>
      </c>
      <c r="L15" s="87" t="n">
        <v>5</v>
      </c>
      <c r="M15" s="87" t="n">
        <v>1</v>
      </c>
      <c r="N15" s="88" t="n">
        <v>16641</v>
      </c>
      <c r="O15" s="88" t="n">
        <v>12242</v>
      </c>
      <c r="P15" s="89" t="n">
        <v>17.7</v>
      </c>
      <c r="Q15" s="87" t="n">
        <v>278</v>
      </c>
      <c r="R15" s="87" t="n">
        <v>2379</v>
      </c>
      <c r="S15" s="87" t="n">
        <v>166</v>
      </c>
      <c r="T15" s="87" t="n">
        <v>4</v>
      </c>
      <c r="U15" s="89" t="n">
        <v>3.9</v>
      </c>
      <c r="V15" s="89" t="n">
        <v>4.2</v>
      </c>
      <c r="W15" s="89" t="n">
        <v>31.2</v>
      </c>
      <c r="X15" s="87" t="n">
        <v>16</v>
      </c>
      <c r="Y15" s="87" t="n">
        <v>97</v>
      </c>
      <c r="Z15" s="88" t="n">
        <v>18625</v>
      </c>
      <c r="AA15" s="26" t="n"/>
      <c r="AB15" s="86">
        <f>IF($A15="","",$A15-WEEKDAY($A15,2)+1)</f>
        <v/>
      </c>
      <c r="AC15" s="86">
        <f>IF($A15="","",DATE(YEAR($A15),MONTH($A15),1))</f>
        <v/>
      </c>
      <c r="AD15" s="90">
        <f>IF($A15="","",IFERROR($K15/$J15,0))</f>
        <v/>
      </c>
      <c r="AE15" s="90">
        <f>IF($A15="","",IFERROR($L15/$J15,0))</f>
        <v/>
      </c>
      <c r="AF15" s="90">
        <f>IF($A15="","",IFERROR($M15/$J15,0))</f>
        <v/>
      </c>
      <c r="AG15" s="88">
        <f>IF($A15="","",$N15-$O15)</f>
        <v/>
      </c>
      <c r="AH15" s="90">
        <f>IF($A15="","",IFERROR($AG15/$N15,0))</f>
        <v/>
      </c>
      <c r="AI15" s="89">
        <f>IF($A15="","",IFERROR($K15/$P15,0))</f>
        <v/>
      </c>
      <c r="AJ15" s="90">
        <f>IF($A15="","",IFERROR($S15/$R15,0))</f>
        <v/>
      </c>
      <c r="AK15" s="90">
        <f>IF($A15="","",IFERROR($T15/$J15,0))</f>
        <v/>
      </c>
      <c r="AL15" s="26">
        <f>IF($A15="","",IF(AND($AD15&gt;='01_Settings'!$B$9,$V15&lt;='01_Settings'!$B$10,$W15&lt;='01_Settings'!$B$11),"On track","Off track"))</f>
        <v/>
      </c>
      <c r="AM15" s="42">
        <f>IF($A15="","",IF($AD15&lt;'01_Settings'!$B$9,"Low completion rate; ","")&amp;IF($AE15&gt;'01_Settings'!$B$12,"High overdue rate; ","")&amp;IF($U15&lt;'01_Settings'!$B$13,"Low satisfaction; ","")&amp;IF($AH15&lt;'01_Settings'!$B$14,"Low gross margin; ","")&amp;IF($AJ15&lt;'01_Settings'!$B$15,"Low conversion rate; ","")&amp;IF($AK15&gt;'01_Settings'!$B$16,"High complaint rate; ",""))</f>
        <v/>
      </c>
    </row>
    <row r="16" ht="18" customHeight="1">
      <c r="A16" s="86" t="n">
        <v>46088</v>
      </c>
      <c r="B16" s="26" t="inlineStr">
        <is>
          <t>North Operations Center</t>
        </is>
      </c>
      <c r="C16" s="26" t="inlineStr">
        <is>
          <t>Customer Support Operations</t>
        </is>
      </c>
      <c r="D16" s="26" t="inlineStr">
        <is>
          <t>Project Delivery</t>
        </is>
      </c>
      <c r="E16" s="26" t="inlineStr">
        <is>
          <t>Phone</t>
        </is>
      </c>
      <c r="F16" s="26" t="inlineStr">
        <is>
          <t>Southwest</t>
        </is>
      </c>
      <c r="G16" s="26" t="inlineStr">
        <is>
          <t>Southwest Team</t>
        </is>
      </c>
      <c r="H16" s="26" t="inlineStr">
        <is>
          <t>Matthew Anderson</t>
        </is>
      </c>
      <c r="I16" s="26" t="inlineStr">
        <is>
          <t>Existing customer</t>
        </is>
      </c>
      <c r="J16" s="87" t="n">
        <v>243</v>
      </c>
      <c r="K16" s="87" t="n">
        <v>220</v>
      </c>
      <c r="L16" s="87" t="n">
        <v>15</v>
      </c>
      <c r="M16" s="87" t="n">
        <v>0</v>
      </c>
      <c r="N16" s="88" t="n">
        <v>22566</v>
      </c>
      <c r="O16" s="88" t="n">
        <v>17792</v>
      </c>
      <c r="P16" s="89" t="n">
        <v>44.8</v>
      </c>
      <c r="Q16" s="87" t="n">
        <v>299</v>
      </c>
      <c r="R16" s="87" t="n">
        <v>546</v>
      </c>
      <c r="S16" s="87" t="n">
        <v>76</v>
      </c>
      <c r="T16" s="87" t="n">
        <v>6</v>
      </c>
      <c r="U16" s="89" t="n">
        <v>3.9</v>
      </c>
      <c r="V16" s="89" t="n">
        <v>1.6</v>
      </c>
      <c r="W16" s="89" t="n">
        <v>16.6</v>
      </c>
      <c r="X16" s="87" t="n">
        <v>15</v>
      </c>
      <c r="Y16" s="87" t="n">
        <v>218</v>
      </c>
      <c r="Z16" s="88" t="n">
        <v>23479</v>
      </c>
      <c r="AA16" s="26" t="n"/>
      <c r="AB16" s="86">
        <f>IF($A16="","",$A16-WEEKDAY($A16,2)+1)</f>
        <v/>
      </c>
      <c r="AC16" s="86">
        <f>IF($A16="","",DATE(YEAR($A16),MONTH($A16),1))</f>
        <v/>
      </c>
      <c r="AD16" s="90">
        <f>IF($A16="","",IFERROR($K16/$J16,0))</f>
        <v/>
      </c>
      <c r="AE16" s="90">
        <f>IF($A16="","",IFERROR($L16/$J16,0))</f>
        <v/>
      </c>
      <c r="AF16" s="90">
        <f>IF($A16="","",IFERROR($M16/$J16,0))</f>
        <v/>
      </c>
      <c r="AG16" s="88">
        <f>IF($A16="","",$N16-$O16)</f>
        <v/>
      </c>
      <c r="AH16" s="90">
        <f>IF($A16="","",IFERROR($AG16/$N16,0))</f>
        <v/>
      </c>
      <c r="AI16" s="89">
        <f>IF($A16="","",IFERROR($K16/$P16,0))</f>
        <v/>
      </c>
      <c r="AJ16" s="90">
        <f>IF($A16="","",IFERROR($S16/$R16,0))</f>
        <v/>
      </c>
      <c r="AK16" s="90">
        <f>IF($A16="","",IFERROR($T16/$J16,0))</f>
        <v/>
      </c>
      <c r="AL16" s="26">
        <f>IF($A16="","",IF(AND($AD16&gt;='01_Settings'!$B$9,$V16&lt;='01_Settings'!$B$10,$W16&lt;='01_Settings'!$B$11),"On track","Off track"))</f>
        <v/>
      </c>
      <c r="AM16" s="42">
        <f>IF($A16="","",IF($AD16&lt;'01_Settings'!$B$9,"Low completion rate; ","")&amp;IF($AE16&gt;'01_Settings'!$B$12,"High overdue rate; ","")&amp;IF($U16&lt;'01_Settings'!$B$13,"Low satisfaction; ","")&amp;IF($AH16&lt;'01_Settings'!$B$14,"Low gross margin; ","")&amp;IF($AJ16&lt;'01_Settings'!$B$15,"Low conversion rate; ","")&amp;IF($AK16&gt;'01_Settings'!$B$16,"High complaint rate; ",""))</f>
        <v/>
      </c>
    </row>
    <row r="17" ht="18" customHeight="1">
      <c r="A17" s="86" t="n">
        <v>46089</v>
      </c>
      <c r="B17" s="26" t="inlineStr">
        <is>
          <t>Digital Business Unit</t>
        </is>
      </c>
      <c r="C17" s="26" t="inlineStr">
        <is>
          <t>Supply Chain / Inventory</t>
        </is>
      </c>
      <c r="D17" s="26" t="inlineStr">
        <is>
          <t>Premium Service</t>
        </is>
      </c>
      <c r="E17" s="26" t="inlineStr">
        <is>
          <t>Phone</t>
        </is>
      </c>
      <c r="F17" s="26" t="inlineStr">
        <is>
          <t>Southeast</t>
        </is>
      </c>
      <c r="G17" s="26" t="inlineStr">
        <is>
          <t>Southeast Team</t>
        </is>
      </c>
      <c r="H17" s="26" t="inlineStr">
        <is>
          <t>Sarah Johnson</t>
        </is>
      </c>
      <c r="I17" s="26" t="inlineStr">
        <is>
          <t>High-value customer</t>
        </is>
      </c>
      <c r="J17" s="87" t="n">
        <v>221</v>
      </c>
      <c r="K17" s="87" t="n">
        <v>215</v>
      </c>
      <c r="L17" s="87" t="n">
        <v>22</v>
      </c>
      <c r="M17" s="87" t="n">
        <v>9</v>
      </c>
      <c r="N17" s="88" t="n">
        <v>18799</v>
      </c>
      <c r="O17" s="88" t="n">
        <v>14078</v>
      </c>
      <c r="P17" s="89" t="n">
        <v>22.9</v>
      </c>
      <c r="Q17" s="87" t="n">
        <v>230</v>
      </c>
      <c r="R17" s="87" t="n">
        <v>1346</v>
      </c>
      <c r="S17" s="87" t="n">
        <v>96</v>
      </c>
      <c r="T17" s="87" t="n">
        <v>8</v>
      </c>
      <c r="U17" s="89" t="n">
        <v>3.9</v>
      </c>
      <c r="V17" s="89" t="n">
        <v>5.4</v>
      </c>
      <c r="W17" s="89" t="n">
        <v>32</v>
      </c>
      <c r="X17" s="87" t="n">
        <v>61</v>
      </c>
      <c r="Y17" s="87" t="n">
        <v>198</v>
      </c>
      <c r="Z17" s="88" t="n">
        <v>18178</v>
      </c>
      <c r="AA17" s="26" t="n"/>
      <c r="AB17" s="86">
        <f>IF($A17="","",$A17-WEEKDAY($A17,2)+1)</f>
        <v/>
      </c>
      <c r="AC17" s="86">
        <f>IF($A17="","",DATE(YEAR($A17),MONTH($A17),1))</f>
        <v/>
      </c>
      <c r="AD17" s="90">
        <f>IF($A17="","",IFERROR($K17/$J17,0))</f>
        <v/>
      </c>
      <c r="AE17" s="90">
        <f>IF($A17="","",IFERROR($L17/$J17,0))</f>
        <v/>
      </c>
      <c r="AF17" s="90">
        <f>IF($A17="","",IFERROR($M17/$J17,0))</f>
        <v/>
      </c>
      <c r="AG17" s="88">
        <f>IF($A17="","",$N17-$O17)</f>
        <v/>
      </c>
      <c r="AH17" s="90">
        <f>IF($A17="","",IFERROR($AG17/$N17,0))</f>
        <v/>
      </c>
      <c r="AI17" s="89">
        <f>IF($A17="","",IFERROR($K17/$P17,0))</f>
        <v/>
      </c>
      <c r="AJ17" s="90">
        <f>IF($A17="","",IFERROR($S17/$R17,0))</f>
        <v/>
      </c>
      <c r="AK17" s="90">
        <f>IF($A17="","",IFERROR($T17/$J17,0))</f>
        <v/>
      </c>
      <c r="AL17" s="26">
        <f>IF($A17="","",IF(AND($AD17&gt;='01_Settings'!$B$9,$V17&lt;='01_Settings'!$B$10,$W17&lt;='01_Settings'!$B$11),"On track","Off track"))</f>
        <v/>
      </c>
      <c r="AM17" s="42">
        <f>IF($A17="","",IF($AD17&lt;'01_Settings'!$B$9,"Low completion rate; ","")&amp;IF($AE17&gt;'01_Settings'!$B$12,"High overdue rate; ","")&amp;IF($U17&lt;'01_Settings'!$B$13,"Low satisfaction; ","")&amp;IF($AH17&lt;'01_Settings'!$B$14,"Low gross margin; ","")&amp;IF($AJ17&lt;'01_Settings'!$B$15,"Low conversion rate; ","")&amp;IF($AK17&gt;'01_Settings'!$B$16,"High complaint rate; ",""))</f>
        <v/>
      </c>
    </row>
    <row r="18" ht="18" customHeight="1">
      <c r="A18" s="86" t="n">
        <v>46089</v>
      </c>
      <c r="B18" s="26" t="inlineStr">
        <is>
          <t>Southeast Division</t>
        </is>
      </c>
      <c r="C18" s="26" t="inlineStr">
        <is>
          <t>Field Services</t>
        </is>
      </c>
      <c r="D18" s="26" t="inlineStr">
        <is>
          <t>Standard Service</t>
        </is>
      </c>
      <c r="E18" s="26" t="inlineStr">
        <is>
          <t>Email</t>
        </is>
      </c>
      <c r="F18" s="26" t="inlineStr">
        <is>
          <t>Southeast</t>
        </is>
      </c>
      <c r="G18" s="26" t="inlineStr">
        <is>
          <t>Southeast Team</t>
        </is>
      </c>
      <c r="H18" s="26" t="inlineStr">
        <is>
          <t>John Miller</t>
        </is>
      </c>
      <c r="I18" s="26" t="inlineStr">
        <is>
          <t>New customer</t>
        </is>
      </c>
      <c r="J18" s="87" t="n">
        <v>158</v>
      </c>
      <c r="K18" s="87" t="n">
        <v>139</v>
      </c>
      <c r="L18" s="87" t="n">
        <v>7</v>
      </c>
      <c r="M18" s="87" t="n">
        <v>0</v>
      </c>
      <c r="N18" s="88" t="n">
        <v>43368</v>
      </c>
      <c r="O18" s="88" t="n">
        <v>27964</v>
      </c>
      <c r="P18" s="89" t="n">
        <v>19</v>
      </c>
      <c r="Q18" s="87" t="n">
        <v>367</v>
      </c>
      <c r="R18" s="87" t="n">
        <v>2663</v>
      </c>
      <c r="S18" s="87" t="n">
        <v>212</v>
      </c>
      <c r="T18" s="87" t="n">
        <v>0</v>
      </c>
      <c r="U18" s="89" t="n">
        <v>4.7</v>
      </c>
      <c r="V18" s="89" t="n">
        <v>2.3</v>
      </c>
      <c r="W18" s="89" t="n">
        <v>24.3</v>
      </c>
      <c r="X18" s="87" t="n">
        <v>72</v>
      </c>
      <c r="Y18" s="87" t="n">
        <v>142</v>
      </c>
      <c r="Z18" s="88" t="n">
        <v>46519</v>
      </c>
      <c r="AA18" s="26" t="n"/>
      <c r="AB18" s="86">
        <f>IF($A18="","",$A18-WEEKDAY($A18,2)+1)</f>
        <v/>
      </c>
      <c r="AC18" s="86">
        <f>IF($A18="","",DATE(YEAR($A18),MONTH($A18),1))</f>
        <v/>
      </c>
      <c r="AD18" s="90">
        <f>IF($A18="","",IFERROR($K18/$J18,0))</f>
        <v/>
      </c>
      <c r="AE18" s="90">
        <f>IF($A18="","",IFERROR($L18/$J18,0))</f>
        <v/>
      </c>
      <c r="AF18" s="90">
        <f>IF($A18="","",IFERROR($M18/$J18,0))</f>
        <v/>
      </c>
      <c r="AG18" s="88">
        <f>IF($A18="","",$N18-$O18)</f>
        <v/>
      </c>
      <c r="AH18" s="90">
        <f>IF($A18="","",IFERROR($AG18/$N18,0))</f>
        <v/>
      </c>
      <c r="AI18" s="89">
        <f>IF($A18="","",IFERROR($K18/$P18,0))</f>
        <v/>
      </c>
      <c r="AJ18" s="90">
        <f>IF($A18="","",IFERROR($S18/$R18,0))</f>
        <v/>
      </c>
      <c r="AK18" s="90">
        <f>IF($A18="","",IFERROR($T18/$J18,0))</f>
        <v/>
      </c>
      <c r="AL18" s="26">
        <f>IF($A18="","",IF(AND($AD18&gt;='01_Settings'!$B$9,$V18&lt;='01_Settings'!$B$10,$W18&lt;='01_Settings'!$B$11),"On track","Off track"))</f>
        <v/>
      </c>
      <c r="AM18" s="42">
        <f>IF($A18="","",IF($AD18&lt;'01_Settings'!$B$9,"Low completion rate; ","")&amp;IF($AE18&gt;'01_Settings'!$B$12,"High overdue rate; ","")&amp;IF($U18&lt;'01_Settings'!$B$13,"Low satisfaction; ","")&amp;IF($AH18&lt;'01_Settings'!$B$14,"Low gross margin; ","")&amp;IF($AJ18&lt;'01_Settings'!$B$15,"Low conversion rate; ","")&amp;IF($AK18&gt;'01_Settings'!$B$16,"High complaint rate; ",""))</f>
        <v/>
      </c>
    </row>
    <row r="19" ht="18" customHeight="1">
      <c r="A19" s="86" t="n">
        <v>46089</v>
      </c>
      <c r="B19" s="26" t="inlineStr">
        <is>
          <t>North Operations Center</t>
        </is>
      </c>
      <c r="C19" s="26" t="inlineStr">
        <is>
          <t>Customer Support Operations</t>
        </is>
      </c>
      <c r="D19" s="26" t="inlineStr">
        <is>
          <t>After-sales Coverage</t>
        </is>
      </c>
      <c r="E19" s="26" t="inlineStr">
        <is>
          <t>Marketplace store</t>
        </is>
      </c>
      <c r="F19" s="26" t="inlineStr">
        <is>
          <t>International</t>
        </is>
      </c>
      <c r="G19" s="26" t="inlineStr">
        <is>
          <t>International Team</t>
        </is>
      </c>
      <c r="H19" s="26" t="inlineStr">
        <is>
          <t>David Wilson</t>
        </is>
      </c>
      <c r="I19" s="26" t="inlineStr">
        <is>
          <t>Standard customer</t>
        </is>
      </c>
      <c r="J19" s="87" t="n">
        <v>168</v>
      </c>
      <c r="K19" s="87" t="n">
        <v>140</v>
      </c>
      <c r="L19" s="87" t="n">
        <v>18</v>
      </c>
      <c r="M19" s="87" t="n">
        <v>1</v>
      </c>
      <c r="N19" s="88" t="n">
        <v>13064</v>
      </c>
      <c r="O19" s="88" t="n">
        <v>8723</v>
      </c>
      <c r="P19" s="89" t="n">
        <v>19.4</v>
      </c>
      <c r="Q19" s="87" t="n">
        <v>295</v>
      </c>
      <c r="R19" s="87" t="n">
        <v>1202</v>
      </c>
      <c r="S19" s="87" t="n">
        <v>100</v>
      </c>
      <c r="T19" s="87" t="n">
        <v>1</v>
      </c>
      <c r="U19" s="89" t="n">
        <v>4.5</v>
      </c>
      <c r="V19" s="89" t="n">
        <v>2.7</v>
      </c>
      <c r="W19" s="89" t="n">
        <v>16.8</v>
      </c>
      <c r="X19" s="87" t="n">
        <v>36</v>
      </c>
      <c r="Y19" s="87" t="n">
        <v>151</v>
      </c>
      <c r="Z19" s="88" t="n">
        <v>14795</v>
      </c>
      <c r="AA19" s="26" t="n"/>
      <c r="AB19" s="86">
        <f>IF($A19="","",$A19-WEEKDAY($A19,2)+1)</f>
        <v/>
      </c>
      <c r="AC19" s="86">
        <f>IF($A19="","",DATE(YEAR($A19),MONTH($A19),1))</f>
        <v/>
      </c>
      <c r="AD19" s="90">
        <f>IF($A19="","",IFERROR($K19/$J19,0))</f>
        <v/>
      </c>
      <c r="AE19" s="90">
        <f>IF($A19="","",IFERROR($L19/$J19,0))</f>
        <v/>
      </c>
      <c r="AF19" s="90">
        <f>IF($A19="","",IFERROR($M19/$J19,0))</f>
        <v/>
      </c>
      <c r="AG19" s="88">
        <f>IF($A19="","",$N19-$O19)</f>
        <v/>
      </c>
      <c r="AH19" s="90">
        <f>IF($A19="","",IFERROR($AG19/$N19,0))</f>
        <v/>
      </c>
      <c r="AI19" s="89">
        <f>IF($A19="","",IFERROR($K19/$P19,0))</f>
        <v/>
      </c>
      <c r="AJ19" s="90">
        <f>IF($A19="","",IFERROR($S19/$R19,0))</f>
        <v/>
      </c>
      <c r="AK19" s="90">
        <f>IF($A19="","",IFERROR($T19/$J19,0))</f>
        <v/>
      </c>
      <c r="AL19" s="26">
        <f>IF($A19="","",IF(AND($AD19&gt;='01_Settings'!$B$9,$V19&lt;='01_Settings'!$B$10,$W19&lt;='01_Settings'!$B$11),"On track","Off track"))</f>
        <v/>
      </c>
      <c r="AM19" s="42">
        <f>IF($A19="","",IF($AD19&lt;'01_Settings'!$B$9,"Low completion rate; ","")&amp;IF($AE19&gt;'01_Settings'!$B$12,"High overdue rate; ","")&amp;IF($U19&lt;'01_Settings'!$B$13,"Low satisfaction; ","")&amp;IF($AH19&lt;'01_Settings'!$B$14,"Low gross margin; ","")&amp;IF($AJ19&lt;'01_Settings'!$B$15,"Low conversion rate; ","")&amp;IF($AK19&gt;'01_Settings'!$B$16,"High complaint rate; ",""))</f>
        <v/>
      </c>
    </row>
    <row r="20" ht="18" customHeight="1">
      <c r="A20" s="86" t="n">
        <v>46090</v>
      </c>
      <c r="B20" s="26" t="inlineStr">
        <is>
          <t>Digital Business Unit</t>
        </is>
      </c>
      <c r="C20" s="26" t="inlineStr">
        <is>
          <t>Production / Delivery</t>
        </is>
      </c>
      <c r="D20" s="26" t="inlineStr">
        <is>
          <t>After-sales Coverage</t>
        </is>
      </c>
      <c r="E20" s="26" t="inlineStr">
        <is>
          <t>Team chat</t>
        </is>
      </c>
      <c r="F20" s="26" t="inlineStr">
        <is>
          <t>Southeast</t>
        </is>
      </c>
      <c r="G20" s="26" t="inlineStr">
        <is>
          <t>Southeast Team</t>
        </is>
      </c>
      <c r="H20" s="26" t="inlineStr">
        <is>
          <t>Jessica Taylor</t>
        </is>
      </c>
      <c r="I20" s="26" t="inlineStr">
        <is>
          <t>High-value customer</t>
        </is>
      </c>
      <c r="J20" s="87" t="n">
        <v>207</v>
      </c>
      <c r="K20" s="87" t="n">
        <v>176</v>
      </c>
      <c r="L20" s="87" t="n">
        <v>17</v>
      </c>
      <c r="M20" s="87" t="n">
        <v>3</v>
      </c>
      <c r="N20" s="88" t="n">
        <v>53582</v>
      </c>
      <c r="O20" s="88" t="n">
        <v>31988</v>
      </c>
      <c r="P20" s="89" t="n">
        <v>25.8</v>
      </c>
      <c r="Q20" s="87" t="n">
        <v>227</v>
      </c>
      <c r="R20" s="87" t="n">
        <v>2571</v>
      </c>
      <c r="S20" s="87" t="n">
        <v>360</v>
      </c>
      <c r="T20" s="87" t="n">
        <v>3</v>
      </c>
      <c r="U20" s="89" t="n">
        <v>4</v>
      </c>
      <c r="V20" s="89" t="n">
        <v>4.9</v>
      </c>
      <c r="W20" s="89" t="n">
        <v>25</v>
      </c>
      <c r="X20" s="87" t="n">
        <v>87</v>
      </c>
      <c r="Y20" s="87" t="n">
        <v>186</v>
      </c>
      <c r="Z20" s="88" t="n">
        <v>59457</v>
      </c>
      <c r="AA20" s="26" t="n"/>
      <c r="AB20" s="86">
        <f>IF($A20="","",$A20-WEEKDAY($A20,2)+1)</f>
        <v/>
      </c>
      <c r="AC20" s="86">
        <f>IF($A20="","",DATE(YEAR($A20),MONTH($A20),1))</f>
        <v/>
      </c>
      <c r="AD20" s="90">
        <f>IF($A20="","",IFERROR($K20/$J20,0))</f>
        <v/>
      </c>
      <c r="AE20" s="90">
        <f>IF($A20="","",IFERROR($L20/$J20,0))</f>
        <v/>
      </c>
      <c r="AF20" s="90">
        <f>IF($A20="","",IFERROR($M20/$J20,0))</f>
        <v/>
      </c>
      <c r="AG20" s="88">
        <f>IF($A20="","",$N20-$O20)</f>
        <v/>
      </c>
      <c r="AH20" s="90">
        <f>IF($A20="","",IFERROR($AG20/$N20,0))</f>
        <v/>
      </c>
      <c r="AI20" s="89">
        <f>IF($A20="","",IFERROR($K20/$P20,0))</f>
        <v/>
      </c>
      <c r="AJ20" s="90">
        <f>IF($A20="","",IFERROR($S20/$R20,0))</f>
        <v/>
      </c>
      <c r="AK20" s="90">
        <f>IF($A20="","",IFERROR($T20/$J20,0))</f>
        <v/>
      </c>
      <c r="AL20" s="26">
        <f>IF($A20="","",IF(AND($AD20&gt;='01_Settings'!$B$9,$V20&lt;='01_Settings'!$B$10,$W20&lt;='01_Settings'!$B$11),"On track","Off track"))</f>
        <v/>
      </c>
      <c r="AM20" s="42">
        <f>IF($A20="","",IF($AD20&lt;'01_Settings'!$B$9,"Low completion rate; ","")&amp;IF($AE20&gt;'01_Settings'!$B$12,"High overdue rate; ","")&amp;IF($U20&lt;'01_Settings'!$B$13,"Low satisfaction; ","")&amp;IF($AH20&lt;'01_Settings'!$B$14,"Low gross margin; ","")&amp;IF($AJ20&lt;'01_Settings'!$B$15,"Low conversion rate; ","")&amp;IF($AK20&gt;'01_Settings'!$B$16,"High complaint rate; ",""))</f>
        <v/>
      </c>
    </row>
    <row r="21" ht="18" customHeight="1">
      <c r="A21" s="86" t="n">
        <v>46090</v>
      </c>
      <c r="B21" s="26" t="inlineStr">
        <is>
          <t>Southeast Division</t>
        </is>
      </c>
      <c r="C21" s="26" t="inlineStr">
        <is>
          <t>Field Services</t>
        </is>
      </c>
      <c r="D21" s="26" t="inlineStr">
        <is>
          <t>Project Delivery</t>
        </is>
      </c>
      <c r="E21" s="26" t="inlineStr">
        <is>
          <t>Distributor</t>
        </is>
      </c>
      <c r="F21" s="26" t="inlineStr">
        <is>
          <t>Southeast</t>
        </is>
      </c>
      <c r="G21" s="26" t="inlineStr">
        <is>
          <t>Southeast Team</t>
        </is>
      </c>
      <c r="H21" s="26" t="inlineStr">
        <is>
          <t>Jessica Taylor</t>
        </is>
      </c>
      <c r="I21" s="26" t="inlineStr">
        <is>
          <t>High-value customer</t>
        </is>
      </c>
      <c r="J21" s="87" t="n">
        <v>252</v>
      </c>
      <c r="K21" s="87" t="n">
        <v>233</v>
      </c>
      <c r="L21" s="87" t="n">
        <v>12</v>
      </c>
      <c r="M21" s="87" t="n">
        <v>8</v>
      </c>
      <c r="N21" s="88" t="n">
        <v>61926</v>
      </c>
      <c r="O21" s="88" t="n">
        <v>35621</v>
      </c>
      <c r="P21" s="89" t="n">
        <v>49.4</v>
      </c>
      <c r="Q21" s="87" t="n">
        <v>140</v>
      </c>
      <c r="R21" s="87" t="n">
        <v>1511</v>
      </c>
      <c r="S21" s="87" t="n">
        <v>101</v>
      </c>
      <c r="T21" s="87" t="n">
        <v>3</v>
      </c>
      <c r="U21" s="89" t="n">
        <v>3.8</v>
      </c>
      <c r="V21" s="89" t="n">
        <v>2.2</v>
      </c>
      <c r="W21" s="89" t="n">
        <v>21.3</v>
      </c>
      <c r="X21" s="87" t="n">
        <v>23</v>
      </c>
      <c r="Y21" s="87" t="n">
        <v>226</v>
      </c>
      <c r="Z21" s="88" t="n">
        <v>63069</v>
      </c>
      <c r="AA21" s="26" t="n"/>
      <c r="AB21" s="86">
        <f>IF($A21="","",$A21-WEEKDAY($A21,2)+1)</f>
        <v/>
      </c>
      <c r="AC21" s="86">
        <f>IF($A21="","",DATE(YEAR($A21),MONTH($A21),1))</f>
        <v/>
      </c>
      <c r="AD21" s="90">
        <f>IF($A21="","",IFERROR($K21/$J21,0))</f>
        <v/>
      </c>
      <c r="AE21" s="90">
        <f>IF($A21="","",IFERROR($L21/$J21,0))</f>
        <v/>
      </c>
      <c r="AF21" s="90">
        <f>IF($A21="","",IFERROR($M21/$J21,0))</f>
        <v/>
      </c>
      <c r="AG21" s="88">
        <f>IF($A21="","",$N21-$O21)</f>
        <v/>
      </c>
      <c r="AH21" s="90">
        <f>IF($A21="","",IFERROR($AG21/$N21,0))</f>
        <v/>
      </c>
      <c r="AI21" s="89">
        <f>IF($A21="","",IFERROR($K21/$P21,0))</f>
        <v/>
      </c>
      <c r="AJ21" s="90">
        <f>IF($A21="","",IFERROR($S21/$R21,0))</f>
        <v/>
      </c>
      <c r="AK21" s="90">
        <f>IF($A21="","",IFERROR($T21/$J21,0))</f>
        <v/>
      </c>
      <c r="AL21" s="26">
        <f>IF($A21="","",IF(AND($AD21&gt;='01_Settings'!$B$9,$V21&lt;='01_Settings'!$B$10,$W21&lt;='01_Settings'!$B$11),"On track","Off track"))</f>
        <v/>
      </c>
      <c r="AM21" s="42">
        <f>IF($A21="","",IF($AD21&lt;'01_Settings'!$B$9,"Low completion rate; ","")&amp;IF($AE21&gt;'01_Settings'!$B$12,"High overdue rate; ","")&amp;IF($U21&lt;'01_Settings'!$B$13,"Low satisfaction; ","")&amp;IF($AH21&lt;'01_Settings'!$B$14,"Low gross margin; ","")&amp;IF($AJ21&lt;'01_Settings'!$B$15,"Low conversion rate; ","")&amp;IF($AK21&gt;'01_Settings'!$B$16,"High complaint rate; ",""))</f>
        <v/>
      </c>
    </row>
    <row r="22" ht="18" customHeight="1">
      <c r="A22" s="86" t="n">
        <v>46090</v>
      </c>
      <c r="B22" s="26" t="inlineStr">
        <is>
          <t>Digital Business Unit</t>
        </is>
      </c>
      <c r="C22" s="26" t="inlineStr">
        <is>
          <t>Supply Chain / Inventory</t>
        </is>
      </c>
      <c r="D22" s="26" t="inlineStr">
        <is>
          <t>Enterprise customers</t>
        </is>
      </c>
      <c r="E22" s="26" t="inlineStr">
        <is>
          <t>Distributor</t>
        </is>
      </c>
      <c r="F22" s="26" t="inlineStr">
        <is>
          <t>Southeast</t>
        </is>
      </c>
      <c r="G22" s="26" t="inlineStr">
        <is>
          <t>Southeast Team</t>
        </is>
      </c>
      <c r="H22" s="26" t="inlineStr">
        <is>
          <t>Jessica Taylor</t>
        </is>
      </c>
      <c r="I22" s="26" t="inlineStr">
        <is>
          <t>Existing customer</t>
        </is>
      </c>
      <c r="J22" s="87" t="n">
        <v>139</v>
      </c>
      <c r="K22" s="87" t="n">
        <v>117</v>
      </c>
      <c r="L22" s="87" t="n">
        <v>12</v>
      </c>
      <c r="M22" s="87" t="n">
        <v>6</v>
      </c>
      <c r="N22" s="88" t="n">
        <v>39561</v>
      </c>
      <c r="O22" s="88" t="n">
        <v>31217</v>
      </c>
      <c r="P22" s="89" t="n">
        <v>21.3</v>
      </c>
      <c r="Q22" s="87" t="n">
        <v>132</v>
      </c>
      <c r="R22" s="87" t="n">
        <v>952</v>
      </c>
      <c r="S22" s="87" t="n">
        <v>129</v>
      </c>
      <c r="T22" s="87" t="n">
        <v>4</v>
      </c>
      <c r="U22" s="89" t="n">
        <v>4.3</v>
      </c>
      <c r="V22" s="89" t="n">
        <v>3.8</v>
      </c>
      <c r="W22" s="89" t="n">
        <v>33.7</v>
      </c>
      <c r="X22" s="87" t="n">
        <v>36</v>
      </c>
      <c r="Y22" s="87" t="n">
        <v>125</v>
      </c>
      <c r="Z22" s="88" t="n">
        <v>44380</v>
      </c>
      <c r="AA22" s="26" t="n"/>
      <c r="AB22" s="86">
        <f>IF($A22="","",$A22-WEEKDAY($A22,2)+1)</f>
        <v/>
      </c>
      <c r="AC22" s="86">
        <f>IF($A22="","",DATE(YEAR($A22),MONTH($A22),1))</f>
        <v/>
      </c>
      <c r="AD22" s="90">
        <f>IF($A22="","",IFERROR($K22/$J22,0))</f>
        <v/>
      </c>
      <c r="AE22" s="90">
        <f>IF($A22="","",IFERROR($L22/$J22,0))</f>
        <v/>
      </c>
      <c r="AF22" s="90">
        <f>IF($A22="","",IFERROR($M22/$J22,0))</f>
        <v/>
      </c>
      <c r="AG22" s="88">
        <f>IF($A22="","",$N22-$O22)</f>
        <v/>
      </c>
      <c r="AH22" s="90">
        <f>IF($A22="","",IFERROR($AG22/$N22,0))</f>
        <v/>
      </c>
      <c r="AI22" s="89">
        <f>IF($A22="","",IFERROR($K22/$P22,0))</f>
        <v/>
      </c>
      <c r="AJ22" s="90">
        <f>IF($A22="","",IFERROR($S22/$R22,0))</f>
        <v/>
      </c>
      <c r="AK22" s="90">
        <f>IF($A22="","",IFERROR($T22/$J22,0))</f>
        <v/>
      </c>
      <c r="AL22" s="26">
        <f>IF($A22="","",IF(AND($AD22&gt;='01_Settings'!$B$9,$V22&lt;='01_Settings'!$B$10,$W22&lt;='01_Settings'!$B$11),"On track","Off track"))</f>
        <v/>
      </c>
      <c r="AM22" s="42">
        <f>IF($A22="","",IF($AD22&lt;'01_Settings'!$B$9,"Low completion rate; ","")&amp;IF($AE22&gt;'01_Settings'!$B$12,"High overdue rate; ","")&amp;IF($U22&lt;'01_Settings'!$B$13,"Low satisfaction; ","")&amp;IF($AH22&lt;'01_Settings'!$B$14,"Low gross margin; ","")&amp;IF($AJ22&lt;'01_Settings'!$B$15,"Low conversion rate; ","")&amp;IF($AK22&gt;'01_Settings'!$B$16,"High complaint rate; ",""))</f>
        <v/>
      </c>
    </row>
    <row r="23" ht="18" customHeight="1">
      <c r="A23" s="86" t="n">
        <v>46091</v>
      </c>
      <c r="B23" s="26" t="inlineStr">
        <is>
          <t>Digital Business Unit</t>
        </is>
      </c>
      <c r="C23" s="26" t="inlineStr">
        <is>
          <t>Finance / Expenses</t>
        </is>
      </c>
      <c r="D23" s="26" t="inlineStr">
        <is>
          <t>After-sales Coverage</t>
        </is>
      </c>
      <c r="E23" s="26" t="inlineStr">
        <is>
          <t>Marketplace store</t>
        </is>
      </c>
      <c r="F23" s="26" t="inlineStr">
        <is>
          <t>Southwest</t>
        </is>
      </c>
      <c r="G23" s="26" t="inlineStr">
        <is>
          <t>Southwest Team</t>
        </is>
      </c>
      <c r="H23" s="26" t="inlineStr">
        <is>
          <t>Emily Davis</t>
        </is>
      </c>
      <c r="I23" s="26" t="inlineStr">
        <is>
          <t>Existing customer</t>
        </is>
      </c>
      <c r="J23" s="87" t="n">
        <v>202</v>
      </c>
      <c r="K23" s="87" t="n">
        <v>194</v>
      </c>
      <c r="L23" s="87" t="n">
        <v>19</v>
      </c>
      <c r="M23" s="87" t="n">
        <v>4</v>
      </c>
      <c r="N23" s="88" t="n">
        <v>30605</v>
      </c>
      <c r="O23" s="88" t="n">
        <v>18876</v>
      </c>
      <c r="P23" s="89" t="n">
        <v>30.7</v>
      </c>
      <c r="Q23" s="87" t="n">
        <v>286</v>
      </c>
      <c r="R23" s="87" t="n">
        <v>2370</v>
      </c>
      <c r="S23" s="87" t="n">
        <v>273</v>
      </c>
      <c r="T23" s="87" t="n">
        <v>3</v>
      </c>
      <c r="U23" s="89" t="n">
        <v>3.9</v>
      </c>
      <c r="V23" s="89" t="n">
        <v>2.4</v>
      </c>
      <c r="W23" s="89" t="n">
        <v>15.6</v>
      </c>
      <c r="X23" s="87" t="n">
        <v>86</v>
      </c>
      <c r="Y23" s="87" t="n">
        <v>181</v>
      </c>
      <c r="Z23" s="88" t="n">
        <v>29982</v>
      </c>
      <c r="AA23" s="26" t="n"/>
      <c r="AB23" s="86">
        <f>IF($A23="","",$A23-WEEKDAY($A23,2)+1)</f>
        <v/>
      </c>
      <c r="AC23" s="86">
        <f>IF($A23="","",DATE(YEAR($A23),MONTH($A23),1))</f>
        <v/>
      </c>
      <c r="AD23" s="90">
        <f>IF($A23="","",IFERROR($K23/$J23,0))</f>
        <v/>
      </c>
      <c r="AE23" s="90">
        <f>IF($A23="","",IFERROR($L23/$J23,0))</f>
        <v/>
      </c>
      <c r="AF23" s="90">
        <f>IF($A23="","",IFERROR($M23/$J23,0))</f>
        <v/>
      </c>
      <c r="AG23" s="88">
        <f>IF($A23="","",$N23-$O23)</f>
        <v/>
      </c>
      <c r="AH23" s="90">
        <f>IF($A23="","",IFERROR($AG23/$N23,0))</f>
        <v/>
      </c>
      <c r="AI23" s="89">
        <f>IF($A23="","",IFERROR($K23/$P23,0))</f>
        <v/>
      </c>
      <c r="AJ23" s="90">
        <f>IF($A23="","",IFERROR($S23/$R23,0))</f>
        <v/>
      </c>
      <c r="AK23" s="90">
        <f>IF($A23="","",IFERROR($T23/$J23,0))</f>
        <v/>
      </c>
      <c r="AL23" s="26">
        <f>IF($A23="","",IF(AND($AD23&gt;='01_Settings'!$B$9,$V23&lt;='01_Settings'!$B$10,$W23&lt;='01_Settings'!$B$11),"On track","Off track"))</f>
        <v/>
      </c>
      <c r="AM23" s="42">
        <f>IF($A23="","",IF($AD23&lt;'01_Settings'!$B$9,"Low completion rate; ","")&amp;IF($AE23&gt;'01_Settings'!$B$12,"High overdue rate; ","")&amp;IF($U23&lt;'01_Settings'!$B$13,"Low satisfaction; ","")&amp;IF($AH23&lt;'01_Settings'!$B$14,"Low gross margin; ","")&amp;IF($AJ23&lt;'01_Settings'!$B$15,"Low conversion rate; ","")&amp;IF($AK23&gt;'01_Settings'!$B$16,"High complaint rate; ",""))</f>
        <v/>
      </c>
    </row>
    <row r="24" ht="18" customHeight="1">
      <c r="A24" s="86" t="n">
        <v>46091</v>
      </c>
      <c r="B24" s="26" t="inlineStr">
        <is>
          <t>Digital Business Unit</t>
        </is>
      </c>
      <c r="C24" s="26" t="inlineStr">
        <is>
          <t>Field Services</t>
        </is>
      </c>
      <c r="D24" s="26" t="inlineStr">
        <is>
          <t>Project Delivery</t>
        </is>
      </c>
      <c r="E24" s="26" t="inlineStr">
        <is>
          <t>Phone</t>
        </is>
      </c>
      <c r="F24" s="26" t="inlineStr">
        <is>
          <t>Southeast</t>
        </is>
      </c>
      <c r="G24" s="26" t="inlineStr">
        <is>
          <t>Southeast Team</t>
        </is>
      </c>
      <c r="H24" s="26" t="inlineStr">
        <is>
          <t>Robert Thomas</t>
        </is>
      </c>
      <c r="I24" s="26" t="inlineStr">
        <is>
          <t>Standard customer</t>
        </is>
      </c>
      <c r="J24" s="87" t="n">
        <v>139</v>
      </c>
      <c r="K24" s="87" t="n">
        <v>115</v>
      </c>
      <c r="L24" s="87" t="n">
        <v>8</v>
      </c>
      <c r="M24" s="87" t="n">
        <v>3</v>
      </c>
      <c r="N24" s="88" t="n">
        <v>23544</v>
      </c>
      <c r="O24" s="88" t="n">
        <v>14264</v>
      </c>
      <c r="P24" s="89" t="n">
        <v>14</v>
      </c>
      <c r="Q24" s="87" t="n">
        <v>319</v>
      </c>
      <c r="R24" s="87" t="n">
        <v>499</v>
      </c>
      <c r="S24" s="87" t="n">
        <v>71</v>
      </c>
      <c r="T24" s="87" t="n">
        <v>4</v>
      </c>
      <c r="U24" s="89" t="n">
        <v>4.2</v>
      </c>
      <c r="V24" s="89" t="n">
        <v>1</v>
      </c>
      <c r="W24" s="89" t="n">
        <v>17.8</v>
      </c>
      <c r="X24" s="87" t="n">
        <v>104</v>
      </c>
      <c r="Y24" s="87" t="n">
        <v>125</v>
      </c>
      <c r="Z24" s="88" t="n">
        <v>26871</v>
      </c>
      <c r="AA24" s="26" t="n"/>
      <c r="AB24" s="86">
        <f>IF($A24="","",$A24-WEEKDAY($A24,2)+1)</f>
        <v/>
      </c>
      <c r="AC24" s="86">
        <f>IF($A24="","",DATE(YEAR($A24),MONTH($A24),1))</f>
        <v/>
      </c>
      <c r="AD24" s="90">
        <f>IF($A24="","",IFERROR($K24/$J24,0))</f>
        <v/>
      </c>
      <c r="AE24" s="90">
        <f>IF($A24="","",IFERROR($L24/$J24,0))</f>
        <v/>
      </c>
      <c r="AF24" s="90">
        <f>IF($A24="","",IFERROR($M24/$J24,0))</f>
        <v/>
      </c>
      <c r="AG24" s="88">
        <f>IF($A24="","",$N24-$O24)</f>
        <v/>
      </c>
      <c r="AH24" s="90">
        <f>IF($A24="","",IFERROR($AG24/$N24,0))</f>
        <v/>
      </c>
      <c r="AI24" s="89">
        <f>IF($A24="","",IFERROR($K24/$P24,0))</f>
        <v/>
      </c>
      <c r="AJ24" s="90">
        <f>IF($A24="","",IFERROR($S24/$R24,0))</f>
        <v/>
      </c>
      <c r="AK24" s="90">
        <f>IF($A24="","",IFERROR($T24/$J24,0))</f>
        <v/>
      </c>
      <c r="AL24" s="26">
        <f>IF($A24="","",IF(AND($AD24&gt;='01_Settings'!$B$9,$V24&lt;='01_Settings'!$B$10,$W24&lt;='01_Settings'!$B$11),"On track","Off track"))</f>
        <v/>
      </c>
      <c r="AM24" s="42">
        <f>IF($A24="","",IF($AD24&lt;'01_Settings'!$B$9,"Low completion rate; ","")&amp;IF($AE24&gt;'01_Settings'!$B$12,"High overdue rate; ","")&amp;IF($U24&lt;'01_Settings'!$B$13,"Low satisfaction; ","")&amp;IF($AH24&lt;'01_Settings'!$B$14,"Low gross margin; ","")&amp;IF($AJ24&lt;'01_Settings'!$B$15,"Low conversion rate; ","")&amp;IF($AK24&gt;'01_Settings'!$B$16,"High complaint rate; ",""))</f>
        <v/>
      </c>
    </row>
    <row r="25" ht="18" customHeight="1">
      <c r="A25" s="86" t="n">
        <v>46091</v>
      </c>
      <c r="B25" s="26" t="inlineStr">
        <is>
          <t>Digital Business Unit</t>
        </is>
      </c>
      <c r="C25" s="26" t="inlineStr">
        <is>
          <t>Production / Delivery</t>
        </is>
      </c>
      <c r="D25" s="26" t="inlineStr">
        <is>
          <t>Membership Program</t>
        </is>
      </c>
      <c r="E25" s="26" t="inlineStr">
        <is>
          <t>Email</t>
        </is>
      </c>
      <c r="F25" s="26" t="inlineStr">
        <is>
          <t>Southwest</t>
        </is>
      </c>
      <c r="G25" s="26" t="inlineStr">
        <is>
          <t>Southwest Team</t>
        </is>
      </c>
      <c r="H25" s="26" t="inlineStr">
        <is>
          <t>Jessica Taylor</t>
        </is>
      </c>
      <c r="I25" s="26" t="inlineStr">
        <is>
          <t>Existing customer</t>
        </is>
      </c>
      <c r="J25" s="87" t="n">
        <v>152</v>
      </c>
      <c r="K25" s="87" t="n">
        <v>136</v>
      </c>
      <c r="L25" s="87" t="n">
        <v>8</v>
      </c>
      <c r="M25" s="87" t="n">
        <v>5</v>
      </c>
      <c r="N25" s="88" t="n">
        <v>43444</v>
      </c>
      <c r="O25" s="88" t="n">
        <v>32389</v>
      </c>
      <c r="P25" s="89" t="n">
        <v>26.2</v>
      </c>
      <c r="Q25" s="87" t="n">
        <v>85</v>
      </c>
      <c r="R25" s="87" t="n">
        <v>2372</v>
      </c>
      <c r="S25" s="87" t="n">
        <v>102</v>
      </c>
      <c r="T25" s="87" t="n">
        <v>3</v>
      </c>
      <c r="U25" s="89" t="n">
        <v>4.4</v>
      </c>
      <c r="V25" s="89" t="n">
        <v>1.1</v>
      </c>
      <c r="W25" s="89" t="n">
        <v>26</v>
      </c>
      <c r="X25" s="87" t="n">
        <v>39</v>
      </c>
      <c r="Y25" s="87" t="n">
        <v>136</v>
      </c>
      <c r="Z25" s="88" t="n">
        <v>45616</v>
      </c>
      <c r="AA25" s="26" t="n"/>
      <c r="AB25" s="86">
        <f>IF($A25="","",$A25-WEEKDAY($A25,2)+1)</f>
        <v/>
      </c>
      <c r="AC25" s="86">
        <f>IF($A25="","",DATE(YEAR($A25),MONTH($A25),1))</f>
        <v/>
      </c>
      <c r="AD25" s="90">
        <f>IF($A25="","",IFERROR($K25/$J25,0))</f>
        <v/>
      </c>
      <c r="AE25" s="90">
        <f>IF($A25="","",IFERROR($L25/$J25,0))</f>
        <v/>
      </c>
      <c r="AF25" s="90">
        <f>IF($A25="","",IFERROR($M25/$J25,0))</f>
        <v/>
      </c>
      <c r="AG25" s="88">
        <f>IF($A25="","",$N25-$O25)</f>
        <v/>
      </c>
      <c r="AH25" s="90">
        <f>IF($A25="","",IFERROR($AG25/$N25,0))</f>
        <v/>
      </c>
      <c r="AI25" s="89">
        <f>IF($A25="","",IFERROR($K25/$P25,0))</f>
        <v/>
      </c>
      <c r="AJ25" s="90">
        <f>IF($A25="","",IFERROR($S25/$R25,0))</f>
        <v/>
      </c>
      <c r="AK25" s="90">
        <f>IF($A25="","",IFERROR($T25/$J25,0))</f>
        <v/>
      </c>
      <c r="AL25" s="26">
        <f>IF($A25="","",IF(AND($AD25&gt;='01_Settings'!$B$9,$V25&lt;='01_Settings'!$B$10,$W25&lt;='01_Settings'!$B$11),"On track","Off track"))</f>
        <v/>
      </c>
      <c r="AM25" s="42">
        <f>IF($A25="","",IF($AD25&lt;'01_Settings'!$B$9,"Low completion rate; ","")&amp;IF($AE25&gt;'01_Settings'!$B$12,"High overdue rate; ","")&amp;IF($U25&lt;'01_Settings'!$B$13,"Low satisfaction; ","")&amp;IF($AH25&lt;'01_Settings'!$B$14,"Low gross margin; ","")&amp;IF($AJ25&lt;'01_Settings'!$B$15,"Low conversion rate; ","")&amp;IF($AK25&gt;'01_Settings'!$B$16,"High complaint rate; ",""))</f>
        <v/>
      </c>
    </row>
    <row r="26" ht="18" customHeight="1">
      <c r="A26" s="86" t="n">
        <v>46092</v>
      </c>
      <c r="B26" s="26" t="inlineStr">
        <is>
          <t>Digital Business Unit</t>
        </is>
      </c>
      <c r="C26" s="26" t="inlineStr">
        <is>
          <t>Customer Support Operations</t>
        </is>
      </c>
      <c r="D26" s="26" t="inlineStr">
        <is>
          <t>Membership Program</t>
        </is>
      </c>
      <c r="E26" s="26" t="inlineStr">
        <is>
          <t>Mobile app</t>
        </is>
      </c>
      <c r="F26" s="26" t="inlineStr">
        <is>
          <t>Southwest</t>
        </is>
      </c>
      <c r="G26" s="26" t="inlineStr">
        <is>
          <t>Southwest Team</t>
        </is>
      </c>
      <c r="H26" s="26" t="inlineStr">
        <is>
          <t>Sarah Johnson</t>
        </is>
      </c>
      <c r="I26" s="26" t="inlineStr">
        <is>
          <t>New customer</t>
        </is>
      </c>
      <c r="J26" s="87" t="n">
        <v>134</v>
      </c>
      <c r="K26" s="87" t="n">
        <v>115</v>
      </c>
      <c r="L26" s="87" t="n">
        <v>15</v>
      </c>
      <c r="M26" s="87" t="n">
        <v>2</v>
      </c>
      <c r="N26" s="88" t="n">
        <v>38004</v>
      </c>
      <c r="O26" s="88" t="n">
        <v>25728</v>
      </c>
      <c r="P26" s="89" t="n">
        <v>20.4</v>
      </c>
      <c r="Q26" s="87" t="n">
        <v>46</v>
      </c>
      <c r="R26" s="87" t="n">
        <v>1579</v>
      </c>
      <c r="S26" s="87" t="n">
        <v>105</v>
      </c>
      <c r="T26" s="87" t="n">
        <v>1</v>
      </c>
      <c r="U26" s="89" t="n">
        <v>4.8</v>
      </c>
      <c r="V26" s="89" t="n">
        <v>1.2</v>
      </c>
      <c r="W26" s="89" t="n">
        <v>8.9</v>
      </c>
      <c r="X26" s="87" t="n">
        <v>68</v>
      </c>
      <c r="Y26" s="87" t="n">
        <v>120</v>
      </c>
      <c r="Z26" s="88" t="n">
        <v>41640</v>
      </c>
      <c r="AA26" s="26" t="n"/>
      <c r="AB26" s="86">
        <f>IF($A26="","",$A26-WEEKDAY($A26,2)+1)</f>
        <v/>
      </c>
      <c r="AC26" s="86">
        <f>IF($A26="","",DATE(YEAR($A26),MONTH($A26),1))</f>
        <v/>
      </c>
      <c r="AD26" s="90">
        <f>IF($A26="","",IFERROR($K26/$J26,0))</f>
        <v/>
      </c>
      <c r="AE26" s="90">
        <f>IF($A26="","",IFERROR($L26/$J26,0))</f>
        <v/>
      </c>
      <c r="AF26" s="90">
        <f>IF($A26="","",IFERROR($M26/$J26,0))</f>
        <v/>
      </c>
      <c r="AG26" s="88">
        <f>IF($A26="","",$N26-$O26)</f>
        <v/>
      </c>
      <c r="AH26" s="90">
        <f>IF($A26="","",IFERROR($AG26/$N26,0))</f>
        <v/>
      </c>
      <c r="AI26" s="89">
        <f>IF($A26="","",IFERROR($K26/$P26,0))</f>
        <v/>
      </c>
      <c r="AJ26" s="90">
        <f>IF($A26="","",IFERROR($S26/$R26,0))</f>
        <v/>
      </c>
      <c r="AK26" s="90">
        <f>IF($A26="","",IFERROR($T26/$J26,0))</f>
        <v/>
      </c>
      <c r="AL26" s="26">
        <f>IF($A26="","",IF(AND($AD26&gt;='01_Settings'!$B$9,$V26&lt;='01_Settings'!$B$10,$W26&lt;='01_Settings'!$B$11),"On track","Off track"))</f>
        <v/>
      </c>
      <c r="AM26" s="42">
        <f>IF($A26="","",IF($AD26&lt;'01_Settings'!$B$9,"Low completion rate; ","")&amp;IF($AE26&gt;'01_Settings'!$B$12,"High overdue rate; ","")&amp;IF($U26&lt;'01_Settings'!$B$13,"Low satisfaction; ","")&amp;IF($AH26&lt;'01_Settings'!$B$14,"Low gross margin; ","")&amp;IF($AJ26&lt;'01_Settings'!$B$15,"Low conversion rate; ","")&amp;IF($AK26&gt;'01_Settings'!$B$16,"High complaint rate; ",""))</f>
        <v/>
      </c>
    </row>
    <row r="27" ht="18" customHeight="1">
      <c r="A27" s="86" t="n">
        <v>46092</v>
      </c>
      <c r="B27" s="26" t="inlineStr">
        <is>
          <t>Southeast Division</t>
        </is>
      </c>
      <c r="C27" s="26" t="inlineStr">
        <is>
          <t>E-commerce Operations</t>
        </is>
      </c>
      <c r="D27" s="26" t="inlineStr">
        <is>
          <t>Enterprise customers</t>
        </is>
      </c>
      <c r="E27" s="26" t="inlineStr">
        <is>
          <t>Phone</t>
        </is>
      </c>
      <c r="F27" s="26" t="inlineStr">
        <is>
          <t>Northeast</t>
        </is>
      </c>
      <c r="G27" s="26" t="inlineStr">
        <is>
          <t>Northeast Team</t>
        </is>
      </c>
      <c r="H27" s="26" t="inlineStr">
        <is>
          <t>Robert Thomas</t>
        </is>
      </c>
      <c r="I27" s="26" t="inlineStr">
        <is>
          <t>High-value customer</t>
        </is>
      </c>
      <c r="J27" s="87" t="n">
        <v>118</v>
      </c>
      <c r="K27" s="87" t="n">
        <v>107</v>
      </c>
      <c r="L27" s="87" t="n">
        <v>4</v>
      </c>
      <c r="M27" s="87" t="n">
        <v>4</v>
      </c>
      <c r="N27" s="88" t="n">
        <v>33177</v>
      </c>
      <c r="O27" s="88" t="n">
        <v>19750</v>
      </c>
      <c r="P27" s="89" t="n">
        <v>16.4</v>
      </c>
      <c r="Q27" s="87" t="n">
        <v>387</v>
      </c>
      <c r="R27" s="87" t="n">
        <v>956</v>
      </c>
      <c r="S27" s="87" t="n">
        <v>127</v>
      </c>
      <c r="T27" s="87" t="n">
        <v>1</v>
      </c>
      <c r="U27" s="89" t="n">
        <v>4.1</v>
      </c>
      <c r="V27" s="89" t="n">
        <v>3.9</v>
      </c>
      <c r="W27" s="89" t="n">
        <v>34</v>
      </c>
      <c r="X27" s="87" t="n">
        <v>152</v>
      </c>
      <c r="Y27" s="87" t="n">
        <v>106</v>
      </c>
      <c r="Z27" s="88" t="n">
        <v>34511</v>
      </c>
      <c r="AA27" s="26" t="n"/>
      <c r="AB27" s="86">
        <f>IF($A27="","",$A27-WEEKDAY($A27,2)+1)</f>
        <v/>
      </c>
      <c r="AC27" s="86">
        <f>IF($A27="","",DATE(YEAR($A27),MONTH($A27),1))</f>
        <v/>
      </c>
      <c r="AD27" s="90">
        <f>IF($A27="","",IFERROR($K27/$J27,0))</f>
        <v/>
      </c>
      <c r="AE27" s="90">
        <f>IF($A27="","",IFERROR($L27/$J27,0))</f>
        <v/>
      </c>
      <c r="AF27" s="90">
        <f>IF($A27="","",IFERROR($M27/$J27,0))</f>
        <v/>
      </c>
      <c r="AG27" s="88">
        <f>IF($A27="","",$N27-$O27)</f>
        <v/>
      </c>
      <c r="AH27" s="90">
        <f>IF($A27="","",IFERROR($AG27/$N27,0))</f>
        <v/>
      </c>
      <c r="AI27" s="89">
        <f>IF($A27="","",IFERROR($K27/$P27,0))</f>
        <v/>
      </c>
      <c r="AJ27" s="90">
        <f>IF($A27="","",IFERROR($S27/$R27,0))</f>
        <v/>
      </c>
      <c r="AK27" s="90">
        <f>IF($A27="","",IFERROR($T27/$J27,0))</f>
        <v/>
      </c>
      <c r="AL27" s="26">
        <f>IF($A27="","",IF(AND($AD27&gt;='01_Settings'!$B$9,$V27&lt;='01_Settings'!$B$10,$W27&lt;='01_Settings'!$B$11),"On track","Off track"))</f>
        <v/>
      </c>
      <c r="AM27" s="42">
        <f>IF($A27="","",IF($AD27&lt;'01_Settings'!$B$9,"Low completion rate; ","")&amp;IF($AE27&gt;'01_Settings'!$B$12,"High overdue rate; ","")&amp;IF($U27&lt;'01_Settings'!$B$13,"Low satisfaction; ","")&amp;IF($AH27&lt;'01_Settings'!$B$14,"Low gross margin; ","")&amp;IF($AJ27&lt;'01_Settings'!$B$15,"Low conversion rate; ","")&amp;IF($AK27&gt;'01_Settings'!$B$16,"High complaint rate; ",""))</f>
        <v/>
      </c>
    </row>
    <row r="28" ht="18" customHeight="1">
      <c r="A28" s="86" t="n">
        <v>46092</v>
      </c>
      <c r="B28" s="26" t="inlineStr">
        <is>
          <t>East Coast Division</t>
        </is>
      </c>
      <c r="C28" s="26" t="inlineStr">
        <is>
          <t>Supply Chain / Inventory</t>
        </is>
      </c>
      <c r="D28" s="26" t="inlineStr">
        <is>
          <t>Standard Service</t>
        </is>
      </c>
      <c r="E28" s="26" t="inlineStr">
        <is>
          <t>Email</t>
        </is>
      </c>
      <c r="F28" s="26" t="inlineStr">
        <is>
          <t>Midwest</t>
        </is>
      </c>
      <c r="G28" s="26" t="inlineStr">
        <is>
          <t>Midwest Team</t>
        </is>
      </c>
      <c r="H28" s="26" t="inlineStr">
        <is>
          <t>Matthew Anderson</t>
        </is>
      </c>
      <c r="I28" s="26" t="inlineStr">
        <is>
          <t>High-value customer</t>
        </is>
      </c>
      <c r="J28" s="87" t="n">
        <v>141</v>
      </c>
      <c r="K28" s="87" t="n">
        <v>134</v>
      </c>
      <c r="L28" s="87" t="n">
        <v>11</v>
      </c>
      <c r="M28" s="87" t="n">
        <v>0</v>
      </c>
      <c r="N28" s="88" t="n">
        <v>50271</v>
      </c>
      <c r="O28" s="88" t="n">
        <v>38272</v>
      </c>
      <c r="P28" s="89" t="n">
        <v>14.6</v>
      </c>
      <c r="Q28" s="87" t="n">
        <v>239</v>
      </c>
      <c r="R28" s="87" t="n">
        <v>1856</v>
      </c>
      <c r="S28" s="87" t="n">
        <v>89</v>
      </c>
      <c r="T28" s="87" t="n">
        <v>4</v>
      </c>
      <c r="U28" s="89" t="n">
        <v>3.8</v>
      </c>
      <c r="V28" s="89" t="n">
        <v>3.1</v>
      </c>
      <c r="W28" s="89" t="n">
        <v>21.7</v>
      </c>
      <c r="X28" s="87" t="n">
        <v>115</v>
      </c>
      <c r="Y28" s="87" t="n">
        <v>126</v>
      </c>
      <c r="Z28" s="88" t="n">
        <v>49633</v>
      </c>
      <c r="AA28" s="26" t="n"/>
      <c r="AB28" s="86">
        <f>IF($A28="","",$A28-WEEKDAY($A28,2)+1)</f>
        <v/>
      </c>
      <c r="AC28" s="86">
        <f>IF($A28="","",DATE(YEAR($A28),MONTH($A28),1))</f>
        <v/>
      </c>
      <c r="AD28" s="90">
        <f>IF($A28="","",IFERROR($K28/$J28,0))</f>
        <v/>
      </c>
      <c r="AE28" s="90">
        <f>IF($A28="","",IFERROR($L28/$J28,0))</f>
        <v/>
      </c>
      <c r="AF28" s="90">
        <f>IF($A28="","",IFERROR($M28/$J28,0))</f>
        <v/>
      </c>
      <c r="AG28" s="88">
        <f>IF($A28="","",$N28-$O28)</f>
        <v/>
      </c>
      <c r="AH28" s="90">
        <f>IF($A28="","",IFERROR($AG28/$N28,0))</f>
        <v/>
      </c>
      <c r="AI28" s="89">
        <f>IF($A28="","",IFERROR($K28/$P28,0))</f>
        <v/>
      </c>
      <c r="AJ28" s="90">
        <f>IF($A28="","",IFERROR($S28/$R28,0))</f>
        <v/>
      </c>
      <c r="AK28" s="90">
        <f>IF($A28="","",IFERROR($T28/$J28,0))</f>
        <v/>
      </c>
      <c r="AL28" s="26">
        <f>IF($A28="","",IF(AND($AD28&gt;='01_Settings'!$B$9,$V28&lt;='01_Settings'!$B$10,$W28&lt;='01_Settings'!$B$11),"On track","Off track"))</f>
        <v/>
      </c>
      <c r="AM28" s="42">
        <f>IF($A28="","",IF($AD28&lt;'01_Settings'!$B$9,"Low completion rate; ","")&amp;IF($AE28&gt;'01_Settings'!$B$12,"High overdue rate; ","")&amp;IF($U28&lt;'01_Settings'!$B$13,"Low satisfaction; ","")&amp;IF($AH28&lt;'01_Settings'!$B$14,"Low gross margin; ","")&amp;IF($AJ28&lt;'01_Settings'!$B$15,"Low conversion rate; ","")&amp;IF($AK28&gt;'01_Settings'!$B$16,"High complaint rate; ",""))</f>
        <v/>
      </c>
    </row>
    <row r="29" ht="18" customHeight="1">
      <c r="A29" s="86" t="n">
        <v>46093</v>
      </c>
      <c r="B29" s="26" t="inlineStr">
        <is>
          <t>Digital Business Unit</t>
        </is>
      </c>
      <c r="C29" s="26" t="inlineStr">
        <is>
          <t>E-commerce Operations</t>
        </is>
      </c>
      <c r="D29" s="26" t="inlineStr">
        <is>
          <t>Enterprise customers</t>
        </is>
      </c>
      <c r="E29" s="26" t="inlineStr">
        <is>
          <t>Distributor</t>
        </is>
      </c>
      <c r="F29" s="26" t="inlineStr">
        <is>
          <t>International</t>
        </is>
      </c>
      <c r="G29" s="26" t="inlineStr">
        <is>
          <t>International Team</t>
        </is>
      </c>
      <c r="H29" s="26" t="inlineStr">
        <is>
          <t>Matthew Anderson</t>
        </is>
      </c>
      <c r="I29" s="26" t="inlineStr">
        <is>
          <t>Enterprise customers</t>
        </is>
      </c>
      <c r="J29" s="87" t="n">
        <v>178</v>
      </c>
      <c r="K29" s="87" t="n">
        <v>153</v>
      </c>
      <c r="L29" s="87" t="n">
        <v>18</v>
      </c>
      <c r="M29" s="87" t="n">
        <v>7</v>
      </c>
      <c r="N29" s="88" t="n">
        <v>16218</v>
      </c>
      <c r="O29" s="88" t="n">
        <v>12780</v>
      </c>
      <c r="P29" s="89" t="n">
        <v>14</v>
      </c>
      <c r="Q29" s="87" t="n">
        <v>257</v>
      </c>
      <c r="R29" s="87" t="n">
        <v>2691</v>
      </c>
      <c r="S29" s="87" t="n">
        <v>304</v>
      </c>
      <c r="T29" s="87" t="n">
        <v>3</v>
      </c>
      <c r="U29" s="89" t="n">
        <v>3.8</v>
      </c>
      <c r="V29" s="89" t="n">
        <v>5.3</v>
      </c>
      <c r="W29" s="89" t="n">
        <v>13.1</v>
      </c>
      <c r="X29" s="87" t="n">
        <v>59</v>
      </c>
      <c r="Y29" s="87" t="n">
        <v>160</v>
      </c>
      <c r="Z29" s="88" t="n">
        <v>17808</v>
      </c>
      <c r="AA29" s="26" t="n"/>
      <c r="AB29" s="86">
        <f>IF($A29="","",$A29-WEEKDAY($A29,2)+1)</f>
        <v/>
      </c>
      <c r="AC29" s="86">
        <f>IF($A29="","",DATE(YEAR($A29),MONTH($A29),1))</f>
        <v/>
      </c>
      <c r="AD29" s="90">
        <f>IF($A29="","",IFERROR($K29/$J29,0))</f>
        <v/>
      </c>
      <c r="AE29" s="90">
        <f>IF($A29="","",IFERROR($L29/$J29,0))</f>
        <v/>
      </c>
      <c r="AF29" s="90">
        <f>IF($A29="","",IFERROR($M29/$J29,0))</f>
        <v/>
      </c>
      <c r="AG29" s="88">
        <f>IF($A29="","",$N29-$O29)</f>
        <v/>
      </c>
      <c r="AH29" s="90">
        <f>IF($A29="","",IFERROR($AG29/$N29,0))</f>
        <v/>
      </c>
      <c r="AI29" s="89">
        <f>IF($A29="","",IFERROR($K29/$P29,0))</f>
        <v/>
      </c>
      <c r="AJ29" s="90">
        <f>IF($A29="","",IFERROR($S29/$R29,0))</f>
        <v/>
      </c>
      <c r="AK29" s="90">
        <f>IF($A29="","",IFERROR($T29/$J29,0))</f>
        <v/>
      </c>
      <c r="AL29" s="26">
        <f>IF($A29="","",IF(AND($AD29&gt;='01_Settings'!$B$9,$V29&lt;='01_Settings'!$B$10,$W29&lt;='01_Settings'!$B$11),"On track","Off track"))</f>
        <v/>
      </c>
      <c r="AM29" s="42">
        <f>IF($A29="","",IF($AD29&lt;'01_Settings'!$B$9,"Low completion rate; ","")&amp;IF($AE29&gt;'01_Settings'!$B$12,"High overdue rate; ","")&amp;IF($U29&lt;'01_Settings'!$B$13,"Low satisfaction; ","")&amp;IF($AH29&lt;'01_Settings'!$B$14,"Low gross margin; ","")&amp;IF($AJ29&lt;'01_Settings'!$B$15,"Low conversion rate; ","")&amp;IF($AK29&gt;'01_Settings'!$B$16,"High complaint rate; ",""))</f>
        <v/>
      </c>
    </row>
    <row r="30" ht="18" customHeight="1">
      <c r="A30" s="86" t="n">
        <v>46093</v>
      </c>
      <c r="B30" s="26" t="inlineStr">
        <is>
          <t>North Operations Center</t>
        </is>
      </c>
      <c r="C30" s="26" t="inlineStr">
        <is>
          <t>Supply Chain / Inventory</t>
        </is>
      </c>
      <c r="D30" s="26" t="inlineStr">
        <is>
          <t>After-sales Coverage</t>
        </is>
      </c>
      <c r="E30" s="26" t="inlineStr">
        <is>
          <t>Team chat</t>
        </is>
      </c>
      <c r="F30" s="26" t="inlineStr">
        <is>
          <t>Northeast</t>
        </is>
      </c>
      <c r="G30" s="26" t="inlineStr">
        <is>
          <t>Northeast Team</t>
        </is>
      </c>
      <c r="H30" s="26" t="inlineStr">
        <is>
          <t>Matthew Anderson</t>
        </is>
      </c>
      <c r="I30" s="26" t="inlineStr">
        <is>
          <t>High-value customer</t>
        </is>
      </c>
      <c r="J30" s="87" t="n">
        <v>214</v>
      </c>
      <c r="K30" s="87" t="n">
        <v>193</v>
      </c>
      <c r="L30" s="87" t="n">
        <v>8</v>
      </c>
      <c r="M30" s="87" t="n">
        <v>2</v>
      </c>
      <c r="N30" s="88" t="n">
        <v>38972</v>
      </c>
      <c r="O30" s="88" t="n">
        <v>27276</v>
      </c>
      <c r="P30" s="89" t="n">
        <v>17.5</v>
      </c>
      <c r="Q30" s="87" t="n">
        <v>263</v>
      </c>
      <c r="R30" s="87" t="n">
        <v>2373</v>
      </c>
      <c r="S30" s="87" t="n">
        <v>222</v>
      </c>
      <c r="T30" s="87" t="n">
        <v>1</v>
      </c>
      <c r="U30" s="89" t="n">
        <v>4.1</v>
      </c>
      <c r="V30" s="89" t="n">
        <v>3</v>
      </c>
      <c r="W30" s="89" t="n">
        <v>14.8</v>
      </c>
      <c r="X30" s="87" t="n">
        <v>174</v>
      </c>
      <c r="Y30" s="87" t="n">
        <v>192</v>
      </c>
      <c r="Z30" s="88" t="n">
        <v>40709</v>
      </c>
      <c r="AA30" s="26" t="n"/>
      <c r="AB30" s="86">
        <f>IF($A30="","",$A30-WEEKDAY($A30,2)+1)</f>
        <v/>
      </c>
      <c r="AC30" s="86">
        <f>IF($A30="","",DATE(YEAR($A30),MONTH($A30),1))</f>
        <v/>
      </c>
      <c r="AD30" s="90">
        <f>IF($A30="","",IFERROR($K30/$J30,0))</f>
        <v/>
      </c>
      <c r="AE30" s="90">
        <f>IF($A30="","",IFERROR($L30/$J30,0))</f>
        <v/>
      </c>
      <c r="AF30" s="90">
        <f>IF($A30="","",IFERROR($M30/$J30,0))</f>
        <v/>
      </c>
      <c r="AG30" s="88">
        <f>IF($A30="","",$N30-$O30)</f>
        <v/>
      </c>
      <c r="AH30" s="90">
        <f>IF($A30="","",IFERROR($AG30/$N30,0))</f>
        <v/>
      </c>
      <c r="AI30" s="89">
        <f>IF($A30="","",IFERROR($K30/$P30,0))</f>
        <v/>
      </c>
      <c r="AJ30" s="90">
        <f>IF($A30="","",IFERROR($S30/$R30,0))</f>
        <v/>
      </c>
      <c r="AK30" s="90">
        <f>IF($A30="","",IFERROR($T30/$J30,0))</f>
        <v/>
      </c>
      <c r="AL30" s="26">
        <f>IF($A30="","",IF(AND($AD30&gt;='01_Settings'!$B$9,$V30&lt;='01_Settings'!$B$10,$W30&lt;='01_Settings'!$B$11),"On track","Off track"))</f>
        <v/>
      </c>
      <c r="AM30" s="42">
        <f>IF($A30="","",IF($AD30&lt;'01_Settings'!$B$9,"Low completion rate; ","")&amp;IF($AE30&gt;'01_Settings'!$B$12,"High overdue rate; ","")&amp;IF($U30&lt;'01_Settings'!$B$13,"Low satisfaction; ","")&amp;IF($AH30&lt;'01_Settings'!$B$14,"Low gross margin; ","")&amp;IF($AJ30&lt;'01_Settings'!$B$15,"Low conversion rate; ","")&amp;IF($AK30&gt;'01_Settings'!$B$16,"High complaint rate; ",""))</f>
        <v/>
      </c>
    </row>
    <row r="31" ht="18" customHeight="1">
      <c r="A31" s="86" t="n">
        <v>46093</v>
      </c>
      <c r="B31" s="26" t="inlineStr">
        <is>
          <t>Digital Business Unit</t>
        </is>
      </c>
      <c r="C31" s="26" t="inlineStr">
        <is>
          <t>Sales Operations</t>
        </is>
      </c>
      <c r="D31" s="26" t="inlineStr">
        <is>
          <t>Membership Program</t>
        </is>
      </c>
      <c r="E31" s="26" t="inlineStr">
        <is>
          <t>Mobile app</t>
        </is>
      </c>
      <c r="F31" s="26" t="inlineStr">
        <is>
          <t>Southwest</t>
        </is>
      </c>
      <c r="G31" s="26" t="inlineStr">
        <is>
          <t>Southwest Team</t>
        </is>
      </c>
      <c r="H31" s="26" t="inlineStr">
        <is>
          <t>David Wilson</t>
        </is>
      </c>
      <c r="I31" s="26" t="inlineStr">
        <is>
          <t>New customer</t>
        </is>
      </c>
      <c r="J31" s="87" t="n">
        <v>216</v>
      </c>
      <c r="K31" s="87" t="n">
        <v>186</v>
      </c>
      <c r="L31" s="87" t="n">
        <v>9</v>
      </c>
      <c r="M31" s="87" t="n">
        <v>1</v>
      </c>
      <c r="N31" s="88" t="n">
        <v>25626</v>
      </c>
      <c r="O31" s="88" t="n">
        <v>14922</v>
      </c>
      <c r="P31" s="89" t="n">
        <v>26.2</v>
      </c>
      <c r="Q31" s="87" t="n">
        <v>373</v>
      </c>
      <c r="R31" s="87" t="n">
        <v>1231</v>
      </c>
      <c r="S31" s="87" t="n">
        <v>77</v>
      </c>
      <c r="T31" s="87" t="n">
        <v>7</v>
      </c>
      <c r="U31" s="89" t="n">
        <v>4.1</v>
      </c>
      <c r="V31" s="89" t="n">
        <v>3.9</v>
      </c>
      <c r="W31" s="89" t="n">
        <v>29.3</v>
      </c>
      <c r="X31" s="87" t="n">
        <v>157</v>
      </c>
      <c r="Y31" s="87" t="n">
        <v>194</v>
      </c>
      <c r="Z31" s="88" t="n">
        <v>28065</v>
      </c>
      <c r="AA31" s="26" t="n"/>
      <c r="AB31" s="86">
        <f>IF($A31="","",$A31-WEEKDAY($A31,2)+1)</f>
        <v/>
      </c>
      <c r="AC31" s="86">
        <f>IF($A31="","",DATE(YEAR($A31),MONTH($A31),1))</f>
        <v/>
      </c>
      <c r="AD31" s="90">
        <f>IF($A31="","",IFERROR($K31/$J31,0))</f>
        <v/>
      </c>
      <c r="AE31" s="90">
        <f>IF($A31="","",IFERROR($L31/$J31,0))</f>
        <v/>
      </c>
      <c r="AF31" s="90">
        <f>IF($A31="","",IFERROR($M31/$J31,0))</f>
        <v/>
      </c>
      <c r="AG31" s="88">
        <f>IF($A31="","",$N31-$O31)</f>
        <v/>
      </c>
      <c r="AH31" s="90">
        <f>IF($A31="","",IFERROR($AG31/$N31,0))</f>
        <v/>
      </c>
      <c r="AI31" s="89">
        <f>IF($A31="","",IFERROR($K31/$P31,0))</f>
        <v/>
      </c>
      <c r="AJ31" s="90">
        <f>IF($A31="","",IFERROR($S31/$R31,0))</f>
        <v/>
      </c>
      <c r="AK31" s="90">
        <f>IF($A31="","",IFERROR($T31/$J31,0))</f>
        <v/>
      </c>
      <c r="AL31" s="26">
        <f>IF($A31="","",IF(AND($AD31&gt;='01_Settings'!$B$9,$V31&lt;='01_Settings'!$B$10,$W31&lt;='01_Settings'!$B$11),"On track","Off track"))</f>
        <v/>
      </c>
      <c r="AM31" s="42">
        <f>IF($A31="","",IF($AD31&lt;'01_Settings'!$B$9,"Low completion rate; ","")&amp;IF($AE31&gt;'01_Settings'!$B$12,"High overdue rate; ","")&amp;IF($U31&lt;'01_Settings'!$B$13,"Low satisfaction; ","")&amp;IF($AH31&lt;'01_Settings'!$B$14,"Low gross margin; ","")&amp;IF($AJ31&lt;'01_Settings'!$B$15,"Low conversion rate; ","")&amp;IF($AK31&gt;'01_Settings'!$B$16,"High complaint rate; ",""))</f>
        <v/>
      </c>
    </row>
    <row r="32" ht="18" customHeight="1">
      <c r="A32" s="86" t="n">
        <v>46094</v>
      </c>
      <c r="B32" s="26" t="inlineStr">
        <is>
          <t>Southeast Division</t>
        </is>
      </c>
      <c r="C32" s="26" t="inlineStr">
        <is>
          <t>Supply Chain / Inventory</t>
        </is>
      </c>
      <c r="D32" s="26" t="inlineStr">
        <is>
          <t>Standard Service</t>
        </is>
      </c>
      <c r="E32" s="26" t="inlineStr">
        <is>
          <t>Team chat</t>
        </is>
      </c>
      <c r="F32" s="26" t="inlineStr">
        <is>
          <t>International</t>
        </is>
      </c>
      <c r="G32" s="26" t="inlineStr">
        <is>
          <t>International Team</t>
        </is>
      </c>
      <c r="H32" s="26" t="inlineStr">
        <is>
          <t>David Wilson</t>
        </is>
      </c>
      <c r="I32" s="26" t="inlineStr">
        <is>
          <t>High-value customer</t>
        </is>
      </c>
      <c r="J32" s="87" t="n">
        <v>224</v>
      </c>
      <c r="K32" s="87" t="n">
        <v>188</v>
      </c>
      <c r="L32" s="87" t="n">
        <v>5</v>
      </c>
      <c r="M32" s="87" t="n">
        <v>0</v>
      </c>
      <c r="N32" s="88" t="n">
        <v>31517</v>
      </c>
      <c r="O32" s="88" t="n">
        <v>25368</v>
      </c>
      <c r="P32" s="89" t="n">
        <v>29.8</v>
      </c>
      <c r="Q32" s="87" t="n">
        <v>271</v>
      </c>
      <c r="R32" s="87" t="n">
        <v>791</v>
      </c>
      <c r="S32" s="87" t="n">
        <v>114</v>
      </c>
      <c r="T32" s="87" t="n">
        <v>6</v>
      </c>
      <c r="U32" s="89" t="n">
        <v>4.3</v>
      </c>
      <c r="V32" s="89" t="n">
        <v>3.2</v>
      </c>
      <c r="W32" s="89" t="n">
        <v>13.2</v>
      </c>
      <c r="X32" s="87" t="n">
        <v>18</v>
      </c>
      <c r="Y32" s="87" t="n">
        <v>201</v>
      </c>
      <c r="Z32" s="88" t="n">
        <v>35381</v>
      </c>
      <c r="AA32" s="26" t="n"/>
      <c r="AB32" s="86">
        <f>IF($A32="","",$A32-WEEKDAY($A32,2)+1)</f>
        <v/>
      </c>
      <c r="AC32" s="86">
        <f>IF($A32="","",DATE(YEAR($A32),MONTH($A32),1))</f>
        <v/>
      </c>
      <c r="AD32" s="90">
        <f>IF($A32="","",IFERROR($K32/$J32,0))</f>
        <v/>
      </c>
      <c r="AE32" s="90">
        <f>IF($A32="","",IFERROR($L32/$J32,0))</f>
        <v/>
      </c>
      <c r="AF32" s="90">
        <f>IF($A32="","",IFERROR($M32/$J32,0))</f>
        <v/>
      </c>
      <c r="AG32" s="88">
        <f>IF($A32="","",$N32-$O32)</f>
        <v/>
      </c>
      <c r="AH32" s="90">
        <f>IF($A32="","",IFERROR($AG32/$N32,0))</f>
        <v/>
      </c>
      <c r="AI32" s="89">
        <f>IF($A32="","",IFERROR($K32/$P32,0))</f>
        <v/>
      </c>
      <c r="AJ32" s="90">
        <f>IF($A32="","",IFERROR($S32/$R32,0))</f>
        <v/>
      </c>
      <c r="AK32" s="90">
        <f>IF($A32="","",IFERROR($T32/$J32,0))</f>
        <v/>
      </c>
      <c r="AL32" s="26">
        <f>IF($A32="","",IF(AND($AD32&gt;='01_Settings'!$B$9,$V32&lt;='01_Settings'!$B$10,$W32&lt;='01_Settings'!$B$11),"On track","Off track"))</f>
        <v/>
      </c>
      <c r="AM32" s="42">
        <f>IF($A32="","",IF($AD32&lt;'01_Settings'!$B$9,"Low completion rate; ","")&amp;IF($AE32&gt;'01_Settings'!$B$12,"High overdue rate; ","")&amp;IF($U32&lt;'01_Settings'!$B$13,"Low satisfaction; ","")&amp;IF($AH32&lt;'01_Settings'!$B$14,"Low gross margin; ","")&amp;IF($AJ32&lt;'01_Settings'!$B$15,"Low conversion rate; ","")&amp;IF($AK32&gt;'01_Settings'!$B$16,"High complaint rate; ",""))</f>
        <v/>
      </c>
    </row>
    <row r="33" ht="18" customHeight="1">
      <c r="A33" s="86" t="n">
        <v>46094</v>
      </c>
      <c r="B33" s="26" t="inlineStr">
        <is>
          <t>East Coast Division</t>
        </is>
      </c>
      <c r="C33" s="26" t="inlineStr">
        <is>
          <t>E-commerce Operations</t>
        </is>
      </c>
      <c r="D33" s="26" t="inlineStr">
        <is>
          <t>Enterprise customers</t>
        </is>
      </c>
      <c r="E33" s="26" t="inlineStr">
        <is>
          <t>Marketplace store</t>
        </is>
      </c>
      <c r="F33" s="26" t="inlineStr">
        <is>
          <t>Northeast</t>
        </is>
      </c>
      <c r="G33" s="26" t="inlineStr">
        <is>
          <t>Northeast Team</t>
        </is>
      </c>
      <c r="H33" s="26" t="inlineStr">
        <is>
          <t>Jessica Taylor</t>
        </is>
      </c>
      <c r="I33" s="26" t="inlineStr">
        <is>
          <t>High-value customer</t>
        </is>
      </c>
      <c r="J33" s="87" t="n">
        <v>98</v>
      </c>
      <c r="K33" s="87" t="n">
        <v>89</v>
      </c>
      <c r="L33" s="87" t="n">
        <v>8</v>
      </c>
      <c r="M33" s="87" t="n">
        <v>0</v>
      </c>
      <c r="N33" s="88" t="n">
        <v>28777</v>
      </c>
      <c r="O33" s="88" t="n">
        <v>23202</v>
      </c>
      <c r="P33" s="89" t="n">
        <v>5.7</v>
      </c>
      <c r="Q33" s="87" t="n">
        <v>147</v>
      </c>
      <c r="R33" s="87" t="n">
        <v>732</v>
      </c>
      <c r="S33" s="87" t="n">
        <v>78</v>
      </c>
      <c r="T33" s="87" t="n">
        <v>2</v>
      </c>
      <c r="U33" s="89" t="n">
        <v>4.4</v>
      </c>
      <c r="V33" s="89" t="n">
        <v>4.1</v>
      </c>
      <c r="W33" s="89" t="n">
        <v>29.7</v>
      </c>
      <c r="X33" s="87" t="n">
        <v>102</v>
      </c>
      <c r="Y33" s="87" t="n">
        <v>88</v>
      </c>
      <c r="Z33" s="88" t="n">
        <v>29877</v>
      </c>
      <c r="AA33" s="26" t="n"/>
      <c r="AB33" s="86">
        <f>IF($A33="","",$A33-WEEKDAY($A33,2)+1)</f>
        <v/>
      </c>
      <c r="AC33" s="86">
        <f>IF($A33="","",DATE(YEAR($A33),MONTH($A33),1))</f>
        <v/>
      </c>
      <c r="AD33" s="90">
        <f>IF($A33="","",IFERROR($K33/$J33,0))</f>
        <v/>
      </c>
      <c r="AE33" s="90">
        <f>IF($A33="","",IFERROR($L33/$J33,0))</f>
        <v/>
      </c>
      <c r="AF33" s="90">
        <f>IF($A33="","",IFERROR($M33/$J33,0))</f>
        <v/>
      </c>
      <c r="AG33" s="88">
        <f>IF($A33="","",$N33-$O33)</f>
        <v/>
      </c>
      <c r="AH33" s="90">
        <f>IF($A33="","",IFERROR($AG33/$N33,0))</f>
        <v/>
      </c>
      <c r="AI33" s="89">
        <f>IF($A33="","",IFERROR($K33/$P33,0))</f>
        <v/>
      </c>
      <c r="AJ33" s="90">
        <f>IF($A33="","",IFERROR($S33/$R33,0))</f>
        <v/>
      </c>
      <c r="AK33" s="90">
        <f>IF($A33="","",IFERROR($T33/$J33,0))</f>
        <v/>
      </c>
      <c r="AL33" s="26">
        <f>IF($A33="","",IF(AND($AD33&gt;='01_Settings'!$B$9,$V33&lt;='01_Settings'!$B$10,$W33&lt;='01_Settings'!$B$11),"On track","Off track"))</f>
        <v/>
      </c>
      <c r="AM33" s="42">
        <f>IF($A33="","",IF($AD33&lt;'01_Settings'!$B$9,"Low completion rate; ","")&amp;IF($AE33&gt;'01_Settings'!$B$12,"High overdue rate; ","")&amp;IF($U33&lt;'01_Settings'!$B$13,"Low satisfaction; ","")&amp;IF($AH33&lt;'01_Settings'!$B$14,"Low gross margin; ","")&amp;IF($AJ33&lt;'01_Settings'!$B$15,"Low conversion rate; ","")&amp;IF($AK33&gt;'01_Settings'!$B$16,"High complaint rate; ",""))</f>
        <v/>
      </c>
    </row>
    <row r="34" ht="18" customHeight="1">
      <c r="A34" s="86" t="n">
        <v>46094</v>
      </c>
      <c r="B34" s="26" t="inlineStr">
        <is>
          <t>Digital Business Unit</t>
        </is>
      </c>
      <c r="C34" s="26" t="inlineStr">
        <is>
          <t>Sales Operations</t>
        </is>
      </c>
      <c r="D34" s="26" t="inlineStr">
        <is>
          <t>After-sales Coverage</t>
        </is>
      </c>
      <c r="E34" s="26" t="inlineStr">
        <is>
          <t>Team chat</t>
        </is>
      </c>
      <c r="F34" s="26" t="inlineStr">
        <is>
          <t>International</t>
        </is>
      </c>
      <c r="G34" s="26" t="inlineStr">
        <is>
          <t>International Team</t>
        </is>
      </c>
      <c r="H34" s="26" t="inlineStr">
        <is>
          <t>David Wilson</t>
        </is>
      </c>
      <c r="I34" s="26" t="inlineStr">
        <is>
          <t>New customer</t>
        </is>
      </c>
      <c r="J34" s="87" t="n">
        <v>192</v>
      </c>
      <c r="K34" s="87" t="n">
        <v>159</v>
      </c>
      <c r="L34" s="87" t="n">
        <v>22</v>
      </c>
      <c r="M34" s="87" t="n">
        <v>0</v>
      </c>
      <c r="N34" s="88" t="n">
        <v>49103</v>
      </c>
      <c r="O34" s="88" t="n">
        <v>35300</v>
      </c>
      <c r="P34" s="89" t="n">
        <v>15.1</v>
      </c>
      <c r="Q34" s="87" t="n">
        <v>61</v>
      </c>
      <c r="R34" s="87" t="n">
        <v>804</v>
      </c>
      <c r="S34" s="87" t="n">
        <v>55</v>
      </c>
      <c r="T34" s="87" t="n">
        <v>5</v>
      </c>
      <c r="U34" s="89" t="n">
        <v>4</v>
      </c>
      <c r="V34" s="89" t="n">
        <v>3</v>
      </c>
      <c r="W34" s="89" t="n">
        <v>27.3</v>
      </c>
      <c r="X34" s="87" t="n">
        <v>125</v>
      </c>
      <c r="Y34" s="87" t="n">
        <v>172</v>
      </c>
      <c r="Z34" s="88" t="n">
        <v>55773</v>
      </c>
      <c r="AA34" s="26" t="n"/>
      <c r="AB34" s="86">
        <f>IF($A34="","",$A34-WEEKDAY($A34,2)+1)</f>
        <v/>
      </c>
      <c r="AC34" s="86">
        <f>IF($A34="","",DATE(YEAR($A34),MONTH($A34),1))</f>
        <v/>
      </c>
      <c r="AD34" s="90">
        <f>IF($A34="","",IFERROR($K34/$J34,0))</f>
        <v/>
      </c>
      <c r="AE34" s="90">
        <f>IF($A34="","",IFERROR($L34/$J34,0))</f>
        <v/>
      </c>
      <c r="AF34" s="90">
        <f>IF($A34="","",IFERROR($M34/$J34,0))</f>
        <v/>
      </c>
      <c r="AG34" s="88">
        <f>IF($A34="","",$N34-$O34)</f>
        <v/>
      </c>
      <c r="AH34" s="90">
        <f>IF($A34="","",IFERROR($AG34/$N34,0))</f>
        <v/>
      </c>
      <c r="AI34" s="89">
        <f>IF($A34="","",IFERROR($K34/$P34,0))</f>
        <v/>
      </c>
      <c r="AJ34" s="90">
        <f>IF($A34="","",IFERROR($S34/$R34,0))</f>
        <v/>
      </c>
      <c r="AK34" s="90">
        <f>IF($A34="","",IFERROR($T34/$J34,0))</f>
        <v/>
      </c>
      <c r="AL34" s="26">
        <f>IF($A34="","",IF(AND($AD34&gt;='01_Settings'!$B$9,$V34&lt;='01_Settings'!$B$10,$W34&lt;='01_Settings'!$B$11),"On track","Off track"))</f>
        <v/>
      </c>
      <c r="AM34" s="42">
        <f>IF($A34="","",IF($AD34&lt;'01_Settings'!$B$9,"Low completion rate; ","")&amp;IF($AE34&gt;'01_Settings'!$B$12,"High overdue rate; ","")&amp;IF($U34&lt;'01_Settings'!$B$13,"Low satisfaction; ","")&amp;IF($AH34&lt;'01_Settings'!$B$14,"Low gross margin; ","")&amp;IF($AJ34&lt;'01_Settings'!$B$15,"Low conversion rate; ","")&amp;IF($AK34&gt;'01_Settings'!$B$16,"High complaint rate; ",""))</f>
        <v/>
      </c>
    </row>
    <row r="35" ht="18" customHeight="1">
      <c r="A35" s="86" t="n">
        <v>46095</v>
      </c>
      <c r="B35" s="26" t="inlineStr">
        <is>
          <t>Digital Business Unit</t>
        </is>
      </c>
      <c r="C35" s="26" t="inlineStr">
        <is>
          <t>Supply Chain / Inventory</t>
        </is>
      </c>
      <c r="D35" s="26" t="inlineStr">
        <is>
          <t>Project Delivery</t>
        </is>
      </c>
      <c r="E35" s="26" t="inlineStr">
        <is>
          <t>Retail store</t>
        </is>
      </c>
      <c r="F35" s="26" t="inlineStr">
        <is>
          <t>Southeast</t>
        </is>
      </c>
      <c r="G35" s="26" t="inlineStr">
        <is>
          <t>Southeast Team</t>
        </is>
      </c>
      <c r="H35" s="26" t="inlineStr">
        <is>
          <t>David Wilson</t>
        </is>
      </c>
      <c r="I35" s="26" t="inlineStr">
        <is>
          <t>High-value customer</t>
        </is>
      </c>
      <c r="J35" s="87" t="n">
        <v>184</v>
      </c>
      <c r="K35" s="87" t="n">
        <v>178</v>
      </c>
      <c r="L35" s="87" t="n">
        <v>18</v>
      </c>
      <c r="M35" s="87" t="n">
        <v>5</v>
      </c>
      <c r="N35" s="88" t="n">
        <v>49547</v>
      </c>
      <c r="O35" s="88" t="n">
        <v>39741</v>
      </c>
      <c r="P35" s="89" t="n">
        <v>21.8</v>
      </c>
      <c r="Q35" s="87" t="n">
        <v>298</v>
      </c>
      <c r="R35" s="87" t="n">
        <v>1318</v>
      </c>
      <c r="S35" s="87" t="n">
        <v>155</v>
      </c>
      <c r="T35" s="87" t="n">
        <v>7</v>
      </c>
      <c r="U35" s="89" t="n">
        <v>4.6</v>
      </c>
      <c r="V35" s="89" t="n">
        <v>1.4</v>
      </c>
      <c r="W35" s="89" t="n">
        <v>12.6</v>
      </c>
      <c r="X35" s="87" t="n">
        <v>83</v>
      </c>
      <c r="Y35" s="87" t="n">
        <v>165</v>
      </c>
      <c r="Z35" s="88" t="n">
        <v>48225</v>
      </c>
      <c r="AA35" s="26" t="n"/>
      <c r="AB35" s="86">
        <f>IF($A35="","",$A35-WEEKDAY($A35,2)+1)</f>
        <v/>
      </c>
      <c r="AC35" s="86">
        <f>IF($A35="","",DATE(YEAR($A35),MONTH($A35),1))</f>
        <v/>
      </c>
      <c r="AD35" s="90">
        <f>IF($A35="","",IFERROR($K35/$J35,0))</f>
        <v/>
      </c>
      <c r="AE35" s="90">
        <f>IF($A35="","",IFERROR($L35/$J35,0))</f>
        <v/>
      </c>
      <c r="AF35" s="90">
        <f>IF($A35="","",IFERROR($M35/$J35,0))</f>
        <v/>
      </c>
      <c r="AG35" s="88">
        <f>IF($A35="","",$N35-$O35)</f>
        <v/>
      </c>
      <c r="AH35" s="90">
        <f>IF($A35="","",IFERROR($AG35/$N35,0))</f>
        <v/>
      </c>
      <c r="AI35" s="89">
        <f>IF($A35="","",IFERROR($K35/$P35,0))</f>
        <v/>
      </c>
      <c r="AJ35" s="90">
        <f>IF($A35="","",IFERROR($S35/$R35,0))</f>
        <v/>
      </c>
      <c r="AK35" s="90">
        <f>IF($A35="","",IFERROR($T35/$J35,0))</f>
        <v/>
      </c>
      <c r="AL35" s="26">
        <f>IF($A35="","",IF(AND($AD35&gt;='01_Settings'!$B$9,$V35&lt;='01_Settings'!$B$10,$W35&lt;='01_Settings'!$B$11),"On track","Off track"))</f>
        <v/>
      </c>
      <c r="AM35" s="42">
        <f>IF($A35="","",IF($AD35&lt;'01_Settings'!$B$9,"Low completion rate; ","")&amp;IF($AE35&gt;'01_Settings'!$B$12,"High overdue rate; ","")&amp;IF($U35&lt;'01_Settings'!$B$13,"Low satisfaction; ","")&amp;IF($AH35&lt;'01_Settings'!$B$14,"Low gross margin; ","")&amp;IF($AJ35&lt;'01_Settings'!$B$15,"Low conversion rate; ","")&amp;IF($AK35&gt;'01_Settings'!$B$16,"High complaint rate; ",""))</f>
        <v/>
      </c>
    </row>
    <row r="36" ht="18" customHeight="1">
      <c r="A36" s="86" t="n">
        <v>46095</v>
      </c>
      <c r="B36" s="26" t="inlineStr">
        <is>
          <t>Digital Business Unit</t>
        </is>
      </c>
      <c r="C36" s="26" t="inlineStr">
        <is>
          <t>E-commerce Operations</t>
        </is>
      </c>
      <c r="D36" s="26" t="inlineStr">
        <is>
          <t>Project Delivery</t>
        </is>
      </c>
      <c r="E36" s="26" t="inlineStr">
        <is>
          <t>Team chat</t>
        </is>
      </c>
      <c r="F36" s="26" t="inlineStr">
        <is>
          <t>Southwest</t>
        </is>
      </c>
      <c r="G36" s="26" t="inlineStr">
        <is>
          <t>Southwest Team</t>
        </is>
      </c>
      <c r="H36" s="26" t="inlineStr">
        <is>
          <t>David Wilson</t>
        </is>
      </c>
      <c r="I36" s="26" t="inlineStr">
        <is>
          <t>Standard customer</t>
        </is>
      </c>
      <c r="J36" s="87" t="n">
        <v>103</v>
      </c>
      <c r="K36" s="87" t="n">
        <v>99</v>
      </c>
      <c r="L36" s="87" t="n">
        <v>7</v>
      </c>
      <c r="M36" s="87" t="n">
        <v>2</v>
      </c>
      <c r="N36" s="88" t="n">
        <v>10309</v>
      </c>
      <c r="O36" s="88" t="n">
        <v>5781</v>
      </c>
      <c r="P36" s="89" t="n">
        <v>12.2</v>
      </c>
      <c r="Q36" s="87" t="n">
        <v>185</v>
      </c>
      <c r="R36" s="87" t="n">
        <v>1310</v>
      </c>
      <c r="S36" s="87" t="n">
        <v>56</v>
      </c>
      <c r="T36" s="87" t="n">
        <v>1</v>
      </c>
      <c r="U36" s="89" t="n">
        <v>4.5</v>
      </c>
      <c r="V36" s="89" t="n">
        <v>5.3</v>
      </c>
      <c r="W36" s="89" t="n">
        <v>24.4</v>
      </c>
      <c r="X36" s="87" t="n">
        <v>10</v>
      </c>
      <c r="Y36" s="87" t="n">
        <v>92</v>
      </c>
      <c r="Z36" s="88" t="n">
        <v>10059</v>
      </c>
      <c r="AA36" s="26" t="n"/>
      <c r="AB36" s="86">
        <f>IF($A36="","",$A36-WEEKDAY($A36,2)+1)</f>
        <v/>
      </c>
      <c r="AC36" s="86">
        <f>IF($A36="","",DATE(YEAR($A36),MONTH($A36),1))</f>
        <v/>
      </c>
      <c r="AD36" s="90">
        <f>IF($A36="","",IFERROR($K36/$J36,0))</f>
        <v/>
      </c>
      <c r="AE36" s="90">
        <f>IF($A36="","",IFERROR($L36/$J36,0))</f>
        <v/>
      </c>
      <c r="AF36" s="90">
        <f>IF($A36="","",IFERROR($M36/$J36,0))</f>
        <v/>
      </c>
      <c r="AG36" s="88">
        <f>IF($A36="","",$N36-$O36)</f>
        <v/>
      </c>
      <c r="AH36" s="90">
        <f>IF($A36="","",IFERROR($AG36/$N36,0))</f>
        <v/>
      </c>
      <c r="AI36" s="89">
        <f>IF($A36="","",IFERROR($K36/$P36,0))</f>
        <v/>
      </c>
      <c r="AJ36" s="90">
        <f>IF($A36="","",IFERROR($S36/$R36,0))</f>
        <v/>
      </c>
      <c r="AK36" s="90">
        <f>IF($A36="","",IFERROR($T36/$J36,0))</f>
        <v/>
      </c>
      <c r="AL36" s="26">
        <f>IF($A36="","",IF(AND($AD36&gt;='01_Settings'!$B$9,$V36&lt;='01_Settings'!$B$10,$W36&lt;='01_Settings'!$B$11),"On track","Off track"))</f>
        <v/>
      </c>
      <c r="AM36" s="42">
        <f>IF($A36="","",IF($AD36&lt;'01_Settings'!$B$9,"Low completion rate; ","")&amp;IF($AE36&gt;'01_Settings'!$B$12,"High overdue rate; ","")&amp;IF($U36&lt;'01_Settings'!$B$13,"Low satisfaction; ","")&amp;IF($AH36&lt;'01_Settings'!$B$14,"Low gross margin; ","")&amp;IF($AJ36&lt;'01_Settings'!$B$15,"Low conversion rate; ","")&amp;IF($AK36&gt;'01_Settings'!$B$16,"High complaint rate; ",""))</f>
        <v/>
      </c>
    </row>
    <row r="37" ht="18" customHeight="1">
      <c r="A37" s="86" t="n">
        <v>46095</v>
      </c>
      <c r="B37" s="26" t="inlineStr">
        <is>
          <t>Digital Business Unit</t>
        </is>
      </c>
      <c r="C37" s="26" t="inlineStr">
        <is>
          <t>Field Services</t>
        </is>
      </c>
      <c r="D37" s="26" t="inlineStr">
        <is>
          <t>Membership Program</t>
        </is>
      </c>
      <c r="E37" s="26" t="inlineStr">
        <is>
          <t>Distributor</t>
        </is>
      </c>
      <c r="F37" s="26" t="inlineStr">
        <is>
          <t>Southeast</t>
        </is>
      </c>
      <c r="G37" s="26" t="inlineStr">
        <is>
          <t>Southeast Team</t>
        </is>
      </c>
      <c r="H37" s="26" t="inlineStr">
        <is>
          <t>John Miller</t>
        </is>
      </c>
      <c r="I37" s="26" t="inlineStr">
        <is>
          <t>High-value customer</t>
        </is>
      </c>
      <c r="J37" s="87" t="n">
        <v>124</v>
      </c>
      <c r="K37" s="87" t="n">
        <v>121</v>
      </c>
      <c r="L37" s="87" t="n">
        <v>7</v>
      </c>
      <c r="M37" s="87" t="n">
        <v>5</v>
      </c>
      <c r="N37" s="88" t="n">
        <v>44857</v>
      </c>
      <c r="O37" s="88" t="n">
        <v>30364</v>
      </c>
      <c r="P37" s="89" t="n">
        <v>14.4</v>
      </c>
      <c r="Q37" s="87" t="n">
        <v>184</v>
      </c>
      <c r="R37" s="87" t="n">
        <v>712</v>
      </c>
      <c r="S37" s="87" t="n">
        <v>101</v>
      </c>
      <c r="T37" s="87" t="n">
        <v>2</v>
      </c>
      <c r="U37" s="89" t="n">
        <v>4.5</v>
      </c>
      <c r="V37" s="89" t="n">
        <v>2.4</v>
      </c>
      <c r="W37" s="89" t="n">
        <v>34.5</v>
      </c>
      <c r="X37" s="87" t="n">
        <v>145</v>
      </c>
      <c r="Y37" s="87" t="n">
        <v>111</v>
      </c>
      <c r="Z37" s="88" t="n">
        <v>43207</v>
      </c>
      <c r="AA37" s="26" t="n"/>
      <c r="AB37" s="86">
        <f>IF($A37="","",$A37-WEEKDAY($A37,2)+1)</f>
        <v/>
      </c>
      <c r="AC37" s="86">
        <f>IF($A37="","",DATE(YEAR($A37),MONTH($A37),1))</f>
        <v/>
      </c>
      <c r="AD37" s="90">
        <f>IF($A37="","",IFERROR($K37/$J37,0))</f>
        <v/>
      </c>
      <c r="AE37" s="90">
        <f>IF($A37="","",IFERROR($L37/$J37,0))</f>
        <v/>
      </c>
      <c r="AF37" s="90">
        <f>IF($A37="","",IFERROR($M37/$J37,0))</f>
        <v/>
      </c>
      <c r="AG37" s="88">
        <f>IF($A37="","",$N37-$O37)</f>
        <v/>
      </c>
      <c r="AH37" s="90">
        <f>IF($A37="","",IFERROR($AG37/$N37,0))</f>
        <v/>
      </c>
      <c r="AI37" s="89">
        <f>IF($A37="","",IFERROR($K37/$P37,0))</f>
        <v/>
      </c>
      <c r="AJ37" s="90">
        <f>IF($A37="","",IFERROR($S37/$R37,0))</f>
        <v/>
      </c>
      <c r="AK37" s="90">
        <f>IF($A37="","",IFERROR($T37/$J37,0))</f>
        <v/>
      </c>
      <c r="AL37" s="26">
        <f>IF($A37="","",IF(AND($AD37&gt;='01_Settings'!$B$9,$V37&lt;='01_Settings'!$B$10,$W37&lt;='01_Settings'!$B$11),"On track","Off track"))</f>
        <v/>
      </c>
      <c r="AM37" s="42">
        <f>IF($A37="","",IF($AD37&lt;'01_Settings'!$B$9,"Low completion rate; ","")&amp;IF($AE37&gt;'01_Settings'!$B$12,"High overdue rate; ","")&amp;IF($U37&lt;'01_Settings'!$B$13,"Low satisfaction; ","")&amp;IF($AH37&lt;'01_Settings'!$B$14,"Low gross margin; ","")&amp;IF($AJ37&lt;'01_Settings'!$B$15,"Low conversion rate; ","")&amp;IF($AK37&gt;'01_Settings'!$B$16,"High complaint rate; ",""))</f>
        <v/>
      </c>
    </row>
    <row r="38" ht="18" customHeight="1">
      <c r="A38" s="86" t="n">
        <v>46096</v>
      </c>
      <c r="B38" s="26" t="inlineStr">
        <is>
          <t>East Coast Division</t>
        </is>
      </c>
      <c r="C38" s="26" t="inlineStr">
        <is>
          <t>Sales Operations</t>
        </is>
      </c>
      <c r="D38" s="26" t="inlineStr">
        <is>
          <t>After-sales Coverage</t>
        </is>
      </c>
      <c r="E38" s="26" t="inlineStr">
        <is>
          <t>Marketplace store</t>
        </is>
      </c>
      <c r="F38" s="26" t="inlineStr">
        <is>
          <t>Northeast</t>
        </is>
      </c>
      <c r="G38" s="26" t="inlineStr">
        <is>
          <t>Northeast Team</t>
        </is>
      </c>
      <c r="H38" s="26" t="inlineStr">
        <is>
          <t>Emily Davis</t>
        </is>
      </c>
      <c r="I38" s="26" t="inlineStr">
        <is>
          <t>New customer</t>
        </is>
      </c>
      <c r="J38" s="87" t="n">
        <v>205</v>
      </c>
      <c r="K38" s="87" t="n">
        <v>189</v>
      </c>
      <c r="L38" s="87" t="n">
        <v>15</v>
      </c>
      <c r="M38" s="87" t="n">
        <v>4</v>
      </c>
      <c r="N38" s="88" t="n">
        <v>25756</v>
      </c>
      <c r="O38" s="88" t="n">
        <v>16682</v>
      </c>
      <c r="P38" s="89" t="n">
        <v>33.8</v>
      </c>
      <c r="Q38" s="87" t="n">
        <v>340</v>
      </c>
      <c r="R38" s="87" t="n">
        <v>2250</v>
      </c>
      <c r="S38" s="87" t="n">
        <v>295</v>
      </c>
      <c r="T38" s="87" t="n">
        <v>2</v>
      </c>
      <c r="U38" s="89" t="n">
        <v>4.3</v>
      </c>
      <c r="V38" s="89" t="n">
        <v>5.6</v>
      </c>
      <c r="W38" s="89" t="n">
        <v>20.3</v>
      </c>
      <c r="X38" s="87" t="n">
        <v>129</v>
      </c>
      <c r="Y38" s="87" t="n">
        <v>184</v>
      </c>
      <c r="Z38" s="88" t="n">
        <v>26328</v>
      </c>
      <c r="AA38" s="26" t="n"/>
      <c r="AB38" s="86">
        <f>IF($A38="","",$A38-WEEKDAY($A38,2)+1)</f>
        <v/>
      </c>
      <c r="AC38" s="86">
        <f>IF($A38="","",DATE(YEAR($A38),MONTH($A38),1))</f>
        <v/>
      </c>
      <c r="AD38" s="90">
        <f>IF($A38="","",IFERROR($K38/$J38,0))</f>
        <v/>
      </c>
      <c r="AE38" s="90">
        <f>IF($A38="","",IFERROR($L38/$J38,0))</f>
        <v/>
      </c>
      <c r="AF38" s="90">
        <f>IF($A38="","",IFERROR($M38/$J38,0))</f>
        <v/>
      </c>
      <c r="AG38" s="88">
        <f>IF($A38="","",$N38-$O38)</f>
        <v/>
      </c>
      <c r="AH38" s="90">
        <f>IF($A38="","",IFERROR($AG38/$N38,0))</f>
        <v/>
      </c>
      <c r="AI38" s="89">
        <f>IF($A38="","",IFERROR($K38/$P38,0))</f>
        <v/>
      </c>
      <c r="AJ38" s="90">
        <f>IF($A38="","",IFERROR($S38/$R38,0))</f>
        <v/>
      </c>
      <c r="AK38" s="90">
        <f>IF($A38="","",IFERROR($T38/$J38,0))</f>
        <v/>
      </c>
      <c r="AL38" s="26">
        <f>IF($A38="","",IF(AND($AD38&gt;='01_Settings'!$B$9,$V38&lt;='01_Settings'!$B$10,$W38&lt;='01_Settings'!$B$11),"On track","Off track"))</f>
        <v/>
      </c>
      <c r="AM38" s="42">
        <f>IF($A38="","",IF($AD38&lt;'01_Settings'!$B$9,"Low completion rate; ","")&amp;IF($AE38&gt;'01_Settings'!$B$12,"High overdue rate; ","")&amp;IF($U38&lt;'01_Settings'!$B$13,"Low satisfaction; ","")&amp;IF($AH38&lt;'01_Settings'!$B$14,"Low gross margin; ","")&amp;IF($AJ38&lt;'01_Settings'!$B$15,"Low conversion rate; ","")&amp;IF($AK38&gt;'01_Settings'!$B$16,"High complaint rate; ",""))</f>
        <v/>
      </c>
    </row>
    <row r="39" ht="18" customHeight="1">
      <c r="A39" s="86" t="n">
        <v>46096</v>
      </c>
      <c r="B39" s="26" t="inlineStr">
        <is>
          <t>Southeast Division</t>
        </is>
      </c>
      <c r="C39" s="26" t="inlineStr">
        <is>
          <t>E-commerce Operations</t>
        </is>
      </c>
      <c r="D39" s="26" t="inlineStr">
        <is>
          <t>After-sales Coverage</t>
        </is>
      </c>
      <c r="E39" s="26" t="inlineStr">
        <is>
          <t>Team chat</t>
        </is>
      </c>
      <c r="F39" s="26" t="inlineStr">
        <is>
          <t>Northeast</t>
        </is>
      </c>
      <c r="G39" s="26" t="inlineStr">
        <is>
          <t>Northeast Team</t>
        </is>
      </c>
      <c r="H39" s="26" t="inlineStr">
        <is>
          <t>Sarah Johnson</t>
        </is>
      </c>
      <c r="I39" s="26" t="inlineStr">
        <is>
          <t>High-value customer</t>
        </is>
      </c>
      <c r="J39" s="87" t="n">
        <v>162</v>
      </c>
      <c r="K39" s="87" t="n">
        <v>147</v>
      </c>
      <c r="L39" s="87" t="n">
        <v>4</v>
      </c>
      <c r="M39" s="87" t="n">
        <v>8</v>
      </c>
      <c r="N39" s="88" t="n">
        <v>52020</v>
      </c>
      <c r="O39" s="88" t="n">
        <v>35092</v>
      </c>
      <c r="P39" s="89" t="n">
        <v>10.3</v>
      </c>
      <c r="Q39" s="87" t="n">
        <v>98</v>
      </c>
      <c r="R39" s="87" t="n">
        <v>2239</v>
      </c>
      <c r="S39" s="87" t="n">
        <v>340</v>
      </c>
      <c r="T39" s="87" t="n">
        <v>2</v>
      </c>
      <c r="U39" s="89" t="n">
        <v>4.5</v>
      </c>
      <c r="V39" s="89" t="n">
        <v>3.1</v>
      </c>
      <c r="W39" s="89" t="n">
        <v>21.5</v>
      </c>
      <c r="X39" s="87" t="n">
        <v>125</v>
      </c>
      <c r="Y39" s="87" t="n">
        <v>145</v>
      </c>
      <c r="Z39" s="88" t="n">
        <v>53878</v>
      </c>
      <c r="AA39" s="26" t="n"/>
      <c r="AB39" s="86">
        <f>IF($A39="","",$A39-WEEKDAY($A39,2)+1)</f>
        <v/>
      </c>
      <c r="AC39" s="86">
        <f>IF($A39="","",DATE(YEAR($A39),MONTH($A39),1))</f>
        <v/>
      </c>
      <c r="AD39" s="90">
        <f>IF($A39="","",IFERROR($K39/$J39,0))</f>
        <v/>
      </c>
      <c r="AE39" s="90">
        <f>IF($A39="","",IFERROR($L39/$J39,0))</f>
        <v/>
      </c>
      <c r="AF39" s="90">
        <f>IF($A39="","",IFERROR($M39/$J39,0))</f>
        <v/>
      </c>
      <c r="AG39" s="88">
        <f>IF($A39="","",$N39-$O39)</f>
        <v/>
      </c>
      <c r="AH39" s="90">
        <f>IF($A39="","",IFERROR($AG39/$N39,0))</f>
        <v/>
      </c>
      <c r="AI39" s="89">
        <f>IF($A39="","",IFERROR($K39/$P39,0))</f>
        <v/>
      </c>
      <c r="AJ39" s="90">
        <f>IF($A39="","",IFERROR($S39/$R39,0))</f>
        <v/>
      </c>
      <c r="AK39" s="90">
        <f>IF($A39="","",IFERROR($T39/$J39,0))</f>
        <v/>
      </c>
      <c r="AL39" s="26">
        <f>IF($A39="","",IF(AND($AD39&gt;='01_Settings'!$B$9,$V39&lt;='01_Settings'!$B$10,$W39&lt;='01_Settings'!$B$11),"On track","Off track"))</f>
        <v/>
      </c>
      <c r="AM39" s="42">
        <f>IF($A39="","",IF($AD39&lt;'01_Settings'!$B$9,"Low completion rate; ","")&amp;IF($AE39&gt;'01_Settings'!$B$12,"High overdue rate; ","")&amp;IF($U39&lt;'01_Settings'!$B$13,"Low satisfaction; ","")&amp;IF($AH39&lt;'01_Settings'!$B$14,"Low gross margin; ","")&amp;IF($AJ39&lt;'01_Settings'!$B$15,"Low conversion rate; ","")&amp;IF($AK39&gt;'01_Settings'!$B$16,"High complaint rate; ",""))</f>
        <v/>
      </c>
    </row>
    <row r="40" ht="18" customHeight="1">
      <c r="A40" s="86" t="n">
        <v>46096</v>
      </c>
      <c r="B40" s="26" t="inlineStr">
        <is>
          <t>Digital Business Unit</t>
        </is>
      </c>
      <c r="C40" s="26" t="inlineStr">
        <is>
          <t>Growth Marketing</t>
        </is>
      </c>
      <c r="D40" s="26" t="inlineStr">
        <is>
          <t>After-sales Coverage</t>
        </is>
      </c>
      <c r="E40" s="26" t="inlineStr">
        <is>
          <t>Email</t>
        </is>
      </c>
      <c r="F40" s="26" t="inlineStr">
        <is>
          <t>International</t>
        </is>
      </c>
      <c r="G40" s="26" t="inlineStr">
        <is>
          <t>International Team</t>
        </is>
      </c>
      <c r="H40" s="26" t="inlineStr">
        <is>
          <t>Michael Brown</t>
        </is>
      </c>
      <c r="I40" s="26" t="inlineStr">
        <is>
          <t>High-value customer</t>
        </is>
      </c>
      <c r="J40" s="87" t="n">
        <v>114</v>
      </c>
      <c r="K40" s="87" t="n">
        <v>107</v>
      </c>
      <c r="L40" s="87" t="n">
        <v>3</v>
      </c>
      <c r="M40" s="87" t="n">
        <v>0</v>
      </c>
      <c r="N40" s="88" t="n">
        <v>33363</v>
      </c>
      <c r="O40" s="88" t="n">
        <v>26046</v>
      </c>
      <c r="P40" s="89" t="n">
        <v>11.5</v>
      </c>
      <c r="Q40" s="87" t="n">
        <v>279</v>
      </c>
      <c r="R40" s="87" t="n">
        <v>1473</v>
      </c>
      <c r="S40" s="87" t="n">
        <v>203</v>
      </c>
      <c r="T40" s="87" t="n">
        <v>1</v>
      </c>
      <c r="U40" s="89" t="n">
        <v>4.1</v>
      </c>
      <c r="V40" s="89" t="n">
        <v>3.9</v>
      </c>
      <c r="W40" s="89" t="n">
        <v>36</v>
      </c>
      <c r="X40" s="87" t="n">
        <v>130</v>
      </c>
      <c r="Y40" s="87" t="n">
        <v>102</v>
      </c>
      <c r="Z40" s="88" t="n">
        <v>33394</v>
      </c>
      <c r="AA40" s="26" t="n"/>
      <c r="AB40" s="86">
        <f>IF($A40="","",$A40-WEEKDAY($A40,2)+1)</f>
        <v/>
      </c>
      <c r="AC40" s="86">
        <f>IF($A40="","",DATE(YEAR($A40),MONTH($A40),1))</f>
        <v/>
      </c>
      <c r="AD40" s="90">
        <f>IF($A40="","",IFERROR($K40/$J40,0))</f>
        <v/>
      </c>
      <c r="AE40" s="90">
        <f>IF($A40="","",IFERROR($L40/$J40,0))</f>
        <v/>
      </c>
      <c r="AF40" s="90">
        <f>IF($A40="","",IFERROR($M40/$J40,0))</f>
        <v/>
      </c>
      <c r="AG40" s="88">
        <f>IF($A40="","",$N40-$O40)</f>
        <v/>
      </c>
      <c r="AH40" s="90">
        <f>IF($A40="","",IFERROR($AG40/$N40,0))</f>
        <v/>
      </c>
      <c r="AI40" s="89">
        <f>IF($A40="","",IFERROR($K40/$P40,0))</f>
        <v/>
      </c>
      <c r="AJ40" s="90">
        <f>IF($A40="","",IFERROR($S40/$R40,0))</f>
        <v/>
      </c>
      <c r="AK40" s="90">
        <f>IF($A40="","",IFERROR($T40/$J40,0))</f>
        <v/>
      </c>
      <c r="AL40" s="26">
        <f>IF($A40="","",IF(AND($AD40&gt;='01_Settings'!$B$9,$V40&lt;='01_Settings'!$B$10,$W40&lt;='01_Settings'!$B$11),"On track","Off track"))</f>
        <v/>
      </c>
      <c r="AM40" s="42">
        <f>IF($A40="","",IF($AD40&lt;'01_Settings'!$B$9,"Low completion rate; ","")&amp;IF($AE40&gt;'01_Settings'!$B$12,"High overdue rate; ","")&amp;IF($U40&lt;'01_Settings'!$B$13,"Low satisfaction; ","")&amp;IF($AH40&lt;'01_Settings'!$B$14,"Low gross margin; ","")&amp;IF($AJ40&lt;'01_Settings'!$B$15,"Low conversion rate; ","")&amp;IF($AK40&gt;'01_Settings'!$B$16,"High complaint rate; ",""))</f>
        <v/>
      </c>
    </row>
    <row r="41" ht="18" customHeight="1">
      <c r="A41" s="86" t="n">
        <v>46097</v>
      </c>
      <c r="B41" s="26" t="inlineStr">
        <is>
          <t>Digital Business Unit</t>
        </is>
      </c>
      <c r="C41" s="26" t="inlineStr">
        <is>
          <t>Finance / Expenses</t>
        </is>
      </c>
      <c r="D41" s="26" t="inlineStr">
        <is>
          <t>Premium Service</t>
        </is>
      </c>
      <c r="E41" s="26" t="inlineStr">
        <is>
          <t>Mobile app</t>
        </is>
      </c>
      <c r="F41" s="26" t="inlineStr">
        <is>
          <t>Southeast</t>
        </is>
      </c>
      <c r="G41" s="26" t="inlineStr">
        <is>
          <t>Southeast Team</t>
        </is>
      </c>
      <c r="H41" s="26" t="inlineStr">
        <is>
          <t>Matthew Anderson</t>
        </is>
      </c>
      <c r="I41" s="26" t="inlineStr">
        <is>
          <t>New customer</t>
        </is>
      </c>
      <c r="J41" s="87" t="n">
        <v>233</v>
      </c>
      <c r="K41" s="87" t="n">
        <v>212</v>
      </c>
      <c r="L41" s="87" t="n">
        <v>10</v>
      </c>
      <c r="M41" s="87" t="n">
        <v>9</v>
      </c>
      <c r="N41" s="88" t="n">
        <v>19736</v>
      </c>
      <c r="O41" s="88" t="n">
        <v>14823</v>
      </c>
      <c r="P41" s="89" t="n">
        <v>36</v>
      </c>
      <c r="Q41" s="87" t="n">
        <v>215</v>
      </c>
      <c r="R41" s="87" t="n">
        <v>1896</v>
      </c>
      <c r="S41" s="87" t="n">
        <v>300</v>
      </c>
      <c r="T41" s="87" t="n">
        <v>8</v>
      </c>
      <c r="U41" s="89" t="n">
        <v>4.5</v>
      </c>
      <c r="V41" s="89" t="n">
        <v>1.8</v>
      </c>
      <c r="W41" s="89" t="n">
        <v>35</v>
      </c>
      <c r="X41" s="87" t="n">
        <v>37</v>
      </c>
      <c r="Y41" s="87" t="n">
        <v>209</v>
      </c>
      <c r="Z41" s="88" t="n">
        <v>20430</v>
      </c>
      <c r="AA41" s="26" t="n"/>
      <c r="AB41" s="86">
        <f>IF($A41="","",$A41-WEEKDAY($A41,2)+1)</f>
        <v/>
      </c>
      <c r="AC41" s="86">
        <f>IF($A41="","",DATE(YEAR($A41),MONTH($A41),1))</f>
        <v/>
      </c>
      <c r="AD41" s="90">
        <f>IF($A41="","",IFERROR($K41/$J41,0))</f>
        <v/>
      </c>
      <c r="AE41" s="90">
        <f>IF($A41="","",IFERROR($L41/$J41,0))</f>
        <v/>
      </c>
      <c r="AF41" s="90">
        <f>IF($A41="","",IFERROR($M41/$J41,0))</f>
        <v/>
      </c>
      <c r="AG41" s="88">
        <f>IF($A41="","",$N41-$O41)</f>
        <v/>
      </c>
      <c r="AH41" s="90">
        <f>IF($A41="","",IFERROR($AG41/$N41,0))</f>
        <v/>
      </c>
      <c r="AI41" s="89">
        <f>IF($A41="","",IFERROR($K41/$P41,0))</f>
        <v/>
      </c>
      <c r="AJ41" s="90">
        <f>IF($A41="","",IFERROR($S41/$R41,0))</f>
        <v/>
      </c>
      <c r="AK41" s="90">
        <f>IF($A41="","",IFERROR($T41/$J41,0))</f>
        <v/>
      </c>
      <c r="AL41" s="26">
        <f>IF($A41="","",IF(AND($AD41&gt;='01_Settings'!$B$9,$V41&lt;='01_Settings'!$B$10,$W41&lt;='01_Settings'!$B$11),"On track","Off track"))</f>
        <v/>
      </c>
      <c r="AM41" s="42">
        <f>IF($A41="","",IF($AD41&lt;'01_Settings'!$B$9,"Low completion rate; ","")&amp;IF($AE41&gt;'01_Settings'!$B$12,"High overdue rate; ","")&amp;IF($U41&lt;'01_Settings'!$B$13,"Low satisfaction; ","")&amp;IF($AH41&lt;'01_Settings'!$B$14,"Low gross margin; ","")&amp;IF($AJ41&lt;'01_Settings'!$B$15,"Low conversion rate; ","")&amp;IF($AK41&gt;'01_Settings'!$B$16,"High complaint rate; ",""))</f>
        <v/>
      </c>
    </row>
    <row r="42" ht="18" customHeight="1">
      <c r="A42" s="86" t="n">
        <v>46097</v>
      </c>
      <c r="B42" s="26" t="inlineStr">
        <is>
          <t>East Coast Division</t>
        </is>
      </c>
      <c r="C42" s="26" t="inlineStr">
        <is>
          <t>E-commerce Operations</t>
        </is>
      </c>
      <c r="D42" s="26" t="inlineStr">
        <is>
          <t>Standard Service</t>
        </is>
      </c>
      <c r="E42" s="26" t="inlineStr">
        <is>
          <t>Distributor</t>
        </is>
      </c>
      <c r="F42" s="26" t="inlineStr">
        <is>
          <t>Southeast</t>
        </is>
      </c>
      <c r="G42" s="26" t="inlineStr">
        <is>
          <t>Southeast Team</t>
        </is>
      </c>
      <c r="H42" s="26" t="inlineStr">
        <is>
          <t>Jessica Taylor</t>
        </is>
      </c>
      <c r="I42" s="26" t="inlineStr">
        <is>
          <t>Standard customer</t>
        </is>
      </c>
      <c r="J42" s="87" t="n">
        <v>265</v>
      </c>
      <c r="K42" s="87" t="n">
        <v>234</v>
      </c>
      <c r="L42" s="87" t="n">
        <v>22</v>
      </c>
      <c r="M42" s="87" t="n">
        <v>2</v>
      </c>
      <c r="N42" s="88" t="n">
        <v>51678</v>
      </c>
      <c r="O42" s="88" t="n">
        <v>41946</v>
      </c>
      <c r="P42" s="89" t="n">
        <v>25.2</v>
      </c>
      <c r="Q42" s="87" t="n">
        <v>374</v>
      </c>
      <c r="R42" s="87" t="n">
        <v>2102</v>
      </c>
      <c r="S42" s="87" t="n">
        <v>247</v>
      </c>
      <c r="T42" s="87" t="n">
        <v>10</v>
      </c>
      <c r="U42" s="89" t="n">
        <v>4.7</v>
      </c>
      <c r="V42" s="89" t="n">
        <v>5.3</v>
      </c>
      <c r="W42" s="89" t="n">
        <v>18.6</v>
      </c>
      <c r="X42" s="87" t="n">
        <v>86</v>
      </c>
      <c r="Y42" s="87" t="n">
        <v>238</v>
      </c>
      <c r="Z42" s="88" t="n">
        <v>55190</v>
      </c>
      <c r="AA42" s="26" t="n"/>
      <c r="AB42" s="86">
        <f>IF($A42="","",$A42-WEEKDAY($A42,2)+1)</f>
        <v/>
      </c>
      <c r="AC42" s="86">
        <f>IF($A42="","",DATE(YEAR($A42),MONTH($A42),1))</f>
        <v/>
      </c>
      <c r="AD42" s="90">
        <f>IF($A42="","",IFERROR($K42/$J42,0))</f>
        <v/>
      </c>
      <c r="AE42" s="90">
        <f>IF($A42="","",IFERROR($L42/$J42,0))</f>
        <v/>
      </c>
      <c r="AF42" s="90">
        <f>IF($A42="","",IFERROR($M42/$J42,0))</f>
        <v/>
      </c>
      <c r="AG42" s="88">
        <f>IF($A42="","",$N42-$O42)</f>
        <v/>
      </c>
      <c r="AH42" s="90">
        <f>IF($A42="","",IFERROR($AG42/$N42,0))</f>
        <v/>
      </c>
      <c r="AI42" s="89">
        <f>IF($A42="","",IFERROR($K42/$P42,0))</f>
        <v/>
      </c>
      <c r="AJ42" s="90">
        <f>IF($A42="","",IFERROR($S42/$R42,0))</f>
        <v/>
      </c>
      <c r="AK42" s="90">
        <f>IF($A42="","",IFERROR($T42/$J42,0))</f>
        <v/>
      </c>
      <c r="AL42" s="26">
        <f>IF($A42="","",IF(AND($AD42&gt;='01_Settings'!$B$9,$V42&lt;='01_Settings'!$B$10,$W42&lt;='01_Settings'!$B$11),"On track","Off track"))</f>
        <v/>
      </c>
      <c r="AM42" s="42">
        <f>IF($A42="","",IF($AD42&lt;'01_Settings'!$B$9,"Low completion rate; ","")&amp;IF($AE42&gt;'01_Settings'!$B$12,"High overdue rate; ","")&amp;IF($U42&lt;'01_Settings'!$B$13,"Low satisfaction; ","")&amp;IF($AH42&lt;'01_Settings'!$B$14,"Low gross margin; ","")&amp;IF($AJ42&lt;'01_Settings'!$B$15,"Low conversion rate; ","")&amp;IF($AK42&gt;'01_Settings'!$B$16,"High complaint rate; ",""))</f>
        <v/>
      </c>
    </row>
    <row r="43" ht="18" customHeight="1">
      <c r="A43" s="86" t="n">
        <v>46097</v>
      </c>
      <c r="B43" s="26" t="inlineStr">
        <is>
          <t>East Coast Division</t>
        </is>
      </c>
      <c r="C43" s="26" t="inlineStr">
        <is>
          <t>Growth Marketing</t>
        </is>
      </c>
      <c r="D43" s="26" t="inlineStr">
        <is>
          <t>Project Delivery</t>
        </is>
      </c>
      <c r="E43" s="26" t="inlineStr">
        <is>
          <t>Email</t>
        </is>
      </c>
      <c r="F43" s="26" t="inlineStr">
        <is>
          <t>Midwest</t>
        </is>
      </c>
      <c r="G43" s="26" t="inlineStr">
        <is>
          <t>Midwest Team</t>
        </is>
      </c>
      <c r="H43" s="26" t="inlineStr">
        <is>
          <t>Robert Thomas</t>
        </is>
      </c>
      <c r="I43" s="26" t="inlineStr">
        <is>
          <t>Existing customer</t>
        </is>
      </c>
      <c r="J43" s="87" t="n">
        <v>58</v>
      </c>
      <c r="K43" s="87" t="n">
        <v>56</v>
      </c>
      <c r="L43" s="87" t="n">
        <v>5</v>
      </c>
      <c r="M43" s="87" t="n">
        <v>1</v>
      </c>
      <c r="N43" s="88" t="n">
        <v>6134</v>
      </c>
      <c r="O43" s="88" t="n">
        <v>4423</v>
      </c>
      <c r="P43" s="89" t="n">
        <v>11.1</v>
      </c>
      <c r="Q43" s="87" t="n">
        <v>247</v>
      </c>
      <c r="R43" s="87" t="n">
        <v>1028</v>
      </c>
      <c r="S43" s="87" t="n">
        <v>126</v>
      </c>
      <c r="T43" s="87" t="n">
        <v>2</v>
      </c>
      <c r="U43" s="89" t="n">
        <v>3.8</v>
      </c>
      <c r="V43" s="89" t="n">
        <v>5</v>
      </c>
      <c r="W43" s="89" t="n">
        <v>16.2</v>
      </c>
      <c r="X43" s="87" t="n">
        <v>100</v>
      </c>
      <c r="Y43" s="87" t="n">
        <v>52</v>
      </c>
      <c r="Z43" s="88" t="n">
        <v>5980</v>
      </c>
      <c r="AA43" s="26" t="n"/>
      <c r="AB43" s="86">
        <f>IF($A43="","",$A43-WEEKDAY($A43,2)+1)</f>
        <v/>
      </c>
      <c r="AC43" s="86">
        <f>IF($A43="","",DATE(YEAR($A43),MONTH($A43),1))</f>
        <v/>
      </c>
      <c r="AD43" s="90">
        <f>IF($A43="","",IFERROR($K43/$J43,0))</f>
        <v/>
      </c>
      <c r="AE43" s="90">
        <f>IF($A43="","",IFERROR($L43/$J43,0))</f>
        <v/>
      </c>
      <c r="AF43" s="90">
        <f>IF($A43="","",IFERROR($M43/$J43,0))</f>
        <v/>
      </c>
      <c r="AG43" s="88">
        <f>IF($A43="","",$N43-$O43)</f>
        <v/>
      </c>
      <c r="AH43" s="90">
        <f>IF($A43="","",IFERROR($AG43/$N43,0))</f>
        <v/>
      </c>
      <c r="AI43" s="89">
        <f>IF($A43="","",IFERROR($K43/$P43,0))</f>
        <v/>
      </c>
      <c r="AJ43" s="90">
        <f>IF($A43="","",IFERROR($S43/$R43,0))</f>
        <v/>
      </c>
      <c r="AK43" s="90">
        <f>IF($A43="","",IFERROR($T43/$J43,0))</f>
        <v/>
      </c>
      <c r="AL43" s="26">
        <f>IF($A43="","",IF(AND($AD43&gt;='01_Settings'!$B$9,$V43&lt;='01_Settings'!$B$10,$W43&lt;='01_Settings'!$B$11),"On track","Off track"))</f>
        <v/>
      </c>
      <c r="AM43" s="42">
        <f>IF($A43="","",IF($AD43&lt;'01_Settings'!$B$9,"Low completion rate; ","")&amp;IF($AE43&gt;'01_Settings'!$B$12,"High overdue rate; ","")&amp;IF($U43&lt;'01_Settings'!$B$13,"Low satisfaction; ","")&amp;IF($AH43&lt;'01_Settings'!$B$14,"Low gross margin; ","")&amp;IF($AJ43&lt;'01_Settings'!$B$15,"Low conversion rate; ","")&amp;IF($AK43&gt;'01_Settings'!$B$16,"High complaint rate; ",""))</f>
        <v/>
      </c>
    </row>
    <row r="44" ht="18" customHeight="1">
      <c r="A44" s="86" t="n">
        <v>46098</v>
      </c>
      <c r="B44" s="26" t="inlineStr">
        <is>
          <t>Southeast Division</t>
        </is>
      </c>
      <c r="C44" s="26" t="inlineStr">
        <is>
          <t>Supply Chain / Inventory</t>
        </is>
      </c>
      <c r="D44" s="26" t="inlineStr">
        <is>
          <t>Standard Service</t>
        </is>
      </c>
      <c r="E44" s="26" t="inlineStr">
        <is>
          <t>Phone</t>
        </is>
      </c>
      <c r="F44" s="26" t="inlineStr">
        <is>
          <t>International</t>
        </is>
      </c>
      <c r="G44" s="26" t="inlineStr">
        <is>
          <t>International Team</t>
        </is>
      </c>
      <c r="H44" s="26" t="inlineStr">
        <is>
          <t>Emily Davis</t>
        </is>
      </c>
      <c r="I44" s="26" t="inlineStr">
        <is>
          <t>High-value customer</t>
        </is>
      </c>
      <c r="J44" s="87" t="n">
        <v>132</v>
      </c>
      <c r="K44" s="87" t="n">
        <v>126</v>
      </c>
      <c r="L44" s="87" t="n">
        <v>10</v>
      </c>
      <c r="M44" s="87" t="n">
        <v>1</v>
      </c>
      <c r="N44" s="88" t="n">
        <v>44585</v>
      </c>
      <c r="O44" s="88" t="n">
        <v>26245</v>
      </c>
      <c r="P44" s="89" t="n">
        <v>16.2</v>
      </c>
      <c r="Q44" s="87" t="n">
        <v>150</v>
      </c>
      <c r="R44" s="87" t="n">
        <v>2132</v>
      </c>
      <c r="S44" s="87" t="n">
        <v>150</v>
      </c>
      <c r="T44" s="87" t="n">
        <v>0</v>
      </c>
      <c r="U44" s="89" t="n">
        <v>4.6</v>
      </c>
      <c r="V44" s="89" t="n">
        <v>5.5</v>
      </c>
      <c r="W44" s="89" t="n">
        <v>27</v>
      </c>
      <c r="X44" s="87" t="n">
        <v>45</v>
      </c>
      <c r="Y44" s="87" t="n">
        <v>118</v>
      </c>
      <c r="Z44" s="88" t="n">
        <v>43842</v>
      </c>
      <c r="AA44" s="26" t="n"/>
      <c r="AB44" s="86">
        <f>IF($A44="","",$A44-WEEKDAY($A44,2)+1)</f>
        <v/>
      </c>
      <c r="AC44" s="86">
        <f>IF($A44="","",DATE(YEAR($A44),MONTH($A44),1))</f>
        <v/>
      </c>
      <c r="AD44" s="90">
        <f>IF($A44="","",IFERROR($K44/$J44,0))</f>
        <v/>
      </c>
      <c r="AE44" s="90">
        <f>IF($A44="","",IFERROR($L44/$J44,0))</f>
        <v/>
      </c>
      <c r="AF44" s="90">
        <f>IF($A44="","",IFERROR($M44/$J44,0))</f>
        <v/>
      </c>
      <c r="AG44" s="88">
        <f>IF($A44="","",$N44-$O44)</f>
        <v/>
      </c>
      <c r="AH44" s="90">
        <f>IF($A44="","",IFERROR($AG44/$N44,0))</f>
        <v/>
      </c>
      <c r="AI44" s="89">
        <f>IF($A44="","",IFERROR($K44/$P44,0))</f>
        <v/>
      </c>
      <c r="AJ44" s="90">
        <f>IF($A44="","",IFERROR($S44/$R44,0))</f>
        <v/>
      </c>
      <c r="AK44" s="90">
        <f>IF($A44="","",IFERROR($T44/$J44,0))</f>
        <v/>
      </c>
      <c r="AL44" s="26">
        <f>IF($A44="","",IF(AND($AD44&gt;='01_Settings'!$B$9,$V44&lt;='01_Settings'!$B$10,$W44&lt;='01_Settings'!$B$11),"On track","Off track"))</f>
        <v/>
      </c>
      <c r="AM44" s="42">
        <f>IF($A44="","",IF($AD44&lt;'01_Settings'!$B$9,"Low completion rate; ","")&amp;IF($AE44&gt;'01_Settings'!$B$12,"High overdue rate; ","")&amp;IF($U44&lt;'01_Settings'!$B$13,"Low satisfaction; ","")&amp;IF($AH44&lt;'01_Settings'!$B$14,"Low gross margin; ","")&amp;IF($AJ44&lt;'01_Settings'!$B$15,"Low conversion rate; ","")&amp;IF($AK44&gt;'01_Settings'!$B$16,"High complaint rate; ",""))</f>
        <v/>
      </c>
    </row>
    <row r="45" ht="18" customHeight="1">
      <c r="A45" s="86" t="n">
        <v>46098</v>
      </c>
      <c r="B45" s="26" t="inlineStr">
        <is>
          <t>North Operations Center</t>
        </is>
      </c>
      <c r="C45" s="26" t="inlineStr">
        <is>
          <t>Production / Delivery</t>
        </is>
      </c>
      <c r="D45" s="26" t="inlineStr">
        <is>
          <t>Project Delivery</t>
        </is>
      </c>
      <c r="E45" s="26" t="inlineStr">
        <is>
          <t>Marketplace store</t>
        </is>
      </c>
      <c r="F45" s="26" t="inlineStr">
        <is>
          <t>Midwest</t>
        </is>
      </c>
      <c r="G45" s="26" t="inlineStr">
        <is>
          <t>Midwest Team</t>
        </is>
      </c>
      <c r="H45" s="26" t="inlineStr">
        <is>
          <t>John Miller</t>
        </is>
      </c>
      <c r="I45" s="26" t="inlineStr">
        <is>
          <t>Standard customer</t>
        </is>
      </c>
      <c r="J45" s="87" t="n">
        <v>216</v>
      </c>
      <c r="K45" s="87" t="n">
        <v>192</v>
      </c>
      <c r="L45" s="87" t="n">
        <v>10</v>
      </c>
      <c r="M45" s="87" t="n">
        <v>10</v>
      </c>
      <c r="N45" s="88" t="n">
        <v>64512</v>
      </c>
      <c r="O45" s="88" t="n">
        <v>37339</v>
      </c>
      <c r="P45" s="89" t="n">
        <v>22</v>
      </c>
      <c r="Q45" s="87" t="n">
        <v>203</v>
      </c>
      <c r="R45" s="87" t="n">
        <v>2657</v>
      </c>
      <c r="S45" s="87" t="n">
        <v>200</v>
      </c>
      <c r="T45" s="87" t="n">
        <v>7</v>
      </c>
      <c r="U45" s="89" t="n">
        <v>3.8</v>
      </c>
      <c r="V45" s="89" t="n">
        <v>5.2</v>
      </c>
      <c r="W45" s="89" t="n">
        <v>19.1</v>
      </c>
      <c r="X45" s="87" t="n">
        <v>7</v>
      </c>
      <c r="Y45" s="87" t="n">
        <v>194</v>
      </c>
      <c r="Z45" s="88" t="n">
        <v>68443</v>
      </c>
      <c r="AA45" s="26" t="n"/>
      <c r="AB45" s="86">
        <f>IF($A45="","",$A45-WEEKDAY($A45,2)+1)</f>
        <v/>
      </c>
      <c r="AC45" s="86">
        <f>IF($A45="","",DATE(YEAR($A45),MONTH($A45),1))</f>
        <v/>
      </c>
      <c r="AD45" s="90">
        <f>IF($A45="","",IFERROR($K45/$J45,0))</f>
        <v/>
      </c>
      <c r="AE45" s="90">
        <f>IF($A45="","",IFERROR($L45/$J45,0))</f>
        <v/>
      </c>
      <c r="AF45" s="90">
        <f>IF($A45="","",IFERROR($M45/$J45,0))</f>
        <v/>
      </c>
      <c r="AG45" s="88">
        <f>IF($A45="","",$N45-$O45)</f>
        <v/>
      </c>
      <c r="AH45" s="90">
        <f>IF($A45="","",IFERROR($AG45/$N45,0))</f>
        <v/>
      </c>
      <c r="AI45" s="89">
        <f>IF($A45="","",IFERROR($K45/$P45,0))</f>
        <v/>
      </c>
      <c r="AJ45" s="90">
        <f>IF($A45="","",IFERROR($S45/$R45,0))</f>
        <v/>
      </c>
      <c r="AK45" s="90">
        <f>IF($A45="","",IFERROR($T45/$J45,0))</f>
        <v/>
      </c>
      <c r="AL45" s="26">
        <f>IF($A45="","",IF(AND($AD45&gt;='01_Settings'!$B$9,$V45&lt;='01_Settings'!$B$10,$W45&lt;='01_Settings'!$B$11),"On track","Off track"))</f>
        <v/>
      </c>
      <c r="AM45" s="42">
        <f>IF($A45="","",IF($AD45&lt;'01_Settings'!$B$9,"Low completion rate; ","")&amp;IF($AE45&gt;'01_Settings'!$B$12,"High overdue rate; ","")&amp;IF($U45&lt;'01_Settings'!$B$13,"Low satisfaction; ","")&amp;IF($AH45&lt;'01_Settings'!$B$14,"Low gross margin; ","")&amp;IF($AJ45&lt;'01_Settings'!$B$15,"Low conversion rate; ","")&amp;IF($AK45&gt;'01_Settings'!$B$16,"High complaint rate; ",""))</f>
        <v/>
      </c>
    </row>
    <row r="46" ht="18" customHeight="1">
      <c r="A46" s="86" t="n">
        <v>46098</v>
      </c>
      <c r="B46" s="26" t="inlineStr">
        <is>
          <t>North Operations Center</t>
        </is>
      </c>
      <c r="C46" s="26" t="inlineStr">
        <is>
          <t>Finance / Expenses</t>
        </is>
      </c>
      <c r="D46" s="26" t="inlineStr">
        <is>
          <t>After-sales Coverage</t>
        </is>
      </c>
      <c r="E46" s="26" t="inlineStr">
        <is>
          <t>Email</t>
        </is>
      </c>
      <c r="F46" s="26" t="inlineStr">
        <is>
          <t>Midwest</t>
        </is>
      </c>
      <c r="G46" s="26" t="inlineStr">
        <is>
          <t>Midwest Team</t>
        </is>
      </c>
      <c r="H46" s="26" t="inlineStr">
        <is>
          <t>Emily Davis</t>
        </is>
      </c>
      <c r="I46" s="26" t="inlineStr">
        <is>
          <t>Enterprise customers</t>
        </is>
      </c>
      <c r="J46" s="87" t="n">
        <v>294</v>
      </c>
      <c r="K46" s="87" t="n">
        <v>251</v>
      </c>
      <c r="L46" s="87" t="n">
        <v>11</v>
      </c>
      <c r="M46" s="87" t="n">
        <v>3</v>
      </c>
      <c r="N46" s="88" t="n">
        <v>76975</v>
      </c>
      <c r="O46" s="88" t="n">
        <v>58287</v>
      </c>
      <c r="P46" s="89" t="n">
        <v>41.6</v>
      </c>
      <c r="Q46" s="87" t="n">
        <v>90</v>
      </c>
      <c r="R46" s="87" t="n">
        <v>587</v>
      </c>
      <c r="S46" s="87" t="n">
        <v>87</v>
      </c>
      <c r="T46" s="87" t="n">
        <v>9</v>
      </c>
      <c r="U46" s="89" t="n">
        <v>4.1</v>
      </c>
      <c r="V46" s="89" t="n">
        <v>3.2</v>
      </c>
      <c r="W46" s="89" t="n">
        <v>24.2</v>
      </c>
      <c r="X46" s="87" t="n">
        <v>38</v>
      </c>
      <c r="Y46" s="87" t="n">
        <v>264</v>
      </c>
      <c r="Z46" s="88" t="n">
        <v>85010</v>
      </c>
      <c r="AA46" s="26" t="n"/>
      <c r="AB46" s="86">
        <f>IF($A46="","",$A46-WEEKDAY($A46,2)+1)</f>
        <v/>
      </c>
      <c r="AC46" s="86">
        <f>IF($A46="","",DATE(YEAR($A46),MONTH($A46),1))</f>
        <v/>
      </c>
      <c r="AD46" s="90">
        <f>IF($A46="","",IFERROR($K46/$J46,0))</f>
        <v/>
      </c>
      <c r="AE46" s="90">
        <f>IF($A46="","",IFERROR($L46/$J46,0))</f>
        <v/>
      </c>
      <c r="AF46" s="90">
        <f>IF($A46="","",IFERROR($M46/$J46,0))</f>
        <v/>
      </c>
      <c r="AG46" s="88">
        <f>IF($A46="","",$N46-$O46)</f>
        <v/>
      </c>
      <c r="AH46" s="90">
        <f>IF($A46="","",IFERROR($AG46/$N46,0))</f>
        <v/>
      </c>
      <c r="AI46" s="89">
        <f>IF($A46="","",IFERROR($K46/$P46,0))</f>
        <v/>
      </c>
      <c r="AJ46" s="90">
        <f>IF($A46="","",IFERROR($S46/$R46,0))</f>
        <v/>
      </c>
      <c r="AK46" s="90">
        <f>IF($A46="","",IFERROR($T46/$J46,0))</f>
        <v/>
      </c>
      <c r="AL46" s="26">
        <f>IF($A46="","",IF(AND($AD46&gt;='01_Settings'!$B$9,$V46&lt;='01_Settings'!$B$10,$W46&lt;='01_Settings'!$B$11),"On track","Off track"))</f>
        <v/>
      </c>
      <c r="AM46" s="42">
        <f>IF($A46="","",IF($AD46&lt;'01_Settings'!$B$9,"Low completion rate; ","")&amp;IF($AE46&gt;'01_Settings'!$B$12,"High overdue rate; ","")&amp;IF($U46&lt;'01_Settings'!$B$13,"Low satisfaction; ","")&amp;IF($AH46&lt;'01_Settings'!$B$14,"Low gross margin; ","")&amp;IF($AJ46&lt;'01_Settings'!$B$15,"Low conversion rate; ","")&amp;IF($AK46&gt;'01_Settings'!$B$16,"High complaint rate; ",""))</f>
        <v/>
      </c>
    </row>
    <row r="47" ht="18" customHeight="1">
      <c r="A47" s="86" t="n">
        <v>46099</v>
      </c>
      <c r="B47" s="26" t="inlineStr">
        <is>
          <t>Southeast Division</t>
        </is>
      </c>
      <c r="C47" s="26" t="inlineStr">
        <is>
          <t>Field Services</t>
        </is>
      </c>
      <c r="D47" s="26" t="inlineStr">
        <is>
          <t>After-sales Coverage</t>
        </is>
      </c>
      <c r="E47" s="26" t="inlineStr">
        <is>
          <t>Mobile app</t>
        </is>
      </c>
      <c r="F47" s="26" t="inlineStr">
        <is>
          <t>International</t>
        </is>
      </c>
      <c r="G47" s="26" t="inlineStr">
        <is>
          <t>International Team</t>
        </is>
      </c>
      <c r="H47" s="26" t="inlineStr">
        <is>
          <t>Robert Thomas</t>
        </is>
      </c>
      <c r="I47" s="26" t="inlineStr">
        <is>
          <t>Standard customer</t>
        </is>
      </c>
      <c r="J47" s="87" t="n">
        <v>131</v>
      </c>
      <c r="K47" s="87" t="n">
        <v>126</v>
      </c>
      <c r="L47" s="87" t="n">
        <v>13</v>
      </c>
      <c r="M47" s="87" t="n">
        <v>1</v>
      </c>
      <c r="N47" s="88" t="n">
        <v>41253</v>
      </c>
      <c r="O47" s="88" t="n">
        <v>28056</v>
      </c>
      <c r="P47" s="89" t="n">
        <v>23.6</v>
      </c>
      <c r="Q47" s="87" t="n">
        <v>193</v>
      </c>
      <c r="R47" s="87" t="n">
        <v>764</v>
      </c>
      <c r="S47" s="87" t="n">
        <v>73</v>
      </c>
      <c r="T47" s="87" t="n">
        <v>1</v>
      </c>
      <c r="U47" s="89" t="n">
        <v>4.6</v>
      </c>
      <c r="V47" s="89" t="n">
        <v>2.1</v>
      </c>
      <c r="W47" s="89" t="n">
        <v>26.9</v>
      </c>
      <c r="X47" s="87" t="n">
        <v>177</v>
      </c>
      <c r="Y47" s="87" t="n">
        <v>117</v>
      </c>
      <c r="Z47" s="88" t="n">
        <v>40222</v>
      </c>
      <c r="AA47" s="26" t="n"/>
      <c r="AB47" s="86">
        <f>IF($A47="","",$A47-WEEKDAY($A47,2)+1)</f>
        <v/>
      </c>
      <c r="AC47" s="86">
        <f>IF($A47="","",DATE(YEAR($A47),MONTH($A47),1))</f>
        <v/>
      </c>
      <c r="AD47" s="90">
        <f>IF($A47="","",IFERROR($K47/$J47,0))</f>
        <v/>
      </c>
      <c r="AE47" s="90">
        <f>IF($A47="","",IFERROR($L47/$J47,0))</f>
        <v/>
      </c>
      <c r="AF47" s="90">
        <f>IF($A47="","",IFERROR($M47/$J47,0))</f>
        <v/>
      </c>
      <c r="AG47" s="88">
        <f>IF($A47="","",$N47-$O47)</f>
        <v/>
      </c>
      <c r="AH47" s="90">
        <f>IF($A47="","",IFERROR($AG47/$N47,0))</f>
        <v/>
      </c>
      <c r="AI47" s="89">
        <f>IF($A47="","",IFERROR($K47/$P47,0))</f>
        <v/>
      </c>
      <c r="AJ47" s="90">
        <f>IF($A47="","",IFERROR($S47/$R47,0))</f>
        <v/>
      </c>
      <c r="AK47" s="90">
        <f>IF($A47="","",IFERROR($T47/$J47,0))</f>
        <v/>
      </c>
      <c r="AL47" s="26">
        <f>IF($A47="","",IF(AND($AD47&gt;='01_Settings'!$B$9,$V47&lt;='01_Settings'!$B$10,$W47&lt;='01_Settings'!$B$11),"On track","Off track"))</f>
        <v/>
      </c>
      <c r="AM47" s="42">
        <f>IF($A47="","",IF($AD47&lt;'01_Settings'!$B$9,"Low completion rate; ","")&amp;IF($AE47&gt;'01_Settings'!$B$12,"High overdue rate; ","")&amp;IF($U47&lt;'01_Settings'!$B$13,"Low satisfaction; ","")&amp;IF($AH47&lt;'01_Settings'!$B$14,"Low gross margin; ","")&amp;IF($AJ47&lt;'01_Settings'!$B$15,"Low conversion rate; ","")&amp;IF($AK47&gt;'01_Settings'!$B$16,"High complaint rate; ",""))</f>
        <v/>
      </c>
    </row>
    <row r="48" ht="18" customHeight="1">
      <c r="A48" s="86" t="n">
        <v>46099</v>
      </c>
      <c r="B48" s="26" t="inlineStr">
        <is>
          <t>East Coast Division</t>
        </is>
      </c>
      <c r="C48" s="26" t="inlineStr">
        <is>
          <t>Finance / Expenses</t>
        </is>
      </c>
      <c r="D48" s="26" t="inlineStr">
        <is>
          <t>Standard Service</t>
        </is>
      </c>
      <c r="E48" s="26" t="inlineStr">
        <is>
          <t>Marketplace store</t>
        </is>
      </c>
      <c r="F48" s="26" t="inlineStr">
        <is>
          <t>Midwest</t>
        </is>
      </c>
      <c r="G48" s="26" t="inlineStr">
        <is>
          <t>Midwest Team</t>
        </is>
      </c>
      <c r="H48" s="26" t="inlineStr">
        <is>
          <t>Sarah Johnson</t>
        </is>
      </c>
      <c r="I48" s="26" t="inlineStr">
        <is>
          <t>New customer</t>
        </is>
      </c>
      <c r="J48" s="87" t="n">
        <v>227</v>
      </c>
      <c r="K48" s="87" t="n">
        <v>205</v>
      </c>
      <c r="L48" s="87" t="n">
        <v>14</v>
      </c>
      <c r="M48" s="87" t="n">
        <v>7</v>
      </c>
      <c r="N48" s="88" t="n">
        <v>57749</v>
      </c>
      <c r="O48" s="88" t="n">
        <v>40877</v>
      </c>
      <c r="P48" s="89" t="n">
        <v>38.9</v>
      </c>
      <c r="Q48" s="87" t="n">
        <v>210</v>
      </c>
      <c r="R48" s="87" t="n">
        <v>753</v>
      </c>
      <c r="S48" s="87" t="n">
        <v>91</v>
      </c>
      <c r="T48" s="87" t="n">
        <v>5</v>
      </c>
      <c r="U48" s="89" t="n">
        <v>4.4</v>
      </c>
      <c r="V48" s="89" t="n">
        <v>5.7</v>
      </c>
      <c r="W48" s="89" t="n">
        <v>17.2</v>
      </c>
      <c r="X48" s="87" t="n">
        <v>161</v>
      </c>
      <c r="Y48" s="87" t="n">
        <v>204</v>
      </c>
      <c r="Z48" s="88" t="n">
        <v>60341</v>
      </c>
      <c r="AA48" s="26" t="n"/>
      <c r="AB48" s="86">
        <f>IF($A48="","",$A48-WEEKDAY($A48,2)+1)</f>
        <v/>
      </c>
      <c r="AC48" s="86">
        <f>IF($A48="","",DATE(YEAR($A48),MONTH($A48),1))</f>
        <v/>
      </c>
      <c r="AD48" s="90">
        <f>IF($A48="","",IFERROR($K48/$J48,0))</f>
        <v/>
      </c>
      <c r="AE48" s="90">
        <f>IF($A48="","",IFERROR($L48/$J48,0))</f>
        <v/>
      </c>
      <c r="AF48" s="90">
        <f>IF($A48="","",IFERROR($M48/$J48,0))</f>
        <v/>
      </c>
      <c r="AG48" s="88">
        <f>IF($A48="","",$N48-$O48)</f>
        <v/>
      </c>
      <c r="AH48" s="90">
        <f>IF($A48="","",IFERROR($AG48/$N48,0))</f>
        <v/>
      </c>
      <c r="AI48" s="89">
        <f>IF($A48="","",IFERROR($K48/$P48,0))</f>
        <v/>
      </c>
      <c r="AJ48" s="90">
        <f>IF($A48="","",IFERROR($S48/$R48,0))</f>
        <v/>
      </c>
      <c r="AK48" s="90">
        <f>IF($A48="","",IFERROR($T48/$J48,0))</f>
        <v/>
      </c>
      <c r="AL48" s="26">
        <f>IF($A48="","",IF(AND($AD48&gt;='01_Settings'!$B$9,$V48&lt;='01_Settings'!$B$10,$W48&lt;='01_Settings'!$B$11),"On track","Off track"))</f>
        <v/>
      </c>
      <c r="AM48" s="42">
        <f>IF($A48="","",IF($AD48&lt;'01_Settings'!$B$9,"Low completion rate; ","")&amp;IF($AE48&gt;'01_Settings'!$B$12,"High overdue rate; ","")&amp;IF($U48&lt;'01_Settings'!$B$13,"Low satisfaction; ","")&amp;IF($AH48&lt;'01_Settings'!$B$14,"Low gross margin; ","")&amp;IF($AJ48&lt;'01_Settings'!$B$15,"Low conversion rate; ","")&amp;IF($AK48&gt;'01_Settings'!$B$16,"High complaint rate; ",""))</f>
        <v/>
      </c>
    </row>
    <row r="49" ht="18" customHeight="1">
      <c r="A49" s="86" t="n">
        <v>46099</v>
      </c>
      <c r="B49" s="26" t="inlineStr">
        <is>
          <t>North Operations Center</t>
        </is>
      </c>
      <c r="C49" s="26" t="inlineStr">
        <is>
          <t>Supply Chain / Inventory</t>
        </is>
      </c>
      <c r="D49" s="26" t="inlineStr">
        <is>
          <t>Standard Service</t>
        </is>
      </c>
      <c r="E49" s="26" t="inlineStr">
        <is>
          <t>Marketplace store</t>
        </is>
      </c>
      <c r="F49" s="26" t="inlineStr">
        <is>
          <t>Southeast</t>
        </is>
      </c>
      <c r="G49" s="26" t="inlineStr">
        <is>
          <t>Southeast Team</t>
        </is>
      </c>
      <c r="H49" s="26" t="inlineStr">
        <is>
          <t>Robert Thomas</t>
        </is>
      </c>
      <c r="I49" s="26" t="inlineStr">
        <is>
          <t>New customer</t>
        </is>
      </c>
      <c r="J49" s="87" t="n">
        <v>277</v>
      </c>
      <c r="K49" s="87" t="n">
        <v>229</v>
      </c>
      <c r="L49" s="87" t="n">
        <v>6</v>
      </c>
      <c r="M49" s="87" t="n">
        <v>13</v>
      </c>
      <c r="N49" s="88" t="n">
        <v>26297</v>
      </c>
      <c r="O49" s="88" t="n">
        <v>16130</v>
      </c>
      <c r="P49" s="89" t="n">
        <v>32.4</v>
      </c>
      <c r="Q49" s="87" t="n">
        <v>218</v>
      </c>
      <c r="R49" s="87" t="n">
        <v>2176</v>
      </c>
      <c r="S49" s="87" t="n">
        <v>183</v>
      </c>
      <c r="T49" s="87" t="n">
        <v>11</v>
      </c>
      <c r="U49" s="89" t="n">
        <v>4.5</v>
      </c>
      <c r="V49" s="89" t="n">
        <v>3.7</v>
      </c>
      <c r="W49" s="89" t="n">
        <v>24.4</v>
      </c>
      <c r="X49" s="87" t="n">
        <v>44</v>
      </c>
      <c r="Y49" s="87" t="n">
        <v>249</v>
      </c>
      <c r="Z49" s="88" t="n">
        <v>30024</v>
      </c>
      <c r="AA49" s="26" t="n"/>
      <c r="AB49" s="86">
        <f>IF($A49="","",$A49-WEEKDAY($A49,2)+1)</f>
        <v/>
      </c>
      <c r="AC49" s="86">
        <f>IF($A49="","",DATE(YEAR($A49),MONTH($A49),1))</f>
        <v/>
      </c>
      <c r="AD49" s="90">
        <f>IF($A49="","",IFERROR($K49/$J49,0))</f>
        <v/>
      </c>
      <c r="AE49" s="90">
        <f>IF($A49="","",IFERROR($L49/$J49,0))</f>
        <v/>
      </c>
      <c r="AF49" s="90">
        <f>IF($A49="","",IFERROR($M49/$J49,0))</f>
        <v/>
      </c>
      <c r="AG49" s="88">
        <f>IF($A49="","",$N49-$O49)</f>
        <v/>
      </c>
      <c r="AH49" s="90">
        <f>IF($A49="","",IFERROR($AG49/$N49,0))</f>
        <v/>
      </c>
      <c r="AI49" s="89">
        <f>IF($A49="","",IFERROR($K49/$P49,0))</f>
        <v/>
      </c>
      <c r="AJ49" s="90">
        <f>IF($A49="","",IFERROR($S49/$R49,0))</f>
        <v/>
      </c>
      <c r="AK49" s="90">
        <f>IF($A49="","",IFERROR($T49/$J49,0))</f>
        <v/>
      </c>
      <c r="AL49" s="26">
        <f>IF($A49="","",IF(AND($AD49&gt;='01_Settings'!$B$9,$V49&lt;='01_Settings'!$B$10,$W49&lt;='01_Settings'!$B$11),"On track","Off track"))</f>
        <v/>
      </c>
      <c r="AM49" s="42">
        <f>IF($A49="","",IF($AD49&lt;'01_Settings'!$B$9,"Low completion rate; ","")&amp;IF($AE49&gt;'01_Settings'!$B$12,"High overdue rate; ","")&amp;IF($U49&lt;'01_Settings'!$B$13,"Low satisfaction; ","")&amp;IF($AH49&lt;'01_Settings'!$B$14,"Low gross margin; ","")&amp;IF($AJ49&lt;'01_Settings'!$B$15,"Low conversion rate; ","")&amp;IF($AK49&gt;'01_Settings'!$B$16,"High complaint rate; ",""))</f>
        <v/>
      </c>
    </row>
    <row r="50" ht="18" customHeight="1">
      <c r="A50" s="86" t="n">
        <v>46100</v>
      </c>
      <c r="B50" s="26" t="inlineStr">
        <is>
          <t>East Coast Division</t>
        </is>
      </c>
      <c r="C50" s="26" t="inlineStr">
        <is>
          <t>Finance / Expenses</t>
        </is>
      </c>
      <c r="D50" s="26" t="inlineStr">
        <is>
          <t>Premium Service</t>
        </is>
      </c>
      <c r="E50" s="26" t="inlineStr">
        <is>
          <t>Mobile app</t>
        </is>
      </c>
      <c r="F50" s="26" t="inlineStr">
        <is>
          <t>Southwest</t>
        </is>
      </c>
      <c r="G50" s="26" t="inlineStr">
        <is>
          <t>Southwest Team</t>
        </is>
      </c>
      <c r="H50" s="26" t="inlineStr">
        <is>
          <t>Sarah Johnson</t>
        </is>
      </c>
      <c r="I50" s="26" t="inlineStr">
        <is>
          <t>Standard customer</t>
        </is>
      </c>
      <c r="J50" s="87" t="n">
        <v>183</v>
      </c>
      <c r="K50" s="87" t="n">
        <v>163</v>
      </c>
      <c r="L50" s="87" t="n">
        <v>7</v>
      </c>
      <c r="M50" s="87" t="n">
        <v>3</v>
      </c>
      <c r="N50" s="88" t="n">
        <v>61007</v>
      </c>
      <c r="O50" s="88" t="n">
        <v>39605</v>
      </c>
      <c r="P50" s="89" t="n">
        <v>33.1</v>
      </c>
      <c r="Q50" s="87" t="n">
        <v>350</v>
      </c>
      <c r="R50" s="87" t="n">
        <v>1919</v>
      </c>
      <c r="S50" s="87" t="n">
        <v>90</v>
      </c>
      <c r="T50" s="87" t="n">
        <v>2</v>
      </c>
      <c r="U50" s="89" t="n">
        <v>4.8</v>
      </c>
      <c r="V50" s="89" t="n">
        <v>5.7</v>
      </c>
      <c r="W50" s="89" t="n">
        <v>31.1</v>
      </c>
      <c r="X50" s="87" t="n">
        <v>28</v>
      </c>
      <c r="Y50" s="87" t="n">
        <v>164</v>
      </c>
      <c r="Z50" s="88" t="n">
        <v>64451</v>
      </c>
      <c r="AA50" s="26" t="n"/>
      <c r="AB50" s="86">
        <f>IF($A50="","",$A50-WEEKDAY($A50,2)+1)</f>
        <v/>
      </c>
      <c r="AC50" s="86">
        <f>IF($A50="","",DATE(YEAR($A50),MONTH($A50),1))</f>
        <v/>
      </c>
      <c r="AD50" s="90">
        <f>IF($A50="","",IFERROR($K50/$J50,0))</f>
        <v/>
      </c>
      <c r="AE50" s="90">
        <f>IF($A50="","",IFERROR($L50/$J50,0))</f>
        <v/>
      </c>
      <c r="AF50" s="90">
        <f>IF($A50="","",IFERROR($M50/$J50,0))</f>
        <v/>
      </c>
      <c r="AG50" s="88">
        <f>IF($A50="","",$N50-$O50)</f>
        <v/>
      </c>
      <c r="AH50" s="90">
        <f>IF($A50="","",IFERROR($AG50/$N50,0))</f>
        <v/>
      </c>
      <c r="AI50" s="89">
        <f>IF($A50="","",IFERROR($K50/$P50,0))</f>
        <v/>
      </c>
      <c r="AJ50" s="90">
        <f>IF($A50="","",IFERROR($S50/$R50,0))</f>
        <v/>
      </c>
      <c r="AK50" s="90">
        <f>IF($A50="","",IFERROR($T50/$J50,0))</f>
        <v/>
      </c>
      <c r="AL50" s="26">
        <f>IF($A50="","",IF(AND($AD50&gt;='01_Settings'!$B$9,$V50&lt;='01_Settings'!$B$10,$W50&lt;='01_Settings'!$B$11),"On track","Off track"))</f>
        <v/>
      </c>
      <c r="AM50" s="42">
        <f>IF($A50="","",IF($AD50&lt;'01_Settings'!$B$9,"Low completion rate; ","")&amp;IF($AE50&gt;'01_Settings'!$B$12,"High overdue rate; ","")&amp;IF($U50&lt;'01_Settings'!$B$13,"Low satisfaction; ","")&amp;IF($AH50&lt;'01_Settings'!$B$14,"Low gross margin; ","")&amp;IF($AJ50&lt;'01_Settings'!$B$15,"Low conversion rate; ","")&amp;IF($AK50&gt;'01_Settings'!$B$16,"High complaint rate; ",""))</f>
        <v/>
      </c>
    </row>
    <row r="51" ht="18" customHeight="1">
      <c r="A51" s="86" t="n">
        <v>46100</v>
      </c>
      <c r="B51" s="26" t="inlineStr">
        <is>
          <t>East Coast Division</t>
        </is>
      </c>
      <c r="C51" s="26" t="inlineStr">
        <is>
          <t>Production / Delivery</t>
        </is>
      </c>
      <c r="D51" s="26" t="inlineStr">
        <is>
          <t>Premium Service</t>
        </is>
      </c>
      <c r="E51" s="26" t="inlineStr">
        <is>
          <t>Mobile app</t>
        </is>
      </c>
      <c r="F51" s="26" t="inlineStr">
        <is>
          <t>Southeast</t>
        </is>
      </c>
      <c r="G51" s="26" t="inlineStr">
        <is>
          <t>Southeast Team</t>
        </is>
      </c>
      <c r="H51" s="26" t="inlineStr">
        <is>
          <t>David Wilson</t>
        </is>
      </c>
      <c r="I51" s="26" t="inlineStr">
        <is>
          <t>Existing customer</t>
        </is>
      </c>
      <c r="J51" s="87" t="n">
        <v>50</v>
      </c>
      <c r="K51" s="87" t="n">
        <v>47</v>
      </c>
      <c r="L51" s="87" t="n">
        <v>2</v>
      </c>
      <c r="M51" s="87" t="n">
        <v>2</v>
      </c>
      <c r="N51" s="88" t="n">
        <v>11574</v>
      </c>
      <c r="O51" s="88" t="n">
        <v>8198</v>
      </c>
      <c r="P51" s="89" t="n">
        <v>8.800000000000001</v>
      </c>
      <c r="Q51" s="87" t="n">
        <v>139</v>
      </c>
      <c r="R51" s="87" t="n">
        <v>1584</v>
      </c>
      <c r="S51" s="87" t="n">
        <v>210</v>
      </c>
      <c r="T51" s="87" t="n">
        <v>1</v>
      </c>
      <c r="U51" s="89" t="n">
        <v>4.4</v>
      </c>
      <c r="V51" s="89" t="n">
        <v>2.4</v>
      </c>
      <c r="W51" s="89" t="n">
        <v>35.6</v>
      </c>
      <c r="X51" s="87" t="n">
        <v>38</v>
      </c>
      <c r="Y51" s="87" t="n">
        <v>45</v>
      </c>
      <c r="Z51" s="88" t="n">
        <v>11636</v>
      </c>
      <c r="AA51" s="26" t="n"/>
      <c r="AB51" s="86">
        <f>IF($A51="","",$A51-WEEKDAY($A51,2)+1)</f>
        <v/>
      </c>
      <c r="AC51" s="86">
        <f>IF($A51="","",DATE(YEAR($A51),MONTH($A51),1))</f>
        <v/>
      </c>
      <c r="AD51" s="90">
        <f>IF($A51="","",IFERROR($K51/$J51,0))</f>
        <v/>
      </c>
      <c r="AE51" s="90">
        <f>IF($A51="","",IFERROR($L51/$J51,0))</f>
        <v/>
      </c>
      <c r="AF51" s="90">
        <f>IF($A51="","",IFERROR($M51/$J51,0))</f>
        <v/>
      </c>
      <c r="AG51" s="88">
        <f>IF($A51="","",$N51-$O51)</f>
        <v/>
      </c>
      <c r="AH51" s="90">
        <f>IF($A51="","",IFERROR($AG51/$N51,0))</f>
        <v/>
      </c>
      <c r="AI51" s="89">
        <f>IF($A51="","",IFERROR($K51/$P51,0))</f>
        <v/>
      </c>
      <c r="AJ51" s="90">
        <f>IF($A51="","",IFERROR($S51/$R51,0))</f>
        <v/>
      </c>
      <c r="AK51" s="90">
        <f>IF($A51="","",IFERROR($T51/$J51,0))</f>
        <v/>
      </c>
      <c r="AL51" s="26">
        <f>IF($A51="","",IF(AND($AD51&gt;='01_Settings'!$B$9,$V51&lt;='01_Settings'!$B$10,$W51&lt;='01_Settings'!$B$11),"On track","Off track"))</f>
        <v/>
      </c>
      <c r="AM51" s="42">
        <f>IF($A51="","",IF($AD51&lt;'01_Settings'!$B$9,"Low completion rate; ","")&amp;IF($AE51&gt;'01_Settings'!$B$12,"High overdue rate; ","")&amp;IF($U51&lt;'01_Settings'!$B$13,"Low satisfaction; ","")&amp;IF($AH51&lt;'01_Settings'!$B$14,"Low gross margin; ","")&amp;IF($AJ51&lt;'01_Settings'!$B$15,"Low conversion rate; ","")&amp;IF($AK51&gt;'01_Settings'!$B$16,"High complaint rate; ",""))</f>
        <v/>
      </c>
    </row>
    <row r="52" ht="18" customHeight="1">
      <c r="A52" s="86" t="n">
        <v>46100</v>
      </c>
      <c r="B52" s="26" t="inlineStr">
        <is>
          <t>East Coast Division</t>
        </is>
      </c>
      <c r="C52" s="26" t="inlineStr">
        <is>
          <t>Supply Chain / Inventory</t>
        </is>
      </c>
      <c r="D52" s="26" t="inlineStr">
        <is>
          <t>Standard Service</t>
        </is>
      </c>
      <c r="E52" s="26" t="inlineStr">
        <is>
          <t>Phone</t>
        </is>
      </c>
      <c r="F52" s="26" t="inlineStr">
        <is>
          <t>Midwest</t>
        </is>
      </c>
      <c r="G52" s="26" t="inlineStr">
        <is>
          <t>Midwest Team</t>
        </is>
      </c>
      <c r="H52" s="26" t="inlineStr">
        <is>
          <t>Sarah Johnson</t>
        </is>
      </c>
      <c r="I52" s="26" t="inlineStr">
        <is>
          <t>Standard customer</t>
        </is>
      </c>
      <c r="J52" s="87" t="n">
        <v>96</v>
      </c>
      <c r="K52" s="87" t="n">
        <v>90</v>
      </c>
      <c r="L52" s="87" t="n">
        <v>4</v>
      </c>
      <c r="M52" s="87" t="n">
        <v>1</v>
      </c>
      <c r="N52" s="88" t="n">
        <v>11905</v>
      </c>
      <c r="O52" s="88" t="n">
        <v>6716</v>
      </c>
      <c r="P52" s="89" t="n">
        <v>15.8</v>
      </c>
      <c r="Q52" s="87" t="n">
        <v>289</v>
      </c>
      <c r="R52" s="87" t="n">
        <v>854</v>
      </c>
      <c r="S52" s="87" t="n">
        <v>110</v>
      </c>
      <c r="T52" s="87" t="n">
        <v>2</v>
      </c>
      <c r="U52" s="89" t="n">
        <v>4.6</v>
      </c>
      <c r="V52" s="89" t="n">
        <v>3.6</v>
      </c>
      <c r="W52" s="89" t="n">
        <v>11.1</v>
      </c>
      <c r="X52" s="87" t="n">
        <v>133</v>
      </c>
      <c r="Y52" s="87" t="n">
        <v>86</v>
      </c>
      <c r="Z52" s="88" t="n">
        <v>11944</v>
      </c>
      <c r="AA52" s="26" t="n"/>
      <c r="AB52" s="86">
        <f>IF($A52="","",$A52-WEEKDAY($A52,2)+1)</f>
        <v/>
      </c>
      <c r="AC52" s="86">
        <f>IF($A52="","",DATE(YEAR($A52),MONTH($A52),1))</f>
        <v/>
      </c>
      <c r="AD52" s="90">
        <f>IF($A52="","",IFERROR($K52/$J52,0))</f>
        <v/>
      </c>
      <c r="AE52" s="90">
        <f>IF($A52="","",IFERROR($L52/$J52,0))</f>
        <v/>
      </c>
      <c r="AF52" s="90">
        <f>IF($A52="","",IFERROR($M52/$J52,0))</f>
        <v/>
      </c>
      <c r="AG52" s="88">
        <f>IF($A52="","",$N52-$O52)</f>
        <v/>
      </c>
      <c r="AH52" s="90">
        <f>IF($A52="","",IFERROR($AG52/$N52,0))</f>
        <v/>
      </c>
      <c r="AI52" s="89">
        <f>IF($A52="","",IFERROR($K52/$P52,0))</f>
        <v/>
      </c>
      <c r="AJ52" s="90">
        <f>IF($A52="","",IFERROR($S52/$R52,0))</f>
        <v/>
      </c>
      <c r="AK52" s="90">
        <f>IF($A52="","",IFERROR($T52/$J52,0))</f>
        <v/>
      </c>
      <c r="AL52" s="26">
        <f>IF($A52="","",IF(AND($AD52&gt;='01_Settings'!$B$9,$V52&lt;='01_Settings'!$B$10,$W52&lt;='01_Settings'!$B$11),"On track","Off track"))</f>
        <v/>
      </c>
      <c r="AM52" s="42">
        <f>IF($A52="","",IF($AD52&lt;'01_Settings'!$B$9,"Low completion rate; ","")&amp;IF($AE52&gt;'01_Settings'!$B$12,"High overdue rate; ","")&amp;IF($U52&lt;'01_Settings'!$B$13,"Low satisfaction; ","")&amp;IF($AH52&lt;'01_Settings'!$B$14,"Low gross margin; ","")&amp;IF($AJ52&lt;'01_Settings'!$B$15,"Low conversion rate; ","")&amp;IF($AK52&gt;'01_Settings'!$B$16,"High complaint rate; ",""))</f>
        <v/>
      </c>
    </row>
    <row r="53" ht="18" customHeight="1">
      <c r="A53" s="86" t="n">
        <v>46101</v>
      </c>
      <c r="B53" s="26" t="inlineStr">
        <is>
          <t>East Coast Division</t>
        </is>
      </c>
      <c r="C53" s="26" t="inlineStr">
        <is>
          <t>Customer Support Operations</t>
        </is>
      </c>
      <c r="D53" s="26" t="inlineStr">
        <is>
          <t>Enterprise customers</t>
        </is>
      </c>
      <c r="E53" s="26" t="inlineStr">
        <is>
          <t>Online</t>
        </is>
      </c>
      <c r="F53" s="26" t="inlineStr">
        <is>
          <t>Southwest</t>
        </is>
      </c>
      <c r="G53" s="26" t="inlineStr">
        <is>
          <t>Southwest Team</t>
        </is>
      </c>
      <c r="H53" s="26" t="inlineStr">
        <is>
          <t>David Wilson</t>
        </is>
      </c>
      <c r="I53" s="26" t="inlineStr">
        <is>
          <t>High-value customer</t>
        </is>
      </c>
      <c r="J53" s="87" t="n">
        <v>197</v>
      </c>
      <c r="K53" s="87" t="n">
        <v>174</v>
      </c>
      <c r="L53" s="87" t="n">
        <v>6</v>
      </c>
      <c r="M53" s="87" t="n">
        <v>7</v>
      </c>
      <c r="N53" s="88" t="n">
        <v>37074</v>
      </c>
      <c r="O53" s="88" t="n">
        <v>29392</v>
      </c>
      <c r="P53" s="89" t="n">
        <v>18.2</v>
      </c>
      <c r="Q53" s="87" t="n">
        <v>95</v>
      </c>
      <c r="R53" s="87" t="n">
        <v>464</v>
      </c>
      <c r="S53" s="87" t="n">
        <v>25</v>
      </c>
      <c r="T53" s="87" t="n">
        <v>5</v>
      </c>
      <c r="U53" s="89" t="n">
        <v>4.4</v>
      </c>
      <c r="V53" s="89" t="n">
        <v>4.6</v>
      </c>
      <c r="W53" s="89" t="n">
        <v>18.7</v>
      </c>
      <c r="X53" s="87" t="n">
        <v>157</v>
      </c>
      <c r="Y53" s="87" t="n">
        <v>177</v>
      </c>
      <c r="Z53" s="88" t="n">
        <v>39599</v>
      </c>
      <c r="AA53" s="26" t="n"/>
      <c r="AB53" s="86">
        <f>IF($A53="","",$A53-WEEKDAY($A53,2)+1)</f>
        <v/>
      </c>
      <c r="AC53" s="86">
        <f>IF($A53="","",DATE(YEAR($A53),MONTH($A53),1))</f>
        <v/>
      </c>
      <c r="AD53" s="90">
        <f>IF($A53="","",IFERROR($K53/$J53,0))</f>
        <v/>
      </c>
      <c r="AE53" s="90">
        <f>IF($A53="","",IFERROR($L53/$J53,0))</f>
        <v/>
      </c>
      <c r="AF53" s="90">
        <f>IF($A53="","",IFERROR($M53/$J53,0))</f>
        <v/>
      </c>
      <c r="AG53" s="88">
        <f>IF($A53="","",$N53-$O53)</f>
        <v/>
      </c>
      <c r="AH53" s="90">
        <f>IF($A53="","",IFERROR($AG53/$N53,0))</f>
        <v/>
      </c>
      <c r="AI53" s="89">
        <f>IF($A53="","",IFERROR($K53/$P53,0))</f>
        <v/>
      </c>
      <c r="AJ53" s="90">
        <f>IF($A53="","",IFERROR($S53/$R53,0))</f>
        <v/>
      </c>
      <c r="AK53" s="90">
        <f>IF($A53="","",IFERROR($T53/$J53,0))</f>
        <v/>
      </c>
      <c r="AL53" s="26">
        <f>IF($A53="","",IF(AND($AD53&gt;='01_Settings'!$B$9,$V53&lt;='01_Settings'!$B$10,$W53&lt;='01_Settings'!$B$11),"On track","Off track"))</f>
        <v/>
      </c>
      <c r="AM53" s="42">
        <f>IF($A53="","",IF($AD53&lt;'01_Settings'!$B$9,"Low completion rate; ","")&amp;IF($AE53&gt;'01_Settings'!$B$12,"High overdue rate; ","")&amp;IF($U53&lt;'01_Settings'!$B$13,"Low satisfaction; ","")&amp;IF($AH53&lt;'01_Settings'!$B$14,"Low gross margin; ","")&amp;IF($AJ53&lt;'01_Settings'!$B$15,"Low conversion rate; ","")&amp;IF($AK53&gt;'01_Settings'!$B$16,"High complaint rate; ",""))</f>
        <v/>
      </c>
    </row>
    <row r="54" ht="18" customHeight="1">
      <c r="A54" s="86" t="n">
        <v>46101</v>
      </c>
      <c r="B54" s="26" t="inlineStr">
        <is>
          <t>Digital Business Unit</t>
        </is>
      </c>
      <c r="C54" s="26" t="inlineStr">
        <is>
          <t>Field Services</t>
        </is>
      </c>
      <c r="D54" s="26" t="inlineStr">
        <is>
          <t>Project Delivery</t>
        </is>
      </c>
      <c r="E54" s="26" t="inlineStr">
        <is>
          <t>Retail store</t>
        </is>
      </c>
      <c r="F54" s="26" t="inlineStr">
        <is>
          <t>Northeast</t>
        </is>
      </c>
      <c r="G54" s="26" t="inlineStr">
        <is>
          <t>Northeast Team</t>
        </is>
      </c>
      <c r="H54" s="26" t="inlineStr">
        <is>
          <t>David Wilson</t>
        </is>
      </c>
      <c r="I54" s="26" t="inlineStr">
        <is>
          <t>Enterprise customers</t>
        </is>
      </c>
      <c r="J54" s="87" t="n">
        <v>234</v>
      </c>
      <c r="K54" s="87" t="n">
        <v>223</v>
      </c>
      <c r="L54" s="87" t="n">
        <v>19</v>
      </c>
      <c r="M54" s="87" t="n">
        <v>8</v>
      </c>
      <c r="N54" s="88" t="n">
        <v>66064</v>
      </c>
      <c r="O54" s="88" t="n">
        <v>40171</v>
      </c>
      <c r="P54" s="89" t="n">
        <v>28.3</v>
      </c>
      <c r="Q54" s="87" t="n">
        <v>136</v>
      </c>
      <c r="R54" s="87" t="n">
        <v>1930</v>
      </c>
      <c r="S54" s="87" t="n">
        <v>155</v>
      </c>
      <c r="T54" s="87" t="n">
        <v>5</v>
      </c>
      <c r="U54" s="89" t="n">
        <v>4.2</v>
      </c>
      <c r="V54" s="89" t="n">
        <v>1.5</v>
      </c>
      <c r="W54" s="89" t="n">
        <v>19.9</v>
      </c>
      <c r="X54" s="87" t="n">
        <v>175</v>
      </c>
      <c r="Y54" s="87" t="n">
        <v>210</v>
      </c>
      <c r="Z54" s="88" t="n">
        <v>65324</v>
      </c>
      <c r="AA54" s="26" t="n"/>
      <c r="AB54" s="86">
        <f>IF($A54="","",$A54-WEEKDAY($A54,2)+1)</f>
        <v/>
      </c>
      <c r="AC54" s="86">
        <f>IF($A54="","",DATE(YEAR($A54),MONTH($A54),1))</f>
        <v/>
      </c>
      <c r="AD54" s="90">
        <f>IF($A54="","",IFERROR($K54/$J54,0))</f>
        <v/>
      </c>
      <c r="AE54" s="90">
        <f>IF($A54="","",IFERROR($L54/$J54,0))</f>
        <v/>
      </c>
      <c r="AF54" s="90">
        <f>IF($A54="","",IFERROR($M54/$J54,0))</f>
        <v/>
      </c>
      <c r="AG54" s="88">
        <f>IF($A54="","",$N54-$O54)</f>
        <v/>
      </c>
      <c r="AH54" s="90">
        <f>IF($A54="","",IFERROR($AG54/$N54,0))</f>
        <v/>
      </c>
      <c r="AI54" s="89">
        <f>IF($A54="","",IFERROR($K54/$P54,0))</f>
        <v/>
      </c>
      <c r="AJ54" s="90">
        <f>IF($A54="","",IFERROR($S54/$R54,0))</f>
        <v/>
      </c>
      <c r="AK54" s="90">
        <f>IF($A54="","",IFERROR($T54/$J54,0))</f>
        <v/>
      </c>
      <c r="AL54" s="26">
        <f>IF($A54="","",IF(AND($AD54&gt;='01_Settings'!$B$9,$V54&lt;='01_Settings'!$B$10,$W54&lt;='01_Settings'!$B$11),"On track","Off track"))</f>
        <v/>
      </c>
      <c r="AM54" s="42">
        <f>IF($A54="","",IF($AD54&lt;'01_Settings'!$B$9,"Low completion rate; ","")&amp;IF($AE54&gt;'01_Settings'!$B$12,"High overdue rate; ","")&amp;IF($U54&lt;'01_Settings'!$B$13,"Low satisfaction; ","")&amp;IF($AH54&lt;'01_Settings'!$B$14,"Low gross margin; ","")&amp;IF($AJ54&lt;'01_Settings'!$B$15,"Low conversion rate; ","")&amp;IF($AK54&gt;'01_Settings'!$B$16,"High complaint rate; ",""))</f>
        <v/>
      </c>
    </row>
    <row r="55" ht="18" customHeight="1">
      <c r="A55" s="86" t="n">
        <v>46101</v>
      </c>
      <c r="B55" s="26" t="inlineStr">
        <is>
          <t>Digital Business Unit</t>
        </is>
      </c>
      <c r="C55" s="26" t="inlineStr">
        <is>
          <t>Growth Marketing</t>
        </is>
      </c>
      <c r="D55" s="26" t="inlineStr">
        <is>
          <t>Standard Service</t>
        </is>
      </c>
      <c r="E55" s="26" t="inlineStr">
        <is>
          <t>Retail store</t>
        </is>
      </c>
      <c r="F55" s="26" t="inlineStr">
        <is>
          <t>Northeast</t>
        </is>
      </c>
      <c r="G55" s="26" t="inlineStr">
        <is>
          <t>Northeast Team</t>
        </is>
      </c>
      <c r="H55" s="26" t="inlineStr">
        <is>
          <t>David Wilson</t>
        </is>
      </c>
      <c r="I55" s="26" t="inlineStr">
        <is>
          <t>Standard customer</t>
        </is>
      </c>
      <c r="J55" s="87" t="n">
        <v>118</v>
      </c>
      <c r="K55" s="87" t="n">
        <v>98</v>
      </c>
      <c r="L55" s="87" t="n">
        <v>3</v>
      </c>
      <c r="M55" s="87" t="n">
        <v>4</v>
      </c>
      <c r="N55" s="88" t="n">
        <v>31706</v>
      </c>
      <c r="O55" s="88" t="n">
        <v>22201</v>
      </c>
      <c r="P55" s="89" t="n">
        <v>14.7</v>
      </c>
      <c r="Q55" s="87" t="n">
        <v>307</v>
      </c>
      <c r="R55" s="87" t="n">
        <v>2707</v>
      </c>
      <c r="S55" s="87" t="n">
        <v>215</v>
      </c>
      <c r="T55" s="87" t="n">
        <v>1</v>
      </c>
      <c r="U55" s="89" t="n">
        <v>4.2</v>
      </c>
      <c r="V55" s="89" t="n">
        <v>4.3</v>
      </c>
      <c r="W55" s="89" t="n">
        <v>29</v>
      </c>
      <c r="X55" s="87" t="n">
        <v>18</v>
      </c>
      <c r="Y55" s="87" t="n">
        <v>106</v>
      </c>
      <c r="Z55" s="88" t="n">
        <v>36009</v>
      </c>
      <c r="AA55" s="26" t="n"/>
      <c r="AB55" s="86">
        <f>IF($A55="","",$A55-WEEKDAY($A55,2)+1)</f>
        <v/>
      </c>
      <c r="AC55" s="86">
        <f>IF($A55="","",DATE(YEAR($A55),MONTH($A55),1))</f>
        <v/>
      </c>
      <c r="AD55" s="90">
        <f>IF($A55="","",IFERROR($K55/$J55,0))</f>
        <v/>
      </c>
      <c r="AE55" s="90">
        <f>IF($A55="","",IFERROR($L55/$J55,0))</f>
        <v/>
      </c>
      <c r="AF55" s="90">
        <f>IF($A55="","",IFERROR($M55/$J55,0))</f>
        <v/>
      </c>
      <c r="AG55" s="88">
        <f>IF($A55="","",$N55-$O55)</f>
        <v/>
      </c>
      <c r="AH55" s="90">
        <f>IF($A55="","",IFERROR($AG55/$N55,0))</f>
        <v/>
      </c>
      <c r="AI55" s="89">
        <f>IF($A55="","",IFERROR($K55/$P55,0))</f>
        <v/>
      </c>
      <c r="AJ55" s="90">
        <f>IF($A55="","",IFERROR($S55/$R55,0))</f>
        <v/>
      </c>
      <c r="AK55" s="90">
        <f>IF($A55="","",IFERROR($T55/$J55,0))</f>
        <v/>
      </c>
      <c r="AL55" s="26">
        <f>IF($A55="","",IF(AND($AD55&gt;='01_Settings'!$B$9,$V55&lt;='01_Settings'!$B$10,$W55&lt;='01_Settings'!$B$11),"On track","Off track"))</f>
        <v/>
      </c>
      <c r="AM55" s="42">
        <f>IF($A55="","",IF($AD55&lt;'01_Settings'!$B$9,"Low completion rate; ","")&amp;IF($AE55&gt;'01_Settings'!$B$12,"High overdue rate; ","")&amp;IF($U55&lt;'01_Settings'!$B$13,"Low satisfaction; ","")&amp;IF($AH55&lt;'01_Settings'!$B$14,"Low gross margin; ","")&amp;IF($AJ55&lt;'01_Settings'!$B$15,"Low conversion rate; ","")&amp;IF($AK55&gt;'01_Settings'!$B$16,"High complaint rate; ",""))</f>
        <v/>
      </c>
    </row>
    <row r="56" ht="18" customHeight="1">
      <c r="A56" s="86" t="n">
        <v>46102</v>
      </c>
      <c r="B56" s="26" t="inlineStr">
        <is>
          <t>Southeast Division</t>
        </is>
      </c>
      <c r="C56" s="26" t="inlineStr">
        <is>
          <t>Production / Delivery</t>
        </is>
      </c>
      <c r="D56" s="26" t="inlineStr">
        <is>
          <t>Project Delivery</t>
        </is>
      </c>
      <c r="E56" s="26" t="inlineStr">
        <is>
          <t>Phone</t>
        </is>
      </c>
      <c r="F56" s="26" t="inlineStr">
        <is>
          <t>Southwest</t>
        </is>
      </c>
      <c r="G56" s="26" t="inlineStr">
        <is>
          <t>Southwest Team</t>
        </is>
      </c>
      <c r="H56" s="26" t="inlineStr">
        <is>
          <t>David Wilson</t>
        </is>
      </c>
      <c r="I56" s="26" t="inlineStr">
        <is>
          <t>New customer</t>
        </is>
      </c>
      <c r="J56" s="87" t="n">
        <v>299</v>
      </c>
      <c r="K56" s="87" t="n">
        <v>255</v>
      </c>
      <c r="L56" s="87" t="n">
        <v>9</v>
      </c>
      <c r="M56" s="87" t="n">
        <v>12</v>
      </c>
      <c r="N56" s="88" t="n">
        <v>48518</v>
      </c>
      <c r="O56" s="88" t="n">
        <v>36675</v>
      </c>
      <c r="P56" s="89" t="n">
        <v>37.6</v>
      </c>
      <c r="Q56" s="87" t="n">
        <v>239</v>
      </c>
      <c r="R56" s="87" t="n">
        <v>2636</v>
      </c>
      <c r="S56" s="87" t="n">
        <v>413</v>
      </c>
      <c r="T56" s="87" t="n">
        <v>11</v>
      </c>
      <c r="U56" s="89" t="n">
        <v>4.4</v>
      </c>
      <c r="V56" s="89" t="n">
        <v>4.2</v>
      </c>
      <c r="W56" s="89" t="n">
        <v>8.699999999999999</v>
      </c>
      <c r="X56" s="87" t="n">
        <v>173</v>
      </c>
      <c r="Y56" s="87" t="n">
        <v>269</v>
      </c>
      <c r="Z56" s="88" t="n">
        <v>53741</v>
      </c>
      <c r="AA56" s="26" t="n"/>
      <c r="AB56" s="86">
        <f>IF($A56="","",$A56-WEEKDAY($A56,2)+1)</f>
        <v/>
      </c>
      <c r="AC56" s="86">
        <f>IF($A56="","",DATE(YEAR($A56),MONTH($A56),1))</f>
        <v/>
      </c>
      <c r="AD56" s="90">
        <f>IF($A56="","",IFERROR($K56/$J56,0))</f>
        <v/>
      </c>
      <c r="AE56" s="90">
        <f>IF($A56="","",IFERROR($L56/$J56,0))</f>
        <v/>
      </c>
      <c r="AF56" s="90">
        <f>IF($A56="","",IFERROR($M56/$J56,0))</f>
        <v/>
      </c>
      <c r="AG56" s="88">
        <f>IF($A56="","",$N56-$O56)</f>
        <v/>
      </c>
      <c r="AH56" s="90">
        <f>IF($A56="","",IFERROR($AG56/$N56,0))</f>
        <v/>
      </c>
      <c r="AI56" s="89">
        <f>IF($A56="","",IFERROR($K56/$P56,0))</f>
        <v/>
      </c>
      <c r="AJ56" s="90">
        <f>IF($A56="","",IFERROR($S56/$R56,0))</f>
        <v/>
      </c>
      <c r="AK56" s="90">
        <f>IF($A56="","",IFERROR($T56/$J56,0))</f>
        <v/>
      </c>
      <c r="AL56" s="26">
        <f>IF($A56="","",IF(AND($AD56&gt;='01_Settings'!$B$9,$V56&lt;='01_Settings'!$B$10,$W56&lt;='01_Settings'!$B$11),"On track","Off track"))</f>
        <v/>
      </c>
      <c r="AM56" s="42">
        <f>IF($A56="","",IF($AD56&lt;'01_Settings'!$B$9,"Low completion rate; ","")&amp;IF($AE56&gt;'01_Settings'!$B$12,"High overdue rate; ","")&amp;IF($U56&lt;'01_Settings'!$B$13,"Low satisfaction; ","")&amp;IF($AH56&lt;'01_Settings'!$B$14,"Low gross margin; ","")&amp;IF($AJ56&lt;'01_Settings'!$B$15,"Low conversion rate; ","")&amp;IF($AK56&gt;'01_Settings'!$B$16,"High complaint rate; ",""))</f>
        <v/>
      </c>
    </row>
    <row r="57" ht="18" customHeight="1">
      <c r="A57" s="86" t="n">
        <v>46102</v>
      </c>
      <c r="B57" s="26" t="inlineStr">
        <is>
          <t>North Operations Center</t>
        </is>
      </c>
      <c r="C57" s="26" t="inlineStr">
        <is>
          <t>E-commerce Operations</t>
        </is>
      </c>
      <c r="D57" s="26" t="inlineStr">
        <is>
          <t>Membership Program</t>
        </is>
      </c>
      <c r="E57" s="26" t="inlineStr">
        <is>
          <t>Team chat</t>
        </is>
      </c>
      <c r="F57" s="26" t="inlineStr">
        <is>
          <t>Midwest</t>
        </is>
      </c>
      <c r="G57" s="26" t="inlineStr">
        <is>
          <t>Midwest Team</t>
        </is>
      </c>
      <c r="H57" s="26" t="inlineStr">
        <is>
          <t>Emily Davis</t>
        </is>
      </c>
      <c r="I57" s="26" t="inlineStr">
        <is>
          <t>New customer</t>
        </is>
      </c>
      <c r="J57" s="87" t="n">
        <v>132</v>
      </c>
      <c r="K57" s="87" t="n">
        <v>108</v>
      </c>
      <c r="L57" s="87" t="n">
        <v>14</v>
      </c>
      <c r="M57" s="87" t="n">
        <v>3</v>
      </c>
      <c r="N57" s="88" t="n">
        <v>21625</v>
      </c>
      <c r="O57" s="88" t="n">
        <v>12722</v>
      </c>
      <c r="P57" s="89" t="n">
        <v>17</v>
      </c>
      <c r="Q57" s="87" t="n">
        <v>35</v>
      </c>
      <c r="R57" s="87" t="n">
        <v>510</v>
      </c>
      <c r="S57" s="87" t="n">
        <v>66</v>
      </c>
      <c r="T57" s="87" t="n">
        <v>1</v>
      </c>
      <c r="U57" s="89" t="n">
        <v>4.2</v>
      </c>
      <c r="V57" s="89" t="n">
        <v>2.7</v>
      </c>
      <c r="W57" s="89" t="n">
        <v>18.4</v>
      </c>
      <c r="X57" s="87" t="n">
        <v>88</v>
      </c>
      <c r="Y57" s="87" t="n">
        <v>118</v>
      </c>
      <c r="Z57" s="88" t="n">
        <v>24809</v>
      </c>
      <c r="AA57" s="26" t="n"/>
      <c r="AB57" s="86">
        <f>IF($A57="","",$A57-WEEKDAY($A57,2)+1)</f>
        <v/>
      </c>
      <c r="AC57" s="86">
        <f>IF($A57="","",DATE(YEAR($A57),MONTH($A57),1))</f>
        <v/>
      </c>
      <c r="AD57" s="90">
        <f>IF($A57="","",IFERROR($K57/$J57,0))</f>
        <v/>
      </c>
      <c r="AE57" s="90">
        <f>IF($A57="","",IFERROR($L57/$J57,0))</f>
        <v/>
      </c>
      <c r="AF57" s="90">
        <f>IF($A57="","",IFERROR($M57/$J57,0))</f>
        <v/>
      </c>
      <c r="AG57" s="88">
        <f>IF($A57="","",$N57-$O57)</f>
        <v/>
      </c>
      <c r="AH57" s="90">
        <f>IF($A57="","",IFERROR($AG57/$N57,0))</f>
        <v/>
      </c>
      <c r="AI57" s="89">
        <f>IF($A57="","",IFERROR($K57/$P57,0))</f>
        <v/>
      </c>
      <c r="AJ57" s="90">
        <f>IF($A57="","",IFERROR($S57/$R57,0))</f>
        <v/>
      </c>
      <c r="AK57" s="90">
        <f>IF($A57="","",IFERROR($T57/$J57,0))</f>
        <v/>
      </c>
      <c r="AL57" s="26">
        <f>IF($A57="","",IF(AND($AD57&gt;='01_Settings'!$B$9,$V57&lt;='01_Settings'!$B$10,$W57&lt;='01_Settings'!$B$11),"On track","Off track"))</f>
        <v/>
      </c>
      <c r="AM57" s="42">
        <f>IF($A57="","",IF($AD57&lt;'01_Settings'!$B$9,"Low completion rate; ","")&amp;IF($AE57&gt;'01_Settings'!$B$12,"High overdue rate; ","")&amp;IF($U57&lt;'01_Settings'!$B$13,"Low satisfaction; ","")&amp;IF($AH57&lt;'01_Settings'!$B$14,"Low gross margin; ","")&amp;IF($AJ57&lt;'01_Settings'!$B$15,"Low conversion rate; ","")&amp;IF($AK57&gt;'01_Settings'!$B$16,"High complaint rate; ",""))</f>
        <v/>
      </c>
    </row>
    <row r="58" ht="18" customHeight="1">
      <c r="A58" s="86" t="n">
        <v>46102</v>
      </c>
      <c r="B58" s="26" t="inlineStr">
        <is>
          <t>East Coast Division</t>
        </is>
      </c>
      <c r="C58" s="26" t="inlineStr">
        <is>
          <t>Customer Support Operations</t>
        </is>
      </c>
      <c r="D58" s="26" t="inlineStr">
        <is>
          <t>Membership Program</t>
        </is>
      </c>
      <c r="E58" s="26" t="inlineStr">
        <is>
          <t>Retail store</t>
        </is>
      </c>
      <c r="F58" s="26" t="inlineStr">
        <is>
          <t>Southwest</t>
        </is>
      </c>
      <c r="G58" s="26" t="inlineStr">
        <is>
          <t>Southwest Team</t>
        </is>
      </c>
      <c r="H58" s="26" t="inlineStr">
        <is>
          <t>John Miller</t>
        </is>
      </c>
      <c r="I58" s="26" t="inlineStr">
        <is>
          <t>New customer</t>
        </is>
      </c>
      <c r="J58" s="87" t="n">
        <v>120</v>
      </c>
      <c r="K58" s="87" t="n">
        <v>111</v>
      </c>
      <c r="L58" s="87" t="n">
        <v>8</v>
      </c>
      <c r="M58" s="87" t="n">
        <v>2</v>
      </c>
      <c r="N58" s="88" t="n">
        <v>17976</v>
      </c>
      <c r="O58" s="88" t="n">
        <v>13551</v>
      </c>
      <c r="P58" s="89" t="n">
        <v>7.7</v>
      </c>
      <c r="Q58" s="87" t="n">
        <v>240</v>
      </c>
      <c r="R58" s="87" t="n">
        <v>794</v>
      </c>
      <c r="S58" s="87" t="n">
        <v>58</v>
      </c>
      <c r="T58" s="87" t="n">
        <v>3</v>
      </c>
      <c r="U58" s="89" t="n">
        <v>4.3</v>
      </c>
      <c r="V58" s="89" t="n">
        <v>4.3</v>
      </c>
      <c r="W58" s="89" t="n">
        <v>9.300000000000001</v>
      </c>
      <c r="X58" s="87" t="n">
        <v>106</v>
      </c>
      <c r="Y58" s="87" t="n">
        <v>108</v>
      </c>
      <c r="Z58" s="88" t="n">
        <v>18365</v>
      </c>
      <c r="AA58" s="26" t="n"/>
      <c r="AB58" s="86">
        <f>IF($A58="","",$A58-WEEKDAY($A58,2)+1)</f>
        <v/>
      </c>
      <c r="AC58" s="86">
        <f>IF($A58="","",DATE(YEAR($A58),MONTH($A58),1))</f>
        <v/>
      </c>
      <c r="AD58" s="90">
        <f>IF($A58="","",IFERROR($K58/$J58,0))</f>
        <v/>
      </c>
      <c r="AE58" s="90">
        <f>IF($A58="","",IFERROR($L58/$J58,0))</f>
        <v/>
      </c>
      <c r="AF58" s="90">
        <f>IF($A58="","",IFERROR($M58/$J58,0))</f>
        <v/>
      </c>
      <c r="AG58" s="88">
        <f>IF($A58="","",$N58-$O58)</f>
        <v/>
      </c>
      <c r="AH58" s="90">
        <f>IF($A58="","",IFERROR($AG58/$N58,0))</f>
        <v/>
      </c>
      <c r="AI58" s="89">
        <f>IF($A58="","",IFERROR($K58/$P58,0))</f>
        <v/>
      </c>
      <c r="AJ58" s="90">
        <f>IF($A58="","",IFERROR($S58/$R58,0))</f>
        <v/>
      </c>
      <c r="AK58" s="90">
        <f>IF($A58="","",IFERROR($T58/$J58,0))</f>
        <v/>
      </c>
      <c r="AL58" s="26">
        <f>IF($A58="","",IF(AND($AD58&gt;='01_Settings'!$B$9,$V58&lt;='01_Settings'!$B$10,$W58&lt;='01_Settings'!$B$11),"On track","Off track"))</f>
        <v/>
      </c>
      <c r="AM58" s="42">
        <f>IF($A58="","",IF($AD58&lt;'01_Settings'!$B$9,"Low completion rate; ","")&amp;IF($AE58&gt;'01_Settings'!$B$12,"High overdue rate; ","")&amp;IF($U58&lt;'01_Settings'!$B$13,"Low satisfaction; ","")&amp;IF($AH58&lt;'01_Settings'!$B$14,"Low gross margin; ","")&amp;IF($AJ58&lt;'01_Settings'!$B$15,"Low conversion rate; ","")&amp;IF($AK58&gt;'01_Settings'!$B$16,"High complaint rate; ",""))</f>
        <v/>
      </c>
    </row>
    <row r="59" ht="18" customHeight="1">
      <c r="A59" s="86" t="n">
        <v>46103</v>
      </c>
      <c r="B59" s="26" t="inlineStr">
        <is>
          <t>North Operations Center</t>
        </is>
      </c>
      <c r="C59" s="26" t="inlineStr">
        <is>
          <t>Supply Chain / Inventory</t>
        </is>
      </c>
      <c r="D59" s="26" t="inlineStr">
        <is>
          <t>Membership Program</t>
        </is>
      </c>
      <c r="E59" s="26" t="inlineStr">
        <is>
          <t>Team chat</t>
        </is>
      </c>
      <c r="F59" s="26" t="inlineStr">
        <is>
          <t>Northeast</t>
        </is>
      </c>
      <c r="G59" s="26" t="inlineStr">
        <is>
          <t>Northeast Team</t>
        </is>
      </c>
      <c r="H59" s="26" t="inlineStr">
        <is>
          <t>Robert Thomas</t>
        </is>
      </c>
      <c r="I59" s="26" t="inlineStr">
        <is>
          <t>Standard customer</t>
        </is>
      </c>
      <c r="J59" s="87" t="n">
        <v>110</v>
      </c>
      <c r="K59" s="87" t="n">
        <v>90</v>
      </c>
      <c r="L59" s="87" t="n">
        <v>10</v>
      </c>
      <c r="M59" s="87" t="n">
        <v>0</v>
      </c>
      <c r="N59" s="88" t="n">
        <v>17466</v>
      </c>
      <c r="O59" s="88" t="n">
        <v>12925</v>
      </c>
      <c r="P59" s="89" t="n">
        <v>12.2</v>
      </c>
      <c r="Q59" s="87" t="n">
        <v>362</v>
      </c>
      <c r="R59" s="87" t="n">
        <v>1912</v>
      </c>
      <c r="S59" s="87" t="n">
        <v>93</v>
      </c>
      <c r="T59" s="87" t="n">
        <v>4</v>
      </c>
      <c r="U59" s="89" t="n">
        <v>3.8</v>
      </c>
      <c r="V59" s="89" t="n">
        <v>1.1</v>
      </c>
      <c r="W59" s="89" t="n">
        <v>33.8</v>
      </c>
      <c r="X59" s="87" t="n">
        <v>85</v>
      </c>
      <c r="Y59" s="87" t="n">
        <v>99</v>
      </c>
      <c r="Z59" s="88" t="n">
        <v>20173</v>
      </c>
      <c r="AA59" s="26" t="n"/>
      <c r="AB59" s="86">
        <f>IF($A59="","",$A59-WEEKDAY($A59,2)+1)</f>
        <v/>
      </c>
      <c r="AC59" s="86">
        <f>IF($A59="","",DATE(YEAR($A59),MONTH($A59),1))</f>
        <v/>
      </c>
      <c r="AD59" s="90">
        <f>IF($A59="","",IFERROR($K59/$J59,0))</f>
        <v/>
      </c>
      <c r="AE59" s="90">
        <f>IF($A59="","",IFERROR($L59/$J59,0))</f>
        <v/>
      </c>
      <c r="AF59" s="90">
        <f>IF($A59="","",IFERROR($M59/$J59,0))</f>
        <v/>
      </c>
      <c r="AG59" s="88">
        <f>IF($A59="","",$N59-$O59)</f>
        <v/>
      </c>
      <c r="AH59" s="90">
        <f>IF($A59="","",IFERROR($AG59/$N59,0))</f>
        <v/>
      </c>
      <c r="AI59" s="89">
        <f>IF($A59="","",IFERROR($K59/$P59,0))</f>
        <v/>
      </c>
      <c r="AJ59" s="90">
        <f>IF($A59="","",IFERROR($S59/$R59,0))</f>
        <v/>
      </c>
      <c r="AK59" s="90">
        <f>IF($A59="","",IFERROR($T59/$J59,0))</f>
        <v/>
      </c>
      <c r="AL59" s="26">
        <f>IF($A59="","",IF(AND($AD59&gt;='01_Settings'!$B$9,$V59&lt;='01_Settings'!$B$10,$W59&lt;='01_Settings'!$B$11),"On track","Off track"))</f>
        <v/>
      </c>
      <c r="AM59" s="42">
        <f>IF($A59="","",IF($AD59&lt;'01_Settings'!$B$9,"Low completion rate; ","")&amp;IF($AE59&gt;'01_Settings'!$B$12,"High overdue rate; ","")&amp;IF($U59&lt;'01_Settings'!$B$13,"Low satisfaction; ","")&amp;IF($AH59&lt;'01_Settings'!$B$14,"Low gross margin; ","")&amp;IF($AJ59&lt;'01_Settings'!$B$15,"Low conversion rate; ","")&amp;IF($AK59&gt;'01_Settings'!$B$16,"High complaint rate; ",""))</f>
        <v/>
      </c>
    </row>
    <row r="60" ht="18" customHeight="1">
      <c r="A60" s="86" t="n">
        <v>46103</v>
      </c>
      <c r="B60" s="26" t="inlineStr">
        <is>
          <t>Digital Business Unit</t>
        </is>
      </c>
      <c r="C60" s="26" t="inlineStr">
        <is>
          <t>E-commerce Operations</t>
        </is>
      </c>
      <c r="D60" s="26" t="inlineStr">
        <is>
          <t>Standard Service</t>
        </is>
      </c>
      <c r="E60" s="26" t="inlineStr">
        <is>
          <t>Team chat</t>
        </is>
      </c>
      <c r="F60" s="26" t="inlineStr">
        <is>
          <t>Southwest</t>
        </is>
      </c>
      <c r="G60" s="26" t="inlineStr">
        <is>
          <t>Southwest Team</t>
        </is>
      </c>
      <c r="H60" s="26" t="inlineStr">
        <is>
          <t>Matthew Anderson</t>
        </is>
      </c>
      <c r="I60" s="26" t="inlineStr">
        <is>
          <t>Existing customer</t>
        </is>
      </c>
      <c r="J60" s="87" t="n">
        <v>247</v>
      </c>
      <c r="K60" s="87" t="n">
        <v>203</v>
      </c>
      <c r="L60" s="87" t="n">
        <v>12</v>
      </c>
      <c r="M60" s="87" t="n">
        <v>9</v>
      </c>
      <c r="N60" s="88" t="n">
        <v>53884</v>
      </c>
      <c r="O60" s="88" t="n">
        <v>41741</v>
      </c>
      <c r="P60" s="89" t="n">
        <v>41.9</v>
      </c>
      <c r="Q60" s="87" t="n">
        <v>65</v>
      </c>
      <c r="R60" s="87" t="n">
        <v>1953</v>
      </c>
      <c r="S60" s="87" t="n">
        <v>276</v>
      </c>
      <c r="T60" s="87" t="n">
        <v>3</v>
      </c>
      <c r="U60" s="89" t="n">
        <v>4.4</v>
      </c>
      <c r="V60" s="89" t="n">
        <v>3.6</v>
      </c>
      <c r="W60" s="89" t="n">
        <v>19.1</v>
      </c>
      <c r="X60" s="87" t="n">
        <v>84</v>
      </c>
      <c r="Y60" s="87" t="n">
        <v>222</v>
      </c>
      <c r="Z60" s="88" t="n">
        <v>61873</v>
      </c>
      <c r="AA60" s="26" t="n"/>
      <c r="AB60" s="86">
        <f>IF($A60="","",$A60-WEEKDAY($A60,2)+1)</f>
        <v/>
      </c>
      <c r="AC60" s="86">
        <f>IF($A60="","",DATE(YEAR($A60),MONTH($A60),1))</f>
        <v/>
      </c>
      <c r="AD60" s="90">
        <f>IF($A60="","",IFERROR($K60/$J60,0))</f>
        <v/>
      </c>
      <c r="AE60" s="90">
        <f>IF($A60="","",IFERROR($L60/$J60,0))</f>
        <v/>
      </c>
      <c r="AF60" s="90">
        <f>IF($A60="","",IFERROR($M60/$J60,0))</f>
        <v/>
      </c>
      <c r="AG60" s="88">
        <f>IF($A60="","",$N60-$O60)</f>
        <v/>
      </c>
      <c r="AH60" s="90">
        <f>IF($A60="","",IFERROR($AG60/$N60,0))</f>
        <v/>
      </c>
      <c r="AI60" s="89">
        <f>IF($A60="","",IFERROR($K60/$P60,0))</f>
        <v/>
      </c>
      <c r="AJ60" s="90">
        <f>IF($A60="","",IFERROR($S60/$R60,0))</f>
        <v/>
      </c>
      <c r="AK60" s="90">
        <f>IF($A60="","",IFERROR($T60/$J60,0))</f>
        <v/>
      </c>
      <c r="AL60" s="26">
        <f>IF($A60="","",IF(AND($AD60&gt;='01_Settings'!$B$9,$V60&lt;='01_Settings'!$B$10,$W60&lt;='01_Settings'!$B$11),"On track","Off track"))</f>
        <v/>
      </c>
      <c r="AM60" s="42">
        <f>IF($A60="","",IF($AD60&lt;'01_Settings'!$B$9,"Low completion rate; ","")&amp;IF($AE60&gt;'01_Settings'!$B$12,"High overdue rate; ","")&amp;IF($U60&lt;'01_Settings'!$B$13,"Low satisfaction; ","")&amp;IF($AH60&lt;'01_Settings'!$B$14,"Low gross margin; ","")&amp;IF($AJ60&lt;'01_Settings'!$B$15,"Low conversion rate; ","")&amp;IF($AK60&gt;'01_Settings'!$B$16,"High complaint rate; ",""))</f>
        <v/>
      </c>
    </row>
    <row r="61" ht="18" customHeight="1">
      <c r="A61" s="86" t="n">
        <v>46103</v>
      </c>
      <c r="B61" s="26" t="inlineStr">
        <is>
          <t>Southeast Division</t>
        </is>
      </c>
      <c r="C61" s="26" t="inlineStr">
        <is>
          <t>Sales Operations</t>
        </is>
      </c>
      <c r="D61" s="26" t="inlineStr">
        <is>
          <t>After-sales Coverage</t>
        </is>
      </c>
      <c r="E61" s="26" t="inlineStr">
        <is>
          <t>Retail store</t>
        </is>
      </c>
      <c r="F61" s="26" t="inlineStr">
        <is>
          <t>Northeast</t>
        </is>
      </c>
      <c r="G61" s="26" t="inlineStr">
        <is>
          <t>Northeast Team</t>
        </is>
      </c>
      <c r="H61" s="26" t="inlineStr">
        <is>
          <t>Michael Brown</t>
        </is>
      </c>
      <c r="I61" s="26" t="inlineStr">
        <is>
          <t>High-value customer</t>
        </is>
      </c>
      <c r="J61" s="87" t="n">
        <v>210</v>
      </c>
      <c r="K61" s="87" t="n">
        <v>190</v>
      </c>
      <c r="L61" s="87" t="n">
        <v>8</v>
      </c>
      <c r="M61" s="87" t="n">
        <v>8</v>
      </c>
      <c r="N61" s="88" t="n">
        <v>35213</v>
      </c>
      <c r="O61" s="88" t="n">
        <v>28477</v>
      </c>
      <c r="P61" s="89" t="n">
        <v>30.3</v>
      </c>
      <c r="Q61" s="87" t="n">
        <v>95</v>
      </c>
      <c r="R61" s="87" t="n">
        <v>1162</v>
      </c>
      <c r="S61" s="87" t="n">
        <v>60</v>
      </c>
      <c r="T61" s="87" t="n">
        <v>3</v>
      </c>
      <c r="U61" s="89" t="n">
        <v>4</v>
      </c>
      <c r="V61" s="89" t="n">
        <v>1.8</v>
      </c>
      <c r="W61" s="89" t="n">
        <v>29.3</v>
      </c>
      <c r="X61" s="87" t="n">
        <v>24</v>
      </c>
      <c r="Y61" s="87" t="n">
        <v>189</v>
      </c>
      <c r="Z61" s="88" t="n">
        <v>36779</v>
      </c>
      <c r="AA61" s="26" t="n"/>
      <c r="AB61" s="86">
        <f>IF($A61="","",$A61-WEEKDAY($A61,2)+1)</f>
        <v/>
      </c>
      <c r="AC61" s="86">
        <f>IF($A61="","",DATE(YEAR($A61),MONTH($A61),1))</f>
        <v/>
      </c>
      <c r="AD61" s="90">
        <f>IF($A61="","",IFERROR($K61/$J61,0))</f>
        <v/>
      </c>
      <c r="AE61" s="90">
        <f>IF($A61="","",IFERROR($L61/$J61,0))</f>
        <v/>
      </c>
      <c r="AF61" s="90">
        <f>IF($A61="","",IFERROR($M61/$J61,0))</f>
        <v/>
      </c>
      <c r="AG61" s="88">
        <f>IF($A61="","",$N61-$O61)</f>
        <v/>
      </c>
      <c r="AH61" s="90">
        <f>IF($A61="","",IFERROR($AG61/$N61,0))</f>
        <v/>
      </c>
      <c r="AI61" s="89">
        <f>IF($A61="","",IFERROR($K61/$P61,0))</f>
        <v/>
      </c>
      <c r="AJ61" s="90">
        <f>IF($A61="","",IFERROR($S61/$R61,0))</f>
        <v/>
      </c>
      <c r="AK61" s="90">
        <f>IF($A61="","",IFERROR($T61/$J61,0))</f>
        <v/>
      </c>
      <c r="AL61" s="26">
        <f>IF($A61="","",IF(AND($AD61&gt;='01_Settings'!$B$9,$V61&lt;='01_Settings'!$B$10,$W61&lt;='01_Settings'!$B$11),"On track","Off track"))</f>
        <v/>
      </c>
      <c r="AM61" s="42">
        <f>IF($A61="","",IF($AD61&lt;'01_Settings'!$B$9,"Low completion rate; ","")&amp;IF($AE61&gt;'01_Settings'!$B$12,"High overdue rate; ","")&amp;IF($U61&lt;'01_Settings'!$B$13,"Low satisfaction; ","")&amp;IF($AH61&lt;'01_Settings'!$B$14,"Low gross margin; ","")&amp;IF($AJ61&lt;'01_Settings'!$B$15,"Low conversion rate; ","")&amp;IF($AK61&gt;'01_Settings'!$B$16,"High complaint rate; ",""))</f>
        <v/>
      </c>
    </row>
    <row r="62" ht="18" customHeight="1">
      <c r="A62" s="86" t="n">
        <v>46104</v>
      </c>
      <c r="B62" s="26" t="inlineStr">
        <is>
          <t>North Operations Center</t>
        </is>
      </c>
      <c r="C62" s="26" t="inlineStr">
        <is>
          <t>Finance / Expenses</t>
        </is>
      </c>
      <c r="D62" s="26" t="inlineStr">
        <is>
          <t>Premium Service</t>
        </is>
      </c>
      <c r="E62" s="26" t="inlineStr">
        <is>
          <t>Mobile app</t>
        </is>
      </c>
      <c r="F62" s="26" t="inlineStr">
        <is>
          <t>Southwest</t>
        </is>
      </c>
      <c r="G62" s="26" t="inlineStr">
        <is>
          <t>Southwest Team</t>
        </is>
      </c>
      <c r="H62" s="26" t="inlineStr">
        <is>
          <t>Robert Thomas</t>
        </is>
      </c>
      <c r="I62" s="26" t="inlineStr">
        <is>
          <t>High-value customer</t>
        </is>
      </c>
      <c r="J62" s="87" t="n">
        <v>269</v>
      </c>
      <c r="K62" s="87" t="n">
        <v>223</v>
      </c>
      <c r="L62" s="87" t="n">
        <v>17</v>
      </c>
      <c r="M62" s="87" t="n">
        <v>4</v>
      </c>
      <c r="N62" s="88" t="n">
        <v>36216</v>
      </c>
      <c r="O62" s="88" t="n">
        <v>20468</v>
      </c>
      <c r="P62" s="89" t="n">
        <v>30.4</v>
      </c>
      <c r="Q62" s="87" t="n">
        <v>178</v>
      </c>
      <c r="R62" s="87" t="n">
        <v>2169</v>
      </c>
      <c r="S62" s="87" t="n">
        <v>204</v>
      </c>
      <c r="T62" s="87" t="n">
        <v>1</v>
      </c>
      <c r="U62" s="89" t="n">
        <v>4.6</v>
      </c>
      <c r="V62" s="89" t="n">
        <v>1.4</v>
      </c>
      <c r="W62" s="89" t="n">
        <v>32.2</v>
      </c>
      <c r="X62" s="87" t="n">
        <v>28</v>
      </c>
      <c r="Y62" s="87" t="n">
        <v>242</v>
      </c>
      <c r="Z62" s="88" t="n">
        <v>41266</v>
      </c>
      <c r="AA62" s="26" t="n"/>
      <c r="AB62" s="86">
        <f>IF($A62="","",$A62-WEEKDAY($A62,2)+1)</f>
        <v/>
      </c>
      <c r="AC62" s="86">
        <f>IF($A62="","",DATE(YEAR($A62),MONTH($A62),1))</f>
        <v/>
      </c>
      <c r="AD62" s="90">
        <f>IF($A62="","",IFERROR($K62/$J62,0))</f>
        <v/>
      </c>
      <c r="AE62" s="90">
        <f>IF($A62="","",IFERROR($L62/$J62,0))</f>
        <v/>
      </c>
      <c r="AF62" s="90">
        <f>IF($A62="","",IFERROR($M62/$J62,0))</f>
        <v/>
      </c>
      <c r="AG62" s="88">
        <f>IF($A62="","",$N62-$O62)</f>
        <v/>
      </c>
      <c r="AH62" s="90">
        <f>IF($A62="","",IFERROR($AG62/$N62,0))</f>
        <v/>
      </c>
      <c r="AI62" s="89">
        <f>IF($A62="","",IFERROR($K62/$P62,0))</f>
        <v/>
      </c>
      <c r="AJ62" s="90">
        <f>IF($A62="","",IFERROR($S62/$R62,0))</f>
        <v/>
      </c>
      <c r="AK62" s="90">
        <f>IF($A62="","",IFERROR($T62/$J62,0))</f>
        <v/>
      </c>
      <c r="AL62" s="26">
        <f>IF($A62="","",IF(AND($AD62&gt;='01_Settings'!$B$9,$V62&lt;='01_Settings'!$B$10,$W62&lt;='01_Settings'!$B$11),"On track","Off track"))</f>
        <v/>
      </c>
      <c r="AM62" s="42">
        <f>IF($A62="","",IF($AD62&lt;'01_Settings'!$B$9,"Low completion rate; ","")&amp;IF($AE62&gt;'01_Settings'!$B$12,"High overdue rate; ","")&amp;IF($U62&lt;'01_Settings'!$B$13,"Low satisfaction; ","")&amp;IF($AH62&lt;'01_Settings'!$B$14,"Low gross margin; ","")&amp;IF($AJ62&lt;'01_Settings'!$B$15,"Low conversion rate; ","")&amp;IF($AK62&gt;'01_Settings'!$B$16,"High complaint rate; ",""))</f>
        <v/>
      </c>
    </row>
    <row r="63" ht="18" customHeight="1">
      <c r="A63" s="86" t="n">
        <v>46104</v>
      </c>
      <c r="B63" s="26" t="inlineStr">
        <is>
          <t>Digital Business Unit</t>
        </is>
      </c>
      <c r="C63" s="26" t="inlineStr">
        <is>
          <t>Growth Marketing</t>
        </is>
      </c>
      <c r="D63" s="26" t="inlineStr">
        <is>
          <t>Membership Program</t>
        </is>
      </c>
      <c r="E63" s="26" t="inlineStr">
        <is>
          <t>Email</t>
        </is>
      </c>
      <c r="F63" s="26" t="inlineStr">
        <is>
          <t>International</t>
        </is>
      </c>
      <c r="G63" s="26" t="inlineStr">
        <is>
          <t>International Team</t>
        </is>
      </c>
      <c r="H63" s="26" t="inlineStr">
        <is>
          <t>Michael Brown</t>
        </is>
      </c>
      <c r="I63" s="26" t="inlineStr">
        <is>
          <t>Enterprise customers</t>
        </is>
      </c>
      <c r="J63" s="87" t="n">
        <v>61</v>
      </c>
      <c r="K63" s="87" t="n">
        <v>54</v>
      </c>
      <c r="L63" s="87" t="n">
        <v>2</v>
      </c>
      <c r="M63" s="87" t="n">
        <v>0</v>
      </c>
      <c r="N63" s="88" t="n">
        <v>5997</v>
      </c>
      <c r="O63" s="88" t="n">
        <v>4754</v>
      </c>
      <c r="P63" s="89" t="n">
        <v>5.9</v>
      </c>
      <c r="Q63" s="87" t="n">
        <v>385</v>
      </c>
      <c r="R63" s="87" t="n">
        <v>830</v>
      </c>
      <c r="S63" s="87" t="n">
        <v>83</v>
      </c>
      <c r="T63" s="87" t="n">
        <v>0</v>
      </c>
      <c r="U63" s="89" t="n">
        <v>4</v>
      </c>
      <c r="V63" s="89" t="n">
        <v>3.2</v>
      </c>
      <c r="W63" s="89" t="n">
        <v>20.3</v>
      </c>
      <c r="X63" s="87" t="n">
        <v>138</v>
      </c>
      <c r="Y63" s="87" t="n">
        <v>54</v>
      </c>
      <c r="Z63" s="88" t="n">
        <v>6297</v>
      </c>
      <c r="AA63" s="26" t="n"/>
      <c r="AB63" s="86">
        <f>IF($A63="","",$A63-WEEKDAY($A63,2)+1)</f>
        <v/>
      </c>
      <c r="AC63" s="86">
        <f>IF($A63="","",DATE(YEAR($A63),MONTH($A63),1))</f>
        <v/>
      </c>
      <c r="AD63" s="90">
        <f>IF($A63="","",IFERROR($K63/$J63,0))</f>
        <v/>
      </c>
      <c r="AE63" s="90">
        <f>IF($A63="","",IFERROR($L63/$J63,0))</f>
        <v/>
      </c>
      <c r="AF63" s="90">
        <f>IF($A63="","",IFERROR($M63/$J63,0))</f>
        <v/>
      </c>
      <c r="AG63" s="88">
        <f>IF($A63="","",$N63-$O63)</f>
        <v/>
      </c>
      <c r="AH63" s="90">
        <f>IF($A63="","",IFERROR($AG63/$N63,0))</f>
        <v/>
      </c>
      <c r="AI63" s="89">
        <f>IF($A63="","",IFERROR($K63/$P63,0))</f>
        <v/>
      </c>
      <c r="AJ63" s="90">
        <f>IF($A63="","",IFERROR($S63/$R63,0))</f>
        <v/>
      </c>
      <c r="AK63" s="90">
        <f>IF($A63="","",IFERROR($T63/$J63,0))</f>
        <v/>
      </c>
      <c r="AL63" s="26">
        <f>IF($A63="","",IF(AND($AD63&gt;='01_Settings'!$B$9,$V63&lt;='01_Settings'!$B$10,$W63&lt;='01_Settings'!$B$11),"On track","Off track"))</f>
        <v/>
      </c>
      <c r="AM63" s="42">
        <f>IF($A63="","",IF($AD63&lt;'01_Settings'!$B$9,"Low completion rate; ","")&amp;IF($AE63&gt;'01_Settings'!$B$12,"High overdue rate; ","")&amp;IF($U63&lt;'01_Settings'!$B$13,"Low satisfaction; ","")&amp;IF($AH63&lt;'01_Settings'!$B$14,"Low gross margin; ","")&amp;IF($AJ63&lt;'01_Settings'!$B$15,"Low conversion rate; ","")&amp;IF($AK63&gt;'01_Settings'!$B$16,"High complaint rate; ",""))</f>
        <v/>
      </c>
    </row>
    <row r="64" ht="18" customHeight="1">
      <c r="A64" s="86" t="n">
        <v>46104</v>
      </c>
      <c r="B64" s="26" t="inlineStr">
        <is>
          <t>North Operations Center</t>
        </is>
      </c>
      <c r="C64" s="26" t="inlineStr">
        <is>
          <t>Production / Delivery</t>
        </is>
      </c>
      <c r="D64" s="26" t="inlineStr">
        <is>
          <t>Enterprise customers</t>
        </is>
      </c>
      <c r="E64" s="26" t="inlineStr">
        <is>
          <t>Marketplace store</t>
        </is>
      </c>
      <c r="F64" s="26" t="inlineStr">
        <is>
          <t>Midwest</t>
        </is>
      </c>
      <c r="G64" s="26" t="inlineStr">
        <is>
          <t>Midwest Team</t>
        </is>
      </c>
      <c r="H64" s="26" t="inlineStr">
        <is>
          <t>Michael Brown</t>
        </is>
      </c>
      <c r="I64" s="26" t="inlineStr">
        <is>
          <t>Enterprise customers</t>
        </is>
      </c>
      <c r="J64" s="87" t="n">
        <v>230</v>
      </c>
      <c r="K64" s="87" t="n">
        <v>213</v>
      </c>
      <c r="L64" s="87" t="n">
        <v>5</v>
      </c>
      <c r="M64" s="87" t="n">
        <v>7</v>
      </c>
      <c r="N64" s="88" t="n">
        <v>38424</v>
      </c>
      <c r="O64" s="88" t="n">
        <v>24554</v>
      </c>
      <c r="P64" s="89" t="n">
        <v>30.9</v>
      </c>
      <c r="Q64" s="87" t="n">
        <v>217</v>
      </c>
      <c r="R64" s="87" t="n">
        <v>1480</v>
      </c>
      <c r="S64" s="87" t="n">
        <v>103</v>
      </c>
      <c r="T64" s="87" t="n">
        <v>8</v>
      </c>
      <c r="U64" s="89" t="n">
        <v>4.8</v>
      </c>
      <c r="V64" s="89" t="n">
        <v>4</v>
      </c>
      <c r="W64" s="89" t="n">
        <v>12.2</v>
      </c>
      <c r="X64" s="87" t="n">
        <v>25</v>
      </c>
      <c r="Y64" s="87" t="n">
        <v>207</v>
      </c>
      <c r="Z64" s="88" t="n">
        <v>39209</v>
      </c>
      <c r="AA64" s="26" t="n"/>
      <c r="AB64" s="86">
        <f>IF($A64="","",$A64-WEEKDAY($A64,2)+1)</f>
        <v/>
      </c>
      <c r="AC64" s="86">
        <f>IF($A64="","",DATE(YEAR($A64),MONTH($A64),1))</f>
        <v/>
      </c>
      <c r="AD64" s="90">
        <f>IF($A64="","",IFERROR($K64/$J64,0))</f>
        <v/>
      </c>
      <c r="AE64" s="90">
        <f>IF($A64="","",IFERROR($L64/$J64,0))</f>
        <v/>
      </c>
      <c r="AF64" s="90">
        <f>IF($A64="","",IFERROR($M64/$J64,0))</f>
        <v/>
      </c>
      <c r="AG64" s="88">
        <f>IF($A64="","",$N64-$O64)</f>
        <v/>
      </c>
      <c r="AH64" s="90">
        <f>IF($A64="","",IFERROR($AG64/$N64,0))</f>
        <v/>
      </c>
      <c r="AI64" s="89">
        <f>IF($A64="","",IFERROR($K64/$P64,0))</f>
        <v/>
      </c>
      <c r="AJ64" s="90">
        <f>IF($A64="","",IFERROR($S64/$R64,0))</f>
        <v/>
      </c>
      <c r="AK64" s="90">
        <f>IF($A64="","",IFERROR($T64/$J64,0))</f>
        <v/>
      </c>
      <c r="AL64" s="26">
        <f>IF($A64="","",IF(AND($AD64&gt;='01_Settings'!$B$9,$V64&lt;='01_Settings'!$B$10,$W64&lt;='01_Settings'!$B$11),"On track","Off track"))</f>
        <v/>
      </c>
      <c r="AM64" s="42">
        <f>IF($A64="","",IF($AD64&lt;'01_Settings'!$B$9,"Low completion rate; ","")&amp;IF($AE64&gt;'01_Settings'!$B$12,"High overdue rate; ","")&amp;IF($U64&lt;'01_Settings'!$B$13,"Low satisfaction; ","")&amp;IF($AH64&lt;'01_Settings'!$B$14,"Low gross margin; ","")&amp;IF($AJ64&lt;'01_Settings'!$B$15,"Low conversion rate; ","")&amp;IF($AK64&gt;'01_Settings'!$B$16,"High complaint rate; ",""))</f>
        <v/>
      </c>
    </row>
    <row r="65" ht="18" customHeight="1">
      <c r="A65" s="86" t="n">
        <v>46105</v>
      </c>
      <c r="B65" s="26" t="inlineStr">
        <is>
          <t>Southeast Division</t>
        </is>
      </c>
      <c r="C65" s="26" t="inlineStr">
        <is>
          <t>Production / Delivery</t>
        </is>
      </c>
      <c r="D65" s="26" t="inlineStr">
        <is>
          <t>Membership Program</t>
        </is>
      </c>
      <c r="E65" s="26" t="inlineStr">
        <is>
          <t>Retail store</t>
        </is>
      </c>
      <c r="F65" s="26" t="inlineStr">
        <is>
          <t>International</t>
        </is>
      </c>
      <c r="G65" s="26" t="inlineStr">
        <is>
          <t>International Team</t>
        </is>
      </c>
      <c r="H65" s="26" t="inlineStr">
        <is>
          <t>Matthew Anderson</t>
        </is>
      </c>
      <c r="I65" s="26" t="inlineStr">
        <is>
          <t>High-value customer</t>
        </is>
      </c>
      <c r="J65" s="87" t="n">
        <v>240</v>
      </c>
      <c r="K65" s="87" t="n">
        <v>211</v>
      </c>
      <c r="L65" s="87" t="n">
        <v>23</v>
      </c>
      <c r="M65" s="87" t="n">
        <v>9</v>
      </c>
      <c r="N65" s="88" t="n">
        <v>59298</v>
      </c>
      <c r="O65" s="88" t="n">
        <v>45886</v>
      </c>
      <c r="P65" s="89" t="n">
        <v>37</v>
      </c>
      <c r="Q65" s="87" t="n">
        <v>370</v>
      </c>
      <c r="R65" s="87" t="n">
        <v>2626</v>
      </c>
      <c r="S65" s="87" t="n">
        <v>134</v>
      </c>
      <c r="T65" s="87" t="n">
        <v>7</v>
      </c>
      <c r="U65" s="89" t="n">
        <v>4.3</v>
      </c>
      <c r="V65" s="89" t="n">
        <v>1.1</v>
      </c>
      <c r="W65" s="89" t="n">
        <v>16.6</v>
      </c>
      <c r="X65" s="87" t="n">
        <v>59</v>
      </c>
      <c r="Y65" s="87" t="n">
        <v>216</v>
      </c>
      <c r="Z65" s="88" t="n">
        <v>63739</v>
      </c>
      <c r="AA65" s="26" t="n"/>
      <c r="AB65" s="86">
        <f>IF($A65="","",$A65-WEEKDAY($A65,2)+1)</f>
        <v/>
      </c>
      <c r="AC65" s="86">
        <f>IF($A65="","",DATE(YEAR($A65),MONTH($A65),1))</f>
        <v/>
      </c>
      <c r="AD65" s="90">
        <f>IF($A65="","",IFERROR($K65/$J65,0))</f>
        <v/>
      </c>
      <c r="AE65" s="90">
        <f>IF($A65="","",IFERROR($L65/$J65,0))</f>
        <v/>
      </c>
      <c r="AF65" s="90">
        <f>IF($A65="","",IFERROR($M65/$J65,0))</f>
        <v/>
      </c>
      <c r="AG65" s="88">
        <f>IF($A65="","",$N65-$O65)</f>
        <v/>
      </c>
      <c r="AH65" s="90">
        <f>IF($A65="","",IFERROR($AG65/$N65,0))</f>
        <v/>
      </c>
      <c r="AI65" s="89">
        <f>IF($A65="","",IFERROR($K65/$P65,0))</f>
        <v/>
      </c>
      <c r="AJ65" s="90">
        <f>IF($A65="","",IFERROR($S65/$R65,0))</f>
        <v/>
      </c>
      <c r="AK65" s="90">
        <f>IF($A65="","",IFERROR($T65/$J65,0))</f>
        <v/>
      </c>
      <c r="AL65" s="26">
        <f>IF($A65="","",IF(AND($AD65&gt;='01_Settings'!$B$9,$V65&lt;='01_Settings'!$B$10,$W65&lt;='01_Settings'!$B$11),"On track","Off track"))</f>
        <v/>
      </c>
      <c r="AM65" s="42">
        <f>IF($A65="","",IF($AD65&lt;'01_Settings'!$B$9,"Low completion rate; ","")&amp;IF($AE65&gt;'01_Settings'!$B$12,"High overdue rate; ","")&amp;IF($U65&lt;'01_Settings'!$B$13,"Low satisfaction; ","")&amp;IF($AH65&lt;'01_Settings'!$B$14,"Low gross margin; ","")&amp;IF($AJ65&lt;'01_Settings'!$B$15,"Low conversion rate; ","")&amp;IF($AK65&gt;'01_Settings'!$B$16,"High complaint rate; ",""))</f>
        <v/>
      </c>
    </row>
    <row r="66" ht="18" customHeight="1">
      <c r="A66" s="86" t="n">
        <v>46105</v>
      </c>
      <c r="B66" s="26" t="inlineStr">
        <is>
          <t>Southeast Division</t>
        </is>
      </c>
      <c r="C66" s="26" t="inlineStr">
        <is>
          <t>Field Services</t>
        </is>
      </c>
      <c r="D66" s="26" t="inlineStr">
        <is>
          <t>Standard Service</t>
        </is>
      </c>
      <c r="E66" s="26" t="inlineStr">
        <is>
          <t>Phone</t>
        </is>
      </c>
      <c r="F66" s="26" t="inlineStr">
        <is>
          <t>Midwest</t>
        </is>
      </c>
      <c r="G66" s="26" t="inlineStr">
        <is>
          <t>Midwest Team</t>
        </is>
      </c>
      <c r="H66" s="26" t="inlineStr">
        <is>
          <t>Jessica Taylor</t>
        </is>
      </c>
      <c r="I66" s="26" t="inlineStr">
        <is>
          <t>New customer</t>
        </is>
      </c>
      <c r="J66" s="87" t="n">
        <v>137</v>
      </c>
      <c r="K66" s="87" t="n">
        <v>130</v>
      </c>
      <c r="L66" s="87" t="n">
        <v>4</v>
      </c>
      <c r="M66" s="87" t="n">
        <v>5</v>
      </c>
      <c r="N66" s="88" t="n">
        <v>42970</v>
      </c>
      <c r="O66" s="88" t="n">
        <v>33886</v>
      </c>
      <c r="P66" s="89" t="n">
        <v>7.3</v>
      </c>
      <c r="Q66" s="87" t="n">
        <v>192</v>
      </c>
      <c r="R66" s="87" t="n">
        <v>828</v>
      </c>
      <c r="S66" s="87" t="n">
        <v>92</v>
      </c>
      <c r="T66" s="87" t="n">
        <v>1</v>
      </c>
      <c r="U66" s="89" t="n">
        <v>4</v>
      </c>
      <c r="V66" s="89" t="n">
        <v>4.5</v>
      </c>
      <c r="W66" s="89" t="n">
        <v>25.5</v>
      </c>
      <c r="X66" s="87" t="n">
        <v>47</v>
      </c>
      <c r="Y66" s="87" t="n">
        <v>123</v>
      </c>
      <c r="Z66" s="88" t="n">
        <v>42689</v>
      </c>
      <c r="AA66" s="26" t="n"/>
      <c r="AB66" s="86">
        <f>IF($A66="","",$A66-WEEKDAY($A66,2)+1)</f>
        <v/>
      </c>
      <c r="AC66" s="86">
        <f>IF($A66="","",DATE(YEAR($A66),MONTH($A66),1))</f>
        <v/>
      </c>
      <c r="AD66" s="90">
        <f>IF($A66="","",IFERROR($K66/$J66,0))</f>
        <v/>
      </c>
      <c r="AE66" s="90">
        <f>IF($A66="","",IFERROR($L66/$J66,0))</f>
        <v/>
      </c>
      <c r="AF66" s="90">
        <f>IF($A66="","",IFERROR($M66/$J66,0))</f>
        <v/>
      </c>
      <c r="AG66" s="88">
        <f>IF($A66="","",$N66-$O66)</f>
        <v/>
      </c>
      <c r="AH66" s="90">
        <f>IF($A66="","",IFERROR($AG66/$N66,0))</f>
        <v/>
      </c>
      <c r="AI66" s="89">
        <f>IF($A66="","",IFERROR($K66/$P66,0))</f>
        <v/>
      </c>
      <c r="AJ66" s="90">
        <f>IF($A66="","",IFERROR($S66/$R66,0))</f>
        <v/>
      </c>
      <c r="AK66" s="90">
        <f>IF($A66="","",IFERROR($T66/$J66,0))</f>
        <v/>
      </c>
      <c r="AL66" s="26">
        <f>IF($A66="","",IF(AND($AD66&gt;='01_Settings'!$B$9,$V66&lt;='01_Settings'!$B$10,$W66&lt;='01_Settings'!$B$11),"On track","Off track"))</f>
        <v/>
      </c>
      <c r="AM66" s="42">
        <f>IF($A66="","",IF($AD66&lt;'01_Settings'!$B$9,"Low completion rate; ","")&amp;IF($AE66&gt;'01_Settings'!$B$12,"High overdue rate; ","")&amp;IF($U66&lt;'01_Settings'!$B$13,"Low satisfaction; ","")&amp;IF($AH66&lt;'01_Settings'!$B$14,"Low gross margin; ","")&amp;IF($AJ66&lt;'01_Settings'!$B$15,"Low conversion rate; ","")&amp;IF($AK66&gt;'01_Settings'!$B$16,"High complaint rate; ",""))</f>
        <v/>
      </c>
    </row>
    <row r="67" ht="18" customHeight="1">
      <c r="A67" s="86" t="n">
        <v>46105</v>
      </c>
      <c r="B67" s="26" t="inlineStr">
        <is>
          <t>North Operations Center</t>
        </is>
      </c>
      <c r="C67" s="26" t="inlineStr">
        <is>
          <t>Growth Marketing</t>
        </is>
      </c>
      <c r="D67" s="26" t="inlineStr">
        <is>
          <t>Enterprise customers</t>
        </is>
      </c>
      <c r="E67" s="26" t="inlineStr">
        <is>
          <t>Email</t>
        </is>
      </c>
      <c r="F67" s="26" t="inlineStr">
        <is>
          <t>International</t>
        </is>
      </c>
      <c r="G67" s="26" t="inlineStr">
        <is>
          <t>International Team</t>
        </is>
      </c>
      <c r="H67" s="26" t="inlineStr">
        <is>
          <t>Robert Thomas</t>
        </is>
      </c>
      <c r="I67" s="26" t="inlineStr">
        <is>
          <t>Existing customer</t>
        </is>
      </c>
      <c r="J67" s="87" t="n">
        <v>250</v>
      </c>
      <c r="K67" s="87" t="n">
        <v>216</v>
      </c>
      <c r="L67" s="87" t="n">
        <v>23</v>
      </c>
      <c r="M67" s="87" t="n">
        <v>5</v>
      </c>
      <c r="N67" s="88" t="n">
        <v>51884</v>
      </c>
      <c r="O67" s="88" t="n">
        <v>32871</v>
      </c>
      <c r="P67" s="89" t="n">
        <v>40.5</v>
      </c>
      <c r="Q67" s="87" t="n">
        <v>260</v>
      </c>
      <c r="R67" s="87" t="n">
        <v>1154</v>
      </c>
      <c r="S67" s="87" t="n">
        <v>97</v>
      </c>
      <c r="T67" s="87" t="n">
        <v>10</v>
      </c>
      <c r="U67" s="89" t="n">
        <v>4.8</v>
      </c>
      <c r="V67" s="89" t="n">
        <v>3.3</v>
      </c>
      <c r="W67" s="89" t="n">
        <v>15.9</v>
      </c>
      <c r="X67" s="87" t="n">
        <v>102</v>
      </c>
      <c r="Y67" s="87" t="n">
        <v>225</v>
      </c>
      <c r="Z67" s="88" t="n">
        <v>56748</v>
      </c>
      <c r="AA67" s="26" t="n"/>
      <c r="AB67" s="86">
        <f>IF($A67="","",$A67-WEEKDAY($A67,2)+1)</f>
        <v/>
      </c>
      <c r="AC67" s="86">
        <f>IF($A67="","",DATE(YEAR($A67),MONTH($A67),1))</f>
        <v/>
      </c>
      <c r="AD67" s="90">
        <f>IF($A67="","",IFERROR($K67/$J67,0))</f>
        <v/>
      </c>
      <c r="AE67" s="90">
        <f>IF($A67="","",IFERROR($L67/$J67,0))</f>
        <v/>
      </c>
      <c r="AF67" s="90">
        <f>IF($A67="","",IFERROR($M67/$J67,0))</f>
        <v/>
      </c>
      <c r="AG67" s="88">
        <f>IF($A67="","",$N67-$O67)</f>
        <v/>
      </c>
      <c r="AH67" s="90">
        <f>IF($A67="","",IFERROR($AG67/$N67,0))</f>
        <v/>
      </c>
      <c r="AI67" s="89">
        <f>IF($A67="","",IFERROR($K67/$P67,0))</f>
        <v/>
      </c>
      <c r="AJ67" s="90">
        <f>IF($A67="","",IFERROR($S67/$R67,0))</f>
        <v/>
      </c>
      <c r="AK67" s="90">
        <f>IF($A67="","",IFERROR($T67/$J67,0))</f>
        <v/>
      </c>
      <c r="AL67" s="26">
        <f>IF($A67="","",IF(AND($AD67&gt;='01_Settings'!$B$9,$V67&lt;='01_Settings'!$B$10,$W67&lt;='01_Settings'!$B$11),"On track","Off track"))</f>
        <v/>
      </c>
      <c r="AM67" s="42">
        <f>IF($A67="","",IF($AD67&lt;'01_Settings'!$B$9,"Low completion rate; ","")&amp;IF($AE67&gt;'01_Settings'!$B$12,"High overdue rate; ","")&amp;IF($U67&lt;'01_Settings'!$B$13,"Low satisfaction; ","")&amp;IF($AH67&lt;'01_Settings'!$B$14,"Low gross margin; ","")&amp;IF($AJ67&lt;'01_Settings'!$B$15,"Low conversion rate; ","")&amp;IF($AK67&gt;'01_Settings'!$B$16,"High complaint rate; ",""))</f>
        <v/>
      </c>
    </row>
    <row r="68" ht="18" customHeight="1">
      <c r="A68" s="86" t="n">
        <v>46106</v>
      </c>
      <c r="B68" s="26" t="inlineStr">
        <is>
          <t>North Operations Center</t>
        </is>
      </c>
      <c r="C68" s="26" t="inlineStr">
        <is>
          <t>Supply Chain / Inventory</t>
        </is>
      </c>
      <c r="D68" s="26" t="inlineStr">
        <is>
          <t>Project Delivery</t>
        </is>
      </c>
      <c r="E68" s="26" t="inlineStr">
        <is>
          <t>Online</t>
        </is>
      </c>
      <c r="F68" s="26" t="inlineStr">
        <is>
          <t>Southwest</t>
        </is>
      </c>
      <c r="G68" s="26" t="inlineStr">
        <is>
          <t>Southwest Team</t>
        </is>
      </c>
      <c r="H68" s="26" t="inlineStr">
        <is>
          <t>Matthew Anderson</t>
        </is>
      </c>
      <c r="I68" s="26" t="inlineStr">
        <is>
          <t>New customer</t>
        </is>
      </c>
      <c r="J68" s="87" t="n">
        <v>110</v>
      </c>
      <c r="K68" s="87" t="n">
        <v>105</v>
      </c>
      <c r="L68" s="87" t="n">
        <v>8</v>
      </c>
      <c r="M68" s="87" t="n">
        <v>0</v>
      </c>
      <c r="N68" s="88" t="n">
        <v>35046</v>
      </c>
      <c r="O68" s="88" t="n">
        <v>27329</v>
      </c>
      <c r="P68" s="89" t="n">
        <v>10.3</v>
      </c>
      <c r="Q68" s="87" t="n">
        <v>102</v>
      </c>
      <c r="R68" s="87" t="n">
        <v>1319</v>
      </c>
      <c r="S68" s="87" t="n">
        <v>123</v>
      </c>
      <c r="T68" s="87" t="n">
        <v>2</v>
      </c>
      <c r="U68" s="89" t="n">
        <v>4.6</v>
      </c>
      <c r="V68" s="89" t="n">
        <v>1.5</v>
      </c>
      <c r="W68" s="89" t="n">
        <v>33.5</v>
      </c>
      <c r="X68" s="87" t="n">
        <v>120</v>
      </c>
      <c r="Y68" s="87" t="n">
        <v>99</v>
      </c>
      <c r="Z68" s="88" t="n">
        <v>34695</v>
      </c>
      <c r="AA68" s="26" t="n"/>
      <c r="AB68" s="86">
        <f>IF($A68="","",$A68-WEEKDAY($A68,2)+1)</f>
        <v/>
      </c>
      <c r="AC68" s="86">
        <f>IF($A68="","",DATE(YEAR($A68),MONTH($A68),1))</f>
        <v/>
      </c>
      <c r="AD68" s="90">
        <f>IF($A68="","",IFERROR($K68/$J68,0))</f>
        <v/>
      </c>
      <c r="AE68" s="90">
        <f>IF($A68="","",IFERROR($L68/$J68,0))</f>
        <v/>
      </c>
      <c r="AF68" s="90">
        <f>IF($A68="","",IFERROR($M68/$J68,0))</f>
        <v/>
      </c>
      <c r="AG68" s="88">
        <f>IF($A68="","",$N68-$O68)</f>
        <v/>
      </c>
      <c r="AH68" s="90">
        <f>IF($A68="","",IFERROR($AG68/$N68,0))</f>
        <v/>
      </c>
      <c r="AI68" s="89">
        <f>IF($A68="","",IFERROR($K68/$P68,0))</f>
        <v/>
      </c>
      <c r="AJ68" s="90">
        <f>IF($A68="","",IFERROR($S68/$R68,0))</f>
        <v/>
      </c>
      <c r="AK68" s="90">
        <f>IF($A68="","",IFERROR($T68/$J68,0))</f>
        <v/>
      </c>
      <c r="AL68" s="26">
        <f>IF($A68="","",IF(AND($AD68&gt;='01_Settings'!$B$9,$V68&lt;='01_Settings'!$B$10,$W68&lt;='01_Settings'!$B$11),"On track","Off track"))</f>
        <v/>
      </c>
      <c r="AM68" s="42">
        <f>IF($A68="","",IF($AD68&lt;'01_Settings'!$B$9,"Low completion rate; ","")&amp;IF($AE68&gt;'01_Settings'!$B$12,"High overdue rate; ","")&amp;IF($U68&lt;'01_Settings'!$B$13,"Low satisfaction; ","")&amp;IF($AH68&lt;'01_Settings'!$B$14,"Low gross margin; ","")&amp;IF($AJ68&lt;'01_Settings'!$B$15,"Low conversion rate; ","")&amp;IF($AK68&gt;'01_Settings'!$B$16,"High complaint rate; ",""))</f>
        <v/>
      </c>
    </row>
    <row r="69" ht="18" customHeight="1">
      <c r="A69" s="86" t="n">
        <v>46106</v>
      </c>
      <c r="B69" s="26" t="inlineStr">
        <is>
          <t>East Coast Division</t>
        </is>
      </c>
      <c r="C69" s="26" t="inlineStr">
        <is>
          <t>Growth Marketing</t>
        </is>
      </c>
      <c r="D69" s="26" t="inlineStr">
        <is>
          <t>After-sales Coverage</t>
        </is>
      </c>
      <c r="E69" s="26" t="inlineStr">
        <is>
          <t>Marketplace store</t>
        </is>
      </c>
      <c r="F69" s="26" t="inlineStr">
        <is>
          <t>Midwest</t>
        </is>
      </c>
      <c r="G69" s="26" t="inlineStr">
        <is>
          <t>Midwest Team</t>
        </is>
      </c>
      <c r="H69" s="26" t="inlineStr">
        <is>
          <t>Jessica Taylor</t>
        </is>
      </c>
      <c r="I69" s="26" t="inlineStr">
        <is>
          <t>High-value customer</t>
        </is>
      </c>
      <c r="J69" s="87" t="n">
        <v>252</v>
      </c>
      <c r="K69" s="87" t="n">
        <v>216</v>
      </c>
      <c r="L69" s="87" t="n">
        <v>30</v>
      </c>
      <c r="M69" s="87" t="n">
        <v>4</v>
      </c>
      <c r="N69" s="88" t="n">
        <v>19107</v>
      </c>
      <c r="O69" s="88" t="n">
        <v>15311</v>
      </c>
      <c r="P69" s="89" t="n">
        <v>41.6</v>
      </c>
      <c r="Q69" s="87" t="n">
        <v>352</v>
      </c>
      <c r="R69" s="87" t="n">
        <v>1825</v>
      </c>
      <c r="S69" s="87" t="n">
        <v>246</v>
      </c>
      <c r="T69" s="87" t="n">
        <v>2</v>
      </c>
      <c r="U69" s="89" t="n">
        <v>4.1</v>
      </c>
      <c r="V69" s="89" t="n">
        <v>5.1</v>
      </c>
      <c r="W69" s="89" t="n">
        <v>27.5</v>
      </c>
      <c r="X69" s="87" t="n">
        <v>40</v>
      </c>
      <c r="Y69" s="87" t="n">
        <v>226</v>
      </c>
      <c r="Z69" s="88" t="n">
        <v>20991</v>
      </c>
      <c r="AA69" s="26" t="n"/>
      <c r="AB69" s="86">
        <f>IF($A69="","",$A69-WEEKDAY($A69,2)+1)</f>
        <v/>
      </c>
      <c r="AC69" s="86">
        <f>IF($A69="","",DATE(YEAR($A69),MONTH($A69),1))</f>
        <v/>
      </c>
      <c r="AD69" s="90">
        <f>IF($A69="","",IFERROR($K69/$J69,0))</f>
        <v/>
      </c>
      <c r="AE69" s="90">
        <f>IF($A69="","",IFERROR($L69/$J69,0))</f>
        <v/>
      </c>
      <c r="AF69" s="90">
        <f>IF($A69="","",IFERROR($M69/$J69,0))</f>
        <v/>
      </c>
      <c r="AG69" s="88">
        <f>IF($A69="","",$N69-$O69)</f>
        <v/>
      </c>
      <c r="AH69" s="90">
        <f>IF($A69="","",IFERROR($AG69/$N69,0))</f>
        <v/>
      </c>
      <c r="AI69" s="89">
        <f>IF($A69="","",IFERROR($K69/$P69,0))</f>
        <v/>
      </c>
      <c r="AJ69" s="90">
        <f>IF($A69="","",IFERROR($S69/$R69,0))</f>
        <v/>
      </c>
      <c r="AK69" s="90">
        <f>IF($A69="","",IFERROR($T69/$J69,0))</f>
        <v/>
      </c>
      <c r="AL69" s="26">
        <f>IF($A69="","",IF(AND($AD69&gt;='01_Settings'!$B$9,$V69&lt;='01_Settings'!$B$10,$W69&lt;='01_Settings'!$B$11),"On track","Off track"))</f>
        <v/>
      </c>
      <c r="AM69" s="42">
        <f>IF($A69="","",IF($AD69&lt;'01_Settings'!$B$9,"Low completion rate; ","")&amp;IF($AE69&gt;'01_Settings'!$B$12,"High overdue rate; ","")&amp;IF($U69&lt;'01_Settings'!$B$13,"Low satisfaction; ","")&amp;IF($AH69&lt;'01_Settings'!$B$14,"Low gross margin; ","")&amp;IF($AJ69&lt;'01_Settings'!$B$15,"Low conversion rate; ","")&amp;IF($AK69&gt;'01_Settings'!$B$16,"High complaint rate; ",""))</f>
        <v/>
      </c>
    </row>
    <row r="70" ht="18" customHeight="1">
      <c r="A70" s="86" t="n">
        <v>46106</v>
      </c>
      <c r="B70" s="26" t="inlineStr">
        <is>
          <t>East Coast Division</t>
        </is>
      </c>
      <c r="C70" s="26" t="inlineStr">
        <is>
          <t>Production / Delivery</t>
        </is>
      </c>
      <c r="D70" s="26" t="inlineStr">
        <is>
          <t>Membership Program</t>
        </is>
      </c>
      <c r="E70" s="26" t="inlineStr">
        <is>
          <t>Online</t>
        </is>
      </c>
      <c r="F70" s="26" t="inlineStr">
        <is>
          <t>Southeast</t>
        </is>
      </c>
      <c r="G70" s="26" t="inlineStr">
        <is>
          <t>Southeast Team</t>
        </is>
      </c>
      <c r="H70" s="26" t="inlineStr">
        <is>
          <t>John Miller</t>
        </is>
      </c>
      <c r="I70" s="26" t="inlineStr">
        <is>
          <t>Standard customer</t>
        </is>
      </c>
      <c r="J70" s="87" t="n">
        <v>42</v>
      </c>
      <c r="K70" s="87" t="n">
        <v>40</v>
      </c>
      <c r="L70" s="87" t="n">
        <v>3</v>
      </c>
      <c r="M70" s="87" t="n">
        <v>1</v>
      </c>
      <c r="N70" s="88" t="n">
        <v>9533</v>
      </c>
      <c r="O70" s="88" t="n">
        <v>5529</v>
      </c>
      <c r="P70" s="89" t="n">
        <v>4</v>
      </c>
      <c r="Q70" s="87" t="n">
        <v>174</v>
      </c>
      <c r="R70" s="87" t="n">
        <v>773</v>
      </c>
      <c r="S70" s="87" t="n">
        <v>35</v>
      </c>
      <c r="T70" s="87" t="n">
        <v>0</v>
      </c>
      <c r="U70" s="89" t="n">
        <v>4.6</v>
      </c>
      <c r="V70" s="89" t="n">
        <v>3.3</v>
      </c>
      <c r="W70" s="89" t="n">
        <v>11.1</v>
      </c>
      <c r="X70" s="87" t="n">
        <v>132</v>
      </c>
      <c r="Y70" s="87" t="n">
        <v>37</v>
      </c>
      <c r="Z70" s="88" t="n">
        <v>9259</v>
      </c>
      <c r="AA70" s="26" t="n"/>
      <c r="AB70" s="86">
        <f>IF($A70="","",$A70-WEEKDAY($A70,2)+1)</f>
        <v/>
      </c>
      <c r="AC70" s="86">
        <f>IF($A70="","",DATE(YEAR($A70),MONTH($A70),1))</f>
        <v/>
      </c>
      <c r="AD70" s="90">
        <f>IF($A70="","",IFERROR($K70/$J70,0))</f>
        <v/>
      </c>
      <c r="AE70" s="90">
        <f>IF($A70="","",IFERROR($L70/$J70,0))</f>
        <v/>
      </c>
      <c r="AF70" s="90">
        <f>IF($A70="","",IFERROR($M70/$J70,0))</f>
        <v/>
      </c>
      <c r="AG70" s="88">
        <f>IF($A70="","",$N70-$O70)</f>
        <v/>
      </c>
      <c r="AH70" s="90">
        <f>IF($A70="","",IFERROR($AG70/$N70,0))</f>
        <v/>
      </c>
      <c r="AI70" s="89">
        <f>IF($A70="","",IFERROR($K70/$P70,0))</f>
        <v/>
      </c>
      <c r="AJ70" s="90">
        <f>IF($A70="","",IFERROR($S70/$R70,0))</f>
        <v/>
      </c>
      <c r="AK70" s="90">
        <f>IF($A70="","",IFERROR($T70/$J70,0))</f>
        <v/>
      </c>
      <c r="AL70" s="26">
        <f>IF($A70="","",IF(AND($AD70&gt;='01_Settings'!$B$9,$V70&lt;='01_Settings'!$B$10,$W70&lt;='01_Settings'!$B$11),"On track","Off track"))</f>
        <v/>
      </c>
      <c r="AM70" s="42">
        <f>IF($A70="","",IF($AD70&lt;'01_Settings'!$B$9,"Low completion rate; ","")&amp;IF($AE70&gt;'01_Settings'!$B$12,"High overdue rate; ","")&amp;IF($U70&lt;'01_Settings'!$B$13,"Low satisfaction; ","")&amp;IF($AH70&lt;'01_Settings'!$B$14,"Low gross margin; ","")&amp;IF($AJ70&lt;'01_Settings'!$B$15,"Low conversion rate; ","")&amp;IF($AK70&gt;'01_Settings'!$B$16,"High complaint rate; ",""))</f>
        <v/>
      </c>
    </row>
    <row r="71" ht="18" customHeight="1">
      <c r="A71" s="86" t="n">
        <v>46107</v>
      </c>
      <c r="B71" s="26" t="inlineStr">
        <is>
          <t>Digital Business Unit</t>
        </is>
      </c>
      <c r="C71" s="26" t="inlineStr">
        <is>
          <t>Supply Chain / Inventory</t>
        </is>
      </c>
      <c r="D71" s="26" t="inlineStr">
        <is>
          <t>After-sales Coverage</t>
        </is>
      </c>
      <c r="E71" s="26" t="inlineStr">
        <is>
          <t>Online</t>
        </is>
      </c>
      <c r="F71" s="26" t="inlineStr">
        <is>
          <t>Midwest</t>
        </is>
      </c>
      <c r="G71" s="26" t="inlineStr">
        <is>
          <t>Midwest Team</t>
        </is>
      </c>
      <c r="H71" s="26" t="inlineStr">
        <is>
          <t>Robert Thomas</t>
        </is>
      </c>
      <c r="I71" s="26" t="inlineStr">
        <is>
          <t>Enterprise customers</t>
        </is>
      </c>
      <c r="J71" s="87" t="n">
        <v>189</v>
      </c>
      <c r="K71" s="87" t="n">
        <v>162</v>
      </c>
      <c r="L71" s="87" t="n">
        <v>11</v>
      </c>
      <c r="M71" s="87" t="n">
        <v>6</v>
      </c>
      <c r="N71" s="88" t="n">
        <v>17121</v>
      </c>
      <c r="O71" s="88" t="n">
        <v>13922</v>
      </c>
      <c r="P71" s="89" t="n">
        <v>10</v>
      </c>
      <c r="Q71" s="87" t="n">
        <v>289</v>
      </c>
      <c r="R71" s="87" t="n">
        <v>2617</v>
      </c>
      <c r="S71" s="87" t="n">
        <v>264</v>
      </c>
      <c r="T71" s="87" t="n">
        <v>8</v>
      </c>
      <c r="U71" s="89" t="n">
        <v>4.4</v>
      </c>
      <c r="V71" s="89" t="n">
        <v>3</v>
      </c>
      <c r="W71" s="89" t="n">
        <v>21.2</v>
      </c>
      <c r="X71" s="87" t="n">
        <v>167</v>
      </c>
      <c r="Y71" s="87" t="n">
        <v>170</v>
      </c>
      <c r="Z71" s="88" t="n">
        <v>18865</v>
      </c>
      <c r="AA71" s="26" t="n"/>
      <c r="AB71" s="86">
        <f>IF($A71="","",$A71-WEEKDAY($A71,2)+1)</f>
        <v/>
      </c>
      <c r="AC71" s="86">
        <f>IF($A71="","",DATE(YEAR($A71),MONTH($A71),1))</f>
        <v/>
      </c>
      <c r="AD71" s="90">
        <f>IF($A71="","",IFERROR($K71/$J71,0))</f>
        <v/>
      </c>
      <c r="AE71" s="90">
        <f>IF($A71="","",IFERROR($L71/$J71,0))</f>
        <v/>
      </c>
      <c r="AF71" s="90">
        <f>IF($A71="","",IFERROR($M71/$J71,0))</f>
        <v/>
      </c>
      <c r="AG71" s="88">
        <f>IF($A71="","",$N71-$O71)</f>
        <v/>
      </c>
      <c r="AH71" s="90">
        <f>IF($A71="","",IFERROR($AG71/$N71,0))</f>
        <v/>
      </c>
      <c r="AI71" s="89">
        <f>IF($A71="","",IFERROR($K71/$P71,0))</f>
        <v/>
      </c>
      <c r="AJ71" s="90">
        <f>IF($A71="","",IFERROR($S71/$R71,0))</f>
        <v/>
      </c>
      <c r="AK71" s="90">
        <f>IF($A71="","",IFERROR($T71/$J71,0))</f>
        <v/>
      </c>
      <c r="AL71" s="26">
        <f>IF($A71="","",IF(AND($AD71&gt;='01_Settings'!$B$9,$V71&lt;='01_Settings'!$B$10,$W71&lt;='01_Settings'!$B$11),"On track","Off track"))</f>
        <v/>
      </c>
      <c r="AM71" s="42">
        <f>IF($A71="","",IF($AD71&lt;'01_Settings'!$B$9,"Low completion rate; ","")&amp;IF($AE71&gt;'01_Settings'!$B$12,"High overdue rate; ","")&amp;IF($U71&lt;'01_Settings'!$B$13,"Low satisfaction; ","")&amp;IF($AH71&lt;'01_Settings'!$B$14,"Low gross margin; ","")&amp;IF($AJ71&lt;'01_Settings'!$B$15,"Low conversion rate; ","")&amp;IF($AK71&gt;'01_Settings'!$B$16,"High complaint rate; ",""))</f>
        <v/>
      </c>
    </row>
    <row r="72" ht="18" customHeight="1">
      <c r="A72" s="86" t="n">
        <v>46107</v>
      </c>
      <c r="B72" s="26" t="inlineStr">
        <is>
          <t>North Operations Center</t>
        </is>
      </c>
      <c r="C72" s="26" t="inlineStr">
        <is>
          <t>Field Services</t>
        </is>
      </c>
      <c r="D72" s="26" t="inlineStr">
        <is>
          <t>Membership Program</t>
        </is>
      </c>
      <c r="E72" s="26" t="inlineStr">
        <is>
          <t>Retail store</t>
        </is>
      </c>
      <c r="F72" s="26" t="inlineStr">
        <is>
          <t>Southeast</t>
        </is>
      </c>
      <c r="G72" s="26" t="inlineStr">
        <is>
          <t>Southeast Team</t>
        </is>
      </c>
      <c r="H72" s="26" t="inlineStr">
        <is>
          <t>Michael Brown</t>
        </is>
      </c>
      <c r="I72" s="26" t="inlineStr">
        <is>
          <t>Existing customer</t>
        </is>
      </c>
      <c r="J72" s="87" t="n">
        <v>84</v>
      </c>
      <c r="K72" s="87" t="n">
        <v>78</v>
      </c>
      <c r="L72" s="87" t="n">
        <v>6</v>
      </c>
      <c r="M72" s="87" t="n">
        <v>3</v>
      </c>
      <c r="N72" s="88" t="n">
        <v>23443</v>
      </c>
      <c r="O72" s="88" t="n">
        <v>14998</v>
      </c>
      <c r="P72" s="89" t="n">
        <v>4.5</v>
      </c>
      <c r="Q72" s="87" t="n">
        <v>299</v>
      </c>
      <c r="R72" s="87" t="n">
        <v>1785</v>
      </c>
      <c r="S72" s="87" t="n">
        <v>245</v>
      </c>
      <c r="T72" s="87" t="n">
        <v>1</v>
      </c>
      <c r="U72" s="89" t="n">
        <v>4.6</v>
      </c>
      <c r="V72" s="89" t="n">
        <v>3.3</v>
      </c>
      <c r="W72" s="89" t="n">
        <v>27.5</v>
      </c>
      <c r="X72" s="87" t="n">
        <v>166</v>
      </c>
      <c r="Y72" s="87" t="n">
        <v>75</v>
      </c>
      <c r="Z72" s="88" t="n">
        <v>23669</v>
      </c>
      <c r="AA72" s="26" t="n"/>
      <c r="AB72" s="86">
        <f>IF($A72="","",$A72-WEEKDAY($A72,2)+1)</f>
        <v/>
      </c>
      <c r="AC72" s="86">
        <f>IF($A72="","",DATE(YEAR($A72),MONTH($A72),1))</f>
        <v/>
      </c>
      <c r="AD72" s="90">
        <f>IF($A72="","",IFERROR($K72/$J72,0))</f>
        <v/>
      </c>
      <c r="AE72" s="90">
        <f>IF($A72="","",IFERROR($L72/$J72,0))</f>
        <v/>
      </c>
      <c r="AF72" s="90">
        <f>IF($A72="","",IFERROR($M72/$J72,0))</f>
        <v/>
      </c>
      <c r="AG72" s="88">
        <f>IF($A72="","",$N72-$O72)</f>
        <v/>
      </c>
      <c r="AH72" s="90">
        <f>IF($A72="","",IFERROR($AG72/$N72,0))</f>
        <v/>
      </c>
      <c r="AI72" s="89">
        <f>IF($A72="","",IFERROR($K72/$P72,0))</f>
        <v/>
      </c>
      <c r="AJ72" s="90">
        <f>IF($A72="","",IFERROR($S72/$R72,0))</f>
        <v/>
      </c>
      <c r="AK72" s="90">
        <f>IF($A72="","",IFERROR($T72/$J72,0))</f>
        <v/>
      </c>
      <c r="AL72" s="26">
        <f>IF($A72="","",IF(AND($AD72&gt;='01_Settings'!$B$9,$V72&lt;='01_Settings'!$B$10,$W72&lt;='01_Settings'!$B$11),"On track","Off track"))</f>
        <v/>
      </c>
      <c r="AM72" s="42">
        <f>IF($A72="","",IF($AD72&lt;'01_Settings'!$B$9,"Low completion rate; ","")&amp;IF($AE72&gt;'01_Settings'!$B$12,"High overdue rate; ","")&amp;IF($U72&lt;'01_Settings'!$B$13,"Low satisfaction; ","")&amp;IF($AH72&lt;'01_Settings'!$B$14,"Low gross margin; ","")&amp;IF($AJ72&lt;'01_Settings'!$B$15,"Low conversion rate; ","")&amp;IF($AK72&gt;'01_Settings'!$B$16,"High complaint rate; ",""))</f>
        <v/>
      </c>
    </row>
    <row r="73" ht="18" customHeight="1">
      <c r="A73" s="86" t="n">
        <v>46107</v>
      </c>
      <c r="B73" s="26" t="inlineStr">
        <is>
          <t>Digital Business Unit</t>
        </is>
      </c>
      <c r="C73" s="26" t="inlineStr">
        <is>
          <t>Sales Operations</t>
        </is>
      </c>
      <c r="D73" s="26" t="inlineStr">
        <is>
          <t>Membership Program</t>
        </is>
      </c>
      <c r="E73" s="26" t="inlineStr">
        <is>
          <t>Online</t>
        </is>
      </c>
      <c r="F73" s="26" t="inlineStr">
        <is>
          <t>Southeast</t>
        </is>
      </c>
      <c r="G73" s="26" t="inlineStr">
        <is>
          <t>Southeast Team</t>
        </is>
      </c>
      <c r="H73" s="26" t="inlineStr">
        <is>
          <t>Matthew Anderson</t>
        </is>
      </c>
      <c r="I73" s="26" t="inlineStr">
        <is>
          <t>Enterprise customers</t>
        </is>
      </c>
      <c r="J73" s="87" t="n">
        <v>72</v>
      </c>
      <c r="K73" s="87" t="n">
        <v>59</v>
      </c>
      <c r="L73" s="87" t="n">
        <v>2</v>
      </c>
      <c r="M73" s="87" t="n">
        <v>0</v>
      </c>
      <c r="N73" s="88" t="n">
        <v>21241</v>
      </c>
      <c r="O73" s="88" t="n">
        <v>14638</v>
      </c>
      <c r="P73" s="89" t="n">
        <v>12.9</v>
      </c>
      <c r="Q73" s="87" t="n">
        <v>298</v>
      </c>
      <c r="R73" s="87" t="n">
        <v>2337</v>
      </c>
      <c r="S73" s="87" t="n">
        <v>164</v>
      </c>
      <c r="T73" s="87" t="n">
        <v>2</v>
      </c>
      <c r="U73" s="89" t="n">
        <v>4</v>
      </c>
      <c r="V73" s="89" t="n">
        <v>2.8</v>
      </c>
      <c r="W73" s="89" t="n">
        <v>29.9</v>
      </c>
      <c r="X73" s="87" t="n">
        <v>172</v>
      </c>
      <c r="Y73" s="87" t="n">
        <v>64</v>
      </c>
      <c r="Z73" s="88" t="n">
        <v>24193</v>
      </c>
      <c r="AA73" s="26" t="n"/>
      <c r="AB73" s="86">
        <f>IF($A73="","",$A73-WEEKDAY($A73,2)+1)</f>
        <v/>
      </c>
      <c r="AC73" s="86">
        <f>IF($A73="","",DATE(YEAR($A73),MONTH($A73),1))</f>
        <v/>
      </c>
      <c r="AD73" s="90">
        <f>IF($A73="","",IFERROR($K73/$J73,0))</f>
        <v/>
      </c>
      <c r="AE73" s="90">
        <f>IF($A73="","",IFERROR($L73/$J73,0))</f>
        <v/>
      </c>
      <c r="AF73" s="90">
        <f>IF($A73="","",IFERROR($M73/$J73,0))</f>
        <v/>
      </c>
      <c r="AG73" s="88">
        <f>IF($A73="","",$N73-$O73)</f>
        <v/>
      </c>
      <c r="AH73" s="90">
        <f>IF($A73="","",IFERROR($AG73/$N73,0))</f>
        <v/>
      </c>
      <c r="AI73" s="89">
        <f>IF($A73="","",IFERROR($K73/$P73,0))</f>
        <v/>
      </c>
      <c r="AJ73" s="90">
        <f>IF($A73="","",IFERROR($S73/$R73,0))</f>
        <v/>
      </c>
      <c r="AK73" s="90">
        <f>IF($A73="","",IFERROR($T73/$J73,0))</f>
        <v/>
      </c>
      <c r="AL73" s="26">
        <f>IF($A73="","",IF(AND($AD73&gt;='01_Settings'!$B$9,$V73&lt;='01_Settings'!$B$10,$W73&lt;='01_Settings'!$B$11),"On track","Off track"))</f>
        <v/>
      </c>
      <c r="AM73" s="42">
        <f>IF($A73="","",IF($AD73&lt;'01_Settings'!$B$9,"Low completion rate; ","")&amp;IF($AE73&gt;'01_Settings'!$B$12,"High overdue rate; ","")&amp;IF($U73&lt;'01_Settings'!$B$13,"Low satisfaction; ","")&amp;IF($AH73&lt;'01_Settings'!$B$14,"Low gross margin; ","")&amp;IF($AJ73&lt;'01_Settings'!$B$15,"Low conversion rate; ","")&amp;IF($AK73&gt;'01_Settings'!$B$16,"High complaint rate; ",""))</f>
        <v/>
      </c>
    </row>
    <row r="74" ht="18" customHeight="1">
      <c r="A74" s="86" t="n">
        <v>46108</v>
      </c>
      <c r="B74" s="26" t="inlineStr">
        <is>
          <t>Digital Business Unit</t>
        </is>
      </c>
      <c r="C74" s="26" t="inlineStr">
        <is>
          <t>Sales Operations</t>
        </is>
      </c>
      <c r="D74" s="26" t="inlineStr">
        <is>
          <t>Enterprise customers</t>
        </is>
      </c>
      <c r="E74" s="26" t="inlineStr">
        <is>
          <t>Distributor</t>
        </is>
      </c>
      <c r="F74" s="26" t="inlineStr">
        <is>
          <t>Midwest</t>
        </is>
      </c>
      <c r="G74" s="26" t="inlineStr">
        <is>
          <t>Midwest Team</t>
        </is>
      </c>
      <c r="H74" s="26" t="inlineStr">
        <is>
          <t>Matthew Anderson</t>
        </is>
      </c>
      <c r="I74" s="26" t="inlineStr">
        <is>
          <t>Enterprise customers</t>
        </is>
      </c>
      <c r="J74" s="87" t="n">
        <v>263</v>
      </c>
      <c r="K74" s="87" t="n">
        <v>256</v>
      </c>
      <c r="L74" s="87" t="n">
        <v>18</v>
      </c>
      <c r="M74" s="87" t="n">
        <v>6</v>
      </c>
      <c r="N74" s="88" t="n">
        <v>91467</v>
      </c>
      <c r="O74" s="88" t="n">
        <v>63131</v>
      </c>
      <c r="P74" s="89" t="n">
        <v>47.7</v>
      </c>
      <c r="Q74" s="87" t="n">
        <v>392</v>
      </c>
      <c r="R74" s="87" t="n">
        <v>2230</v>
      </c>
      <c r="S74" s="87" t="n">
        <v>110</v>
      </c>
      <c r="T74" s="87" t="n">
        <v>7</v>
      </c>
      <c r="U74" s="89" t="n">
        <v>4.6</v>
      </c>
      <c r="V74" s="89" t="n">
        <v>3.7</v>
      </c>
      <c r="W74" s="89" t="n">
        <v>17</v>
      </c>
      <c r="X74" s="87" t="n">
        <v>25</v>
      </c>
      <c r="Y74" s="87" t="n">
        <v>236</v>
      </c>
      <c r="Z74" s="88" t="n">
        <v>88537</v>
      </c>
      <c r="AA74" s="26" t="n"/>
      <c r="AB74" s="86">
        <f>IF($A74="","",$A74-WEEKDAY($A74,2)+1)</f>
        <v/>
      </c>
      <c r="AC74" s="86">
        <f>IF($A74="","",DATE(YEAR($A74),MONTH($A74),1))</f>
        <v/>
      </c>
      <c r="AD74" s="90">
        <f>IF($A74="","",IFERROR($K74/$J74,0))</f>
        <v/>
      </c>
      <c r="AE74" s="90">
        <f>IF($A74="","",IFERROR($L74/$J74,0))</f>
        <v/>
      </c>
      <c r="AF74" s="90">
        <f>IF($A74="","",IFERROR($M74/$J74,0))</f>
        <v/>
      </c>
      <c r="AG74" s="88">
        <f>IF($A74="","",$N74-$O74)</f>
        <v/>
      </c>
      <c r="AH74" s="90">
        <f>IF($A74="","",IFERROR($AG74/$N74,0))</f>
        <v/>
      </c>
      <c r="AI74" s="89">
        <f>IF($A74="","",IFERROR($K74/$P74,0))</f>
        <v/>
      </c>
      <c r="AJ74" s="90">
        <f>IF($A74="","",IFERROR($S74/$R74,0))</f>
        <v/>
      </c>
      <c r="AK74" s="90">
        <f>IF($A74="","",IFERROR($T74/$J74,0))</f>
        <v/>
      </c>
      <c r="AL74" s="26">
        <f>IF($A74="","",IF(AND($AD74&gt;='01_Settings'!$B$9,$V74&lt;='01_Settings'!$B$10,$W74&lt;='01_Settings'!$B$11),"On track","Off track"))</f>
        <v/>
      </c>
      <c r="AM74" s="42">
        <f>IF($A74="","",IF($AD74&lt;'01_Settings'!$B$9,"Low completion rate; ","")&amp;IF($AE74&gt;'01_Settings'!$B$12,"High overdue rate; ","")&amp;IF($U74&lt;'01_Settings'!$B$13,"Low satisfaction; ","")&amp;IF($AH74&lt;'01_Settings'!$B$14,"Low gross margin; ","")&amp;IF($AJ74&lt;'01_Settings'!$B$15,"Low conversion rate; ","")&amp;IF($AK74&gt;'01_Settings'!$B$16,"High complaint rate; ",""))</f>
        <v/>
      </c>
    </row>
    <row r="75" ht="18" customHeight="1">
      <c r="A75" s="86" t="n">
        <v>46108</v>
      </c>
      <c r="B75" s="26" t="inlineStr">
        <is>
          <t>Digital Business Unit</t>
        </is>
      </c>
      <c r="C75" s="26" t="inlineStr">
        <is>
          <t>Growth Marketing</t>
        </is>
      </c>
      <c r="D75" s="26" t="inlineStr">
        <is>
          <t>Premium Service</t>
        </is>
      </c>
      <c r="E75" s="26" t="inlineStr">
        <is>
          <t>Marketplace store</t>
        </is>
      </c>
      <c r="F75" s="26" t="inlineStr">
        <is>
          <t>Southwest</t>
        </is>
      </c>
      <c r="G75" s="26" t="inlineStr">
        <is>
          <t>Southwest Team</t>
        </is>
      </c>
      <c r="H75" s="26" t="inlineStr">
        <is>
          <t>Michael Brown</t>
        </is>
      </c>
      <c r="I75" s="26" t="inlineStr">
        <is>
          <t>Standard customer</t>
        </is>
      </c>
      <c r="J75" s="87" t="n">
        <v>196</v>
      </c>
      <c r="K75" s="87" t="n">
        <v>171</v>
      </c>
      <c r="L75" s="87" t="n">
        <v>4</v>
      </c>
      <c r="M75" s="87" t="n">
        <v>8</v>
      </c>
      <c r="N75" s="88" t="n">
        <v>31766</v>
      </c>
      <c r="O75" s="88" t="n">
        <v>26032</v>
      </c>
      <c r="P75" s="89" t="n">
        <v>16.5</v>
      </c>
      <c r="Q75" s="87" t="n">
        <v>49</v>
      </c>
      <c r="R75" s="87" t="n">
        <v>456</v>
      </c>
      <c r="S75" s="87" t="n">
        <v>54</v>
      </c>
      <c r="T75" s="87" t="n">
        <v>4</v>
      </c>
      <c r="U75" s="89" t="n">
        <v>4.3</v>
      </c>
      <c r="V75" s="89" t="n">
        <v>4.7</v>
      </c>
      <c r="W75" s="89" t="n">
        <v>12.5</v>
      </c>
      <c r="X75" s="87" t="n">
        <v>12</v>
      </c>
      <c r="Y75" s="87" t="n">
        <v>176</v>
      </c>
      <c r="Z75" s="88" t="n">
        <v>34330</v>
      </c>
      <c r="AA75" s="26" t="n"/>
      <c r="AB75" s="86">
        <f>IF($A75="","",$A75-WEEKDAY($A75,2)+1)</f>
        <v/>
      </c>
      <c r="AC75" s="86">
        <f>IF($A75="","",DATE(YEAR($A75),MONTH($A75),1))</f>
        <v/>
      </c>
      <c r="AD75" s="90">
        <f>IF($A75="","",IFERROR($K75/$J75,0))</f>
        <v/>
      </c>
      <c r="AE75" s="90">
        <f>IF($A75="","",IFERROR($L75/$J75,0))</f>
        <v/>
      </c>
      <c r="AF75" s="90">
        <f>IF($A75="","",IFERROR($M75/$J75,0))</f>
        <v/>
      </c>
      <c r="AG75" s="88">
        <f>IF($A75="","",$N75-$O75)</f>
        <v/>
      </c>
      <c r="AH75" s="90">
        <f>IF($A75="","",IFERROR($AG75/$N75,0))</f>
        <v/>
      </c>
      <c r="AI75" s="89">
        <f>IF($A75="","",IFERROR($K75/$P75,0))</f>
        <v/>
      </c>
      <c r="AJ75" s="90">
        <f>IF($A75="","",IFERROR($S75/$R75,0))</f>
        <v/>
      </c>
      <c r="AK75" s="90">
        <f>IF($A75="","",IFERROR($T75/$J75,0))</f>
        <v/>
      </c>
      <c r="AL75" s="26">
        <f>IF($A75="","",IF(AND($AD75&gt;='01_Settings'!$B$9,$V75&lt;='01_Settings'!$B$10,$W75&lt;='01_Settings'!$B$11),"On track","Off track"))</f>
        <v/>
      </c>
      <c r="AM75" s="42">
        <f>IF($A75="","",IF($AD75&lt;'01_Settings'!$B$9,"Low completion rate; ","")&amp;IF($AE75&gt;'01_Settings'!$B$12,"High overdue rate; ","")&amp;IF($U75&lt;'01_Settings'!$B$13,"Low satisfaction; ","")&amp;IF($AH75&lt;'01_Settings'!$B$14,"Low gross margin; ","")&amp;IF($AJ75&lt;'01_Settings'!$B$15,"Low conversion rate; ","")&amp;IF($AK75&gt;'01_Settings'!$B$16,"High complaint rate; ",""))</f>
        <v/>
      </c>
    </row>
    <row r="76" ht="18" customHeight="1">
      <c r="A76" s="86" t="n">
        <v>46108</v>
      </c>
      <c r="B76" s="26" t="inlineStr">
        <is>
          <t>East Coast Division</t>
        </is>
      </c>
      <c r="C76" s="26" t="inlineStr">
        <is>
          <t>E-commerce Operations</t>
        </is>
      </c>
      <c r="D76" s="26" t="inlineStr">
        <is>
          <t>Standard Service</t>
        </is>
      </c>
      <c r="E76" s="26" t="inlineStr">
        <is>
          <t>Phone</t>
        </is>
      </c>
      <c r="F76" s="26" t="inlineStr">
        <is>
          <t>Southeast</t>
        </is>
      </c>
      <c r="G76" s="26" t="inlineStr">
        <is>
          <t>Southeast Team</t>
        </is>
      </c>
      <c r="H76" s="26" t="inlineStr">
        <is>
          <t>Sarah Johnson</t>
        </is>
      </c>
      <c r="I76" s="26" t="inlineStr">
        <is>
          <t>New customer</t>
        </is>
      </c>
      <c r="J76" s="87" t="n">
        <v>264</v>
      </c>
      <c r="K76" s="87" t="n">
        <v>249</v>
      </c>
      <c r="L76" s="87" t="n">
        <v>14</v>
      </c>
      <c r="M76" s="87" t="n">
        <v>5</v>
      </c>
      <c r="N76" s="88" t="n">
        <v>62293</v>
      </c>
      <c r="O76" s="88" t="n">
        <v>44438</v>
      </c>
      <c r="P76" s="89" t="n">
        <v>41.2</v>
      </c>
      <c r="Q76" s="87" t="n">
        <v>209</v>
      </c>
      <c r="R76" s="87" t="n">
        <v>1832</v>
      </c>
      <c r="S76" s="87" t="n">
        <v>170</v>
      </c>
      <c r="T76" s="87" t="n">
        <v>2</v>
      </c>
      <c r="U76" s="89" t="n">
        <v>3.9</v>
      </c>
      <c r="V76" s="89" t="n">
        <v>2.8</v>
      </c>
      <c r="W76" s="89" t="n">
        <v>16.8</v>
      </c>
      <c r="X76" s="87" t="n">
        <v>76</v>
      </c>
      <c r="Y76" s="87" t="n">
        <v>237</v>
      </c>
      <c r="Z76" s="88" t="n">
        <v>62256</v>
      </c>
      <c r="AA76" s="26" t="n"/>
      <c r="AB76" s="86">
        <f>IF($A76="","",$A76-WEEKDAY($A76,2)+1)</f>
        <v/>
      </c>
      <c r="AC76" s="86">
        <f>IF($A76="","",DATE(YEAR($A76),MONTH($A76),1))</f>
        <v/>
      </c>
      <c r="AD76" s="90">
        <f>IF($A76="","",IFERROR($K76/$J76,0))</f>
        <v/>
      </c>
      <c r="AE76" s="90">
        <f>IF($A76="","",IFERROR($L76/$J76,0))</f>
        <v/>
      </c>
      <c r="AF76" s="90">
        <f>IF($A76="","",IFERROR($M76/$J76,0))</f>
        <v/>
      </c>
      <c r="AG76" s="88">
        <f>IF($A76="","",$N76-$O76)</f>
        <v/>
      </c>
      <c r="AH76" s="90">
        <f>IF($A76="","",IFERROR($AG76/$N76,0))</f>
        <v/>
      </c>
      <c r="AI76" s="89">
        <f>IF($A76="","",IFERROR($K76/$P76,0))</f>
        <v/>
      </c>
      <c r="AJ76" s="90">
        <f>IF($A76="","",IFERROR($S76/$R76,0))</f>
        <v/>
      </c>
      <c r="AK76" s="90">
        <f>IF($A76="","",IFERROR($T76/$J76,0))</f>
        <v/>
      </c>
      <c r="AL76" s="26">
        <f>IF($A76="","",IF(AND($AD76&gt;='01_Settings'!$B$9,$V76&lt;='01_Settings'!$B$10,$W76&lt;='01_Settings'!$B$11),"On track","Off track"))</f>
        <v/>
      </c>
      <c r="AM76" s="42">
        <f>IF($A76="","",IF($AD76&lt;'01_Settings'!$B$9,"Low completion rate; ","")&amp;IF($AE76&gt;'01_Settings'!$B$12,"High overdue rate; ","")&amp;IF($U76&lt;'01_Settings'!$B$13,"Low satisfaction; ","")&amp;IF($AH76&lt;'01_Settings'!$B$14,"Low gross margin; ","")&amp;IF($AJ76&lt;'01_Settings'!$B$15,"Low conversion rate; ","")&amp;IF($AK76&gt;'01_Settings'!$B$16,"High complaint rate; ",""))</f>
        <v/>
      </c>
    </row>
    <row r="77" ht="18" customHeight="1">
      <c r="A77" s="86" t="n">
        <v>46109</v>
      </c>
      <c r="B77" s="26" t="inlineStr">
        <is>
          <t>Digital Business Unit</t>
        </is>
      </c>
      <c r="C77" s="26" t="inlineStr">
        <is>
          <t>Customer Support Operations</t>
        </is>
      </c>
      <c r="D77" s="26" t="inlineStr">
        <is>
          <t>Membership Program</t>
        </is>
      </c>
      <c r="E77" s="26" t="inlineStr">
        <is>
          <t>Retail store</t>
        </is>
      </c>
      <c r="F77" s="26" t="inlineStr">
        <is>
          <t>Midwest</t>
        </is>
      </c>
      <c r="G77" s="26" t="inlineStr">
        <is>
          <t>Midwest Team</t>
        </is>
      </c>
      <c r="H77" s="26" t="inlineStr">
        <is>
          <t>Matthew Anderson</t>
        </is>
      </c>
      <c r="I77" s="26" t="inlineStr">
        <is>
          <t>New customer</t>
        </is>
      </c>
      <c r="J77" s="87" t="n">
        <v>212</v>
      </c>
      <c r="K77" s="87" t="n">
        <v>197</v>
      </c>
      <c r="L77" s="87" t="n">
        <v>8</v>
      </c>
      <c r="M77" s="87" t="n">
        <v>6</v>
      </c>
      <c r="N77" s="88" t="n">
        <v>56774</v>
      </c>
      <c r="O77" s="88" t="n">
        <v>46534</v>
      </c>
      <c r="P77" s="89" t="n">
        <v>16.6</v>
      </c>
      <c r="Q77" s="87" t="n">
        <v>89</v>
      </c>
      <c r="R77" s="87" t="n">
        <v>492</v>
      </c>
      <c r="S77" s="87" t="n">
        <v>46</v>
      </c>
      <c r="T77" s="87" t="n">
        <v>8</v>
      </c>
      <c r="U77" s="89" t="n">
        <v>4.2</v>
      </c>
      <c r="V77" s="89" t="n">
        <v>1.4</v>
      </c>
      <c r="W77" s="89" t="n">
        <v>27.1</v>
      </c>
      <c r="X77" s="87" t="n">
        <v>86</v>
      </c>
      <c r="Y77" s="87" t="n">
        <v>190</v>
      </c>
      <c r="Z77" s="88" t="n">
        <v>57495</v>
      </c>
      <c r="AA77" s="26" t="n"/>
      <c r="AB77" s="86">
        <f>IF($A77="","",$A77-WEEKDAY($A77,2)+1)</f>
        <v/>
      </c>
      <c r="AC77" s="86">
        <f>IF($A77="","",DATE(YEAR($A77),MONTH($A77),1))</f>
        <v/>
      </c>
      <c r="AD77" s="90">
        <f>IF($A77="","",IFERROR($K77/$J77,0))</f>
        <v/>
      </c>
      <c r="AE77" s="90">
        <f>IF($A77="","",IFERROR($L77/$J77,0))</f>
        <v/>
      </c>
      <c r="AF77" s="90">
        <f>IF($A77="","",IFERROR($M77/$J77,0))</f>
        <v/>
      </c>
      <c r="AG77" s="88">
        <f>IF($A77="","",$N77-$O77)</f>
        <v/>
      </c>
      <c r="AH77" s="90">
        <f>IF($A77="","",IFERROR($AG77/$N77,0))</f>
        <v/>
      </c>
      <c r="AI77" s="89">
        <f>IF($A77="","",IFERROR($K77/$P77,0))</f>
        <v/>
      </c>
      <c r="AJ77" s="90">
        <f>IF($A77="","",IFERROR($S77/$R77,0))</f>
        <v/>
      </c>
      <c r="AK77" s="90">
        <f>IF($A77="","",IFERROR($T77/$J77,0))</f>
        <v/>
      </c>
      <c r="AL77" s="26">
        <f>IF($A77="","",IF(AND($AD77&gt;='01_Settings'!$B$9,$V77&lt;='01_Settings'!$B$10,$W77&lt;='01_Settings'!$B$11),"On track","Off track"))</f>
        <v/>
      </c>
      <c r="AM77" s="42">
        <f>IF($A77="","",IF($AD77&lt;'01_Settings'!$B$9,"Low completion rate; ","")&amp;IF($AE77&gt;'01_Settings'!$B$12,"High overdue rate; ","")&amp;IF($U77&lt;'01_Settings'!$B$13,"Low satisfaction; ","")&amp;IF($AH77&lt;'01_Settings'!$B$14,"Low gross margin; ","")&amp;IF($AJ77&lt;'01_Settings'!$B$15,"Low conversion rate; ","")&amp;IF($AK77&gt;'01_Settings'!$B$16,"High complaint rate; ",""))</f>
        <v/>
      </c>
    </row>
    <row r="78" ht="18" customHeight="1">
      <c r="A78" s="86" t="n">
        <v>46109</v>
      </c>
      <c r="B78" s="26" t="inlineStr">
        <is>
          <t>Southeast Division</t>
        </is>
      </c>
      <c r="C78" s="26" t="inlineStr">
        <is>
          <t>Field Services</t>
        </is>
      </c>
      <c r="D78" s="26" t="inlineStr">
        <is>
          <t>Membership Program</t>
        </is>
      </c>
      <c r="E78" s="26" t="inlineStr">
        <is>
          <t>Phone</t>
        </is>
      </c>
      <c r="F78" s="26" t="inlineStr">
        <is>
          <t>International</t>
        </is>
      </c>
      <c r="G78" s="26" t="inlineStr">
        <is>
          <t>International Team</t>
        </is>
      </c>
      <c r="H78" s="26" t="inlineStr">
        <is>
          <t>Jessica Taylor</t>
        </is>
      </c>
      <c r="I78" s="26" t="inlineStr">
        <is>
          <t>Standard customer</t>
        </is>
      </c>
      <c r="J78" s="87" t="n">
        <v>156</v>
      </c>
      <c r="K78" s="87" t="n">
        <v>133</v>
      </c>
      <c r="L78" s="87" t="n">
        <v>18</v>
      </c>
      <c r="M78" s="87" t="n">
        <v>6</v>
      </c>
      <c r="N78" s="88" t="n">
        <v>20086</v>
      </c>
      <c r="O78" s="88" t="n">
        <v>13726</v>
      </c>
      <c r="P78" s="89" t="n">
        <v>14.8</v>
      </c>
      <c r="Q78" s="87" t="n">
        <v>313</v>
      </c>
      <c r="R78" s="87" t="n">
        <v>1924</v>
      </c>
      <c r="S78" s="87" t="n">
        <v>184</v>
      </c>
      <c r="T78" s="87" t="n">
        <v>6</v>
      </c>
      <c r="U78" s="89" t="n">
        <v>3.9</v>
      </c>
      <c r="V78" s="89" t="n">
        <v>5.4</v>
      </c>
      <c r="W78" s="89" t="n">
        <v>9.800000000000001</v>
      </c>
      <c r="X78" s="87" t="n">
        <v>106</v>
      </c>
      <c r="Y78" s="87" t="n">
        <v>140</v>
      </c>
      <c r="Z78" s="88" t="n">
        <v>22200</v>
      </c>
      <c r="AA78" s="26" t="n"/>
      <c r="AB78" s="86">
        <f>IF($A78="","",$A78-WEEKDAY($A78,2)+1)</f>
        <v/>
      </c>
      <c r="AC78" s="86">
        <f>IF($A78="","",DATE(YEAR($A78),MONTH($A78),1))</f>
        <v/>
      </c>
      <c r="AD78" s="90">
        <f>IF($A78="","",IFERROR($K78/$J78,0))</f>
        <v/>
      </c>
      <c r="AE78" s="90">
        <f>IF($A78="","",IFERROR($L78/$J78,0))</f>
        <v/>
      </c>
      <c r="AF78" s="90">
        <f>IF($A78="","",IFERROR($M78/$J78,0))</f>
        <v/>
      </c>
      <c r="AG78" s="88">
        <f>IF($A78="","",$N78-$O78)</f>
        <v/>
      </c>
      <c r="AH78" s="90">
        <f>IF($A78="","",IFERROR($AG78/$N78,0))</f>
        <v/>
      </c>
      <c r="AI78" s="89">
        <f>IF($A78="","",IFERROR($K78/$P78,0))</f>
        <v/>
      </c>
      <c r="AJ78" s="90">
        <f>IF($A78="","",IFERROR($S78/$R78,0))</f>
        <v/>
      </c>
      <c r="AK78" s="90">
        <f>IF($A78="","",IFERROR($T78/$J78,0))</f>
        <v/>
      </c>
      <c r="AL78" s="26">
        <f>IF($A78="","",IF(AND($AD78&gt;='01_Settings'!$B$9,$V78&lt;='01_Settings'!$B$10,$W78&lt;='01_Settings'!$B$11),"On track","Off track"))</f>
        <v/>
      </c>
      <c r="AM78" s="42">
        <f>IF($A78="","",IF($AD78&lt;'01_Settings'!$B$9,"Low completion rate; ","")&amp;IF($AE78&gt;'01_Settings'!$B$12,"High overdue rate; ","")&amp;IF($U78&lt;'01_Settings'!$B$13,"Low satisfaction; ","")&amp;IF($AH78&lt;'01_Settings'!$B$14,"Low gross margin; ","")&amp;IF($AJ78&lt;'01_Settings'!$B$15,"Low conversion rate; ","")&amp;IF($AK78&gt;'01_Settings'!$B$16,"High complaint rate; ",""))</f>
        <v/>
      </c>
    </row>
    <row r="79" ht="18" customHeight="1">
      <c r="A79" s="86" t="n">
        <v>46109</v>
      </c>
      <c r="B79" s="26" t="inlineStr">
        <is>
          <t>Digital Business Unit</t>
        </is>
      </c>
      <c r="C79" s="26" t="inlineStr">
        <is>
          <t>Sales Operations</t>
        </is>
      </c>
      <c r="D79" s="26" t="inlineStr">
        <is>
          <t>Premium Service</t>
        </is>
      </c>
      <c r="E79" s="26" t="inlineStr">
        <is>
          <t>Retail store</t>
        </is>
      </c>
      <c r="F79" s="26" t="inlineStr">
        <is>
          <t>Midwest</t>
        </is>
      </c>
      <c r="G79" s="26" t="inlineStr">
        <is>
          <t>Midwest Team</t>
        </is>
      </c>
      <c r="H79" s="26" t="inlineStr">
        <is>
          <t>Michael Brown</t>
        </is>
      </c>
      <c r="I79" s="26" t="inlineStr">
        <is>
          <t>Enterprise customers</t>
        </is>
      </c>
      <c r="J79" s="87" t="n">
        <v>250</v>
      </c>
      <c r="K79" s="87" t="n">
        <v>230</v>
      </c>
      <c r="L79" s="87" t="n">
        <v>16</v>
      </c>
      <c r="M79" s="87" t="n">
        <v>8</v>
      </c>
      <c r="N79" s="88" t="n">
        <v>42172</v>
      </c>
      <c r="O79" s="88" t="n">
        <v>33191</v>
      </c>
      <c r="P79" s="89" t="n">
        <v>42</v>
      </c>
      <c r="Q79" s="87" t="n">
        <v>347</v>
      </c>
      <c r="R79" s="87" t="n">
        <v>1192</v>
      </c>
      <c r="S79" s="87" t="n">
        <v>157</v>
      </c>
      <c r="T79" s="87" t="n">
        <v>2</v>
      </c>
      <c r="U79" s="89" t="n">
        <v>4.3</v>
      </c>
      <c r="V79" s="89" t="n">
        <v>5.3</v>
      </c>
      <c r="W79" s="89" t="n">
        <v>31.3</v>
      </c>
      <c r="X79" s="87" t="n">
        <v>137</v>
      </c>
      <c r="Y79" s="87" t="n">
        <v>225</v>
      </c>
      <c r="Z79" s="88" t="n">
        <v>43317</v>
      </c>
      <c r="AA79" s="26" t="n"/>
      <c r="AB79" s="86">
        <f>IF($A79="","",$A79-WEEKDAY($A79,2)+1)</f>
        <v/>
      </c>
      <c r="AC79" s="86">
        <f>IF($A79="","",DATE(YEAR($A79),MONTH($A79),1))</f>
        <v/>
      </c>
      <c r="AD79" s="90">
        <f>IF($A79="","",IFERROR($K79/$J79,0))</f>
        <v/>
      </c>
      <c r="AE79" s="90">
        <f>IF($A79="","",IFERROR($L79/$J79,0))</f>
        <v/>
      </c>
      <c r="AF79" s="90">
        <f>IF($A79="","",IFERROR($M79/$J79,0))</f>
        <v/>
      </c>
      <c r="AG79" s="88">
        <f>IF($A79="","",$N79-$O79)</f>
        <v/>
      </c>
      <c r="AH79" s="90">
        <f>IF($A79="","",IFERROR($AG79/$N79,0))</f>
        <v/>
      </c>
      <c r="AI79" s="89">
        <f>IF($A79="","",IFERROR($K79/$P79,0))</f>
        <v/>
      </c>
      <c r="AJ79" s="90">
        <f>IF($A79="","",IFERROR($S79/$R79,0))</f>
        <v/>
      </c>
      <c r="AK79" s="90">
        <f>IF($A79="","",IFERROR($T79/$J79,0))</f>
        <v/>
      </c>
      <c r="AL79" s="26">
        <f>IF($A79="","",IF(AND($AD79&gt;='01_Settings'!$B$9,$V79&lt;='01_Settings'!$B$10,$W79&lt;='01_Settings'!$B$11),"On track","Off track"))</f>
        <v/>
      </c>
      <c r="AM79" s="42">
        <f>IF($A79="","",IF($AD79&lt;'01_Settings'!$B$9,"Low completion rate; ","")&amp;IF($AE79&gt;'01_Settings'!$B$12,"High overdue rate; ","")&amp;IF($U79&lt;'01_Settings'!$B$13,"Low satisfaction; ","")&amp;IF($AH79&lt;'01_Settings'!$B$14,"Low gross margin; ","")&amp;IF($AJ79&lt;'01_Settings'!$B$15,"Low conversion rate; ","")&amp;IF($AK79&gt;'01_Settings'!$B$16,"High complaint rate; ",""))</f>
        <v/>
      </c>
    </row>
    <row r="80" ht="18" customHeight="1">
      <c r="A80" s="86" t="n">
        <v>46110</v>
      </c>
      <c r="B80" s="26" t="inlineStr">
        <is>
          <t>North Operations Center</t>
        </is>
      </c>
      <c r="C80" s="26" t="inlineStr">
        <is>
          <t>E-commerce Operations</t>
        </is>
      </c>
      <c r="D80" s="26" t="inlineStr">
        <is>
          <t>Standard Service</t>
        </is>
      </c>
      <c r="E80" s="26" t="inlineStr">
        <is>
          <t>Team chat</t>
        </is>
      </c>
      <c r="F80" s="26" t="inlineStr">
        <is>
          <t>Midwest</t>
        </is>
      </c>
      <c r="G80" s="26" t="inlineStr">
        <is>
          <t>Midwest Team</t>
        </is>
      </c>
      <c r="H80" s="26" t="inlineStr">
        <is>
          <t>John Miller</t>
        </is>
      </c>
      <c r="I80" s="26" t="inlineStr">
        <is>
          <t>New customer</t>
        </is>
      </c>
      <c r="J80" s="87" t="n">
        <v>155</v>
      </c>
      <c r="K80" s="87" t="n">
        <v>131</v>
      </c>
      <c r="L80" s="87" t="n">
        <v>17</v>
      </c>
      <c r="M80" s="87" t="n">
        <v>2</v>
      </c>
      <c r="N80" s="88" t="n">
        <v>35043</v>
      </c>
      <c r="O80" s="88" t="n">
        <v>25087</v>
      </c>
      <c r="P80" s="89" t="n">
        <v>8.6</v>
      </c>
      <c r="Q80" s="87" t="n">
        <v>348</v>
      </c>
      <c r="R80" s="87" t="n">
        <v>1138</v>
      </c>
      <c r="S80" s="87" t="n">
        <v>126</v>
      </c>
      <c r="T80" s="87" t="n">
        <v>4</v>
      </c>
      <c r="U80" s="89" t="n">
        <v>4</v>
      </c>
      <c r="V80" s="89" t="n">
        <v>4.1</v>
      </c>
      <c r="W80" s="89" t="n">
        <v>33.3</v>
      </c>
      <c r="X80" s="87" t="n">
        <v>91</v>
      </c>
      <c r="Y80" s="87" t="n">
        <v>139</v>
      </c>
      <c r="Z80" s="88" t="n">
        <v>39043</v>
      </c>
      <c r="AA80" s="26" t="n"/>
      <c r="AB80" s="86">
        <f>IF($A80="","",$A80-WEEKDAY($A80,2)+1)</f>
        <v/>
      </c>
      <c r="AC80" s="86">
        <f>IF($A80="","",DATE(YEAR($A80),MONTH($A80),1))</f>
        <v/>
      </c>
      <c r="AD80" s="90">
        <f>IF($A80="","",IFERROR($K80/$J80,0))</f>
        <v/>
      </c>
      <c r="AE80" s="90">
        <f>IF($A80="","",IFERROR($L80/$J80,0))</f>
        <v/>
      </c>
      <c r="AF80" s="90">
        <f>IF($A80="","",IFERROR($M80/$J80,0))</f>
        <v/>
      </c>
      <c r="AG80" s="88">
        <f>IF($A80="","",$N80-$O80)</f>
        <v/>
      </c>
      <c r="AH80" s="90">
        <f>IF($A80="","",IFERROR($AG80/$N80,0))</f>
        <v/>
      </c>
      <c r="AI80" s="89">
        <f>IF($A80="","",IFERROR($K80/$P80,0))</f>
        <v/>
      </c>
      <c r="AJ80" s="90">
        <f>IF($A80="","",IFERROR($S80/$R80,0))</f>
        <v/>
      </c>
      <c r="AK80" s="90">
        <f>IF($A80="","",IFERROR($T80/$J80,0))</f>
        <v/>
      </c>
      <c r="AL80" s="26">
        <f>IF($A80="","",IF(AND($AD80&gt;='01_Settings'!$B$9,$V80&lt;='01_Settings'!$B$10,$W80&lt;='01_Settings'!$B$11),"On track","Off track"))</f>
        <v/>
      </c>
      <c r="AM80" s="42">
        <f>IF($A80="","",IF($AD80&lt;'01_Settings'!$B$9,"Low completion rate; ","")&amp;IF($AE80&gt;'01_Settings'!$B$12,"High overdue rate; ","")&amp;IF($U80&lt;'01_Settings'!$B$13,"Low satisfaction; ","")&amp;IF($AH80&lt;'01_Settings'!$B$14,"Low gross margin; ","")&amp;IF($AJ80&lt;'01_Settings'!$B$15,"Low conversion rate; ","")&amp;IF($AK80&gt;'01_Settings'!$B$16,"High complaint rate; ",""))</f>
        <v/>
      </c>
    </row>
    <row r="81" ht="18" customHeight="1">
      <c r="A81" s="86" t="n">
        <v>46110</v>
      </c>
      <c r="B81" s="26" t="inlineStr">
        <is>
          <t>East Coast Division</t>
        </is>
      </c>
      <c r="C81" s="26" t="inlineStr">
        <is>
          <t>Sales Operations</t>
        </is>
      </c>
      <c r="D81" s="26" t="inlineStr">
        <is>
          <t>Project Delivery</t>
        </is>
      </c>
      <c r="E81" s="26" t="inlineStr">
        <is>
          <t>Team chat</t>
        </is>
      </c>
      <c r="F81" s="26" t="inlineStr">
        <is>
          <t>Southeast</t>
        </is>
      </c>
      <c r="G81" s="26" t="inlineStr">
        <is>
          <t>Southeast Team</t>
        </is>
      </c>
      <c r="H81" s="26" t="inlineStr">
        <is>
          <t>Jessica Taylor</t>
        </is>
      </c>
      <c r="I81" s="26" t="inlineStr">
        <is>
          <t>High-value customer</t>
        </is>
      </c>
      <c r="J81" s="87" t="n">
        <v>81</v>
      </c>
      <c r="K81" s="87" t="n">
        <v>76</v>
      </c>
      <c r="L81" s="87" t="n">
        <v>4</v>
      </c>
      <c r="M81" s="87" t="n">
        <v>2</v>
      </c>
      <c r="N81" s="88" t="n">
        <v>17435</v>
      </c>
      <c r="O81" s="88" t="n">
        <v>12542</v>
      </c>
      <c r="P81" s="89" t="n">
        <v>7.5</v>
      </c>
      <c r="Q81" s="87" t="n">
        <v>174</v>
      </c>
      <c r="R81" s="87" t="n">
        <v>2252</v>
      </c>
      <c r="S81" s="87" t="n">
        <v>156</v>
      </c>
      <c r="T81" s="87" t="n">
        <v>3</v>
      </c>
      <c r="U81" s="89" t="n">
        <v>4.2</v>
      </c>
      <c r="V81" s="89" t="n">
        <v>3.3</v>
      </c>
      <c r="W81" s="89" t="n">
        <v>27.3</v>
      </c>
      <c r="X81" s="87" t="n">
        <v>45</v>
      </c>
      <c r="Y81" s="87" t="n">
        <v>72</v>
      </c>
      <c r="Z81" s="88" t="n">
        <v>17344</v>
      </c>
      <c r="AA81" s="26" t="n"/>
      <c r="AB81" s="86">
        <f>IF($A81="","",$A81-WEEKDAY($A81,2)+1)</f>
        <v/>
      </c>
      <c r="AC81" s="86">
        <f>IF($A81="","",DATE(YEAR($A81),MONTH($A81),1))</f>
        <v/>
      </c>
      <c r="AD81" s="90">
        <f>IF($A81="","",IFERROR($K81/$J81,0))</f>
        <v/>
      </c>
      <c r="AE81" s="90">
        <f>IF($A81="","",IFERROR($L81/$J81,0))</f>
        <v/>
      </c>
      <c r="AF81" s="90">
        <f>IF($A81="","",IFERROR($M81/$J81,0))</f>
        <v/>
      </c>
      <c r="AG81" s="88">
        <f>IF($A81="","",$N81-$O81)</f>
        <v/>
      </c>
      <c r="AH81" s="90">
        <f>IF($A81="","",IFERROR($AG81/$N81,0))</f>
        <v/>
      </c>
      <c r="AI81" s="89">
        <f>IF($A81="","",IFERROR($K81/$P81,0))</f>
        <v/>
      </c>
      <c r="AJ81" s="90">
        <f>IF($A81="","",IFERROR($S81/$R81,0))</f>
        <v/>
      </c>
      <c r="AK81" s="90">
        <f>IF($A81="","",IFERROR($T81/$J81,0))</f>
        <v/>
      </c>
      <c r="AL81" s="26">
        <f>IF($A81="","",IF(AND($AD81&gt;='01_Settings'!$B$9,$V81&lt;='01_Settings'!$B$10,$W81&lt;='01_Settings'!$B$11),"On track","Off track"))</f>
        <v/>
      </c>
      <c r="AM81" s="42">
        <f>IF($A81="","",IF($AD81&lt;'01_Settings'!$B$9,"Low completion rate; ","")&amp;IF($AE81&gt;'01_Settings'!$B$12,"High overdue rate; ","")&amp;IF($U81&lt;'01_Settings'!$B$13,"Low satisfaction; ","")&amp;IF($AH81&lt;'01_Settings'!$B$14,"Low gross margin; ","")&amp;IF($AJ81&lt;'01_Settings'!$B$15,"Low conversion rate; ","")&amp;IF($AK81&gt;'01_Settings'!$B$16,"High complaint rate; ",""))</f>
        <v/>
      </c>
    </row>
    <row r="82" ht="18" customHeight="1">
      <c r="A82" s="86" t="n">
        <v>46110</v>
      </c>
      <c r="B82" s="26" t="inlineStr">
        <is>
          <t>Digital Business Unit</t>
        </is>
      </c>
      <c r="C82" s="26" t="inlineStr">
        <is>
          <t>Finance / Expenses</t>
        </is>
      </c>
      <c r="D82" s="26" t="inlineStr">
        <is>
          <t>Membership Program</t>
        </is>
      </c>
      <c r="E82" s="26" t="inlineStr">
        <is>
          <t>Email</t>
        </is>
      </c>
      <c r="F82" s="26" t="inlineStr">
        <is>
          <t>International</t>
        </is>
      </c>
      <c r="G82" s="26" t="inlineStr">
        <is>
          <t>International Team</t>
        </is>
      </c>
      <c r="H82" s="26" t="inlineStr">
        <is>
          <t>John Miller</t>
        </is>
      </c>
      <c r="I82" s="26" t="inlineStr">
        <is>
          <t>Enterprise customers</t>
        </is>
      </c>
      <c r="J82" s="87" t="n">
        <v>287</v>
      </c>
      <c r="K82" s="87" t="n">
        <v>241</v>
      </c>
      <c r="L82" s="87" t="n">
        <v>30</v>
      </c>
      <c r="M82" s="87" t="n">
        <v>4</v>
      </c>
      <c r="N82" s="88" t="n">
        <v>90714</v>
      </c>
      <c r="O82" s="88" t="n">
        <v>58352</v>
      </c>
      <c r="P82" s="89" t="n">
        <v>28.4</v>
      </c>
      <c r="Q82" s="87" t="n">
        <v>209</v>
      </c>
      <c r="R82" s="87" t="n">
        <v>2418</v>
      </c>
      <c r="S82" s="87" t="n">
        <v>259</v>
      </c>
      <c r="T82" s="87" t="n">
        <v>5</v>
      </c>
      <c r="U82" s="89" t="n">
        <v>4.3</v>
      </c>
      <c r="V82" s="89" t="n">
        <v>2.3</v>
      </c>
      <c r="W82" s="89" t="n">
        <v>14.9</v>
      </c>
      <c r="X82" s="87" t="n">
        <v>29</v>
      </c>
      <c r="Y82" s="87" t="n">
        <v>258</v>
      </c>
      <c r="Z82" s="88" t="n">
        <v>101969</v>
      </c>
      <c r="AA82" s="26" t="n"/>
      <c r="AB82" s="86">
        <f>IF($A82="","",$A82-WEEKDAY($A82,2)+1)</f>
        <v/>
      </c>
      <c r="AC82" s="86">
        <f>IF($A82="","",DATE(YEAR($A82),MONTH($A82),1))</f>
        <v/>
      </c>
      <c r="AD82" s="90">
        <f>IF($A82="","",IFERROR($K82/$J82,0))</f>
        <v/>
      </c>
      <c r="AE82" s="90">
        <f>IF($A82="","",IFERROR($L82/$J82,0))</f>
        <v/>
      </c>
      <c r="AF82" s="90">
        <f>IF($A82="","",IFERROR($M82/$J82,0))</f>
        <v/>
      </c>
      <c r="AG82" s="88">
        <f>IF($A82="","",$N82-$O82)</f>
        <v/>
      </c>
      <c r="AH82" s="90">
        <f>IF($A82="","",IFERROR($AG82/$N82,0))</f>
        <v/>
      </c>
      <c r="AI82" s="89">
        <f>IF($A82="","",IFERROR($K82/$P82,0))</f>
        <v/>
      </c>
      <c r="AJ82" s="90">
        <f>IF($A82="","",IFERROR($S82/$R82,0))</f>
        <v/>
      </c>
      <c r="AK82" s="90">
        <f>IF($A82="","",IFERROR($T82/$J82,0))</f>
        <v/>
      </c>
      <c r="AL82" s="26">
        <f>IF($A82="","",IF(AND($AD82&gt;='01_Settings'!$B$9,$V82&lt;='01_Settings'!$B$10,$W82&lt;='01_Settings'!$B$11),"On track","Off track"))</f>
        <v/>
      </c>
      <c r="AM82" s="42">
        <f>IF($A82="","",IF($AD82&lt;'01_Settings'!$B$9,"Low completion rate; ","")&amp;IF($AE82&gt;'01_Settings'!$B$12,"High overdue rate; ","")&amp;IF($U82&lt;'01_Settings'!$B$13,"Low satisfaction; ","")&amp;IF($AH82&lt;'01_Settings'!$B$14,"Low gross margin; ","")&amp;IF($AJ82&lt;'01_Settings'!$B$15,"Low conversion rate; ","")&amp;IF($AK82&gt;'01_Settings'!$B$16,"High complaint rate; ",""))</f>
        <v/>
      </c>
    </row>
    <row r="83" ht="18" customHeight="1">
      <c r="A83" s="86" t="n">
        <v>46111</v>
      </c>
      <c r="B83" s="26" t="inlineStr">
        <is>
          <t>Southeast Division</t>
        </is>
      </c>
      <c r="C83" s="26" t="inlineStr">
        <is>
          <t>Growth Marketing</t>
        </is>
      </c>
      <c r="D83" s="26" t="inlineStr">
        <is>
          <t>Membership Program</t>
        </is>
      </c>
      <c r="E83" s="26" t="inlineStr">
        <is>
          <t>Phone</t>
        </is>
      </c>
      <c r="F83" s="26" t="inlineStr">
        <is>
          <t>International</t>
        </is>
      </c>
      <c r="G83" s="26" t="inlineStr">
        <is>
          <t>International Team</t>
        </is>
      </c>
      <c r="H83" s="26" t="inlineStr">
        <is>
          <t>John Miller</t>
        </is>
      </c>
      <c r="I83" s="26" t="inlineStr">
        <is>
          <t>Enterprise customers</t>
        </is>
      </c>
      <c r="J83" s="87" t="n">
        <v>254</v>
      </c>
      <c r="K83" s="87" t="n">
        <v>237</v>
      </c>
      <c r="L83" s="87" t="n">
        <v>9</v>
      </c>
      <c r="M83" s="87" t="n">
        <v>2</v>
      </c>
      <c r="N83" s="88" t="n">
        <v>89773</v>
      </c>
      <c r="O83" s="88" t="n">
        <v>60690</v>
      </c>
      <c r="P83" s="89" t="n">
        <v>47.3</v>
      </c>
      <c r="Q83" s="87" t="n">
        <v>274</v>
      </c>
      <c r="R83" s="87" t="n">
        <v>468</v>
      </c>
      <c r="S83" s="87" t="n">
        <v>23</v>
      </c>
      <c r="T83" s="87" t="n">
        <v>5</v>
      </c>
      <c r="U83" s="89" t="n">
        <v>4.3</v>
      </c>
      <c r="V83" s="89" t="n">
        <v>2.2</v>
      </c>
      <c r="W83" s="89" t="n">
        <v>24.3</v>
      </c>
      <c r="X83" s="87" t="n">
        <v>17</v>
      </c>
      <c r="Y83" s="87" t="n">
        <v>228</v>
      </c>
      <c r="Z83" s="88" t="n">
        <v>90683</v>
      </c>
      <c r="AA83" s="26" t="n"/>
      <c r="AB83" s="86">
        <f>IF($A83="","",$A83-WEEKDAY($A83,2)+1)</f>
        <v/>
      </c>
      <c r="AC83" s="86">
        <f>IF($A83="","",DATE(YEAR($A83),MONTH($A83),1))</f>
        <v/>
      </c>
      <c r="AD83" s="90">
        <f>IF($A83="","",IFERROR($K83/$J83,0))</f>
        <v/>
      </c>
      <c r="AE83" s="90">
        <f>IF($A83="","",IFERROR($L83/$J83,0))</f>
        <v/>
      </c>
      <c r="AF83" s="90">
        <f>IF($A83="","",IFERROR($M83/$J83,0))</f>
        <v/>
      </c>
      <c r="AG83" s="88">
        <f>IF($A83="","",$N83-$O83)</f>
        <v/>
      </c>
      <c r="AH83" s="90">
        <f>IF($A83="","",IFERROR($AG83/$N83,0))</f>
        <v/>
      </c>
      <c r="AI83" s="89">
        <f>IF($A83="","",IFERROR($K83/$P83,0))</f>
        <v/>
      </c>
      <c r="AJ83" s="90">
        <f>IF($A83="","",IFERROR($S83/$R83,0))</f>
        <v/>
      </c>
      <c r="AK83" s="90">
        <f>IF($A83="","",IFERROR($T83/$J83,0))</f>
        <v/>
      </c>
      <c r="AL83" s="26">
        <f>IF($A83="","",IF(AND($AD83&gt;='01_Settings'!$B$9,$V83&lt;='01_Settings'!$B$10,$W83&lt;='01_Settings'!$B$11),"On track","Off track"))</f>
        <v/>
      </c>
      <c r="AM83" s="42">
        <f>IF($A83="","",IF($AD83&lt;'01_Settings'!$B$9,"Low completion rate; ","")&amp;IF($AE83&gt;'01_Settings'!$B$12,"High overdue rate; ","")&amp;IF($U83&lt;'01_Settings'!$B$13,"Low satisfaction; ","")&amp;IF($AH83&lt;'01_Settings'!$B$14,"Low gross margin; ","")&amp;IF($AJ83&lt;'01_Settings'!$B$15,"Low conversion rate; ","")&amp;IF($AK83&gt;'01_Settings'!$B$16,"High complaint rate; ",""))</f>
        <v/>
      </c>
    </row>
    <row r="84" ht="18" customHeight="1">
      <c r="A84" s="86" t="n">
        <v>46111</v>
      </c>
      <c r="B84" s="26" t="inlineStr">
        <is>
          <t>Digital Business Unit</t>
        </is>
      </c>
      <c r="C84" s="26" t="inlineStr">
        <is>
          <t>Finance / Expenses</t>
        </is>
      </c>
      <c r="D84" s="26" t="inlineStr">
        <is>
          <t>After-sales Coverage</t>
        </is>
      </c>
      <c r="E84" s="26" t="inlineStr">
        <is>
          <t>Team chat</t>
        </is>
      </c>
      <c r="F84" s="26" t="inlineStr">
        <is>
          <t>Northeast</t>
        </is>
      </c>
      <c r="G84" s="26" t="inlineStr">
        <is>
          <t>Northeast Team</t>
        </is>
      </c>
      <c r="H84" s="26" t="inlineStr">
        <is>
          <t>David Wilson</t>
        </is>
      </c>
      <c r="I84" s="26" t="inlineStr">
        <is>
          <t>Standard customer</t>
        </is>
      </c>
      <c r="J84" s="87" t="n">
        <v>293</v>
      </c>
      <c r="K84" s="87" t="n">
        <v>279</v>
      </c>
      <c r="L84" s="87" t="n">
        <v>18</v>
      </c>
      <c r="M84" s="87" t="n">
        <v>12</v>
      </c>
      <c r="N84" s="88" t="n">
        <v>83212</v>
      </c>
      <c r="O84" s="88" t="n">
        <v>62928</v>
      </c>
      <c r="P84" s="89" t="n">
        <v>31.3</v>
      </c>
      <c r="Q84" s="87" t="n">
        <v>225</v>
      </c>
      <c r="R84" s="87" t="n">
        <v>534</v>
      </c>
      <c r="S84" s="87" t="n">
        <v>57</v>
      </c>
      <c r="T84" s="87" t="n">
        <v>3</v>
      </c>
      <c r="U84" s="89" t="n">
        <v>4.4</v>
      </c>
      <c r="V84" s="89" t="n">
        <v>1.4</v>
      </c>
      <c r="W84" s="89" t="n">
        <v>22.1</v>
      </c>
      <c r="X84" s="87" t="n">
        <v>145</v>
      </c>
      <c r="Y84" s="87" t="n">
        <v>263</v>
      </c>
      <c r="Z84" s="88" t="n">
        <v>82362</v>
      </c>
      <c r="AA84" s="26" t="n"/>
      <c r="AB84" s="86">
        <f>IF($A84="","",$A84-WEEKDAY($A84,2)+1)</f>
        <v/>
      </c>
      <c r="AC84" s="86">
        <f>IF($A84="","",DATE(YEAR($A84),MONTH($A84),1))</f>
        <v/>
      </c>
      <c r="AD84" s="90">
        <f>IF($A84="","",IFERROR($K84/$J84,0))</f>
        <v/>
      </c>
      <c r="AE84" s="90">
        <f>IF($A84="","",IFERROR($L84/$J84,0))</f>
        <v/>
      </c>
      <c r="AF84" s="90">
        <f>IF($A84="","",IFERROR($M84/$J84,0))</f>
        <v/>
      </c>
      <c r="AG84" s="88">
        <f>IF($A84="","",$N84-$O84)</f>
        <v/>
      </c>
      <c r="AH84" s="90">
        <f>IF($A84="","",IFERROR($AG84/$N84,0))</f>
        <v/>
      </c>
      <c r="AI84" s="89">
        <f>IF($A84="","",IFERROR($K84/$P84,0))</f>
        <v/>
      </c>
      <c r="AJ84" s="90">
        <f>IF($A84="","",IFERROR($S84/$R84,0))</f>
        <v/>
      </c>
      <c r="AK84" s="90">
        <f>IF($A84="","",IFERROR($T84/$J84,0))</f>
        <v/>
      </c>
      <c r="AL84" s="26">
        <f>IF($A84="","",IF(AND($AD84&gt;='01_Settings'!$B$9,$V84&lt;='01_Settings'!$B$10,$W84&lt;='01_Settings'!$B$11),"On track","Off track"))</f>
        <v/>
      </c>
      <c r="AM84" s="42">
        <f>IF($A84="","",IF($AD84&lt;'01_Settings'!$B$9,"Low completion rate; ","")&amp;IF($AE84&gt;'01_Settings'!$B$12,"High overdue rate; ","")&amp;IF($U84&lt;'01_Settings'!$B$13,"Low satisfaction; ","")&amp;IF($AH84&lt;'01_Settings'!$B$14,"Low gross margin; ","")&amp;IF($AJ84&lt;'01_Settings'!$B$15,"Low conversion rate; ","")&amp;IF($AK84&gt;'01_Settings'!$B$16,"High complaint rate; ",""))</f>
        <v/>
      </c>
    </row>
    <row r="85" ht="18" customHeight="1">
      <c r="A85" s="86" t="n">
        <v>46111</v>
      </c>
      <c r="B85" s="26" t="inlineStr">
        <is>
          <t>Southeast Division</t>
        </is>
      </c>
      <c r="C85" s="26" t="inlineStr">
        <is>
          <t>Production / Delivery</t>
        </is>
      </c>
      <c r="D85" s="26" t="inlineStr">
        <is>
          <t>Enterprise customers</t>
        </is>
      </c>
      <c r="E85" s="26" t="inlineStr">
        <is>
          <t>Retail store</t>
        </is>
      </c>
      <c r="F85" s="26" t="inlineStr">
        <is>
          <t>Midwest</t>
        </is>
      </c>
      <c r="G85" s="26" t="inlineStr">
        <is>
          <t>Midwest Team</t>
        </is>
      </c>
      <c r="H85" s="26" t="inlineStr">
        <is>
          <t>Michael Brown</t>
        </is>
      </c>
      <c r="I85" s="26" t="inlineStr">
        <is>
          <t>Enterprise customers</t>
        </is>
      </c>
      <c r="J85" s="87" t="n">
        <v>100</v>
      </c>
      <c r="K85" s="87" t="n">
        <v>94</v>
      </c>
      <c r="L85" s="87" t="n">
        <v>5</v>
      </c>
      <c r="M85" s="87" t="n">
        <v>4</v>
      </c>
      <c r="N85" s="88" t="n">
        <v>28810</v>
      </c>
      <c r="O85" s="88" t="n">
        <v>17394</v>
      </c>
      <c r="P85" s="89" t="n">
        <v>12.8</v>
      </c>
      <c r="Q85" s="87" t="n">
        <v>276</v>
      </c>
      <c r="R85" s="87" t="n">
        <v>540</v>
      </c>
      <c r="S85" s="87" t="n">
        <v>24</v>
      </c>
      <c r="T85" s="87" t="n">
        <v>1</v>
      </c>
      <c r="U85" s="89" t="n">
        <v>4.1</v>
      </c>
      <c r="V85" s="89" t="n">
        <v>3.4</v>
      </c>
      <c r="W85" s="89" t="n">
        <v>20.8</v>
      </c>
      <c r="X85" s="87" t="n">
        <v>160</v>
      </c>
      <c r="Y85" s="87" t="n">
        <v>90</v>
      </c>
      <c r="Z85" s="88" t="n">
        <v>28963</v>
      </c>
      <c r="AA85" s="26" t="n"/>
      <c r="AB85" s="86">
        <f>IF($A85="","",$A85-WEEKDAY($A85,2)+1)</f>
        <v/>
      </c>
      <c r="AC85" s="86">
        <f>IF($A85="","",DATE(YEAR($A85),MONTH($A85),1))</f>
        <v/>
      </c>
      <c r="AD85" s="90">
        <f>IF($A85="","",IFERROR($K85/$J85,0))</f>
        <v/>
      </c>
      <c r="AE85" s="90">
        <f>IF($A85="","",IFERROR($L85/$J85,0))</f>
        <v/>
      </c>
      <c r="AF85" s="90">
        <f>IF($A85="","",IFERROR($M85/$J85,0))</f>
        <v/>
      </c>
      <c r="AG85" s="88">
        <f>IF($A85="","",$N85-$O85)</f>
        <v/>
      </c>
      <c r="AH85" s="90">
        <f>IF($A85="","",IFERROR($AG85/$N85,0))</f>
        <v/>
      </c>
      <c r="AI85" s="89">
        <f>IF($A85="","",IFERROR($K85/$P85,0))</f>
        <v/>
      </c>
      <c r="AJ85" s="90">
        <f>IF($A85="","",IFERROR($S85/$R85,0))</f>
        <v/>
      </c>
      <c r="AK85" s="90">
        <f>IF($A85="","",IFERROR($T85/$J85,0))</f>
        <v/>
      </c>
      <c r="AL85" s="26">
        <f>IF($A85="","",IF(AND($AD85&gt;='01_Settings'!$B$9,$V85&lt;='01_Settings'!$B$10,$W85&lt;='01_Settings'!$B$11),"On track","Off track"))</f>
        <v/>
      </c>
      <c r="AM85" s="42">
        <f>IF($A85="","",IF($AD85&lt;'01_Settings'!$B$9,"Low completion rate; ","")&amp;IF($AE85&gt;'01_Settings'!$B$12,"High overdue rate; ","")&amp;IF($U85&lt;'01_Settings'!$B$13,"Low satisfaction; ","")&amp;IF($AH85&lt;'01_Settings'!$B$14,"Low gross margin; ","")&amp;IF($AJ85&lt;'01_Settings'!$B$15,"Low conversion rate; ","")&amp;IF($AK85&gt;'01_Settings'!$B$16,"High complaint rate; ",""))</f>
        <v/>
      </c>
    </row>
    <row r="86" ht="18" customHeight="1">
      <c r="A86" s="86" t="n">
        <v>46112</v>
      </c>
      <c r="B86" s="26" t="inlineStr">
        <is>
          <t>North Operations Center</t>
        </is>
      </c>
      <c r="C86" s="26" t="inlineStr">
        <is>
          <t>Field Services</t>
        </is>
      </c>
      <c r="D86" s="26" t="inlineStr">
        <is>
          <t>Project Delivery</t>
        </is>
      </c>
      <c r="E86" s="26" t="inlineStr">
        <is>
          <t>Distributor</t>
        </is>
      </c>
      <c r="F86" s="26" t="inlineStr">
        <is>
          <t>International</t>
        </is>
      </c>
      <c r="G86" s="26" t="inlineStr">
        <is>
          <t>International Team</t>
        </is>
      </c>
      <c r="H86" s="26" t="inlineStr">
        <is>
          <t>John Miller</t>
        </is>
      </c>
      <c r="I86" s="26" t="inlineStr">
        <is>
          <t>Standard customer</t>
        </is>
      </c>
      <c r="J86" s="87" t="n">
        <v>231</v>
      </c>
      <c r="K86" s="87" t="n">
        <v>200</v>
      </c>
      <c r="L86" s="87" t="n">
        <v>23</v>
      </c>
      <c r="M86" s="87" t="n">
        <v>4</v>
      </c>
      <c r="N86" s="88" t="n">
        <v>56428</v>
      </c>
      <c r="O86" s="88" t="n">
        <v>45965</v>
      </c>
      <c r="P86" s="89" t="n">
        <v>29.8</v>
      </c>
      <c r="Q86" s="87" t="n">
        <v>391</v>
      </c>
      <c r="R86" s="87" t="n">
        <v>600</v>
      </c>
      <c r="S86" s="87" t="n">
        <v>66</v>
      </c>
      <c r="T86" s="87" t="n">
        <v>3</v>
      </c>
      <c r="U86" s="89" t="n">
        <v>4.5</v>
      </c>
      <c r="V86" s="89" t="n">
        <v>5.9</v>
      </c>
      <c r="W86" s="89" t="n">
        <v>24.2</v>
      </c>
      <c r="X86" s="87" t="n">
        <v>63</v>
      </c>
      <c r="Y86" s="87" t="n">
        <v>207</v>
      </c>
      <c r="Z86" s="88" t="n">
        <v>61324</v>
      </c>
      <c r="AA86" s="26" t="n"/>
      <c r="AB86" s="86">
        <f>IF($A86="","",$A86-WEEKDAY($A86,2)+1)</f>
        <v/>
      </c>
      <c r="AC86" s="86">
        <f>IF($A86="","",DATE(YEAR($A86),MONTH($A86),1))</f>
        <v/>
      </c>
      <c r="AD86" s="90">
        <f>IF($A86="","",IFERROR($K86/$J86,0))</f>
        <v/>
      </c>
      <c r="AE86" s="90">
        <f>IF($A86="","",IFERROR($L86/$J86,0))</f>
        <v/>
      </c>
      <c r="AF86" s="90">
        <f>IF($A86="","",IFERROR($M86/$J86,0))</f>
        <v/>
      </c>
      <c r="AG86" s="88">
        <f>IF($A86="","",$N86-$O86)</f>
        <v/>
      </c>
      <c r="AH86" s="90">
        <f>IF($A86="","",IFERROR($AG86/$N86,0))</f>
        <v/>
      </c>
      <c r="AI86" s="89">
        <f>IF($A86="","",IFERROR($K86/$P86,0))</f>
        <v/>
      </c>
      <c r="AJ86" s="90">
        <f>IF($A86="","",IFERROR($S86/$R86,0))</f>
        <v/>
      </c>
      <c r="AK86" s="90">
        <f>IF($A86="","",IFERROR($T86/$J86,0))</f>
        <v/>
      </c>
      <c r="AL86" s="26">
        <f>IF($A86="","",IF(AND($AD86&gt;='01_Settings'!$B$9,$V86&lt;='01_Settings'!$B$10,$W86&lt;='01_Settings'!$B$11),"On track","Off track"))</f>
        <v/>
      </c>
      <c r="AM86" s="42">
        <f>IF($A86="","",IF($AD86&lt;'01_Settings'!$B$9,"Low completion rate; ","")&amp;IF($AE86&gt;'01_Settings'!$B$12,"High overdue rate; ","")&amp;IF($U86&lt;'01_Settings'!$B$13,"Low satisfaction; ","")&amp;IF($AH86&lt;'01_Settings'!$B$14,"Low gross margin; ","")&amp;IF($AJ86&lt;'01_Settings'!$B$15,"Low conversion rate; ","")&amp;IF($AK86&gt;'01_Settings'!$B$16,"High complaint rate; ",""))</f>
        <v/>
      </c>
    </row>
    <row r="87" ht="18" customHeight="1">
      <c r="A87" s="86" t="n">
        <v>46112</v>
      </c>
      <c r="B87" s="26" t="inlineStr">
        <is>
          <t>Southeast Division</t>
        </is>
      </c>
      <c r="C87" s="26" t="inlineStr">
        <is>
          <t>Sales Operations</t>
        </is>
      </c>
      <c r="D87" s="26" t="inlineStr">
        <is>
          <t>Premium Service</t>
        </is>
      </c>
      <c r="E87" s="26" t="inlineStr">
        <is>
          <t>Marketplace store</t>
        </is>
      </c>
      <c r="F87" s="26" t="inlineStr">
        <is>
          <t>Southeast</t>
        </is>
      </c>
      <c r="G87" s="26" t="inlineStr">
        <is>
          <t>Southeast Team</t>
        </is>
      </c>
      <c r="H87" s="26" t="inlineStr">
        <is>
          <t>Michael Brown</t>
        </is>
      </c>
      <c r="I87" s="26" t="inlineStr">
        <is>
          <t>Standard customer</t>
        </is>
      </c>
      <c r="J87" s="87" t="n">
        <v>285</v>
      </c>
      <c r="K87" s="87" t="n">
        <v>235</v>
      </c>
      <c r="L87" s="87" t="n">
        <v>32</v>
      </c>
      <c r="M87" s="87" t="n">
        <v>1</v>
      </c>
      <c r="N87" s="88" t="n">
        <v>20135</v>
      </c>
      <c r="O87" s="88" t="n">
        <v>12780</v>
      </c>
      <c r="P87" s="89" t="n">
        <v>17.8</v>
      </c>
      <c r="Q87" s="87" t="n">
        <v>373</v>
      </c>
      <c r="R87" s="87" t="n">
        <v>1308</v>
      </c>
      <c r="S87" s="87" t="n">
        <v>116</v>
      </c>
      <c r="T87" s="87" t="n">
        <v>10</v>
      </c>
      <c r="U87" s="89" t="n">
        <v>4.7</v>
      </c>
      <c r="V87" s="89" t="n">
        <v>5.4</v>
      </c>
      <c r="W87" s="89" t="n">
        <v>28.6</v>
      </c>
      <c r="X87" s="87" t="n">
        <v>20</v>
      </c>
      <c r="Y87" s="87" t="n">
        <v>256</v>
      </c>
      <c r="Z87" s="88" t="n">
        <v>23031</v>
      </c>
      <c r="AA87" s="26" t="n"/>
      <c r="AB87" s="86">
        <f>IF($A87="","",$A87-WEEKDAY($A87,2)+1)</f>
        <v/>
      </c>
      <c r="AC87" s="86">
        <f>IF($A87="","",DATE(YEAR($A87),MONTH($A87),1))</f>
        <v/>
      </c>
      <c r="AD87" s="90">
        <f>IF($A87="","",IFERROR($K87/$J87,0))</f>
        <v/>
      </c>
      <c r="AE87" s="90">
        <f>IF($A87="","",IFERROR($L87/$J87,0))</f>
        <v/>
      </c>
      <c r="AF87" s="90">
        <f>IF($A87="","",IFERROR($M87/$J87,0))</f>
        <v/>
      </c>
      <c r="AG87" s="88">
        <f>IF($A87="","",$N87-$O87)</f>
        <v/>
      </c>
      <c r="AH87" s="90">
        <f>IF($A87="","",IFERROR($AG87/$N87,0))</f>
        <v/>
      </c>
      <c r="AI87" s="89">
        <f>IF($A87="","",IFERROR($K87/$P87,0))</f>
        <v/>
      </c>
      <c r="AJ87" s="90">
        <f>IF($A87="","",IFERROR($S87/$R87,0))</f>
        <v/>
      </c>
      <c r="AK87" s="90">
        <f>IF($A87="","",IFERROR($T87/$J87,0))</f>
        <v/>
      </c>
      <c r="AL87" s="26">
        <f>IF($A87="","",IF(AND($AD87&gt;='01_Settings'!$B$9,$V87&lt;='01_Settings'!$B$10,$W87&lt;='01_Settings'!$B$11),"On track","Off track"))</f>
        <v/>
      </c>
      <c r="AM87" s="42">
        <f>IF($A87="","",IF($AD87&lt;'01_Settings'!$B$9,"Low completion rate; ","")&amp;IF($AE87&gt;'01_Settings'!$B$12,"High overdue rate; ","")&amp;IF($U87&lt;'01_Settings'!$B$13,"Low satisfaction; ","")&amp;IF($AH87&lt;'01_Settings'!$B$14,"Low gross margin; ","")&amp;IF($AJ87&lt;'01_Settings'!$B$15,"Low conversion rate; ","")&amp;IF($AK87&gt;'01_Settings'!$B$16,"High complaint rate; ",""))</f>
        <v/>
      </c>
    </row>
    <row r="88" ht="18" customHeight="1">
      <c r="A88" s="86" t="n">
        <v>46112</v>
      </c>
      <c r="B88" s="26" t="inlineStr">
        <is>
          <t>North Operations Center</t>
        </is>
      </c>
      <c r="C88" s="26" t="inlineStr">
        <is>
          <t>Supply Chain / Inventory</t>
        </is>
      </c>
      <c r="D88" s="26" t="inlineStr">
        <is>
          <t>After-sales Coverage</t>
        </is>
      </c>
      <c r="E88" s="26" t="inlineStr">
        <is>
          <t>Distributor</t>
        </is>
      </c>
      <c r="F88" s="26" t="inlineStr">
        <is>
          <t>Southwest</t>
        </is>
      </c>
      <c r="G88" s="26" t="inlineStr">
        <is>
          <t>Southwest Team</t>
        </is>
      </c>
      <c r="H88" s="26" t="inlineStr">
        <is>
          <t>David Wilson</t>
        </is>
      </c>
      <c r="I88" s="26" t="inlineStr">
        <is>
          <t>Existing customer</t>
        </is>
      </c>
      <c r="J88" s="87" t="n">
        <v>146</v>
      </c>
      <c r="K88" s="87" t="n">
        <v>127</v>
      </c>
      <c r="L88" s="87" t="n">
        <v>5</v>
      </c>
      <c r="M88" s="87" t="n">
        <v>6</v>
      </c>
      <c r="N88" s="88" t="n">
        <v>23203</v>
      </c>
      <c r="O88" s="88" t="n">
        <v>14981</v>
      </c>
      <c r="P88" s="89" t="n">
        <v>23</v>
      </c>
      <c r="Q88" s="87" t="n">
        <v>389</v>
      </c>
      <c r="R88" s="87" t="n">
        <v>1571</v>
      </c>
      <c r="S88" s="87" t="n">
        <v>177</v>
      </c>
      <c r="T88" s="87" t="n">
        <v>1</v>
      </c>
      <c r="U88" s="89" t="n">
        <v>4</v>
      </c>
      <c r="V88" s="89" t="n">
        <v>3.8</v>
      </c>
      <c r="W88" s="89" t="n">
        <v>14.3</v>
      </c>
      <c r="X88" s="87" t="n">
        <v>81</v>
      </c>
      <c r="Y88" s="87" t="n">
        <v>131</v>
      </c>
      <c r="Z88" s="88" t="n">
        <v>25130</v>
      </c>
      <c r="AA88" s="26" t="n"/>
      <c r="AB88" s="86">
        <f>IF($A88="","",$A88-WEEKDAY($A88,2)+1)</f>
        <v/>
      </c>
      <c r="AC88" s="86">
        <f>IF($A88="","",DATE(YEAR($A88),MONTH($A88),1))</f>
        <v/>
      </c>
      <c r="AD88" s="90">
        <f>IF($A88="","",IFERROR($K88/$J88,0))</f>
        <v/>
      </c>
      <c r="AE88" s="90">
        <f>IF($A88="","",IFERROR($L88/$J88,0))</f>
        <v/>
      </c>
      <c r="AF88" s="90">
        <f>IF($A88="","",IFERROR($M88/$J88,0))</f>
        <v/>
      </c>
      <c r="AG88" s="88">
        <f>IF($A88="","",$N88-$O88)</f>
        <v/>
      </c>
      <c r="AH88" s="90">
        <f>IF($A88="","",IFERROR($AG88/$N88,0))</f>
        <v/>
      </c>
      <c r="AI88" s="89">
        <f>IF($A88="","",IFERROR($K88/$P88,0))</f>
        <v/>
      </c>
      <c r="AJ88" s="90">
        <f>IF($A88="","",IFERROR($S88/$R88,0))</f>
        <v/>
      </c>
      <c r="AK88" s="90">
        <f>IF($A88="","",IFERROR($T88/$J88,0))</f>
        <v/>
      </c>
      <c r="AL88" s="26">
        <f>IF($A88="","",IF(AND($AD88&gt;='01_Settings'!$B$9,$V88&lt;='01_Settings'!$B$10,$W88&lt;='01_Settings'!$B$11),"On track","Off track"))</f>
        <v/>
      </c>
      <c r="AM88" s="42">
        <f>IF($A88="","",IF($AD88&lt;'01_Settings'!$B$9,"Low completion rate; ","")&amp;IF($AE88&gt;'01_Settings'!$B$12,"High overdue rate; ","")&amp;IF($U88&lt;'01_Settings'!$B$13,"Low satisfaction; ","")&amp;IF($AH88&lt;'01_Settings'!$B$14,"Low gross margin; ","")&amp;IF($AJ88&lt;'01_Settings'!$B$15,"Low conversion rate; ","")&amp;IF($AK88&gt;'01_Settings'!$B$16,"High complaint rate; ",""))</f>
        <v/>
      </c>
    </row>
    <row r="89" ht="18" customHeight="1">
      <c r="A89" s="86" t="n">
        <v>46113</v>
      </c>
      <c r="B89" s="26" t="inlineStr">
        <is>
          <t>North Operations Center</t>
        </is>
      </c>
      <c r="C89" s="26" t="inlineStr">
        <is>
          <t>Finance / Expenses</t>
        </is>
      </c>
      <c r="D89" s="26" t="inlineStr">
        <is>
          <t>Standard Service</t>
        </is>
      </c>
      <c r="E89" s="26" t="inlineStr">
        <is>
          <t>Team chat</t>
        </is>
      </c>
      <c r="F89" s="26" t="inlineStr">
        <is>
          <t>International</t>
        </is>
      </c>
      <c r="G89" s="26" t="inlineStr">
        <is>
          <t>International Team</t>
        </is>
      </c>
      <c r="H89" s="26" t="inlineStr">
        <is>
          <t>Sarah Johnson</t>
        </is>
      </c>
      <c r="I89" s="26" t="inlineStr">
        <is>
          <t>Existing customer</t>
        </is>
      </c>
      <c r="J89" s="87" t="n">
        <v>218</v>
      </c>
      <c r="K89" s="87" t="n">
        <v>202</v>
      </c>
      <c r="L89" s="87" t="n">
        <v>12</v>
      </c>
      <c r="M89" s="87" t="n">
        <v>10</v>
      </c>
      <c r="N89" s="88" t="n">
        <v>65754</v>
      </c>
      <c r="O89" s="88" t="n">
        <v>53112</v>
      </c>
      <c r="P89" s="89" t="n">
        <v>37.7</v>
      </c>
      <c r="Q89" s="87" t="n">
        <v>168</v>
      </c>
      <c r="R89" s="87" t="n">
        <v>440</v>
      </c>
      <c r="S89" s="87" t="n">
        <v>32</v>
      </c>
      <c r="T89" s="87" t="n">
        <v>7</v>
      </c>
      <c r="U89" s="89" t="n">
        <v>4.1</v>
      </c>
      <c r="V89" s="89" t="n">
        <v>3.2</v>
      </c>
      <c r="W89" s="89" t="n">
        <v>15.2</v>
      </c>
      <c r="X89" s="87" t="n">
        <v>127</v>
      </c>
      <c r="Y89" s="87" t="n">
        <v>196</v>
      </c>
      <c r="Z89" s="88" t="n">
        <v>66991</v>
      </c>
      <c r="AA89" s="26" t="n"/>
      <c r="AB89" s="86">
        <f>IF($A89="","",$A89-WEEKDAY($A89,2)+1)</f>
        <v/>
      </c>
      <c r="AC89" s="86">
        <f>IF($A89="","",DATE(YEAR($A89),MONTH($A89),1))</f>
        <v/>
      </c>
      <c r="AD89" s="90">
        <f>IF($A89="","",IFERROR($K89/$J89,0))</f>
        <v/>
      </c>
      <c r="AE89" s="90">
        <f>IF($A89="","",IFERROR($L89/$J89,0))</f>
        <v/>
      </c>
      <c r="AF89" s="90">
        <f>IF($A89="","",IFERROR($M89/$J89,0))</f>
        <v/>
      </c>
      <c r="AG89" s="88">
        <f>IF($A89="","",$N89-$O89)</f>
        <v/>
      </c>
      <c r="AH89" s="90">
        <f>IF($A89="","",IFERROR($AG89/$N89,0))</f>
        <v/>
      </c>
      <c r="AI89" s="89">
        <f>IF($A89="","",IFERROR($K89/$P89,0))</f>
        <v/>
      </c>
      <c r="AJ89" s="90">
        <f>IF($A89="","",IFERROR($S89/$R89,0))</f>
        <v/>
      </c>
      <c r="AK89" s="90">
        <f>IF($A89="","",IFERROR($T89/$J89,0))</f>
        <v/>
      </c>
      <c r="AL89" s="26">
        <f>IF($A89="","",IF(AND($AD89&gt;='01_Settings'!$B$9,$V89&lt;='01_Settings'!$B$10,$W89&lt;='01_Settings'!$B$11),"On track","Off track"))</f>
        <v/>
      </c>
      <c r="AM89" s="42">
        <f>IF($A89="","",IF($AD89&lt;'01_Settings'!$B$9,"Low completion rate; ","")&amp;IF($AE89&gt;'01_Settings'!$B$12,"High overdue rate; ","")&amp;IF($U89&lt;'01_Settings'!$B$13,"Low satisfaction; ","")&amp;IF($AH89&lt;'01_Settings'!$B$14,"Low gross margin; ","")&amp;IF($AJ89&lt;'01_Settings'!$B$15,"Low conversion rate; ","")&amp;IF($AK89&gt;'01_Settings'!$B$16,"High complaint rate; ",""))</f>
        <v/>
      </c>
    </row>
    <row r="90" ht="18" customHeight="1">
      <c r="A90" s="86" t="n">
        <v>46113</v>
      </c>
      <c r="B90" s="26" t="inlineStr">
        <is>
          <t>North Operations Center</t>
        </is>
      </c>
      <c r="C90" s="26" t="inlineStr">
        <is>
          <t>E-commerce Operations</t>
        </is>
      </c>
      <c r="D90" s="26" t="inlineStr">
        <is>
          <t>Standard Service</t>
        </is>
      </c>
      <c r="E90" s="26" t="inlineStr">
        <is>
          <t>Phone</t>
        </is>
      </c>
      <c r="F90" s="26" t="inlineStr">
        <is>
          <t>International</t>
        </is>
      </c>
      <c r="G90" s="26" t="inlineStr">
        <is>
          <t>International Team</t>
        </is>
      </c>
      <c r="H90" s="26" t="inlineStr">
        <is>
          <t>Robert Thomas</t>
        </is>
      </c>
      <c r="I90" s="26" t="inlineStr">
        <is>
          <t>High-value customer</t>
        </is>
      </c>
      <c r="J90" s="87" t="n">
        <v>178</v>
      </c>
      <c r="K90" s="87" t="n">
        <v>167</v>
      </c>
      <c r="L90" s="87" t="n">
        <v>7</v>
      </c>
      <c r="M90" s="87" t="n">
        <v>0</v>
      </c>
      <c r="N90" s="88" t="n">
        <v>58710</v>
      </c>
      <c r="O90" s="88" t="n">
        <v>35868</v>
      </c>
      <c r="P90" s="89" t="n">
        <v>15</v>
      </c>
      <c r="Q90" s="87" t="n">
        <v>71</v>
      </c>
      <c r="R90" s="87" t="n">
        <v>1863</v>
      </c>
      <c r="S90" s="87" t="n">
        <v>148</v>
      </c>
      <c r="T90" s="87" t="n">
        <v>4</v>
      </c>
      <c r="U90" s="89" t="n">
        <v>4.5</v>
      </c>
      <c r="V90" s="89" t="n">
        <v>1.7</v>
      </c>
      <c r="W90" s="89" t="n">
        <v>35</v>
      </c>
      <c r="X90" s="87" t="n">
        <v>45</v>
      </c>
      <c r="Y90" s="87" t="n">
        <v>160</v>
      </c>
      <c r="Z90" s="88" t="n">
        <v>59061</v>
      </c>
      <c r="AA90" s="26" t="n"/>
      <c r="AB90" s="86">
        <f>IF($A90="","",$A90-WEEKDAY($A90,2)+1)</f>
        <v/>
      </c>
      <c r="AC90" s="86">
        <f>IF($A90="","",DATE(YEAR($A90),MONTH($A90),1))</f>
        <v/>
      </c>
      <c r="AD90" s="90">
        <f>IF($A90="","",IFERROR($K90/$J90,0))</f>
        <v/>
      </c>
      <c r="AE90" s="90">
        <f>IF($A90="","",IFERROR($L90/$J90,0))</f>
        <v/>
      </c>
      <c r="AF90" s="90">
        <f>IF($A90="","",IFERROR($M90/$J90,0))</f>
        <v/>
      </c>
      <c r="AG90" s="88">
        <f>IF($A90="","",$N90-$O90)</f>
        <v/>
      </c>
      <c r="AH90" s="90">
        <f>IF($A90="","",IFERROR($AG90/$N90,0))</f>
        <v/>
      </c>
      <c r="AI90" s="89">
        <f>IF($A90="","",IFERROR($K90/$P90,0))</f>
        <v/>
      </c>
      <c r="AJ90" s="90">
        <f>IF($A90="","",IFERROR($S90/$R90,0))</f>
        <v/>
      </c>
      <c r="AK90" s="90">
        <f>IF($A90="","",IFERROR($T90/$J90,0))</f>
        <v/>
      </c>
      <c r="AL90" s="26">
        <f>IF($A90="","",IF(AND($AD90&gt;='01_Settings'!$B$9,$V90&lt;='01_Settings'!$B$10,$W90&lt;='01_Settings'!$B$11),"On track","Off track"))</f>
        <v/>
      </c>
      <c r="AM90" s="42">
        <f>IF($A90="","",IF($AD90&lt;'01_Settings'!$B$9,"Low completion rate; ","")&amp;IF($AE90&gt;'01_Settings'!$B$12,"High overdue rate; ","")&amp;IF($U90&lt;'01_Settings'!$B$13,"Low satisfaction; ","")&amp;IF($AH90&lt;'01_Settings'!$B$14,"Low gross margin; ","")&amp;IF($AJ90&lt;'01_Settings'!$B$15,"Low conversion rate; ","")&amp;IF($AK90&gt;'01_Settings'!$B$16,"High complaint rate; ",""))</f>
        <v/>
      </c>
    </row>
    <row r="91" ht="18" customHeight="1">
      <c r="A91" s="86" t="n">
        <v>46113</v>
      </c>
      <c r="B91" s="26" t="inlineStr">
        <is>
          <t>Southeast Division</t>
        </is>
      </c>
      <c r="C91" s="26" t="inlineStr">
        <is>
          <t>Supply Chain / Inventory</t>
        </is>
      </c>
      <c r="D91" s="26" t="inlineStr">
        <is>
          <t>Membership Program</t>
        </is>
      </c>
      <c r="E91" s="26" t="inlineStr">
        <is>
          <t>Team chat</t>
        </is>
      </c>
      <c r="F91" s="26" t="inlineStr">
        <is>
          <t>Midwest</t>
        </is>
      </c>
      <c r="G91" s="26" t="inlineStr">
        <is>
          <t>Midwest Team</t>
        </is>
      </c>
      <c r="H91" s="26" t="inlineStr">
        <is>
          <t>Michael Brown</t>
        </is>
      </c>
      <c r="I91" s="26" t="inlineStr">
        <is>
          <t>Enterprise customers</t>
        </is>
      </c>
      <c r="J91" s="87" t="n">
        <v>284</v>
      </c>
      <c r="K91" s="87" t="n">
        <v>262</v>
      </c>
      <c r="L91" s="87" t="n">
        <v>31</v>
      </c>
      <c r="M91" s="87" t="n">
        <v>1</v>
      </c>
      <c r="N91" s="88" t="n">
        <v>66087</v>
      </c>
      <c r="O91" s="88" t="n">
        <v>45897</v>
      </c>
      <c r="P91" s="89" t="n">
        <v>45.3</v>
      </c>
      <c r="Q91" s="87" t="n">
        <v>39</v>
      </c>
      <c r="R91" s="87" t="n">
        <v>856</v>
      </c>
      <c r="S91" s="87" t="n">
        <v>77</v>
      </c>
      <c r="T91" s="87" t="n">
        <v>10</v>
      </c>
      <c r="U91" s="89" t="n">
        <v>4.7</v>
      </c>
      <c r="V91" s="89" t="n">
        <v>1.2</v>
      </c>
      <c r="W91" s="89" t="n">
        <v>31.4</v>
      </c>
      <c r="X91" s="87" t="n">
        <v>131</v>
      </c>
      <c r="Y91" s="87" t="n">
        <v>255</v>
      </c>
      <c r="Z91" s="88" t="n">
        <v>67537</v>
      </c>
      <c r="AA91" s="26" t="n"/>
      <c r="AB91" s="86">
        <f>IF($A91="","",$A91-WEEKDAY($A91,2)+1)</f>
        <v/>
      </c>
      <c r="AC91" s="86">
        <f>IF($A91="","",DATE(YEAR($A91),MONTH($A91),1))</f>
        <v/>
      </c>
      <c r="AD91" s="90">
        <f>IF($A91="","",IFERROR($K91/$J91,0))</f>
        <v/>
      </c>
      <c r="AE91" s="90">
        <f>IF($A91="","",IFERROR($L91/$J91,0))</f>
        <v/>
      </c>
      <c r="AF91" s="90">
        <f>IF($A91="","",IFERROR($M91/$J91,0))</f>
        <v/>
      </c>
      <c r="AG91" s="88">
        <f>IF($A91="","",$N91-$O91)</f>
        <v/>
      </c>
      <c r="AH91" s="90">
        <f>IF($A91="","",IFERROR($AG91/$N91,0))</f>
        <v/>
      </c>
      <c r="AI91" s="89">
        <f>IF($A91="","",IFERROR($K91/$P91,0))</f>
        <v/>
      </c>
      <c r="AJ91" s="90">
        <f>IF($A91="","",IFERROR($S91/$R91,0))</f>
        <v/>
      </c>
      <c r="AK91" s="90">
        <f>IF($A91="","",IFERROR($T91/$J91,0))</f>
        <v/>
      </c>
      <c r="AL91" s="26">
        <f>IF($A91="","",IF(AND($AD91&gt;='01_Settings'!$B$9,$V91&lt;='01_Settings'!$B$10,$W91&lt;='01_Settings'!$B$11),"On track","Off track"))</f>
        <v/>
      </c>
      <c r="AM91" s="42">
        <f>IF($A91="","",IF($AD91&lt;'01_Settings'!$B$9,"Low completion rate; ","")&amp;IF($AE91&gt;'01_Settings'!$B$12,"High overdue rate; ","")&amp;IF($U91&lt;'01_Settings'!$B$13,"Low satisfaction; ","")&amp;IF($AH91&lt;'01_Settings'!$B$14,"Low gross margin; ","")&amp;IF($AJ91&lt;'01_Settings'!$B$15,"Low conversion rate; ","")&amp;IF($AK91&gt;'01_Settings'!$B$16,"High complaint rate; ",""))</f>
        <v/>
      </c>
    </row>
    <row r="92" ht="18" customHeight="1">
      <c r="A92" s="86" t="n">
        <v>46114</v>
      </c>
      <c r="B92" s="26" t="inlineStr">
        <is>
          <t>North Operations Center</t>
        </is>
      </c>
      <c r="C92" s="26" t="inlineStr">
        <is>
          <t>Customer Support Operations</t>
        </is>
      </c>
      <c r="D92" s="26" t="inlineStr">
        <is>
          <t>Project Delivery</t>
        </is>
      </c>
      <c r="E92" s="26" t="inlineStr">
        <is>
          <t>Distributor</t>
        </is>
      </c>
      <c r="F92" s="26" t="inlineStr">
        <is>
          <t>International</t>
        </is>
      </c>
      <c r="G92" s="26" t="inlineStr">
        <is>
          <t>International Team</t>
        </is>
      </c>
      <c r="H92" s="26" t="inlineStr">
        <is>
          <t>Sarah Johnson</t>
        </is>
      </c>
      <c r="I92" s="26" t="inlineStr">
        <is>
          <t>Existing customer</t>
        </is>
      </c>
      <c r="J92" s="87" t="n">
        <v>165</v>
      </c>
      <c r="K92" s="87" t="n">
        <v>149</v>
      </c>
      <c r="L92" s="87" t="n">
        <v>17</v>
      </c>
      <c r="M92" s="87" t="n">
        <v>1</v>
      </c>
      <c r="N92" s="88" t="n">
        <v>34458</v>
      </c>
      <c r="O92" s="88" t="n">
        <v>21490</v>
      </c>
      <c r="P92" s="89" t="n">
        <v>27.9</v>
      </c>
      <c r="Q92" s="87" t="n">
        <v>189</v>
      </c>
      <c r="R92" s="87" t="n">
        <v>954</v>
      </c>
      <c r="S92" s="87" t="n">
        <v>121</v>
      </c>
      <c r="T92" s="87" t="n">
        <v>5</v>
      </c>
      <c r="U92" s="89" t="n">
        <v>4.5</v>
      </c>
      <c r="V92" s="89" t="n">
        <v>1.1</v>
      </c>
      <c r="W92" s="89" t="n">
        <v>17.4</v>
      </c>
      <c r="X92" s="87" t="n">
        <v>80</v>
      </c>
      <c r="Y92" s="87" t="n">
        <v>148</v>
      </c>
      <c r="Z92" s="88" t="n">
        <v>35938</v>
      </c>
      <c r="AA92" s="26" t="n"/>
      <c r="AB92" s="86">
        <f>IF($A92="","",$A92-WEEKDAY($A92,2)+1)</f>
        <v/>
      </c>
      <c r="AC92" s="86">
        <f>IF($A92="","",DATE(YEAR($A92),MONTH($A92),1))</f>
        <v/>
      </c>
      <c r="AD92" s="90">
        <f>IF($A92="","",IFERROR($K92/$J92,0))</f>
        <v/>
      </c>
      <c r="AE92" s="90">
        <f>IF($A92="","",IFERROR($L92/$J92,0))</f>
        <v/>
      </c>
      <c r="AF92" s="90">
        <f>IF($A92="","",IFERROR($M92/$J92,0))</f>
        <v/>
      </c>
      <c r="AG92" s="88">
        <f>IF($A92="","",$N92-$O92)</f>
        <v/>
      </c>
      <c r="AH92" s="90">
        <f>IF($A92="","",IFERROR($AG92/$N92,0))</f>
        <v/>
      </c>
      <c r="AI92" s="89">
        <f>IF($A92="","",IFERROR($K92/$P92,0))</f>
        <v/>
      </c>
      <c r="AJ92" s="90">
        <f>IF($A92="","",IFERROR($S92/$R92,0))</f>
        <v/>
      </c>
      <c r="AK92" s="90">
        <f>IF($A92="","",IFERROR($T92/$J92,0))</f>
        <v/>
      </c>
      <c r="AL92" s="26">
        <f>IF($A92="","",IF(AND($AD92&gt;='01_Settings'!$B$9,$V92&lt;='01_Settings'!$B$10,$W92&lt;='01_Settings'!$B$11),"On track","Off track"))</f>
        <v/>
      </c>
      <c r="AM92" s="42">
        <f>IF($A92="","",IF($AD92&lt;'01_Settings'!$B$9,"Low completion rate; ","")&amp;IF($AE92&gt;'01_Settings'!$B$12,"High overdue rate; ","")&amp;IF($U92&lt;'01_Settings'!$B$13,"Low satisfaction; ","")&amp;IF($AH92&lt;'01_Settings'!$B$14,"Low gross margin; ","")&amp;IF($AJ92&lt;'01_Settings'!$B$15,"Low conversion rate; ","")&amp;IF($AK92&gt;'01_Settings'!$B$16,"High complaint rate; ",""))</f>
        <v/>
      </c>
    </row>
    <row r="93" ht="18" customHeight="1">
      <c r="A93" s="86" t="n">
        <v>46114</v>
      </c>
      <c r="B93" s="26" t="inlineStr">
        <is>
          <t>Digital Business Unit</t>
        </is>
      </c>
      <c r="C93" s="26" t="inlineStr">
        <is>
          <t>Finance / Expenses</t>
        </is>
      </c>
      <c r="D93" s="26" t="inlineStr">
        <is>
          <t>Standard Service</t>
        </is>
      </c>
      <c r="E93" s="26" t="inlineStr">
        <is>
          <t>Mobile app</t>
        </is>
      </c>
      <c r="F93" s="26" t="inlineStr">
        <is>
          <t>Southwest</t>
        </is>
      </c>
      <c r="G93" s="26" t="inlineStr">
        <is>
          <t>Southwest Team</t>
        </is>
      </c>
      <c r="H93" s="26" t="inlineStr">
        <is>
          <t>Matthew Anderson</t>
        </is>
      </c>
      <c r="I93" s="26" t="inlineStr">
        <is>
          <t>Existing customer</t>
        </is>
      </c>
      <c r="J93" s="87" t="n">
        <v>247</v>
      </c>
      <c r="K93" s="87" t="n">
        <v>228</v>
      </c>
      <c r="L93" s="87" t="n">
        <v>9</v>
      </c>
      <c r="M93" s="87" t="n">
        <v>1</v>
      </c>
      <c r="N93" s="88" t="n">
        <v>40374</v>
      </c>
      <c r="O93" s="88" t="n">
        <v>24910</v>
      </c>
      <c r="P93" s="89" t="n">
        <v>21.5</v>
      </c>
      <c r="Q93" s="87" t="n">
        <v>140</v>
      </c>
      <c r="R93" s="87" t="n">
        <v>2069</v>
      </c>
      <c r="S93" s="87" t="n">
        <v>269</v>
      </c>
      <c r="T93" s="87" t="n">
        <v>10</v>
      </c>
      <c r="U93" s="89" t="n">
        <v>4.1</v>
      </c>
      <c r="V93" s="89" t="n">
        <v>4.6</v>
      </c>
      <c r="W93" s="89" t="n">
        <v>8.300000000000001</v>
      </c>
      <c r="X93" s="87" t="n">
        <v>172</v>
      </c>
      <c r="Y93" s="87" t="n">
        <v>222</v>
      </c>
      <c r="Z93" s="88" t="n">
        <v>41277</v>
      </c>
      <c r="AA93" s="26" t="n"/>
      <c r="AB93" s="86">
        <f>IF($A93="","",$A93-WEEKDAY($A93,2)+1)</f>
        <v/>
      </c>
      <c r="AC93" s="86">
        <f>IF($A93="","",DATE(YEAR($A93),MONTH($A93),1))</f>
        <v/>
      </c>
      <c r="AD93" s="90">
        <f>IF($A93="","",IFERROR($K93/$J93,0))</f>
        <v/>
      </c>
      <c r="AE93" s="90">
        <f>IF($A93="","",IFERROR($L93/$J93,0))</f>
        <v/>
      </c>
      <c r="AF93" s="90">
        <f>IF($A93="","",IFERROR($M93/$J93,0))</f>
        <v/>
      </c>
      <c r="AG93" s="88">
        <f>IF($A93="","",$N93-$O93)</f>
        <v/>
      </c>
      <c r="AH93" s="90">
        <f>IF($A93="","",IFERROR($AG93/$N93,0))</f>
        <v/>
      </c>
      <c r="AI93" s="89">
        <f>IF($A93="","",IFERROR($K93/$P93,0))</f>
        <v/>
      </c>
      <c r="AJ93" s="90">
        <f>IF($A93="","",IFERROR($S93/$R93,0))</f>
        <v/>
      </c>
      <c r="AK93" s="90">
        <f>IF($A93="","",IFERROR($T93/$J93,0))</f>
        <v/>
      </c>
      <c r="AL93" s="26">
        <f>IF($A93="","",IF(AND($AD93&gt;='01_Settings'!$B$9,$V93&lt;='01_Settings'!$B$10,$W93&lt;='01_Settings'!$B$11),"On track","Off track"))</f>
        <v/>
      </c>
      <c r="AM93" s="42">
        <f>IF($A93="","",IF($AD93&lt;'01_Settings'!$B$9,"Low completion rate; ","")&amp;IF($AE93&gt;'01_Settings'!$B$12,"High overdue rate; ","")&amp;IF($U93&lt;'01_Settings'!$B$13,"Low satisfaction; ","")&amp;IF($AH93&lt;'01_Settings'!$B$14,"Low gross margin; ","")&amp;IF($AJ93&lt;'01_Settings'!$B$15,"Low conversion rate; ","")&amp;IF($AK93&gt;'01_Settings'!$B$16,"High complaint rate; ",""))</f>
        <v/>
      </c>
    </row>
    <row r="94" ht="18" customHeight="1">
      <c r="A94" s="86" t="n">
        <v>46114</v>
      </c>
      <c r="B94" s="26" t="inlineStr">
        <is>
          <t>East Coast Division</t>
        </is>
      </c>
      <c r="C94" s="26" t="inlineStr">
        <is>
          <t>E-commerce Operations</t>
        </is>
      </c>
      <c r="D94" s="26" t="inlineStr">
        <is>
          <t>Membership Program</t>
        </is>
      </c>
      <c r="E94" s="26" t="inlineStr">
        <is>
          <t>Distributor</t>
        </is>
      </c>
      <c r="F94" s="26" t="inlineStr">
        <is>
          <t>Southeast</t>
        </is>
      </c>
      <c r="G94" s="26" t="inlineStr">
        <is>
          <t>Southeast Team</t>
        </is>
      </c>
      <c r="H94" s="26" t="inlineStr">
        <is>
          <t>Matthew Anderson</t>
        </is>
      </c>
      <c r="I94" s="26" t="inlineStr">
        <is>
          <t>High-value customer</t>
        </is>
      </c>
      <c r="J94" s="87" t="n">
        <v>71</v>
      </c>
      <c r="K94" s="87" t="n">
        <v>62</v>
      </c>
      <c r="L94" s="87" t="n">
        <v>4</v>
      </c>
      <c r="M94" s="87" t="n">
        <v>3</v>
      </c>
      <c r="N94" s="88" t="n">
        <v>18046</v>
      </c>
      <c r="O94" s="88" t="n">
        <v>11441</v>
      </c>
      <c r="P94" s="89" t="n">
        <v>4.3</v>
      </c>
      <c r="Q94" s="87" t="n">
        <v>171</v>
      </c>
      <c r="R94" s="87" t="n">
        <v>1776</v>
      </c>
      <c r="S94" s="87" t="n">
        <v>202</v>
      </c>
      <c r="T94" s="87" t="n">
        <v>0</v>
      </c>
      <c r="U94" s="89" t="n">
        <v>3.9</v>
      </c>
      <c r="V94" s="89" t="n">
        <v>1.8</v>
      </c>
      <c r="W94" s="89" t="n">
        <v>28.9</v>
      </c>
      <c r="X94" s="87" t="n">
        <v>160</v>
      </c>
      <c r="Y94" s="87" t="n">
        <v>63</v>
      </c>
      <c r="Z94" s="88" t="n">
        <v>19254</v>
      </c>
      <c r="AA94" s="26" t="n"/>
      <c r="AB94" s="86">
        <f>IF($A94="","",$A94-WEEKDAY($A94,2)+1)</f>
        <v/>
      </c>
      <c r="AC94" s="86">
        <f>IF($A94="","",DATE(YEAR($A94),MONTH($A94),1))</f>
        <v/>
      </c>
      <c r="AD94" s="90">
        <f>IF($A94="","",IFERROR($K94/$J94,0))</f>
        <v/>
      </c>
      <c r="AE94" s="90">
        <f>IF($A94="","",IFERROR($L94/$J94,0))</f>
        <v/>
      </c>
      <c r="AF94" s="90">
        <f>IF($A94="","",IFERROR($M94/$J94,0))</f>
        <v/>
      </c>
      <c r="AG94" s="88">
        <f>IF($A94="","",$N94-$O94)</f>
        <v/>
      </c>
      <c r="AH94" s="90">
        <f>IF($A94="","",IFERROR($AG94/$N94,0))</f>
        <v/>
      </c>
      <c r="AI94" s="89">
        <f>IF($A94="","",IFERROR($K94/$P94,0))</f>
        <v/>
      </c>
      <c r="AJ94" s="90">
        <f>IF($A94="","",IFERROR($S94/$R94,0))</f>
        <v/>
      </c>
      <c r="AK94" s="90">
        <f>IF($A94="","",IFERROR($T94/$J94,0))</f>
        <v/>
      </c>
      <c r="AL94" s="26">
        <f>IF($A94="","",IF(AND($AD94&gt;='01_Settings'!$B$9,$V94&lt;='01_Settings'!$B$10,$W94&lt;='01_Settings'!$B$11),"On track","Off track"))</f>
        <v/>
      </c>
      <c r="AM94" s="42">
        <f>IF($A94="","",IF($AD94&lt;'01_Settings'!$B$9,"Low completion rate; ","")&amp;IF($AE94&gt;'01_Settings'!$B$12,"High overdue rate; ","")&amp;IF($U94&lt;'01_Settings'!$B$13,"Low satisfaction; ","")&amp;IF($AH94&lt;'01_Settings'!$B$14,"Low gross margin; ","")&amp;IF($AJ94&lt;'01_Settings'!$B$15,"Low conversion rate; ","")&amp;IF($AK94&gt;'01_Settings'!$B$16,"High complaint rate; ",""))</f>
        <v/>
      </c>
    </row>
    <row r="95" ht="18" customHeight="1">
      <c r="A95" s="86" t="n">
        <v>46115</v>
      </c>
      <c r="B95" s="26" t="inlineStr">
        <is>
          <t>Southeast Division</t>
        </is>
      </c>
      <c r="C95" s="26" t="inlineStr">
        <is>
          <t>Finance / Expenses</t>
        </is>
      </c>
      <c r="D95" s="26" t="inlineStr">
        <is>
          <t>After-sales Coverage</t>
        </is>
      </c>
      <c r="E95" s="26" t="inlineStr">
        <is>
          <t>Retail store</t>
        </is>
      </c>
      <c r="F95" s="26" t="inlineStr">
        <is>
          <t>Southwest</t>
        </is>
      </c>
      <c r="G95" s="26" t="inlineStr">
        <is>
          <t>Southwest Team</t>
        </is>
      </c>
      <c r="H95" s="26" t="inlineStr">
        <is>
          <t>Jessica Taylor</t>
        </is>
      </c>
      <c r="I95" s="26" t="inlineStr">
        <is>
          <t>New customer</t>
        </is>
      </c>
      <c r="J95" s="87" t="n">
        <v>151</v>
      </c>
      <c r="K95" s="87" t="n">
        <v>136</v>
      </c>
      <c r="L95" s="87" t="n">
        <v>8</v>
      </c>
      <c r="M95" s="87" t="n">
        <v>6</v>
      </c>
      <c r="N95" s="88" t="n">
        <v>15458</v>
      </c>
      <c r="O95" s="88" t="n">
        <v>11961</v>
      </c>
      <c r="P95" s="89" t="n">
        <v>27.7</v>
      </c>
      <c r="Q95" s="87" t="n">
        <v>123</v>
      </c>
      <c r="R95" s="87" t="n">
        <v>2568</v>
      </c>
      <c r="S95" s="87" t="n">
        <v>268</v>
      </c>
      <c r="T95" s="87" t="n">
        <v>1</v>
      </c>
      <c r="U95" s="89" t="n">
        <v>4.7</v>
      </c>
      <c r="V95" s="89" t="n">
        <v>3.2</v>
      </c>
      <c r="W95" s="89" t="n">
        <v>27</v>
      </c>
      <c r="X95" s="87" t="n">
        <v>154</v>
      </c>
      <c r="Y95" s="87" t="n">
        <v>135</v>
      </c>
      <c r="Z95" s="88" t="n">
        <v>16112</v>
      </c>
      <c r="AA95" s="26" t="n"/>
      <c r="AB95" s="86">
        <f>IF($A95="","",$A95-WEEKDAY($A95,2)+1)</f>
        <v/>
      </c>
      <c r="AC95" s="86">
        <f>IF($A95="","",DATE(YEAR($A95),MONTH($A95),1))</f>
        <v/>
      </c>
      <c r="AD95" s="90">
        <f>IF($A95="","",IFERROR($K95/$J95,0))</f>
        <v/>
      </c>
      <c r="AE95" s="90">
        <f>IF($A95="","",IFERROR($L95/$J95,0))</f>
        <v/>
      </c>
      <c r="AF95" s="90">
        <f>IF($A95="","",IFERROR($M95/$J95,0))</f>
        <v/>
      </c>
      <c r="AG95" s="88">
        <f>IF($A95="","",$N95-$O95)</f>
        <v/>
      </c>
      <c r="AH95" s="90">
        <f>IF($A95="","",IFERROR($AG95/$N95,0))</f>
        <v/>
      </c>
      <c r="AI95" s="89">
        <f>IF($A95="","",IFERROR($K95/$P95,0))</f>
        <v/>
      </c>
      <c r="AJ95" s="90">
        <f>IF($A95="","",IFERROR($S95/$R95,0))</f>
        <v/>
      </c>
      <c r="AK95" s="90">
        <f>IF($A95="","",IFERROR($T95/$J95,0))</f>
        <v/>
      </c>
      <c r="AL95" s="26">
        <f>IF($A95="","",IF(AND($AD95&gt;='01_Settings'!$B$9,$V95&lt;='01_Settings'!$B$10,$W95&lt;='01_Settings'!$B$11),"On track","Off track"))</f>
        <v/>
      </c>
      <c r="AM95" s="42">
        <f>IF($A95="","",IF($AD95&lt;'01_Settings'!$B$9,"Low completion rate; ","")&amp;IF($AE95&gt;'01_Settings'!$B$12,"High overdue rate; ","")&amp;IF($U95&lt;'01_Settings'!$B$13,"Low satisfaction; ","")&amp;IF($AH95&lt;'01_Settings'!$B$14,"Low gross margin; ","")&amp;IF($AJ95&lt;'01_Settings'!$B$15,"Low conversion rate; ","")&amp;IF($AK95&gt;'01_Settings'!$B$16,"High complaint rate; ",""))</f>
        <v/>
      </c>
    </row>
    <row r="96" ht="18" customHeight="1">
      <c r="A96" s="86" t="n">
        <v>46115</v>
      </c>
      <c r="B96" s="26" t="inlineStr">
        <is>
          <t>East Coast Division</t>
        </is>
      </c>
      <c r="C96" s="26" t="inlineStr">
        <is>
          <t>Growth Marketing</t>
        </is>
      </c>
      <c r="D96" s="26" t="inlineStr">
        <is>
          <t>Premium Service</t>
        </is>
      </c>
      <c r="E96" s="26" t="inlineStr">
        <is>
          <t>Distributor</t>
        </is>
      </c>
      <c r="F96" s="26" t="inlineStr">
        <is>
          <t>International</t>
        </is>
      </c>
      <c r="G96" s="26" t="inlineStr">
        <is>
          <t>International Team</t>
        </is>
      </c>
      <c r="H96" s="26" t="inlineStr">
        <is>
          <t>Emily Davis</t>
        </is>
      </c>
      <c r="I96" s="26" t="inlineStr">
        <is>
          <t>High-value customer</t>
        </is>
      </c>
      <c r="J96" s="87" t="n">
        <v>268</v>
      </c>
      <c r="K96" s="87" t="n">
        <v>237</v>
      </c>
      <c r="L96" s="87" t="n">
        <v>20</v>
      </c>
      <c r="M96" s="87" t="n">
        <v>7</v>
      </c>
      <c r="N96" s="88" t="n">
        <v>66794</v>
      </c>
      <c r="O96" s="88" t="n">
        <v>42294</v>
      </c>
      <c r="P96" s="89" t="n">
        <v>12.7</v>
      </c>
      <c r="Q96" s="87" t="n">
        <v>150</v>
      </c>
      <c r="R96" s="87" t="n">
        <v>262</v>
      </c>
      <c r="S96" s="87" t="n">
        <v>33</v>
      </c>
      <c r="T96" s="87" t="n">
        <v>7</v>
      </c>
      <c r="U96" s="89" t="n">
        <v>3.8</v>
      </c>
      <c r="V96" s="89" t="n">
        <v>2.7</v>
      </c>
      <c r="W96" s="89" t="n">
        <v>9.800000000000001</v>
      </c>
      <c r="X96" s="87" t="n">
        <v>20</v>
      </c>
      <c r="Y96" s="87" t="n">
        <v>241</v>
      </c>
      <c r="Z96" s="88" t="n">
        <v>71317</v>
      </c>
      <c r="AA96" s="26" t="n"/>
      <c r="AB96" s="86">
        <f>IF($A96="","",$A96-WEEKDAY($A96,2)+1)</f>
        <v/>
      </c>
      <c r="AC96" s="86">
        <f>IF($A96="","",DATE(YEAR($A96),MONTH($A96),1))</f>
        <v/>
      </c>
      <c r="AD96" s="90">
        <f>IF($A96="","",IFERROR($K96/$J96,0))</f>
        <v/>
      </c>
      <c r="AE96" s="90">
        <f>IF($A96="","",IFERROR($L96/$J96,0))</f>
        <v/>
      </c>
      <c r="AF96" s="90">
        <f>IF($A96="","",IFERROR($M96/$J96,0))</f>
        <v/>
      </c>
      <c r="AG96" s="88">
        <f>IF($A96="","",$N96-$O96)</f>
        <v/>
      </c>
      <c r="AH96" s="90">
        <f>IF($A96="","",IFERROR($AG96/$N96,0))</f>
        <v/>
      </c>
      <c r="AI96" s="89">
        <f>IF($A96="","",IFERROR($K96/$P96,0))</f>
        <v/>
      </c>
      <c r="AJ96" s="90">
        <f>IF($A96="","",IFERROR($S96/$R96,0))</f>
        <v/>
      </c>
      <c r="AK96" s="90">
        <f>IF($A96="","",IFERROR($T96/$J96,0))</f>
        <v/>
      </c>
      <c r="AL96" s="26">
        <f>IF($A96="","",IF(AND($AD96&gt;='01_Settings'!$B$9,$V96&lt;='01_Settings'!$B$10,$W96&lt;='01_Settings'!$B$11),"On track","Off track"))</f>
        <v/>
      </c>
      <c r="AM96" s="42">
        <f>IF($A96="","",IF($AD96&lt;'01_Settings'!$B$9,"Low completion rate; ","")&amp;IF($AE96&gt;'01_Settings'!$B$12,"High overdue rate; ","")&amp;IF($U96&lt;'01_Settings'!$B$13,"Low satisfaction; ","")&amp;IF($AH96&lt;'01_Settings'!$B$14,"Low gross margin; ","")&amp;IF($AJ96&lt;'01_Settings'!$B$15,"Low conversion rate; ","")&amp;IF($AK96&gt;'01_Settings'!$B$16,"High complaint rate; ",""))</f>
        <v/>
      </c>
    </row>
    <row r="97" ht="18" customHeight="1">
      <c r="A97" s="86" t="n">
        <v>46115</v>
      </c>
      <c r="B97" s="26" t="inlineStr">
        <is>
          <t>North Operations Center</t>
        </is>
      </c>
      <c r="C97" s="26" t="inlineStr">
        <is>
          <t>Production / Delivery</t>
        </is>
      </c>
      <c r="D97" s="26" t="inlineStr">
        <is>
          <t>Premium Service</t>
        </is>
      </c>
      <c r="E97" s="26" t="inlineStr">
        <is>
          <t>Marketplace store</t>
        </is>
      </c>
      <c r="F97" s="26" t="inlineStr">
        <is>
          <t>Southeast</t>
        </is>
      </c>
      <c r="G97" s="26" t="inlineStr">
        <is>
          <t>Southeast Team</t>
        </is>
      </c>
      <c r="H97" s="26" t="inlineStr">
        <is>
          <t>Michael Brown</t>
        </is>
      </c>
      <c r="I97" s="26" t="inlineStr">
        <is>
          <t>Standard customer</t>
        </is>
      </c>
      <c r="J97" s="87" t="n">
        <v>56</v>
      </c>
      <c r="K97" s="87" t="n">
        <v>52</v>
      </c>
      <c r="L97" s="87" t="n">
        <v>6</v>
      </c>
      <c r="M97" s="87" t="n">
        <v>1</v>
      </c>
      <c r="N97" s="88" t="n">
        <v>10718</v>
      </c>
      <c r="O97" s="88" t="n">
        <v>8768</v>
      </c>
      <c r="P97" s="89" t="n">
        <v>6</v>
      </c>
      <c r="Q97" s="87" t="n">
        <v>213</v>
      </c>
      <c r="R97" s="87" t="n">
        <v>1851</v>
      </c>
      <c r="S97" s="87" t="n">
        <v>91</v>
      </c>
      <c r="T97" s="87" t="n">
        <v>2</v>
      </c>
      <c r="U97" s="89" t="n">
        <v>4.7</v>
      </c>
      <c r="V97" s="89" t="n">
        <v>1.7</v>
      </c>
      <c r="W97" s="89" t="n">
        <v>32.1</v>
      </c>
      <c r="X97" s="87" t="n">
        <v>35</v>
      </c>
      <c r="Y97" s="87" t="n">
        <v>50</v>
      </c>
      <c r="Z97" s="88" t="n">
        <v>10821</v>
      </c>
      <c r="AA97" s="26" t="n"/>
      <c r="AB97" s="86">
        <f>IF($A97="","",$A97-WEEKDAY($A97,2)+1)</f>
        <v/>
      </c>
      <c r="AC97" s="86">
        <f>IF($A97="","",DATE(YEAR($A97),MONTH($A97),1))</f>
        <v/>
      </c>
      <c r="AD97" s="90">
        <f>IF($A97="","",IFERROR($K97/$J97,0))</f>
        <v/>
      </c>
      <c r="AE97" s="90">
        <f>IF($A97="","",IFERROR($L97/$J97,0))</f>
        <v/>
      </c>
      <c r="AF97" s="90">
        <f>IF($A97="","",IFERROR($M97/$J97,0))</f>
        <v/>
      </c>
      <c r="AG97" s="88">
        <f>IF($A97="","",$N97-$O97)</f>
        <v/>
      </c>
      <c r="AH97" s="90">
        <f>IF($A97="","",IFERROR($AG97/$N97,0))</f>
        <v/>
      </c>
      <c r="AI97" s="89">
        <f>IF($A97="","",IFERROR($K97/$P97,0))</f>
        <v/>
      </c>
      <c r="AJ97" s="90">
        <f>IF($A97="","",IFERROR($S97/$R97,0))</f>
        <v/>
      </c>
      <c r="AK97" s="90">
        <f>IF($A97="","",IFERROR($T97/$J97,0))</f>
        <v/>
      </c>
      <c r="AL97" s="26">
        <f>IF($A97="","",IF(AND($AD97&gt;='01_Settings'!$B$9,$V97&lt;='01_Settings'!$B$10,$W97&lt;='01_Settings'!$B$11),"On track","Off track"))</f>
        <v/>
      </c>
      <c r="AM97" s="42">
        <f>IF($A97="","",IF($AD97&lt;'01_Settings'!$B$9,"Low completion rate; ","")&amp;IF($AE97&gt;'01_Settings'!$B$12,"High overdue rate; ","")&amp;IF($U97&lt;'01_Settings'!$B$13,"Low satisfaction; ","")&amp;IF($AH97&lt;'01_Settings'!$B$14,"Low gross margin; ","")&amp;IF($AJ97&lt;'01_Settings'!$B$15,"Low conversion rate; ","")&amp;IF($AK97&gt;'01_Settings'!$B$16,"High complaint rate; ",""))</f>
        <v/>
      </c>
    </row>
    <row r="98" ht="18" customHeight="1">
      <c r="A98" s="86" t="n">
        <v>46116</v>
      </c>
      <c r="B98" s="26" t="inlineStr">
        <is>
          <t>East Coast Division</t>
        </is>
      </c>
      <c r="C98" s="26" t="inlineStr">
        <is>
          <t>Growth Marketing</t>
        </is>
      </c>
      <c r="D98" s="26" t="inlineStr">
        <is>
          <t>Membership Program</t>
        </is>
      </c>
      <c r="E98" s="26" t="inlineStr">
        <is>
          <t>Online</t>
        </is>
      </c>
      <c r="F98" s="26" t="inlineStr">
        <is>
          <t>Southwest</t>
        </is>
      </c>
      <c r="G98" s="26" t="inlineStr">
        <is>
          <t>Southwest Team</t>
        </is>
      </c>
      <c r="H98" s="26" t="inlineStr">
        <is>
          <t>Sarah Johnson</t>
        </is>
      </c>
      <c r="I98" s="26" t="inlineStr">
        <is>
          <t>Existing customer</t>
        </is>
      </c>
      <c r="J98" s="87" t="n">
        <v>154</v>
      </c>
      <c r="K98" s="87" t="n">
        <v>142</v>
      </c>
      <c r="L98" s="87" t="n">
        <v>11</v>
      </c>
      <c r="M98" s="87" t="n">
        <v>4</v>
      </c>
      <c r="N98" s="88" t="n">
        <v>46435</v>
      </c>
      <c r="O98" s="88" t="n">
        <v>28642</v>
      </c>
      <c r="P98" s="89" t="n">
        <v>15.5</v>
      </c>
      <c r="Q98" s="87" t="n">
        <v>161</v>
      </c>
      <c r="R98" s="87" t="n">
        <v>1033</v>
      </c>
      <c r="S98" s="87" t="n">
        <v>157</v>
      </c>
      <c r="T98" s="87" t="n">
        <v>5</v>
      </c>
      <c r="U98" s="89" t="n">
        <v>3.9</v>
      </c>
      <c r="V98" s="89" t="n">
        <v>5</v>
      </c>
      <c r="W98" s="89" t="n">
        <v>19.7</v>
      </c>
      <c r="X98" s="87" t="n">
        <v>9</v>
      </c>
      <c r="Y98" s="87" t="n">
        <v>138</v>
      </c>
      <c r="Z98" s="88" t="n">
        <v>47383</v>
      </c>
      <c r="AA98" s="26" t="n"/>
      <c r="AB98" s="86">
        <f>IF($A98="","",$A98-WEEKDAY($A98,2)+1)</f>
        <v/>
      </c>
      <c r="AC98" s="86">
        <f>IF($A98="","",DATE(YEAR($A98),MONTH($A98),1))</f>
        <v/>
      </c>
      <c r="AD98" s="90">
        <f>IF($A98="","",IFERROR($K98/$J98,0))</f>
        <v/>
      </c>
      <c r="AE98" s="90">
        <f>IF($A98="","",IFERROR($L98/$J98,0))</f>
        <v/>
      </c>
      <c r="AF98" s="90">
        <f>IF($A98="","",IFERROR($M98/$J98,0))</f>
        <v/>
      </c>
      <c r="AG98" s="88">
        <f>IF($A98="","",$N98-$O98)</f>
        <v/>
      </c>
      <c r="AH98" s="90">
        <f>IF($A98="","",IFERROR($AG98/$N98,0))</f>
        <v/>
      </c>
      <c r="AI98" s="89">
        <f>IF($A98="","",IFERROR($K98/$P98,0))</f>
        <v/>
      </c>
      <c r="AJ98" s="90">
        <f>IF($A98="","",IFERROR($S98/$R98,0))</f>
        <v/>
      </c>
      <c r="AK98" s="90">
        <f>IF($A98="","",IFERROR($T98/$J98,0))</f>
        <v/>
      </c>
      <c r="AL98" s="26">
        <f>IF($A98="","",IF(AND($AD98&gt;='01_Settings'!$B$9,$V98&lt;='01_Settings'!$B$10,$W98&lt;='01_Settings'!$B$11),"On track","Off track"))</f>
        <v/>
      </c>
      <c r="AM98" s="42">
        <f>IF($A98="","",IF($AD98&lt;'01_Settings'!$B$9,"Low completion rate; ","")&amp;IF($AE98&gt;'01_Settings'!$B$12,"High overdue rate; ","")&amp;IF($U98&lt;'01_Settings'!$B$13,"Low satisfaction; ","")&amp;IF($AH98&lt;'01_Settings'!$B$14,"Low gross margin; ","")&amp;IF($AJ98&lt;'01_Settings'!$B$15,"Low conversion rate; ","")&amp;IF($AK98&gt;'01_Settings'!$B$16,"High complaint rate; ",""))</f>
        <v/>
      </c>
    </row>
    <row r="99" ht="18" customHeight="1">
      <c r="A99" s="86" t="n">
        <v>46116</v>
      </c>
      <c r="B99" s="26" t="inlineStr">
        <is>
          <t>East Coast Division</t>
        </is>
      </c>
      <c r="C99" s="26" t="inlineStr">
        <is>
          <t>Production / Delivery</t>
        </is>
      </c>
      <c r="D99" s="26" t="inlineStr">
        <is>
          <t>Enterprise customers</t>
        </is>
      </c>
      <c r="E99" s="26" t="inlineStr">
        <is>
          <t>Online</t>
        </is>
      </c>
      <c r="F99" s="26" t="inlineStr">
        <is>
          <t>International</t>
        </is>
      </c>
      <c r="G99" s="26" t="inlineStr">
        <is>
          <t>International Team</t>
        </is>
      </c>
      <c r="H99" s="26" t="inlineStr">
        <is>
          <t>Matthew Anderson</t>
        </is>
      </c>
      <c r="I99" s="26" t="inlineStr">
        <is>
          <t>Existing customer</t>
        </is>
      </c>
      <c r="J99" s="87" t="n">
        <v>74</v>
      </c>
      <c r="K99" s="87" t="n">
        <v>68</v>
      </c>
      <c r="L99" s="87" t="n">
        <v>7</v>
      </c>
      <c r="M99" s="87" t="n">
        <v>0</v>
      </c>
      <c r="N99" s="88" t="n">
        <v>6342</v>
      </c>
      <c r="O99" s="88" t="n">
        <v>4240</v>
      </c>
      <c r="P99" s="89" t="n">
        <v>9.6</v>
      </c>
      <c r="Q99" s="87" t="n">
        <v>48</v>
      </c>
      <c r="R99" s="87" t="n">
        <v>721</v>
      </c>
      <c r="S99" s="87" t="n">
        <v>72</v>
      </c>
      <c r="T99" s="87" t="n">
        <v>1</v>
      </c>
      <c r="U99" s="89" t="n">
        <v>4.6</v>
      </c>
      <c r="V99" s="89" t="n">
        <v>4.7</v>
      </c>
      <c r="W99" s="89" t="n">
        <v>16.9</v>
      </c>
      <c r="X99" s="87" t="n">
        <v>158</v>
      </c>
      <c r="Y99" s="87" t="n">
        <v>66</v>
      </c>
      <c r="Z99" s="88" t="n">
        <v>6464</v>
      </c>
      <c r="AA99" s="26" t="n"/>
      <c r="AB99" s="86">
        <f>IF($A99="","",$A99-WEEKDAY($A99,2)+1)</f>
        <v/>
      </c>
      <c r="AC99" s="86">
        <f>IF($A99="","",DATE(YEAR($A99),MONTH($A99),1))</f>
        <v/>
      </c>
      <c r="AD99" s="90">
        <f>IF($A99="","",IFERROR($K99/$J99,0))</f>
        <v/>
      </c>
      <c r="AE99" s="90">
        <f>IF($A99="","",IFERROR($L99/$J99,0))</f>
        <v/>
      </c>
      <c r="AF99" s="90">
        <f>IF($A99="","",IFERROR($M99/$J99,0))</f>
        <v/>
      </c>
      <c r="AG99" s="88">
        <f>IF($A99="","",$N99-$O99)</f>
        <v/>
      </c>
      <c r="AH99" s="90">
        <f>IF($A99="","",IFERROR($AG99/$N99,0))</f>
        <v/>
      </c>
      <c r="AI99" s="89">
        <f>IF($A99="","",IFERROR($K99/$P99,0))</f>
        <v/>
      </c>
      <c r="AJ99" s="90">
        <f>IF($A99="","",IFERROR($S99/$R99,0))</f>
        <v/>
      </c>
      <c r="AK99" s="90">
        <f>IF($A99="","",IFERROR($T99/$J99,0))</f>
        <v/>
      </c>
      <c r="AL99" s="26">
        <f>IF($A99="","",IF(AND($AD99&gt;='01_Settings'!$B$9,$V99&lt;='01_Settings'!$B$10,$W99&lt;='01_Settings'!$B$11),"On track","Off track"))</f>
        <v/>
      </c>
      <c r="AM99" s="42">
        <f>IF($A99="","",IF($AD99&lt;'01_Settings'!$B$9,"Low completion rate; ","")&amp;IF($AE99&gt;'01_Settings'!$B$12,"High overdue rate; ","")&amp;IF($U99&lt;'01_Settings'!$B$13,"Low satisfaction; ","")&amp;IF($AH99&lt;'01_Settings'!$B$14,"Low gross margin; ","")&amp;IF($AJ99&lt;'01_Settings'!$B$15,"Low conversion rate; ","")&amp;IF($AK99&gt;'01_Settings'!$B$16,"High complaint rate; ",""))</f>
        <v/>
      </c>
    </row>
    <row r="100" ht="18" customHeight="1">
      <c r="A100" s="86" t="n">
        <v>46116</v>
      </c>
      <c r="B100" s="26" t="inlineStr">
        <is>
          <t>Southeast Division</t>
        </is>
      </c>
      <c r="C100" s="26" t="inlineStr">
        <is>
          <t>Sales Operations</t>
        </is>
      </c>
      <c r="D100" s="26" t="inlineStr">
        <is>
          <t>Enterprise customers</t>
        </is>
      </c>
      <c r="E100" s="26" t="inlineStr">
        <is>
          <t>Email</t>
        </is>
      </c>
      <c r="F100" s="26" t="inlineStr">
        <is>
          <t>Midwest</t>
        </is>
      </c>
      <c r="G100" s="26" t="inlineStr">
        <is>
          <t>Midwest Team</t>
        </is>
      </c>
      <c r="H100" s="26" t="inlineStr">
        <is>
          <t>Robert Thomas</t>
        </is>
      </c>
      <c r="I100" s="26" t="inlineStr">
        <is>
          <t>Existing customer</t>
        </is>
      </c>
      <c r="J100" s="87" t="n">
        <v>194</v>
      </c>
      <c r="K100" s="87" t="n">
        <v>167</v>
      </c>
      <c r="L100" s="87" t="n">
        <v>14</v>
      </c>
      <c r="M100" s="87" t="n">
        <v>5</v>
      </c>
      <c r="N100" s="88" t="n">
        <v>50194</v>
      </c>
      <c r="O100" s="88" t="n">
        <v>29980</v>
      </c>
      <c r="P100" s="89" t="n">
        <v>27.6</v>
      </c>
      <c r="Q100" s="87" t="n">
        <v>304</v>
      </c>
      <c r="R100" s="87" t="n">
        <v>2434</v>
      </c>
      <c r="S100" s="87" t="n">
        <v>111</v>
      </c>
      <c r="T100" s="87" t="n">
        <v>3</v>
      </c>
      <c r="U100" s="89" t="n">
        <v>4.4</v>
      </c>
      <c r="V100" s="89" t="n">
        <v>2.9</v>
      </c>
      <c r="W100" s="89" t="n">
        <v>22.7</v>
      </c>
      <c r="X100" s="87" t="n">
        <v>111</v>
      </c>
      <c r="Y100" s="87" t="n">
        <v>174</v>
      </c>
      <c r="Z100" s="88" t="n">
        <v>54913</v>
      </c>
      <c r="AA100" s="26" t="n"/>
      <c r="AB100" s="86">
        <f>IF($A100="","",$A100-WEEKDAY($A100,2)+1)</f>
        <v/>
      </c>
      <c r="AC100" s="86">
        <f>IF($A100="","",DATE(YEAR($A100),MONTH($A100),1))</f>
        <v/>
      </c>
      <c r="AD100" s="90">
        <f>IF($A100="","",IFERROR($K100/$J100,0))</f>
        <v/>
      </c>
      <c r="AE100" s="90">
        <f>IF($A100="","",IFERROR($L100/$J100,0))</f>
        <v/>
      </c>
      <c r="AF100" s="90">
        <f>IF($A100="","",IFERROR($M100/$J100,0))</f>
        <v/>
      </c>
      <c r="AG100" s="88">
        <f>IF($A100="","",$N100-$O100)</f>
        <v/>
      </c>
      <c r="AH100" s="90">
        <f>IF($A100="","",IFERROR($AG100/$N100,0))</f>
        <v/>
      </c>
      <c r="AI100" s="89">
        <f>IF($A100="","",IFERROR($K100/$P100,0))</f>
        <v/>
      </c>
      <c r="AJ100" s="90">
        <f>IF($A100="","",IFERROR($S100/$R100,0))</f>
        <v/>
      </c>
      <c r="AK100" s="90">
        <f>IF($A100="","",IFERROR($T100/$J100,0))</f>
        <v/>
      </c>
      <c r="AL100" s="26">
        <f>IF($A100="","",IF(AND($AD100&gt;='01_Settings'!$B$9,$V100&lt;='01_Settings'!$B$10,$W100&lt;='01_Settings'!$B$11),"On track","Off track"))</f>
        <v/>
      </c>
      <c r="AM100" s="42">
        <f>IF($A100="","",IF($AD100&lt;'01_Settings'!$B$9,"Low completion rate; ","")&amp;IF($AE100&gt;'01_Settings'!$B$12,"High overdue rate; ","")&amp;IF($U100&lt;'01_Settings'!$B$13,"Low satisfaction; ","")&amp;IF($AH100&lt;'01_Settings'!$B$14,"Low gross margin; ","")&amp;IF($AJ100&lt;'01_Settings'!$B$15,"Low conversion rate; ","")&amp;IF($AK100&gt;'01_Settings'!$B$16,"High complaint rate; ",""))</f>
        <v/>
      </c>
    </row>
    <row r="101" ht="18" customHeight="1">
      <c r="A101" s="86" t="n">
        <v>46117</v>
      </c>
      <c r="B101" s="26" t="inlineStr">
        <is>
          <t>Southeast Division</t>
        </is>
      </c>
      <c r="C101" s="26" t="inlineStr">
        <is>
          <t>Production / Delivery</t>
        </is>
      </c>
      <c r="D101" s="26" t="inlineStr">
        <is>
          <t>Membership Program</t>
        </is>
      </c>
      <c r="E101" s="26" t="inlineStr">
        <is>
          <t>Email</t>
        </is>
      </c>
      <c r="F101" s="26" t="inlineStr">
        <is>
          <t>Southeast</t>
        </is>
      </c>
      <c r="G101" s="26" t="inlineStr">
        <is>
          <t>Southeast Team</t>
        </is>
      </c>
      <c r="H101" s="26" t="inlineStr">
        <is>
          <t>John Miller</t>
        </is>
      </c>
      <c r="I101" s="26" t="inlineStr">
        <is>
          <t>Enterprise customers</t>
        </is>
      </c>
      <c r="J101" s="87" t="n">
        <v>282</v>
      </c>
      <c r="K101" s="87" t="n">
        <v>267</v>
      </c>
      <c r="L101" s="87" t="n">
        <v>31</v>
      </c>
      <c r="M101" s="87" t="n">
        <v>7</v>
      </c>
      <c r="N101" s="88" t="n">
        <v>98880</v>
      </c>
      <c r="O101" s="88" t="n">
        <v>69262</v>
      </c>
      <c r="P101" s="89" t="n">
        <v>19.4</v>
      </c>
      <c r="Q101" s="87" t="n">
        <v>144</v>
      </c>
      <c r="R101" s="87" t="n">
        <v>1288</v>
      </c>
      <c r="S101" s="87" t="n">
        <v>82</v>
      </c>
      <c r="T101" s="87" t="n">
        <v>8</v>
      </c>
      <c r="U101" s="89" t="n">
        <v>4.7</v>
      </c>
      <c r="V101" s="89" t="n">
        <v>5.2</v>
      </c>
      <c r="W101" s="89" t="n">
        <v>10.6</v>
      </c>
      <c r="X101" s="87" t="n">
        <v>53</v>
      </c>
      <c r="Y101" s="87" t="n">
        <v>253</v>
      </c>
      <c r="Z101" s="88" t="n">
        <v>98380</v>
      </c>
      <c r="AA101" s="26" t="n"/>
      <c r="AB101" s="86">
        <f>IF($A101="","",$A101-WEEKDAY($A101,2)+1)</f>
        <v/>
      </c>
      <c r="AC101" s="86">
        <f>IF($A101="","",DATE(YEAR($A101),MONTH($A101),1))</f>
        <v/>
      </c>
      <c r="AD101" s="90">
        <f>IF($A101="","",IFERROR($K101/$J101,0))</f>
        <v/>
      </c>
      <c r="AE101" s="90">
        <f>IF($A101="","",IFERROR($L101/$J101,0))</f>
        <v/>
      </c>
      <c r="AF101" s="90">
        <f>IF($A101="","",IFERROR($M101/$J101,0))</f>
        <v/>
      </c>
      <c r="AG101" s="88">
        <f>IF($A101="","",$N101-$O101)</f>
        <v/>
      </c>
      <c r="AH101" s="90">
        <f>IF($A101="","",IFERROR($AG101/$N101,0))</f>
        <v/>
      </c>
      <c r="AI101" s="89">
        <f>IF($A101="","",IFERROR($K101/$P101,0))</f>
        <v/>
      </c>
      <c r="AJ101" s="90">
        <f>IF($A101="","",IFERROR($S101/$R101,0))</f>
        <v/>
      </c>
      <c r="AK101" s="90">
        <f>IF($A101="","",IFERROR($T101/$J101,0))</f>
        <v/>
      </c>
      <c r="AL101" s="26">
        <f>IF($A101="","",IF(AND($AD101&gt;='01_Settings'!$B$9,$V101&lt;='01_Settings'!$B$10,$W101&lt;='01_Settings'!$B$11),"On track","Off track"))</f>
        <v/>
      </c>
      <c r="AM101" s="42">
        <f>IF($A101="","",IF($AD101&lt;'01_Settings'!$B$9,"Low completion rate; ","")&amp;IF($AE101&gt;'01_Settings'!$B$12,"High overdue rate; ","")&amp;IF($U101&lt;'01_Settings'!$B$13,"Low satisfaction; ","")&amp;IF($AH101&lt;'01_Settings'!$B$14,"Low gross margin; ","")&amp;IF($AJ101&lt;'01_Settings'!$B$15,"Low conversion rate; ","")&amp;IF($AK101&gt;'01_Settings'!$B$16,"High complaint rate; ",""))</f>
        <v/>
      </c>
    </row>
    <row r="102" ht="18" customHeight="1">
      <c r="A102" s="86" t="n">
        <v>46117</v>
      </c>
      <c r="B102" s="26" t="inlineStr">
        <is>
          <t>East Coast Division</t>
        </is>
      </c>
      <c r="C102" s="26" t="inlineStr">
        <is>
          <t>Supply Chain / Inventory</t>
        </is>
      </c>
      <c r="D102" s="26" t="inlineStr">
        <is>
          <t>Premium Service</t>
        </is>
      </c>
      <c r="E102" s="26" t="inlineStr">
        <is>
          <t>Retail store</t>
        </is>
      </c>
      <c r="F102" s="26" t="inlineStr">
        <is>
          <t>International</t>
        </is>
      </c>
      <c r="G102" s="26" t="inlineStr">
        <is>
          <t>International Team</t>
        </is>
      </c>
      <c r="H102" s="26" t="inlineStr">
        <is>
          <t>Sarah Johnson</t>
        </is>
      </c>
      <c r="I102" s="26" t="inlineStr">
        <is>
          <t>High-value customer</t>
        </is>
      </c>
      <c r="J102" s="87" t="n">
        <v>233</v>
      </c>
      <c r="K102" s="87" t="n">
        <v>218</v>
      </c>
      <c r="L102" s="87" t="n">
        <v>17</v>
      </c>
      <c r="M102" s="87" t="n">
        <v>5</v>
      </c>
      <c r="N102" s="88" t="n">
        <v>74304</v>
      </c>
      <c r="O102" s="88" t="n">
        <v>47547</v>
      </c>
      <c r="P102" s="89" t="n">
        <v>46.4</v>
      </c>
      <c r="Q102" s="87" t="n">
        <v>27</v>
      </c>
      <c r="R102" s="87" t="n">
        <v>994</v>
      </c>
      <c r="S102" s="87" t="n">
        <v>151</v>
      </c>
      <c r="T102" s="87" t="n">
        <v>10</v>
      </c>
      <c r="U102" s="89" t="n">
        <v>3.9</v>
      </c>
      <c r="V102" s="89" t="n">
        <v>6</v>
      </c>
      <c r="W102" s="89" t="n">
        <v>21.4</v>
      </c>
      <c r="X102" s="87" t="n">
        <v>67</v>
      </c>
      <c r="Y102" s="87" t="n">
        <v>209</v>
      </c>
      <c r="Z102" s="88" t="n">
        <v>74798</v>
      </c>
      <c r="AA102" s="26" t="n"/>
      <c r="AB102" s="86">
        <f>IF($A102="","",$A102-WEEKDAY($A102,2)+1)</f>
        <v/>
      </c>
      <c r="AC102" s="86">
        <f>IF($A102="","",DATE(YEAR($A102),MONTH($A102),1))</f>
        <v/>
      </c>
      <c r="AD102" s="90">
        <f>IF($A102="","",IFERROR($K102/$J102,0))</f>
        <v/>
      </c>
      <c r="AE102" s="90">
        <f>IF($A102="","",IFERROR($L102/$J102,0))</f>
        <v/>
      </c>
      <c r="AF102" s="90">
        <f>IF($A102="","",IFERROR($M102/$J102,0))</f>
        <v/>
      </c>
      <c r="AG102" s="88">
        <f>IF($A102="","",$N102-$O102)</f>
        <v/>
      </c>
      <c r="AH102" s="90">
        <f>IF($A102="","",IFERROR($AG102/$N102,0))</f>
        <v/>
      </c>
      <c r="AI102" s="89">
        <f>IF($A102="","",IFERROR($K102/$P102,0))</f>
        <v/>
      </c>
      <c r="AJ102" s="90">
        <f>IF($A102="","",IFERROR($S102/$R102,0))</f>
        <v/>
      </c>
      <c r="AK102" s="90">
        <f>IF($A102="","",IFERROR($T102/$J102,0))</f>
        <v/>
      </c>
      <c r="AL102" s="26">
        <f>IF($A102="","",IF(AND($AD102&gt;='01_Settings'!$B$9,$V102&lt;='01_Settings'!$B$10,$W102&lt;='01_Settings'!$B$11),"On track","Off track"))</f>
        <v/>
      </c>
      <c r="AM102" s="42">
        <f>IF($A102="","",IF($AD102&lt;'01_Settings'!$B$9,"Low completion rate; ","")&amp;IF($AE102&gt;'01_Settings'!$B$12,"High overdue rate; ","")&amp;IF($U102&lt;'01_Settings'!$B$13,"Low satisfaction; ","")&amp;IF($AH102&lt;'01_Settings'!$B$14,"Low gross margin; ","")&amp;IF($AJ102&lt;'01_Settings'!$B$15,"Low conversion rate; ","")&amp;IF($AK102&gt;'01_Settings'!$B$16,"High complaint rate; ",""))</f>
        <v/>
      </c>
    </row>
    <row r="103" ht="18" customHeight="1">
      <c r="A103" s="86" t="n">
        <v>46117</v>
      </c>
      <c r="B103" s="26" t="inlineStr">
        <is>
          <t>North Operations Center</t>
        </is>
      </c>
      <c r="C103" s="26" t="inlineStr">
        <is>
          <t>Sales Operations</t>
        </is>
      </c>
      <c r="D103" s="26" t="inlineStr">
        <is>
          <t>Enterprise customers</t>
        </is>
      </c>
      <c r="E103" s="26" t="inlineStr">
        <is>
          <t>Team chat</t>
        </is>
      </c>
      <c r="F103" s="26" t="inlineStr">
        <is>
          <t>Southwest</t>
        </is>
      </c>
      <c r="G103" s="26" t="inlineStr">
        <is>
          <t>Southwest Team</t>
        </is>
      </c>
      <c r="H103" s="26" t="inlineStr">
        <is>
          <t>Michael Brown</t>
        </is>
      </c>
      <c r="I103" s="26" t="inlineStr">
        <is>
          <t>New customer</t>
        </is>
      </c>
      <c r="J103" s="87" t="n">
        <v>162</v>
      </c>
      <c r="K103" s="87" t="n">
        <v>146</v>
      </c>
      <c r="L103" s="87" t="n">
        <v>9</v>
      </c>
      <c r="M103" s="87" t="n">
        <v>2</v>
      </c>
      <c r="N103" s="88" t="n">
        <v>34141</v>
      </c>
      <c r="O103" s="88" t="n">
        <v>23361</v>
      </c>
      <c r="P103" s="89" t="n">
        <v>9.699999999999999</v>
      </c>
      <c r="Q103" s="87" t="n">
        <v>389</v>
      </c>
      <c r="R103" s="87" t="n">
        <v>2412</v>
      </c>
      <c r="S103" s="87" t="n">
        <v>316</v>
      </c>
      <c r="T103" s="87" t="n">
        <v>2</v>
      </c>
      <c r="U103" s="89" t="n">
        <v>4</v>
      </c>
      <c r="V103" s="89" t="n">
        <v>2.6</v>
      </c>
      <c r="W103" s="89" t="n">
        <v>9.300000000000001</v>
      </c>
      <c r="X103" s="87" t="n">
        <v>61</v>
      </c>
      <c r="Y103" s="87" t="n">
        <v>145</v>
      </c>
      <c r="Z103" s="88" t="n">
        <v>35603</v>
      </c>
      <c r="AA103" s="26" t="n"/>
      <c r="AB103" s="86">
        <f>IF($A103="","",$A103-WEEKDAY($A103,2)+1)</f>
        <v/>
      </c>
      <c r="AC103" s="86">
        <f>IF($A103="","",DATE(YEAR($A103),MONTH($A103),1))</f>
        <v/>
      </c>
      <c r="AD103" s="90">
        <f>IF($A103="","",IFERROR($K103/$J103,0))</f>
        <v/>
      </c>
      <c r="AE103" s="90">
        <f>IF($A103="","",IFERROR($L103/$J103,0))</f>
        <v/>
      </c>
      <c r="AF103" s="90">
        <f>IF($A103="","",IFERROR($M103/$J103,0))</f>
        <v/>
      </c>
      <c r="AG103" s="88">
        <f>IF($A103="","",$N103-$O103)</f>
        <v/>
      </c>
      <c r="AH103" s="90">
        <f>IF($A103="","",IFERROR($AG103/$N103,0))</f>
        <v/>
      </c>
      <c r="AI103" s="89">
        <f>IF($A103="","",IFERROR($K103/$P103,0))</f>
        <v/>
      </c>
      <c r="AJ103" s="90">
        <f>IF($A103="","",IFERROR($S103/$R103,0))</f>
        <v/>
      </c>
      <c r="AK103" s="90">
        <f>IF($A103="","",IFERROR($T103/$J103,0))</f>
        <v/>
      </c>
      <c r="AL103" s="26">
        <f>IF($A103="","",IF(AND($AD103&gt;='01_Settings'!$B$9,$V103&lt;='01_Settings'!$B$10,$W103&lt;='01_Settings'!$B$11),"On track","Off track"))</f>
        <v/>
      </c>
      <c r="AM103" s="42">
        <f>IF($A103="","",IF($AD103&lt;'01_Settings'!$B$9,"Low completion rate; ","")&amp;IF($AE103&gt;'01_Settings'!$B$12,"High overdue rate; ","")&amp;IF($U103&lt;'01_Settings'!$B$13,"Low satisfaction; ","")&amp;IF($AH103&lt;'01_Settings'!$B$14,"Low gross margin; ","")&amp;IF($AJ103&lt;'01_Settings'!$B$15,"Low conversion rate; ","")&amp;IF($AK103&gt;'01_Settings'!$B$16,"High complaint rate; ",""))</f>
        <v/>
      </c>
    </row>
    <row r="104" ht="18" customHeight="1">
      <c r="A104" s="86" t="n">
        <v>46118</v>
      </c>
      <c r="B104" s="26" t="inlineStr">
        <is>
          <t>North Operations Center</t>
        </is>
      </c>
      <c r="C104" s="26" t="inlineStr">
        <is>
          <t>Production / Delivery</t>
        </is>
      </c>
      <c r="D104" s="26" t="inlineStr">
        <is>
          <t>Premium Service</t>
        </is>
      </c>
      <c r="E104" s="26" t="inlineStr">
        <is>
          <t>Phone</t>
        </is>
      </c>
      <c r="F104" s="26" t="inlineStr">
        <is>
          <t>Midwest</t>
        </is>
      </c>
      <c r="G104" s="26" t="inlineStr">
        <is>
          <t>Midwest Team</t>
        </is>
      </c>
      <c r="H104" s="26" t="inlineStr">
        <is>
          <t>John Miller</t>
        </is>
      </c>
      <c r="I104" s="26" t="inlineStr">
        <is>
          <t>Standard customer</t>
        </is>
      </c>
      <c r="J104" s="87" t="n">
        <v>253</v>
      </c>
      <c r="K104" s="87" t="n">
        <v>216</v>
      </c>
      <c r="L104" s="87" t="n">
        <v>19</v>
      </c>
      <c r="M104" s="87" t="n">
        <v>3</v>
      </c>
      <c r="N104" s="88" t="n">
        <v>52962</v>
      </c>
      <c r="O104" s="88" t="n">
        <v>42620</v>
      </c>
      <c r="P104" s="89" t="n">
        <v>23.2</v>
      </c>
      <c r="Q104" s="87" t="n">
        <v>270</v>
      </c>
      <c r="R104" s="87" t="n">
        <v>2379</v>
      </c>
      <c r="S104" s="87" t="n">
        <v>226</v>
      </c>
      <c r="T104" s="87" t="n">
        <v>8</v>
      </c>
      <c r="U104" s="89" t="n">
        <v>4.2</v>
      </c>
      <c r="V104" s="89" t="n">
        <v>1.7</v>
      </c>
      <c r="W104" s="89" t="n">
        <v>23.3</v>
      </c>
      <c r="X104" s="87" t="n">
        <v>52</v>
      </c>
      <c r="Y104" s="87" t="n">
        <v>227</v>
      </c>
      <c r="Z104" s="88" t="n">
        <v>58442</v>
      </c>
      <c r="AA104" s="26" t="n"/>
      <c r="AB104" s="86">
        <f>IF($A104="","",$A104-WEEKDAY($A104,2)+1)</f>
        <v/>
      </c>
      <c r="AC104" s="86">
        <f>IF($A104="","",DATE(YEAR($A104),MONTH($A104),1))</f>
        <v/>
      </c>
      <c r="AD104" s="90">
        <f>IF($A104="","",IFERROR($K104/$J104,0))</f>
        <v/>
      </c>
      <c r="AE104" s="90">
        <f>IF($A104="","",IFERROR($L104/$J104,0))</f>
        <v/>
      </c>
      <c r="AF104" s="90">
        <f>IF($A104="","",IFERROR($M104/$J104,0))</f>
        <v/>
      </c>
      <c r="AG104" s="88">
        <f>IF($A104="","",$N104-$O104)</f>
        <v/>
      </c>
      <c r="AH104" s="90">
        <f>IF($A104="","",IFERROR($AG104/$N104,0))</f>
        <v/>
      </c>
      <c r="AI104" s="89">
        <f>IF($A104="","",IFERROR($K104/$P104,0))</f>
        <v/>
      </c>
      <c r="AJ104" s="90">
        <f>IF($A104="","",IFERROR($S104/$R104,0))</f>
        <v/>
      </c>
      <c r="AK104" s="90">
        <f>IF($A104="","",IFERROR($T104/$J104,0))</f>
        <v/>
      </c>
      <c r="AL104" s="26">
        <f>IF($A104="","",IF(AND($AD104&gt;='01_Settings'!$B$9,$V104&lt;='01_Settings'!$B$10,$W104&lt;='01_Settings'!$B$11),"On track","Off track"))</f>
        <v/>
      </c>
      <c r="AM104" s="42">
        <f>IF($A104="","",IF($AD104&lt;'01_Settings'!$B$9,"Low completion rate; ","")&amp;IF($AE104&gt;'01_Settings'!$B$12,"High overdue rate; ","")&amp;IF($U104&lt;'01_Settings'!$B$13,"Low satisfaction; ","")&amp;IF($AH104&lt;'01_Settings'!$B$14,"Low gross margin; ","")&amp;IF($AJ104&lt;'01_Settings'!$B$15,"Low conversion rate; ","")&amp;IF($AK104&gt;'01_Settings'!$B$16,"High complaint rate; ",""))</f>
        <v/>
      </c>
    </row>
    <row r="105" ht="18" customHeight="1">
      <c r="A105" s="86" t="n">
        <v>46118</v>
      </c>
      <c r="B105" s="26" t="inlineStr">
        <is>
          <t>East Coast Division</t>
        </is>
      </c>
      <c r="C105" s="26" t="inlineStr">
        <is>
          <t>Finance / Expenses</t>
        </is>
      </c>
      <c r="D105" s="26" t="inlineStr">
        <is>
          <t>Standard Service</t>
        </is>
      </c>
      <c r="E105" s="26" t="inlineStr">
        <is>
          <t>Online</t>
        </is>
      </c>
      <c r="F105" s="26" t="inlineStr">
        <is>
          <t>Southwest</t>
        </is>
      </c>
      <c r="G105" s="26" t="inlineStr">
        <is>
          <t>Southwest Team</t>
        </is>
      </c>
      <c r="H105" s="26" t="inlineStr">
        <is>
          <t>David Wilson</t>
        </is>
      </c>
      <c r="I105" s="26" t="inlineStr">
        <is>
          <t>New customer</t>
        </is>
      </c>
      <c r="J105" s="87" t="n">
        <v>57</v>
      </c>
      <c r="K105" s="87" t="n">
        <v>47</v>
      </c>
      <c r="L105" s="87" t="n">
        <v>4</v>
      </c>
      <c r="M105" s="87" t="n">
        <v>0</v>
      </c>
      <c r="N105" s="88" t="n">
        <v>5890</v>
      </c>
      <c r="O105" s="88" t="n">
        <v>3587</v>
      </c>
      <c r="P105" s="89" t="n">
        <v>6</v>
      </c>
      <c r="Q105" s="87" t="n">
        <v>50</v>
      </c>
      <c r="R105" s="87" t="n">
        <v>2129</v>
      </c>
      <c r="S105" s="87" t="n">
        <v>253</v>
      </c>
      <c r="T105" s="87" t="n">
        <v>0</v>
      </c>
      <c r="U105" s="89" t="n">
        <v>4.3</v>
      </c>
      <c r="V105" s="89" t="n">
        <v>3.1</v>
      </c>
      <c r="W105" s="89" t="n">
        <v>8.5</v>
      </c>
      <c r="X105" s="87" t="n">
        <v>75</v>
      </c>
      <c r="Y105" s="87" t="n">
        <v>51</v>
      </c>
      <c r="Z105" s="88" t="n">
        <v>6710</v>
      </c>
      <c r="AA105" s="26" t="n"/>
      <c r="AB105" s="86">
        <f>IF($A105="","",$A105-WEEKDAY($A105,2)+1)</f>
        <v/>
      </c>
      <c r="AC105" s="86">
        <f>IF($A105="","",DATE(YEAR($A105),MONTH($A105),1))</f>
        <v/>
      </c>
      <c r="AD105" s="90">
        <f>IF($A105="","",IFERROR($K105/$J105,0))</f>
        <v/>
      </c>
      <c r="AE105" s="90">
        <f>IF($A105="","",IFERROR($L105/$J105,0))</f>
        <v/>
      </c>
      <c r="AF105" s="90">
        <f>IF($A105="","",IFERROR($M105/$J105,0))</f>
        <v/>
      </c>
      <c r="AG105" s="88">
        <f>IF($A105="","",$N105-$O105)</f>
        <v/>
      </c>
      <c r="AH105" s="90">
        <f>IF($A105="","",IFERROR($AG105/$N105,0))</f>
        <v/>
      </c>
      <c r="AI105" s="89">
        <f>IF($A105="","",IFERROR($K105/$P105,0))</f>
        <v/>
      </c>
      <c r="AJ105" s="90">
        <f>IF($A105="","",IFERROR($S105/$R105,0))</f>
        <v/>
      </c>
      <c r="AK105" s="90">
        <f>IF($A105="","",IFERROR($T105/$J105,0))</f>
        <v/>
      </c>
      <c r="AL105" s="26">
        <f>IF($A105="","",IF(AND($AD105&gt;='01_Settings'!$B$9,$V105&lt;='01_Settings'!$B$10,$W105&lt;='01_Settings'!$B$11),"On track","Off track"))</f>
        <v/>
      </c>
      <c r="AM105" s="42">
        <f>IF($A105="","",IF($AD105&lt;'01_Settings'!$B$9,"Low completion rate; ","")&amp;IF($AE105&gt;'01_Settings'!$B$12,"High overdue rate; ","")&amp;IF($U105&lt;'01_Settings'!$B$13,"Low satisfaction; ","")&amp;IF($AH105&lt;'01_Settings'!$B$14,"Low gross margin; ","")&amp;IF($AJ105&lt;'01_Settings'!$B$15,"Low conversion rate; ","")&amp;IF($AK105&gt;'01_Settings'!$B$16,"High complaint rate; ",""))</f>
        <v/>
      </c>
    </row>
    <row r="106" ht="18" customHeight="1">
      <c r="A106" s="86" t="n">
        <v>46118</v>
      </c>
      <c r="B106" s="26" t="inlineStr">
        <is>
          <t>Digital Business Unit</t>
        </is>
      </c>
      <c r="C106" s="26" t="inlineStr">
        <is>
          <t>Growth Marketing</t>
        </is>
      </c>
      <c r="D106" s="26" t="inlineStr">
        <is>
          <t>Standard Service</t>
        </is>
      </c>
      <c r="E106" s="26" t="inlineStr">
        <is>
          <t>Phone</t>
        </is>
      </c>
      <c r="F106" s="26" t="inlineStr">
        <is>
          <t>Northeast</t>
        </is>
      </c>
      <c r="G106" s="26" t="inlineStr">
        <is>
          <t>Northeast Team</t>
        </is>
      </c>
      <c r="H106" s="26" t="inlineStr">
        <is>
          <t>John Miller</t>
        </is>
      </c>
      <c r="I106" s="26" t="inlineStr">
        <is>
          <t>New customer</t>
        </is>
      </c>
      <c r="J106" s="87" t="n">
        <v>297</v>
      </c>
      <c r="K106" s="87" t="n">
        <v>268</v>
      </c>
      <c r="L106" s="87" t="n">
        <v>13</v>
      </c>
      <c r="M106" s="87" t="n">
        <v>9</v>
      </c>
      <c r="N106" s="88" t="n">
        <v>41734</v>
      </c>
      <c r="O106" s="88" t="n">
        <v>26948</v>
      </c>
      <c r="P106" s="89" t="n">
        <v>49.6</v>
      </c>
      <c r="Q106" s="87" t="n">
        <v>60</v>
      </c>
      <c r="R106" s="87" t="n">
        <v>1688</v>
      </c>
      <c r="S106" s="87" t="n">
        <v>261</v>
      </c>
      <c r="T106" s="87" t="n">
        <v>6</v>
      </c>
      <c r="U106" s="89" t="n">
        <v>4</v>
      </c>
      <c r="V106" s="89" t="n">
        <v>4.5</v>
      </c>
      <c r="W106" s="89" t="n">
        <v>16.4</v>
      </c>
      <c r="X106" s="87" t="n">
        <v>25</v>
      </c>
      <c r="Y106" s="87" t="n">
        <v>267</v>
      </c>
      <c r="Z106" s="88" t="n">
        <v>43658</v>
      </c>
      <c r="AA106" s="26" t="n"/>
      <c r="AB106" s="86">
        <f>IF($A106="","",$A106-WEEKDAY($A106,2)+1)</f>
        <v/>
      </c>
      <c r="AC106" s="86">
        <f>IF($A106="","",DATE(YEAR($A106),MONTH($A106),1))</f>
        <v/>
      </c>
      <c r="AD106" s="90">
        <f>IF($A106="","",IFERROR($K106/$J106,0))</f>
        <v/>
      </c>
      <c r="AE106" s="90">
        <f>IF($A106="","",IFERROR($L106/$J106,0))</f>
        <v/>
      </c>
      <c r="AF106" s="90">
        <f>IF($A106="","",IFERROR($M106/$J106,0))</f>
        <v/>
      </c>
      <c r="AG106" s="88">
        <f>IF($A106="","",$N106-$O106)</f>
        <v/>
      </c>
      <c r="AH106" s="90">
        <f>IF($A106="","",IFERROR($AG106/$N106,0))</f>
        <v/>
      </c>
      <c r="AI106" s="89">
        <f>IF($A106="","",IFERROR($K106/$P106,0))</f>
        <v/>
      </c>
      <c r="AJ106" s="90">
        <f>IF($A106="","",IFERROR($S106/$R106,0))</f>
        <v/>
      </c>
      <c r="AK106" s="90">
        <f>IF($A106="","",IFERROR($T106/$J106,0))</f>
        <v/>
      </c>
      <c r="AL106" s="26">
        <f>IF($A106="","",IF(AND($AD106&gt;='01_Settings'!$B$9,$V106&lt;='01_Settings'!$B$10,$W106&lt;='01_Settings'!$B$11),"On track","Off track"))</f>
        <v/>
      </c>
      <c r="AM106" s="42">
        <f>IF($A106="","",IF($AD106&lt;'01_Settings'!$B$9,"Low completion rate; ","")&amp;IF($AE106&gt;'01_Settings'!$B$12,"High overdue rate; ","")&amp;IF($U106&lt;'01_Settings'!$B$13,"Low satisfaction; ","")&amp;IF($AH106&lt;'01_Settings'!$B$14,"Low gross margin; ","")&amp;IF($AJ106&lt;'01_Settings'!$B$15,"Low conversion rate; ","")&amp;IF($AK106&gt;'01_Settings'!$B$16,"High complaint rate; ",""))</f>
        <v/>
      </c>
    </row>
    <row r="107" ht="18" customHeight="1">
      <c r="A107" s="86" t="n">
        <v>46119</v>
      </c>
      <c r="B107" s="26" t="inlineStr">
        <is>
          <t>East Coast Division</t>
        </is>
      </c>
      <c r="C107" s="26" t="inlineStr">
        <is>
          <t>Growth Marketing</t>
        </is>
      </c>
      <c r="D107" s="26" t="inlineStr">
        <is>
          <t>Project Delivery</t>
        </is>
      </c>
      <c r="E107" s="26" t="inlineStr">
        <is>
          <t>Online</t>
        </is>
      </c>
      <c r="F107" s="26" t="inlineStr">
        <is>
          <t>Southeast</t>
        </is>
      </c>
      <c r="G107" s="26" t="inlineStr">
        <is>
          <t>Southeast Team</t>
        </is>
      </c>
      <c r="H107" s="26" t="inlineStr">
        <is>
          <t>David Wilson</t>
        </is>
      </c>
      <c r="I107" s="26" t="inlineStr">
        <is>
          <t>Standard customer</t>
        </is>
      </c>
      <c r="J107" s="87" t="n">
        <v>283</v>
      </c>
      <c r="K107" s="87" t="n">
        <v>235</v>
      </c>
      <c r="L107" s="87" t="n">
        <v>29</v>
      </c>
      <c r="M107" s="87" t="n">
        <v>9</v>
      </c>
      <c r="N107" s="88" t="n">
        <v>42155</v>
      </c>
      <c r="O107" s="88" t="n">
        <v>34309</v>
      </c>
      <c r="P107" s="89" t="n">
        <v>50.7</v>
      </c>
      <c r="Q107" s="87" t="n">
        <v>290</v>
      </c>
      <c r="R107" s="87" t="n">
        <v>564</v>
      </c>
      <c r="S107" s="87" t="n">
        <v>38</v>
      </c>
      <c r="T107" s="87" t="n">
        <v>11</v>
      </c>
      <c r="U107" s="89" t="n">
        <v>4.5</v>
      </c>
      <c r="V107" s="89" t="n">
        <v>3.8</v>
      </c>
      <c r="W107" s="89" t="n">
        <v>15.6</v>
      </c>
      <c r="X107" s="87" t="n">
        <v>24</v>
      </c>
      <c r="Y107" s="87" t="n">
        <v>254</v>
      </c>
      <c r="Z107" s="88" t="n">
        <v>47841</v>
      </c>
      <c r="AA107" s="26" t="n"/>
      <c r="AB107" s="86">
        <f>IF($A107="","",$A107-WEEKDAY($A107,2)+1)</f>
        <v/>
      </c>
      <c r="AC107" s="86">
        <f>IF($A107="","",DATE(YEAR($A107),MONTH($A107),1))</f>
        <v/>
      </c>
      <c r="AD107" s="90">
        <f>IF($A107="","",IFERROR($K107/$J107,0))</f>
        <v/>
      </c>
      <c r="AE107" s="90">
        <f>IF($A107="","",IFERROR($L107/$J107,0))</f>
        <v/>
      </c>
      <c r="AF107" s="90">
        <f>IF($A107="","",IFERROR($M107/$J107,0))</f>
        <v/>
      </c>
      <c r="AG107" s="88">
        <f>IF($A107="","",$N107-$O107)</f>
        <v/>
      </c>
      <c r="AH107" s="90">
        <f>IF($A107="","",IFERROR($AG107/$N107,0))</f>
        <v/>
      </c>
      <c r="AI107" s="89">
        <f>IF($A107="","",IFERROR($K107/$P107,0))</f>
        <v/>
      </c>
      <c r="AJ107" s="90">
        <f>IF($A107="","",IFERROR($S107/$R107,0))</f>
        <v/>
      </c>
      <c r="AK107" s="90">
        <f>IF($A107="","",IFERROR($T107/$J107,0))</f>
        <v/>
      </c>
      <c r="AL107" s="26">
        <f>IF($A107="","",IF(AND($AD107&gt;='01_Settings'!$B$9,$V107&lt;='01_Settings'!$B$10,$W107&lt;='01_Settings'!$B$11),"On track","Off track"))</f>
        <v/>
      </c>
      <c r="AM107" s="42">
        <f>IF($A107="","",IF($AD107&lt;'01_Settings'!$B$9,"Low completion rate; ","")&amp;IF($AE107&gt;'01_Settings'!$B$12,"High overdue rate; ","")&amp;IF($U107&lt;'01_Settings'!$B$13,"Low satisfaction; ","")&amp;IF($AH107&lt;'01_Settings'!$B$14,"Low gross margin; ","")&amp;IF($AJ107&lt;'01_Settings'!$B$15,"Low conversion rate; ","")&amp;IF($AK107&gt;'01_Settings'!$B$16,"High complaint rate; ",""))</f>
        <v/>
      </c>
    </row>
    <row r="108" ht="18" customHeight="1">
      <c r="A108" s="86" t="n">
        <v>46119</v>
      </c>
      <c r="B108" s="26" t="inlineStr">
        <is>
          <t>Southeast Division</t>
        </is>
      </c>
      <c r="C108" s="26" t="inlineStr">
        <is>
          <t>Supply Chain / Inventory</t>
        </is>
      </c>
      <c r="D108" s="26" t="inlineStr">
        <is>
          <t>Standard Service</t>
        </is>
      </c>
      <c r="E108" s="26" t="inlineStr">
        <is>
          <t>Mobile app</t>
        </is>
      </c>
      <c r="F108" s="26" t="inlineStr">
        <is>
          <t>Southeast</t>
        </is>
      </c>
      <c r="G108" s="26" t="inlineStr">
        <is>
          <t>Southeast Team</t>
        </is>
      </c>
      <c r="H108" s="26" t="inlineStr">
        <is>
          <t>Emily Davis</t>
        </is>
      </c>
      <c r="I108" s="26" t="inlineStr">
        <is>
          <t>Standard customer</t>
        </is>
      </c>
      <c r="J108" s="87" t="n">
        <v>56</v>
      </c>
      <c r="K108" s="87" t="n">
        <v>51</v>
      </c>
      <c r="L108" s="87" t="n">
        <v>5</v>
      </c>
      <c r="M108" s="87" t="n">
        <v>1</v>
      </c>
      <c r="N108" s="88" t="n">
        <v>10174</v>
      </c>
      <c r="O108" s="88" t="n">
        <v>5807</v>
      </c>
      <c r="P108" s="89" t="n">
        <v>4</v>
      </c>
      <c r="Q108" s="87" t="n">
        <v>143</v>
      </c>
      <c r="R108" s="87" t="n">
        <v>2564</v>
      </c>
      <c r="S108" s="87" t="n">
        <v>359</v>
      </c>
      <c r="T108" s="87" t="n">
        <v>1</v>
      </c>
      <c r="U108" s="89" t="n">
        <v>4.7</v>
      </c>
      <c r="V108" s="89" t="n">
        <v>2.7</v>
      </c>
      <c r="W108" s="89" t="n">
        <v>29.2</v>
      </c>
      <c r="X108" s="87" t="n">
        <v>40</v>
      </c>
      <c r="Y108" s="87" t="n">
        <v>50</v>
      </c>
      <c r="Z108" s="88" t="n">
        <v>10473</v>
      </c>
      <c r="AA108" s="26" t="n"/>
      <c r="AB108" s="86">
        <f>IF($A108="","",$A108-WEEKDAY($A108,2)+1)</f>
        <v/>
      </c>
      <c r="AC108" s="86">
        <f>IF($A108="","",DATE(YEAR($A108),MONTH($A108),1))</f>
        <v/>
      </c>
      <c r="AD108" s="90">
        <f>IF($A108="","",IFERROR($K108/$J108,0))</f>
        <v/>
      </c>
      <c r="AE108" s="90">
        <f>IF($A108="","",IFERROR($L108/$J108,0))</f>
        <v/>
      </c>
      <c r="AF108" s="90">
        <f>IF($A108="","",IFERROR($M108/$J108,0))</f>
        <v/>
      </c>
      <c r="AG108" s="88">
        <f>IF($A108="","",$N108-$O108)</f>
        <v/>
      </c>
      <c r="AH108" s="90">
        <f>IF($A108="","",IFERROR($AG108/$N108,0))</f>
        <v/>
      </c>
      <c r="AI108" s="89">
        <f>IF($A108="","",IFERROR($K108/$P108,0))</f>
        <v/>
      </c>
      <c r="AJ108" s="90">
        <f>IF($A108="","",IFERROR($S108/$R108,0))</f>
        <v/>
      </c>
      <c r="AK108" s="90">
        <f>IF($A108="","",IFERROR($T108/$J108,0))</f>
        <v/>
      </c>
      <c r="AL108" s="26">
        <f>IF($A108="","",IF(AND($AD108&gt;='01_Settings'!$B$9,$V108&lt;='01_Settings'!$B$10,$W108&lt;='01_Settings'!$B$11),"On track","Off track"))</f>
        <v/>
      </c>
      <c r="AM108" s="42">
        <f>IF($A108="","",IF($AD108&lt;'01_Settings'!$B$9,"Low completion rate; ","")&amp;IF($AE108&gt;'01_Settings'!$B$12,"High overdue rate; ","")&amp;IF($U108&lt;'01_Settings'!$B$13,"Low satisfaction; ","")&amp;IF($AH108&lt;'01_Settings'!$B$14,"Low gross margin; ","")&amp;IF($AJ108&lt;'01_Settings'!$B$15,"Low conversion rate; ","")&amp;IF($AK108&gt;'01_Settings'!$B$16,"High complaint rate; ",""))</f>
        <v/>
      </c>
    </row>
    <row r="109" ht="18" customHeight="1">
      <c r="A109" s="86" t="n">
        <v>46119</v>
      </c>
      <c r="B109" s="26" t="inlineStr">
        <is>
          <t>East Coast Division</t>
        </is>
      </c>
      <c r="C109" s="26" t="inlineStr">
        <is>
          <t>Finance / Expenses</t>
        </is>
      </c>
      <c r="D109" s="26" t="inlineStr">
        <is>
          <t>Enterprise customers</t>
        </is>
      </c>
      <c r="E109" s="26" t="inlineStr">
        <is>
          <t>Retail store</t>
        </is>
      </c>
      <c r="F109" s="26" t="inlineStr">
        <is>
          <t>Southeast</t>
        </is>
      </c>
      <c r="G109" s="26" t="inlineStr">
        <is>
          <t>Southeast Team</t>
        </is>
      </c>
      <c r="H109" s="26" t="inlineStr">
        <is>
          <t>Robert Thomas</t>
        </is>
      </c>
      <c r="I109" s="26" t="inlineStr">
        <is>
          <t>New customer</t>
        </is>
      </c>
      <c r="J109" s="87" t="n">
        <v>217</v>
      </c>
      <c r="K109" s="87" t="n">
        <v>207</v>
      </c>
      <c r="L109" s="87" t="n">
        <v>11</v>
      </c>
      <c r="M109" s="87" t="n">
        <v>8</v>
      </c>
      <c r="N109" s="88" t="n">
        <v>75857</v>
      </c>
      <c r="O109" s="88" t="n">
        <v>49846</v>
      </c>
      <c r="P109" s="89" t="n">
        <v>37.6</v>
      </c>
      <c r="Q109" s="87" t="n">
        <v>35</v>
      </c>
      <c r="R109" s="87" t="n">
        <v>1254</v>
      </c>
      <c r="S109" s="87" t="n">
        <v>168</v>
      </c>
      <c r="T109" s="87" t="n">
        <v>4</v>
      </c>
      <c r="U109" s="89" t="n">
        <v>4</v>
      </c>
      <c r="V109" s="89" t="n">
        <v>3.8</v>
      </c>
      <c r="W109" s="89" t="n">
        <v>18.5</v>
      </c>
      <c r="X109" s="87" t="n">
        <v>52</v>
      </c>
      <c r="Y109" s="87" t="n">
        <v>195</v>
      </c>
      <c r="Z109" s="88" t="n">
        <v>75032</v>
      </c>
      <c r="AA109" s="26" t="n"/>
      <c r="AB109" s="86">
        <f>IF($A109="","",$A109-WEEKDAY($A109,2)+1)</f>
        <v/>
      </c>
      <c r="AC109" s="86">
        <f>IF($A109="","",DATE(YEAR($A109),MONTH($A109),1))</f>
        <v/>
      </c>
      <c r="AD109" s="90">
        <f>IF($A109="","",IFERROR($K109/$J109,0))</f>
        <v/>
      </c>
      <c r="AE109" s="90">
        <f>IF($A109="","",IFERROR($L109/$J109,0))</f>
        <v/>
      </c>
      <c r="AF109" s="90">
        <f>IF($A109="","",IFERROR($M109/$J109,0))</f>
        <v/>
      </c>
      <c r="AG109" s="88">
        <f>IF($A109="","",$N109-$O109)</f>
        <v/>
      </c>
      <c r="AH109" s="90">
        <f>IF($A109="","",IFERROR($AG109/$N109,0))</f>
        <v/>
      </c>
      <c r="AI109" s="89">
        <f>IF($A109="","",IFERROR($K109/$P109,0))</f>
        <v/>
      </c>
      <c r="AJ109" s="90">
        <f>IF($A109="","",IFERROR($S109/$R109,0))</f>
        <v/>
      </c>
      <c r="AK109" s="90">
        <f>IF($A109="","",IFERROR($T109/$J109,0))</f>
        <v/>
      </c>
      <c r="AL109" s="26">
        <f>IF($A109="","",IF(AND($AD109&gt;='01_Settings'!$B$9,$V109&lt;='01_Settings'!$B$10,$W109&lt;='01_Settings'!$B$11),"On track","Off track"))</f>
        <v/>
      </c>
      <c r="AM109" s="42">
        <f>IF($A109="","",IF($AD109&lt;'01_Settings'!$B$9,"Low completion rate; ","")&amp;IF($AE109&gt;'01_Settings'!$B$12,"High overdue rate; ","")&amp;IF($U109&lt;'01_Settings'!$B$13,"Low satisfaction; ","")&amp;IF($AH109&lt;'01_Settings'!$B$14,"Low gross margin; ","")&amp;IF($AJ109&lt;'01_Settings'!$B$15,"Low conversion rate; ","")&amp;IF($AK109&gt;'01_Settings'!$B$16,"High complaint rate; ",""))</f>
        <v/>
      </c>
    </row>
    <row r="110" ht="18" customHeight="1">
      <c r="A110" s="86" t="n">
        <v>46120</v>
      </c>
      <c r="B110" s="26" t="inlineStr">
        <is>
          <t>East Coast Division</t>
        </is>
      </c>
      <c r="C110" s="26" t="inlineStr">
        <is>
          <t>Production / Delivery</t>
        </is>
      </c>
      <c r="D110" s="26" t="inlineStr">
        <is>
          <t>Premium Service</t>
        </is>
      </c>
      <c r="E110" s="26" t="inlineStr">
        <is>
          <t>Team chat</t>
        </is>
      </c>
      <c r="F110" s="26" t="inlineStr">
        <is>
          <t>Southwest</t>
        </is>
      </c>
      <c r="G110" s="26" t="inlineStr">
        <is>
          <t>Southwest Team</t>
        </is>
      </c>
      <c r="H110" s="26" t="inlineStr">
        <is>
          <t>Robert Thomas</t>
        </is>
      </c>
      <c r="I110" s="26" t="inlineStr">
        <is>
          <t>New customer</t>
        </is>
      </c>
      <c r="J110" s="87" t="n">
        <v>77</v>
      </c>
      <c r="K110" s="87" t="n">
        <v>71</v>
      </c>
      <c r="L110" s="87" t="n">
        <v>6</v>
      </c>
      <c r="M110" s="87" t="n">
        <v>2</v>
      </c>
      <c r="N110" s="88" t="n">
        <v>12425</v>
      </c>
      <c r="O110" s="88" t="n">
        <v>7191</v>
      </c>
      <c r="P110" s="89" t="n">
        <v>3.6</v>
      </c>
      <c r="Q110" s="87" t="n">
        <v>177</v>
      </c>
      <c r="R110" s="87" t="n">
        <v>2098</v>
      </c>
      <c r="S110" s="87" t="n">
        <v>174</v>
      </c>
      <c r="T110" s="87" t="n">
        <v>1</v>
      </c>
      <c r="U110" s="89" t="n">
        <v>3.9</v>
      </c>
      <c r="V110" s="89" t="n">
        <v>1.9</v>
      </c>
      <c r="W110" s="89" t="n">
        <v>20.6</v>
      </c>
      <c r="X110" s="87" t="n">
        <v>147</v>
      </c>
      <c r="Y110" s="87" t="n">
        <v>69</v>
      </c>
      <c r="Z110" s="88" t="n">
        <v>12679</v>
      </c>
      <c r="AA110" s="26" t="n"/>
      <c r="AB110" s="86">
        <f>IF($A110="","",$A110-WEEKDAY($A110,2)+1)</f>
        <v/>
      </c>
      <c r="AC110" s="86">
        <f>IF($A110="","",DATE(YEAR($A110),MONTH($A110),1))</f>
        <v/>
      </c>
      <c r="AD110" s="90">
        <f>IF($A110="","",IFERROR($K110/$J110,0))</f>
        <v/>
      </c>
      <c r="AE110" s="90">
        <f>IF($A110="","",IFERROR($L110/$J110,0))</f>
        <v/>
      </c>
      <c r="AF110" s="90">
        <f>IF($A110="","",IFERROR($M110/$J110,0))</f>
        <v/>
      </c>
      <c r="AG110" s="88">
        <f>IF($A110="","",$N110-$O110)</f>
        <v/>
      </c>
      <c r="AH110" s="90">
        <f>IF($A110="","",IFERROR($AG110/$N110,0))</f>
        <v/>
      </c>
      <c r="AI110" s="89">
        <f>IF($A110="","",IFERROR($K110/$P110,0))</f>
        <v/>
      </c>
      <c r="AJ110" s="90">
        <f>IF($A110="","",IFERROR($S110/$R110,0))</f>
        <v/>
      </c>
      <c r="AK110" s="90">
        <f>IF($A110="","",IFERROR($T110/$J110,0))</f>
        <v/>
      </c>
      <c r="AL110" s="26">
        <f>IF($A110="","",IF(AND($AD110&gt;='01_Settings'!$B$9,$V110&lt;='01_Settings'!$B$10,$W110&lt;='01_Settings'!$B$11),"On track","Off track"))</f>
        <v/>
      </c>
      <c r="AM110" s="42">
        <f>IF($A110="","",IF($AD110&lt;'01_Settings'!$B$9,"Low completion rate; ","")&amp;IF($AE110&gt;'01_Settings'!$B$12,"High overdue rate; ","")&amp;IF($U110&lt;'01_Settings'!$B$13,"Low satisfaction; ","")&amp;IF($AH110&lt;'01_Settings'!$B$14,"Low gross margin; ","")&amp;IF($AJ110&lt;'01_Settings'!$B$15,"Low conversion rate; ","")&amp;IF($AK110&gt;'01_Settings'!$B$16,"High complaint rate; ",""))</f>
        <v/>
      </c>
    </row>
    <row r="111" ht="18" customHeight="1">
      <c r="A111" s="86" t="n">
        <v>46120</v>
      </c>
      <c r="B111" s="26" t="inlineStr">
        <is>
          <t>East Coast Division</t>
        </is>
      </c>
      <c r="C111" s="26" t="inlineStr">
        <is>
          <t>Growth Marketing</t>
        </is>
      </c>
      <c r="D111" s="26" t="inlineStr">
        <is>
          <t>After-sales Coverage</t>
        </is>
      </c>
      <c r="E111" s="26" t="inlineStr">
        <is>
          <t>Mobile app</t>
        </is>
      </c>
      <c r="F111" s="26" t="inlineStr">
        <is>
          <t>Northeast</t>
        </is>
      </c>
      <c r="G111" s="26" t="inlineStr">
        <is>
          <t>Northeast Team</t>
        </is>
      </c>
      <c r="H111" s="26" t="inlineStr">
        <is>
          <t>David Wilson</t>
        </is>
      </c>
      <c r="I111" s="26" t="inlineStr">
        <is>
          <t>Enterprise customers</t>
        </is>
      </c>
      <c r="J111" s="87" t="n">
        <v>53</v>
      </c>
      <c r="K111" s="87" t="n">
        <v>48</v>
      </c>
      <c r="L111" s="87" t="n">
        <v>5</v>
      </c>
      <c r="M111" s="87" t="n">
        <v>2</v>
      </c>
      <c r="N111" s="88" t="n">
        <v>4018</v>
      </c>
      <c r="O111" s="88" t="n">
        <v>2659</v>
      </c>
      <c r="P111" s="89" t="n">
        <v>8.800000000000001</v>
      </c>
      <c r="Q111" s="87" t="n">
        <v>391</v>
      </c>
      <c r="R111" s="87" t="n">
        <v>2782</v>
      </c>
      <c r="S111" s="87" t="n">
        <v>413</v>
      </c>
      <c r="T111" s="87" t="n">
        <v>2</v>
      </c>
      <c r="U111" s="89" t="n">
        <v>4.4</v>
      </c>
      <c r="V111" s="89" t="n">
        <v>1.8</v>
      </c>
      <c r="W111" s="89" t="n">
        <v>18.7</v>
      </c>
      <c r="X111" s="87" t="n">
        <v>40</v>
      </c>
      <c r="Y111" s="87" t="n">
        <v>47</v>
      </c>
      <c r="Z111" s="88" t="n">
        <v>4131</v>
      </c>
      <c r="AA111" s="26" t="n"/>
      <c r="AB111" s="86">
        <f>IF($A111="","",$A111-WEEKDAY($A111,2)+1)</f>
        <v/>
      </c>
      <c r="AC111" s="86">
        <f>IF($A111="","",DATE(YEAR($A111),MONTH($A111),1))</f>
        <v/>
      </c>
      <c r="AD111" s="90">
        <f>IF($A111="","",IFERROR($K111/$J111,0))</f>
        <v/>
      </c>
      <c r="AE111" s="90">
        <f>IF($A111="","",IFERROR($L111/$J111,0))</f>
        <v/>
      </c>
      <c r="AF111" s="90">
        <f>IF($A111="","",IFERROR($M111/$J111,0))</f>
        <v/>
      </c>
      <c r="AG111" s="88">
        <f>IF($A111="","",$N111-$O111)</f>
        <v/>
      </c>
      <c r="AH111" s="90">
        <f>IF($A111="","",IFERROR($AG111/$N111,0))</f>
        <v/>
      </c>
      <c r="AI111" s="89">
        <f>IF($A111="","",IFERROR($K111/$P111,0))</f>
        <v/>
      </c>
      <c r="AJ111" s="90">
        <f>IF($A111="","",IFERROR($S111/$R111,0))</f>
        <v/>
      </c>
      <c r="AK111" s="90">
        <f>IF($A111="","",IFERROR($T111/$J111,0))</f>
        <v/>
      </c>
      <c r="AL111" s="26">
        <f>IF($A111="","",IF(AND($AD111&gt;='01_Settings'!$B$9,$V111&lt;='01_Settings'!$B$10,$W111&lt;='01_Settings'!$B$11),"On track","Off track"))</f>
        <v/>
      </c>
      <c r="AM111" s="42">
        <f>IF($A111="","",IF($AD111&lt;'01_Settings'!$B$9,"Low completion rate; ","")&amp;IF($AE111&gt;'01_Settings'!$B$12,"High overdue rate; ","")&amp;IF($U111&lt;'01_Settings'!$B$13,"Low satisfaction; ","")&amp;IF($AH111&lt;'01_Settings'!$B$14,"Low gross margin; ","")&amp;IF($AJ111&lt;'01_Settings'!$B$15,"Low conversion rate; ","")&amp;IF($AK111&gt;'01_Settings'!$B$16,"High complaint rate; ",""))</f>
        <v/>
      </c>
    </row>
    <row r="112" ht="18" customHeight="1">
      <c r="A112" s="86" t="n">
        <v>46120</v>
      </c>
      <c r="B112" s="26" t="inlineStr">
        <is>
          <t>Digital Business Unit</t>
        </is>
      </c>
      <c r="C112" s="26" t="inlineStr">
        <is>
          <t>Sales Operations</t>
        </is>
      </c>
      <c r="D112" s="26" t="inlineStr">
        <is>
          <t>Standard Service</t>
        </is>
      </c>
      <c r="E112" s="26" t="inlineStr">
        <is>
          <t>Phone</t>
        </is>
      </c>
      <c r="F112" s="26" t="inlineStr">
        <is>
          <t>Southeast</t>
        </is>
      </c>
      <c r="G112" s="26" t="inlineStr">
        <is>
          <t>Southeast Team</t>
        </is>
      </c>
      <c r="H112" s="26" t="inlineStr">
        <is>
          <t>Robert Thomas</t>
        </is>
      </c>
      <c r="I112" s="26" t="inlineStr">
        <is>
          <t>Enterprise customers</t>
        </is>
      </c>
      <c r="J112" s="87" t="n">
        <v>177</v>
      </c>
      <c r="K112" s="87" t="n">
        <v>157</v>
      </c>
      <c r="L112" s="87" t="n">
        <v>10</v>
      </c>
      <c r="M112" s="87" t="n">
        <v>4</v>
      </c>
      <c r="N112" s="88" t="n">
        <v>16183</v>
      </c>
      <c r="O112" s="88" t="n">
        <v>10000</v>
      </c>
      <c r="P112" s="89" t="n">
        <v>14.4</v>
      </c>
      <c r="Q112" s="87" t="n">
        <v>340</v>
      </c>
      <c r="R112" s="87" t="n">
        <v>2470</v>
      </c>
      <c r="S112" s="87" t="n">
        <v>274</v>
      </c>
      <c r="T112" s="87" t="n">
        <v>2</v>
      </c>
      <c r="U112" s="89" t="n">
        <v>3.9</v>
      </c>
      <c r="V112" s="89" t="n">
        <v>2.5</v>
      </c>
      <c r="W112" s="89" t="n">
        <v>34.6</v>
      </c>
      <c r="X112" s="87" t="n">
        <v>90</v>
      </c>
      <c r="Y112" s="87" t="n">
        <v>159</v>
      </c>
      <c r="Z112" s="88" t="n">
        <v>17209</v>
      </c>
      <c r="AA112" s="26" t="n"/>
      <c r="AB112" s="86">
        <f>IF($A112="","",$A112-WEEKDAY($A112,2)+1)</f>
        <v/>
      </c>
      <c r="AC112" s="86">
        <f>IF($A112="","",DATE(YEAR($A112),MONTH($A112),1))</f>
        <v/>
      </c>
      <c r="AD112" s="90">
        <f>IF($A112="","",IFERROR($K112/$J112,0))</f>
        <v/>
      </c>
      <c r="AE112" s="90">
        <f>IF($A112="","",IFERROR($L112/$J112,0))</f>
        <v/>
      </c>
      <c r="AF112" s="90">
        <f>IF($A112="","",IFERROR($M112/$J112,0))</f>
        <v/>
      </c>
      <c r="AG112" s="88">
        <f>IF($A112="","",$N112-$O112)</f>
        <v/>
      </c>
      <c r="AH112" s="90">
        <f>IF($A112="","",IFERROR($AG112/$N112,0))</f>
        <v/>
      </c>
      <c r="AI112" s="89">
        <f>IF($A112="","",IFERROR($K112/$P112,0))</f>
        <v/>
      </c>
      <c r="AJ112" s="90">
        <f>IF($A112="","",IFERROR($S112/$R112,0))</f>
        <v/>
      </c>
      <c r="AK112" s="90">
        <f>IF($A112="","",IFERROR($T112/$J112,0))</f>
        <v/>
      </c>
      <c r="AL112" s="26">
        <f>IF($A112="","",IF(AND($AD112&gt;='01_Settings'!$B$9,$V112&lt;='01_Settings'!$B$10,$W112&lt;='01_Settings'!$B$11),"On track","Off track"))</f>
        <v/>
      </c>
      <c r="AM112" s="42">
        <f>IF($A112="","",IF($AD112&lt;'01_Settings'!$B$9,"Low completion rate; ","")&amp;IF($AE112&gt;'01_Settings'!$B$12,"High overdue rate; ","")&amp;IF($U112&lt;'01_Settings'!$B$13,"Low satisfaction; ","")&amp;IF($AH112&lt;'01_Settings'!$B$14,"Low gross margin; ","")&amp;IF($AJ112&lt;'01_Settings'!$B$15,"Low conversion rate; ","")&amp;IF($AK112&gt;'01_Settings'!$B$16,"High complaint rate; ",""))</f>
        <v/>
      </c>
    </row>
    <row r="113" ht="18" customHeight="1">
      <c r="A113" s="86" t="n">
        <v>46121</v>
      </c>
      <c r="B113" s="26" t="inlineStr">
        <is>
          <t>North Operations Center</t>
        </is>
      </c>
      <c r="C113" s="26" t="inlineStr">
        <is>
          <t>Finance / Expenses</t>
        </is>
      </c>
      <c r="D113" s="26" t="inlineStr">
        <is>
          <t>After-sales Coverage</t>
        </is>
      </c>
      <c r="E113" s="26" t="inlineStr">
        <is>
          <t>Mobile app</t>
        </is>
      </c>
      <c r="F113" s="26" t="inlineStr">
        <is>
          <t>Southeast</t>
        </is>
      </c>
      <c r="G113" s="26" t="inlineStr">
        <is>
          <t>Southeast Team</t>
        </is>
      </c>
      <c r="H113" s="26" t="inlineStr">
        <is>
          <t>Michael Brown</t>
        </is>
      </c>
      <c r="I113" s="26" t="inlineStr">
        <is>
          <t>Standard customer</t>
        </is>
      </c>
      <c r="J113" s="87" t="n">
        <v>109</v>
      </c>
      <c r="K113" s="87" t="n">
        <v>97</v>
      </c>
      <c r="L113" s="87" t="n">
        <v>4</v>
      </c>
      <c r="M113" s="87" t="n">
        <v>2</v>
      </c>
      <c r="N113" s="88" t="n">
        <v>17047</v>
      </c>
      <c r="O113" s="88" t="n">
        <v>12758</v>
      </c>
      <c r="P113" s="89" t="n">
        <v>15.3</v>
      </c>
      <c r="Q113" s="87" t="n">
        <v>314</v>
      </c>
      <c r="R113" s="87" t="n">
        <v>1406</v>
      </c>
      <c r="S113" s="87" t="n">
        <v>111</v>
      </c>
      <c r="T113" s="87" t="n">
        <v>1</v>
      </c>
      <c r="U113" s="89" t="n">
        <v>4.6</v>
      </c>
      <c r="V113" s="89" t="n">
        <v>2.8</v>
      </c>
      <c r="W113" s="89" t="n">
        <v>34.1</v>
      </c>
      <c r="X113" s="87" t="n">
        <v>56</v>
      </c>
      <c r="Y113" s="87" t="n">
        <v>98</v>
      </c>
      <c r="Z113" s="88" t="n">
        <v>18084</v>
      </c>
      <c r="AA113" s="26" t="n"/>
      <c r="AB113" s="86">
        <f>IF($A113="","",$A113-WEEKDAY($A113,2)+1)</f>
        <v/>
      </c>
      <c r="AC113" s="86">
        <f>IF($A113="","",DATE(YEAR($A113),MONTH($A113),1))</f>
        <v/>
      </c>
      <c r="AD113" s="90">
        <f>IF($A113="","",IFERROR($K113/$J113,0))</f>
        <v/>
      </c>
      <c r="AE113" s="90">
        <f>IF($A113="","",IFERROR($L113/$J113,0))</f>
        <v/>
      </c>
      <c r="AF113" s="90">
        <f>IF($A113="","",IFERROR($M113/$J113,0))</f>
        <v/>
      </c>
      <c r="AG113" s="88">
        <f>IF($A113="","",$N113-$O113)</f>
        <v/>
      </c>
      <c r="AH113" s="90">
        <f>IF($A113="","",IFERROR($AG113/$N113,0))</f>
        <v/>
      </c>
      <c r="AI113" s="89">
        <f>IF($A113="","",IFERROR($K113/$P113,0))</f>
        <v/>
      </c>
      <c r="AJ113" s="90">
        <f>IF($A113="","",IFERROR($S113/$R113,0))</f>
        <v/>
      </c>
      <c r="AK113" s="90">
        <f>IF($A113="","",IFERROR($T113/$J113,0))</f>
        <v/>
      </c>
      <c r="AL113" s="26">
        <f>IF($A113="","",IF(AND($AD113&gt;='01_Settings'!$B$9,$V113&lt;='01_Settings'!$B$10,$W113&lt;='01_Settings'!$B$11),"On track","Off track"))</f>
        <v/>
      </c>
      <c r="AM113" s="42">
        <f>IF($A113="","",IF($AD113&lt;'01_Settings'!$B$9,"Low completion rate; ","")&amp;IF($AE113&gt;'01_Settings'!$B$12,"High overdue rate; ","")&amp;IF($U113&lt;'01_Settings'!$B$13,"Low satisfaction; ","")&amp;IF($AH113&lt;'01_Settings'!$B$14,"Low gross margin; ","")&amp;IF($AJ113&lt;'01_Settings'!$B$15,"Low conversion rate; ","")&amp;IF($AK113&gt;'01_Settings'!$B$16,"High complaint rate; ",""))</f>
        <v/>
      </c>
    </row>
    <row r="114" ht="18" customHeight="1">
      <c r="A114" s="86" t="n">
        <v>46121</v>
      </c>
      <c r="B114" s="26" t="inlineStr">
        <is>
          <t>Digital Business Unit</t>
        </is>
      </c>
      <c r="C114" s="26" t="inlineStr">
        <is>
          <t>E-commerce Operations</t>
        </is>
      </c>
      <c r="D114" s="26" t="inlineStr">
        <is>
          <t>Enterprise customers</t>
        </is>
      </c>
      <c r="E114" s="26" t="inlineStr">
        <is>
          <t>Email</t>
        </is>
      </c>
      <c r="F114" s="26" t="inlineStr">
        <is>
          <t>Midwest</t>
        </is>
      </c>
      <c r="G114" s="26" t="inlineStr">
        <is>
          <t>Midwest Team</t>
        </is>
      </c>
      <c r="H114" s="26" t="inlineStr">
        <is>
          <t>Jessica Taylor</t>
        </is>
      </c>
      <c r="I114" s="26" t="inlineStr">
        <is>
          <t>Standard customer</t>
        </is>
      </c>
      <c r="J114" s="87" t="n">
        <v>53</v>
      </c>
      <c r="K114" s="87" t="n">
        <v>50</v>
      </c>
      <c r="L114" s="87" t="n">
        <v>1</v>
      </c>
      <c r="M114" s="87" t="n">
        <v>2</v>
      </c>
      <c r="N114" s="88" t="n">
        <v>15926</v>
      </c>
      <c r="O114" s="88" t="n">
        <v>11653</v>
      </c>
      <c r="P114" s="89" t="n">
        <v>3.7</v>
      </c>
      <c r="Q114" s="87" t="n">
        <v>175</v>
      </c>
      <c r="R114" s="87" t="n">
        <v>1266</v>
      </c>
      <c r="S114" s="87" t="n">
        <v>89</v>
      </c>
      <c r="T114" s="87" t="n">
        <v>0</v>
      </c>
      <c r="U114" s="89" t="n">
        <v>4.2</v>
      </c>
      <c r="V114" s="89" t="n">
        <v>2.9</v>
      </c>
      <c r="W114" s="89" t="n">
        <v>20.6</v>
      </c>
      <c r="X114" s="87" t="n">
        <v>158</v>
      </c>
      <c r="Y114" s="87" t="n">
        <v>47</v>
      </c>
      <c r="Z114" s="88" t="n">
        <v>15719</v>
      </c>
      <c r="AA114" s="26" t="n"/>
      <c r="AB114" s="86">
        <f>IF($A114="","",$A114-WEEKDAY($A114,2)+1)</f>
        <v/>
      </c>
      <c r="AC114" s="86">
        <f>IF($A114="","",DATE(YEAR($A114),MONTH($A114),1))</f>
        <v/>
      </c>
      <c r="AD114" s="90">
        <f>IF($A114="","",IFERROR($K114/$J114,0))</f>
        <v/>
      </c>
      <c r="AE114" s="90">
        <f>IF($A114="","",IFERROR($L114/$J114,0))</f>
        <v/>
      </c>
      <c r="AF114" s="90">
        <f>IF($A114="","",IFERROR($M114/$J114,0))</f>
        <v/>
      </c>
      <c r="AG114" s="88">
        <f>IF($A114="","",$N114-$O114)</f>
        <v/>
      </c>
      <c r="AH114" s="90">
        <f>IF($A114="","",IFERROR($AG114/$N114,0))</f>
        <v/>
      </c>
      <c r="AI114" s="89">
        <f>IF($A114="","",IFERROR($K114/$P114,0))</f>
        <v/>
      </c>
      <c r="AJ114" s="90">
        <f>IF($A114="","",IFERROR($S114/$R114,0))</f>
        <v/>
      </c>
      <c r="AK114" s="90">
        <f>IF($A114="","",IFERROR($T114/$J114,0))</f>
        <v/>
      </c>
      <c r="AL114" s="26">
        <f>IF($A114="","",IF(AND($AD114&gt;='01_Settings'!$B$9,$V114&lt;='01_Settings'!$B$10,$W114&lt;='01_Settings'!$B$11),"On track","Off track"))</f>
        <v/>
      </c>
      <c r="AM114" s="42">
        <f>IF($A114="","",IF($AD114&lt;'01_Settings'!$B$9,"Low completion rate; ","")&amp;IF($AE114&gt;'01_Settings'!$B$12,"High overdue rate; ","")&amp;IF($U114&lt;'01_Settings'!$B$13,"Low satisfaction; ","")&amp;IF($AH114&lt;'01_Settings'!$B$14,"Low gross margin; ","")&amp;IF($AJ114&lt;'01_Settings'!$B$15,"Low conversion rate; ","")&amp;IF($AK114&gt;'01_Settings'!$B$16,"High complaint rate; ",""))</f>
        <v/>
      </c>
    </row>
    <row r="115" ht="18" customHeight="1">
      <c r="A115" s="86" t="n">
        <v>46121</v>
      </c>
      <c r="B115" s="26" t="inlineStr">
        <is>
          <t>Digital Business Unit</t>
        </is>
      </c>
      <c r="C115" s="26" t="inlineStr">
        <is>
          <t>Supply Chain / Inventory</t>
        </is>
      </c>
      <c r="D115" s="26" t="inlineStr">
        <is>
          <t>Membership Program</t>
        </is>
      </c>
      <c r="E115" s="26" t="inlineStr">
        <is>
          <t>Online</t>
        </is>
      </c>
      <c r="F115" s="26" t="inlineStr">
        <is>
          <t>International</t>
        </is>
      </c>
      <c r="G115" s="26" t="inlineStr">
        <is>
          <t>International Team</t>
        </is>
      </c>
      <c r="H115" s="26" t="inlineStr">
        <is>
          <t>Emily Davis</t>
        </is>
      </c>
      <c r="I115" s="26" t="inlineStr">
        <is>
          <t>New customer</t>
        </is>
      </c>
      <c r="J115" s="87" t="n">
        <v>245</v>
      </c>
      <c r="K115" s="87" t="n">
        <v>224</v>
      </c>
      <c r="L115" s="87" t="n">
        <v>27</v>
      </c>
      <c r="M115" s="87" t="n">
        <v>1</v>
      </c>
      <c r="N115" s="88" t="n">
        <v>34601</v>
      </c>
      <c r="O115" s="88" t="n">
        <v>25240</v>
      </c>
      <c r="P115" s="89" t="n">
        <v>17.5</v>
      </c>
      <c r="Q115" s="87" t="n">
        <v>333</v>
      </c>
      <c r="R115" s="87" t="n">
        <v>614</v>
      </c>
      <c r="S115" s="87" t="n">
        <v>66</v>
      </c>
      <c r="T115" s="87" t="n">
        <v>7</v>
      </c>
      <c r="U115" s="89" t="n">
        <v>4.4</v>
      </c>
      <c r="V115" s="89" t="n">
        <v>5.8</v>
      </c>
      <c r="W115" s="89" t="n">
        <v>17.3</v>
      </c>
      <c r="X115" s="87" t="n">
        <v>115</v>
      </c>
      <c r="Y115" s="87" t="n">
        <v>220</v>
      </c>
      <c r="Z115" s="88" t="n">
        <v>35682</v>
      </c>
      <c r="AA115" s="26" t="n"/>
      <c r="AB115" s="86">
        <f>IF($A115="","",$A115-WEEKDAY($A115,2)+1)</f>
        <v/>
      </c>
      <c r="AC115" s="86">
        <f>IF($A115="","",DATE(YEAR($A115),MONTH($A115),1))</f>
        <v/>
      </c>
      <c r="AD115" s="90">
        <f>IF($A115="","",IFERROR($K115/$J115,0))</f>
        <v/>
      </c>
      <c r="AE115" s="90">
        <f>IF($A115="","",IFERROR($L115/$J115,0))</f>
        <v/>
      </c>
      <c r="AF115" s="90">
        <f>IF($A115="","",IFERROR($M115/$J115,0))</f>
        <v/>
      </c>
      <c r="AG115" s="88">
        <f>IF($A115="","",$N115-$O115)</f>
        <v/>
      </c>
      <c r="AH115" s="90">
        <f>IF($A115="","",IFERROR($AG115/$N115,0))</f>
        <v/>
      </c>
      <c r="AI115" s="89">
        <f>IF($A115="","",IFERROR($K115/$P115,0))</f>
        <v/>
      </c>
      <c r="AJ115" s="90">
        <f>IF($A115="","",IFERROR($S115/$R115,0))</f>
        <v/>
      </c>
      <c r="AK115" s="90">
        <f>IF($A115="","",IFERROR($T115/$J115,0))</f>
        <v/>
      </c>
      <c r="AL115" s="26">
        <f>IF($A115="","",IF(AND($AD115&gt;='01_Settings'!$B$9,$V115&lt;='01_Settings'!$B$10,$W115&lt;='01_Settings'!$B$11),"On track","Off track"))</f>
        <v/>
      </c>
      <c r="AM115" s="42">
        <f>IF($A115="","",IF($AD115&lt;'01_Settings'!$B$9,"Low completion rate; ","")&amp;IF($AE115&gt;'01_Settings'!$B$12,"High overdue rate; ","")&amp;IF($U115&lt;'01_Settings'!$B$13,"Low satisfaction; ","")&amp;IF($AH115&lt;'01_Settings'!$B$14,"Low gross margin; ","")&amp;IF($AJ115&lt;'01_Settings'!$B$15,"Low conversion rate; ","")&amp;IF($AK115&gt;'01_Settings'!$B$16,"High complaint rate; ",""))</f>
        <v/>
      </c>
    </row>
    <row r="116" ht="18" customHeight="1">
      <c r="A116" s="86" t="n">
        <v>46122</v>
      </c>
      <c r="B116" s="26" t="inlineStr">
        <is>
          <t>Digital Business Unit</t>
        </is>
      </c>
      <c r="C116" s="26" t="inlineStr">
        <is>
          <t>Sales Operations</t>
        </is>
      </c>
      <c r="D116" s="26" t="inlineStr">
        <is>
          <t>Enterprise customers</t>
        </is>
      </c>
      <c r="E116" s="26" t="inlineStr">
        <is>
          <t>Mobile app</t>
        </is>
      </c>
      <c r="F116" s="26" t="inlineStr">
        <is>
          <t>Southwest</t>
        </is>
      </c>
      <c r="G116" s="26" t="inlineStr">
        <is>
          <t>Southwest Team</t>
        </is>
      </c>
      <c r="H116" s="26" t="inlineStr">
        <is>
          <t>Jessica Taylor</t>
        </is>
      </c>
      <c r="I116" s="26" t="inlineStr">
        <is>
          <t>Enterprise customers</t>
        </is>
      </c>
      <c r="J116" s="87" t="n">
        <v>153</v>
      </c>
      <c r="K116" s="87" t="n">
        <v>144</v>
      </c>
      <c r="L116" s="87" t="n">
        <v>12</v>
      </c>
      <c r="M116" s="87" t="n">
        <v>3</v>
      </c>
      <c r="N116" s="88" t="n">
        <v>26423</v>
      </c>
      <c r="O116" s="88" t="n">
        <v>14708</v>
      </c>
      <c r="P116" s="89" t="n">
        <v>9.800000000000001</v>
      </c>
      <c r="Q116" s="87" t="n">
        <v>232</v>
      </c>
      <c r="R116" s="87" t="n">
        <v>683</v>
      </c>
      <c r="S116" s="87" t="n">
        <v>36</v>
      </c>
      <c r="T116" s="87" t="n">
        <v>6</v>
      </c>
      <c r="U116" s="89" t="n">
        <v>3.9</v>
      </c>
      <c r="V116" s="89" t="n">
        <v>2.6</v>
      </c>
      <c r="W116" s="89" t="n">
        <v>20.7</v>
      </c>
      <c r="X116" s="87" t="n">
        <v>57</v>
      </c>
      <c r="Y116" s="87" t="n">
        <v>137</v>
      </c>
      <c r="Z116" s="88" t="n">
        <v>26395</v>
      </c>
      <c r="AA116" s="26" t="n"/>
      <c r="AB116" s="86">
        <f>IF($A116="","",$A116-WEEKDAY($A116,2)+1)</f>
        <v/>
      </c>
      <c r="AC116" s="86">
        <f>IF($A116="","",DATE(YEAR($A116),MONTH($A116),1))</f>
        <v/>
      </c>
      <c r="AD116" s="90">
        <f>IF($A116="","",IFERROR($K116/$J116,0))</f>
        <v/>
      </c>
      <c r="AE116" s="90">
        <f>IF($A116="","",IFERROR($L116/$J116,0))</f>
        <v/>
      </c>
      <c r="AF116" s="90">
        <f>IF($A116="","",IFERROR($M116/$J116,0))</f>
        <v/>
      </c>
      <c r="AG116" s="88">
        <f>IF($A116="","",$N116-$O116)</f>
        <v/>
      </c>
      <c r="AH116" s="90">
        <f>IF($A116="","",IFERROR($AG116/$N116,0))</f>
        <v/>
      </c>
      <c r="AI116" s="89">
        <f>IF($A116="","",IFERROR($K116/$P116,0))</f>
        <v/>
      </c>
      <c r="AJ116" s="90">
        <f>IF($A116="","",IFERROR($S116/$R116,0))</f>
        <v/>
      </c>
      <c r="AK116" s="90">
        <f>IF($A116="","",IFERROR($T116/$J116,0))</f>
        <v/>
      </c>
      <c r="AL116" s="26">
        <f>IF($A116="","",IF(AND($AD116&gt;='01_Settings'!$B$9,$V116&lt;='01_Settings'!$B$10,$W116&lt;='01_Settings'!$B$11),"On track","Off track"))</f>
        <v/>
      </c>
      <c r="AM116" s="42">
        <f>IF($A116="","",IF($AD116&lt;'01_Settings'!$B$9,"Low completion rate; ","")&amp;IF($AE116&gt;'01_Settings'!$B$12,"High overdue rate; ","")&amp;IF($U116&lt;'01_Settings'!$B$13,"Low satisfaction; ","")&amp;IF($AH116&lt;'01_Settings'!$B$14,"Low gross margin; ","")&amp;IF($AJ116&lt;'01_Settings'!$B$15,"Low conversion rate; ","")&amp;IF($AK116&gt;'01_Settings'!$B$16,"High complaint rate; ",""))</f>
        <v/>
      </c>
    </row>
    <row r="117" ht="18" customHeight="1">
      <c r="A117" s="86" t="n">
        <v>46122</v>
      </c>
      <c r="B117" s="26" t="inlineStr">
        <is>
          <t>East Coast Division</t>
        </is>
      </c>
      <c r="C117" s="26" t="inlineStr">
        <is>
          <t>E-commerce Operations</t>
        </is>
      </c>
      <c r="D117" s="26" t="inlineStr">
        <is>
          <t>Project Delivery</t>
        </is>
      </c>
      <c r="E117" s="26" t="inlineStr">
        <is>
          <t>Distributor</t>
        </is>
      </c>
      <c r="F117" s="26" t="inlineStr">
        <is>
          <t>Southwest</t>
        </is>
      </c>
      <c r="G117" s="26" t="inlineStr">
        <is>
          <t>Southwest Team</t>
        </is>
      </c>
      <c r="H117" s="26" t="inlineStr">
        <is>
          <t>Jessica Taylor</t>
        </is>
      </c>
      <c r="I117" s="26" t="inlineStr">
        <is>
          <t>Existing customer</t>
        </is>
      </c>
      <c r="J117" s="87" t="n">
        <v>283</v>
      </c>
      <c r="K117" s="87" t="n">
        <v>246</v>
      </c>
      <c r="L117" s="87" t="n">
        <v>14</v>
      </c>
      <c r="M117" s="87" t="n">
        <v>11</v>
      </c>
      <c r="N117" s="88" t="n">
        <v>28173</v>
      </c>
      <c r="O117" s="88" t="n">
        <v>21955</v>
      </c>
      <c r="P117" s="89" t="n">
        <v>39.4</v>
      </c>
      <c r="Q117" s="87" t="n">
        <v>366</v>
      </c>
      <c r="R117" s="87" t="n">
        <v>1139</v>
      </c>
      <c r="S117" s="87" t="n">
        <v>172</v>
      </c>
      <c r="T117" s="87" t="n">
        <v>9</v>
      </c>
      <c r="U117" s="89" t="n">
        <v>4.3</v>
      </c>
      <c r="V117" s="89" t="n">
        <v>3.8</v>
      </c>
      <c r="W117" s="89" t="n">
        <v>17.3</v>
      </c>
      <c r="X117" s="87" t="n">
        <v>114</v>
      </c>
      <c r="Y117" s="87" t="n">
        <v>254</v>
      </c>
      <c r="Z117" s="88" t="n">
        <v>30544</v>
      </c>
      <c r="AA117" s="26" t="n"/>
      <c r="AB117" s="86">
        <f>IF($A117="","",$A117-WEEKDAY($A117,2)+1)</f>
        <v/>
      </c>
      <c r="AC117" s="86">
        <f>IF($A117="","",DATE(YEAR($A117),MONTH($A117),1))</f>
        <v/>
      </c>
      <c r="AD117" s="90">
        <f>IF($A117="","",IFERROR($K117/$J117,0))</f>
        <v/>
      </c>
      <c r="AE117" s="90">
        <f>IF($A117="","",IFERROR($L117/$J117,0))</f>
        <v/>
      </c>
      <c r="AF117" s="90">
        <f>IF($A117="","",IFERROR($M117/$J117,0))</f>
        <v/>
      </c>
      <c r="AG117" s="88">
        <f>IF($A117="","",$N117-$O117)</f>
        <v/>
      </c>
      <c r="AH117" s="90">
        <f>IF($A117="","",IFERROR($AG117/$N117,0))</f>
        <v/>
      </c>
      <c r="AI117" s="89">
        <f>IF($A117="","",IFERROR($K117/$P117,0))</f>
        <v/>
      </c>
      <c r="AJ117" s="90">
        <f>IF($A117="","",IFERROR($S117/$R117,0))</f>
        <v/>
      </c>
      <c r="AK117" s="90">
        <f>IF($A117="","",IFERROR($T117/$J117,0))</f>
        <v/>
      </c>
      <c r="AL117" s="26">
        <f>IF($A117="","",IF(AND($AD117&gt;='01_Settings'!$B$9,$V117&lt;='01_Settings'!$B$10,$W117&lt;='01_Settings'!$B$11),"On track","Off track"))</f>
        <v/>
      </c>
      <c r="AM117" s="42">
        <f>IF($A117="","",IF($AD117&lt;'01_Settings'!$B$9,"Low completion rate; ","")&amp;IF($AE117&gt;'01_Settings'!$B$12,"High overdue rate; ","")&amp;IF($U117&lt;'01_Settings'!$B$13,"Low satisfaction; ","")&amp;IF($AH117&lt;'01_Settings'!$B$14,"Low gross margin; ","")&amp;IF($AJ117&lt;'01_Settings'!$B$15,"Low conversion rate; ","")&amp;IF($AK117&gt;'01_Settings'!$B$16,"High complaint rate; ",""))</f>
        <v/>
      </c>
    </row>
    <row r="118" ht="18" customHeight="1">
      <c r="A118" s="86" t="n">
        <v>46122</v>
      </c>
      <c r="B118" s="26" t="inlineStr">
        <is>
          <t>Southeast Division</t>
        </is>
      </c>
      <c r="C118" s="26" t="inlineStr">
        <is>
          <t>Finance / Expenses</t>
        </is>
      </c>
      <c r="D118" s="26" t="inlineStr">
        <is>
          <t>Project Delivery</t>
        </is>
      </c>
      <c r="E118" s="26" t="inlineStr">
        <is>
          <t>Phone</t>
        </is>
      </c>
      <c r="F118" s="26" t="inlineStr">
        <is>
          <t>Southwest</t>
        </is>
      </c>
      <c r="G118" s="26" t="inlineStr">
        <is>
          <t>Southwest Team</t>
        </is>
      </c>
      <c r="H118" s="26" t="inlineStr">
        <is>
          <t>Michael Brown</t>
        </is>
      </c>
      <c r="I118" s="26" t="inlineStr">
        <is>
          <t>Enterprise customers</t>
        </is>
      </c>
      <c r="J118" s="87" t="n">
        <v>247</v>
      </c>
      <c r="K118" s="87" t="n">
        <v>218</v>
      </c>
      <c r="L118" s="87" t="n">
        <v>23</v>
      </c>
      <c r="M118" s="87" t="n">
        <v>10</v>
      </c>
      <c r="N118" s="88" t="n">
        <v>46842</v>
      </c>
      <c r="O118" s="88" t="n">
        <v>31196</v>
      </c>
      <c r="P118" s="89" t="n">
        <v>11.1</v>
      </c>
      <c r="Q118" s="87" t="n">
        <v>129</v>
      </c>
      <c r="R118" s="87" t="n">
        <v>1071</v>
      </c>
      <c r="S118" s="87" t="n">
        <v>78</v>
      </c>
      <c r="T118" s="87" t="n">
        <v>8</v>
      </c>
      <c r="U118" s="89" t="n">
        <v>4.6</v>
      </c>
      <c r="V118" s="89" t="n">
        <v>3.9</v>
      </c>
      <c r="W118" s="89" t="n">
        <v>30.4</v>
      </c>
      <c r="X118" s="87" t="n">
        <v>142</v>
      </c>
      <c r="Y118" s="87" t="n">
        <v>222</v>
      </c>
      <c r="Z118" s="88" t="n">
        <v>50087</v>
      </c>
      <c r="AA118" s="26" t="n"/>
      <c r="AB118" s="86">
        <f>IF($A118="","",$A118-WEEKDAY($A118,2)+1)</f>
        <v/>
      </c>
      <c r="AC118" s="86">
        <f>IF($A118="","",DATE(YEAR($A118),MONTH($A118),1))</f>
        <v/>
      </c>
      <c r="AD118" s="90">
        <f>IF($A118="","",IFERROR($K118/$J118,0))</f>
        <v/>
      </c>
      <c r="AE118" s="90">
        <f>IF($A118="","",IFERROR($L118/$J118,0))</f>
        <v/>
      </c>
      <c r="AF118" s="90">
        <f>IF($A118="","",IFERROR($M118/$J118,0))</f>
        <v/>
      </c>
      <c r="AG118" s="88">
        <f>IF($A118="","",$N118-$O118)</f>
        <v/>
      </c>
      <c r="AH118" s="90">
        <f>IF($A118="","",IFERROR($AG118/$N118,0))</f>
        <v/>
      </c>
      <c r="AI118" s="89">
        <f>IF($A118="","",IFERROR($K118/$P118,0))</f>
        <v/>
      </c>
      <c r="AJ118" s="90">
        <f>IF($A118="","",IFERROR($S118/$R118,0))</f>
        <v/>
      </c>
      <c r="AK118" s="90">
        <f>IF($A118="","",IFERROR($T118/$J118,0))</f>
        <v/>
      </c>
      <c r="AL118" s="26">
        <f>IF($A118="","",IF(AND($AD118&gt;='01_Settings'!$B$9,$V118&lt;='01_Settings'!$B$10,$W118&lt;='01_Settings'!$B$11),"On track","Off track"))</f>
        <v/>
      </c>
      <c r="AM118" s="42">
        <f>IF($A118="","",IF($AD118&lt;'01_Settings'!$B$9,"Low completion rate; ","")&amp;IF($AE118&gt;'01_Settings'!$B$12,"High overdue rate; ","")&amp;IF($U118&lt;'01_Settings'!$B$13,"Low satisfaction; ","")&amp;IF($AH118&lt;'01_Settings'!$B$14,"Low gross margin; ","")&amp;IF($AJ118&lt;'01_Settings'!$B$15,"Low conversion rate; ","")&amp;IF($AK118&gt;'01_Settings'!$B$16,"High complaint rate; ",""))</f>
        <v/>
      </c>
    </row>
    <row r="119" ht="18" customHeight="1">
      <c r="A119" s="86" t="n">
        <v>46123</v>
      </c>
      <c r="B119" s="26" t="inlineStr">
        <is>
          <t>Digital Business Unit</t>
        </is>
      </c>
      <c r="C119" s="26" t="inlineStr">
        <is>
          <t>Field Services</t>
        </is>
      </c>
      <c r="D119" s="26" t="inlineStr">
        <is>
          <t>After-sales Coverage</t>
        </is>
      </c>
      <c r="E119" s="26" t="inlineStr">
        <is>
          <t>Mobile app</t>
        </is>
      </c>
      <c r="F119" s="26" t="inlineStr">
        <is>
          <t>Southwest</t>
        </is>
      </c>
      <c r="G119" s="26" t="inlineStr">
        <is>
          <t>Southwest Team</t>
        </is>
      </c>
      <c r="H119" s="26" t="inlineStr">
        <is>
          <t>Michael Brown</t>
        </is>
      </c>
      <c r="I119" s="26" t="inlineStr">
        <is>
          <t>Enterprise customers</t>
        </is>
      </c>
      <c r="J119" s="87" t="n">
        <v>147</v>
      </c>
      <c r="K119" s="87" t="n">
        <v>134</v>
      </c>
      <c r="L119" s="87" t="n">
        <v>11</v>
      </c>
      <c r="M119" s="87" t="n">
        <v>2</v>
      </c>
      <c r="N119" s="88" t="n">
        <v>44710</v>
      </c>
      <c r="O119" s="88" t="n">
        <v>32043</v>
      </c>
      <c r="P119" s="89" t="n">
        <v>25.2</v>
      </c>
      <c r="Q119" s="87" t="n">
        <v>381</v>
      </c>
      <c r="R119" s="87" t="n">
        <v>1699</v>
      </c>
      <c r="S119" s="87" t="n">
        <v>255</v>
      </c>
      <c r="T119" s="87" t="n">
        <v>4</v>
      </c>
      <c r="U119" s="89" t="n">
        <v>4.5</v>
      </c>
      <c r="V119" s="89" t="n">
        <v>2.6</v>
      </c>
      <c r="W119" s="89" t="n">
        <v>14.7</v>
      </c>
      <c r="X119" s="87" t="n">
        <v>34</v>
      </c>
      <c r="Y119" s="87" t="n">
        <v>132</v>
      </c>
      <c r="Z119" s="88" t="n">
        <v>46245</v>
      </c>
      <c r="AA119" s="26" t="n"/>
      <c r="AB119" s="86">
        <f>IF($A119="","",$A119-WEEKDAY($A119,2)+1)</f>
        <v/>
      </c>
      <c r="AC119" s="86">
        <f>IF($A119="","",DATE(YEAR($A119),MONTH($A119),1))</f>
        <v/>
      </c>
      <c r="AD119" s="90">
        <f>IF($A119="","",IFERROR($K119/$J119,0))</f>
        <v/>
      </c>
      <c r="AE119" s="90">
        <f>IF($A119="","",IFERROR($L119/$J119,0))</f>
        <v/>
      </c>
      <c r="AF119" s="90">
        <f>IF($A119="","",IFERROR($M119/$J119,0))</f>
        <v/>
      </c>
      <c r="AG119" s="88">
        <f>IF($A119="","",$N119-$O119)</f>
        <v/>
      </c>
      <c r="AH119" s="90">
        <f>IF($A119="","",IFERROR($AG119/$N119,0))</f>
        <v/>
      </c>
      <c r="AI119" s="89">
        <f>IF($A119="","",IFERROR($K119/$P119,0))</f>
        <v/>
      </c>
      <c r="AJ119" s="90">
        <f>IF($A119="","",IFERROR($S119/$R119,0))</f>
        <v/>
      </c>
      <c r="AK119" s="90">
        <f>IF($A119="","",IFERROR($T119/$J119,0))</f>
        <v/>
      </c>
      <c r="AL119" s="26">
        <f>IF($A119="","",IF(AND($AD119&gt;='01_Settings'!$B$9,$V119&lt;='01_Settings'!$B$10,$W119&lt;='01_Settings'!$B$11),"On track","Off track"))</f>
        <v/>
      </c>
      <c r="AM119" s="42">
        <f>IF($A119="","",IF($AD119&lt;'01_Settings'!$B$9,"Low completion rate; ","")&amp;IF($AE119&gt;'01_Settings'!$B$12,"High overdue rate; ","")&amp;IF($U119&lt;'01_Settings'!$B$13,"Low satisfaction; ","")&amp;IF($AH119&lt;'01_Settings'!$B$14,"Low gross margin; ","")&amp;IF($AJ119&lt;'01_Settings'!$B$15,"Low conversion rate; ","")&amp;IF($AK119&gt;'01_Settings'!$B$16,"High complaint rate; ",""))</f>
        <v/>
      </c>
    </row>
    <row r="120" ht="18" customHeight="1">
      <c r="A120" s="86" t="n">
        <v>46123</v>
      </c>
      <c r="B120" s="26" t="inlineStr">
        <is>
          <t>Digital Business Unit</t>
        </is>
      </c>
      <c r="C120" s="26" t="inlineStr">
        <is>
          <t>Sales Operations</t>
        </is>
      </c>
      <c r="D120" s="26" t="inlineStr">
        <is>
          <t>After-sales Coverage</t>
        </is>
      </c>
      <c r="E120" s="26" t="inlineStr">
        <is>
          <t>Marketplace store</t>
        </is>
      </c>
      <c r="F120" s="26" t="inlineStr">
        <is>
          <t>Southeast</t>
        </is>
      </c>
      <c r="G120" s="26" t="inlineStr">
        <is>
          <t>Southeast Team</t>
        </is>
      </c>
      <c r="H120" s="26" t="inlineStr">
        <is>
          <t>John Miller</t>
        </is>
      </c>
      <c r="I120" s="26" t="inlineStr">
        <is>
          <t>High-value customer</t>
        </is>
      </c>
      <c r="J120" s="87" t="n">
        <v>112</v>
      </c>
      <c r="K120" s="87" t="n">
        <v>102</v>
      </c>
      <c r="L120" s="87" t="n">
        <v>6</v>
      </c>
      <c r="M120" s="87" t="n">
        <v>2</v>
      </c>
      <c r="N120" s="88" t="n">
        <v>24604</v>
      </c>
      <c r="O120" s="88" t="n">
        <v>19638</v>
      </c>
      <c r="P120" s="89" t="n">
        <v>21.2</v>
      </c>
      <c r="Q120" s="87" t="n">
        <v>108</v>
      </c>
      <c r="R120" s="87" t="n">
        <v>2480</v>
      </c>
      <c r="S120" s="87" t="n">
        <v>148</v>
      </c>
      <c r="T120" s="87" t="n">
        <v>1</v>
      </c>
      <c r="U120" s="89" t="n">
        <v>4</v>
      </c>
      <c r="V120" s="89" t="n">
        <v>5.2</v>
      </c>
      <c r="W120" s="89" t="n">
        <v>25.3</v>
      </c>
      <c r="X120" s="87" t="n">
        <v>96</v>
      </c>
      <c r="Y120" s="87" t="n">
        <v>100</v>
      </c>
      <c r="Z120" s="88" t="n">
        <v>25327</v>
      </c>
      <c r="AA120" s="26" t="n"/>
      <c r="AB120" s="86">
        <f>IF($A120="","",$A120-WEEKDAY($A120,2)+1)</f>
        <v/>
      </c>
      <c r="AC120" s="86">
        <f>IF($A120="","",DATE(YEAR($A120),MONTH($A120),1))</f>
        <v/>
      </c>
      <c r="AD120" s="90">
        <f>IF($A120="","",IFERROR($K120/$J120,0))</f>
        <v/>
      </c>
      <c r="AE120" s="90">
        <f>IF($A120="","",IFERROR($L120/$J120,0))</f>
        <v/>
      </c>
      <c r="AF120" s="90">
        <f>IF($A120="","",IFERROR($M120/$J120,0))</f>
        <v/>
      </c>
      <c r="AG120" s="88">
        <f>IF($A120="","",$N120-$O120)</f>
        <v/>
      </c>
      <c r="AH120" s="90">
        <f>IF($A120="","",IFERROR($AG120/$N120,0))</f>
        <v/>
      </c>
      <c r="AI120" s="89">
        <f>IF($A120="","",IFERROR($K120/$P120,0))</f>
        <v/>
      </c>
      <c r="AJ120" s="90">
        <f>IF($A120="","",IFERROR($S120/$R120,0))</f>
        <v/>
      </c>
      <c r="AK120" s="90">
        <f>IF($A120="","",IFERROR($T120/$J120,0))</f>
        <v/>
      </c>
      <c r="AL120" s="26">
        <f>IF($A120="","",IF(AND($AD120&gt;='01_Settings'!$B$9,$V120&lt;='01_Settings'!$B$10,$W120&lt;='01_Settings'!$B$11),"On track","Off track"))</f>
        <v/>
      </c>
      <c r="AM120" s="42">
        <f>IF($A120="","",IF($AD120&lt;'01_Settings'!$B$9,"Low completion rate; ","")&amp;IF($AE120&gt;'01_Settings'!$B$12,"High overdue rate; ","")&amp;IF($U120&lt;'01_Settings'!$B$13,"Low satisfaction; ","")&amp;IF($AH120&lt;'01_Settings'!$B$14,"Low gross margin; ","")&amp;IF($AJ120&lt;'01_Settings'!$B$15,"Low conversion rate; ","")&amp;IF($AK120&gt;'01_Settings'!$B$16,"High complaint rate; ",""))</f>
        <v/>
      </c>
    </row>
    <row r="121" ht="18" customHeight="1">
      <c r="A121" s="86" t="n">
        <v>46123</v>
      </c>
      <c r="B121" s="26" t="inlineStr">
        <is>
          <t>Southeast Division</t>
        </is>
      </c>
      <c r="C121" s="26" t="inlineStr">
        <is>
          <t>Supply Chain / Inventory</t>
        </is>
      </c>
      <c r="D121" s="26" t="inlineStr">
        <is>
          <t>After-sales Coverage</t>
        </is>
      </c>
      <c r="E121" s="26" t="inlineStr">
        <is>
          <t>Marketplace store</t>
        </is>
      </c>
      <c r="F121" s="26" t="inlineStr">
        <is>
          <t>International</t>
        </is>
      </c>
      <c r="G121" s="26" t="inlineStr">
        <is>
          <t>International Team</t>
        </is>
      </c>
      <c r="H121" s="26" t="inlineStr">
        <is>
          <t>Jessica Taylor</t>
        </is>
      </c>
      <c r="I121" s="26" t="inlineStr">
        <is>
          <t>Standard customer</t>
        </is>
      </c>
      <c r="J121" s="87" t="n">
        <v>109</v>
      </c>
      <c r="K121" s="87" t="n">
        <v>100</v>
      </c>
      <c r="L121" s="87" t="n">
        <v>6</v>
      </c>
      <c r="M121" s="87" t="n">
        <v>2</v>
      </c>
      <c r="N121" s="88" t="n">
        <v>29304</v>
      </c>
      <c r="O121" s="88" t="n">
        <v>19629</v>
      </c>
      <c r="P121" s="89" t="n">
        <v>7.8</v>
      </c>
      <c r="Q121" s="87" t="n">
        <v>309</v>
      </c>
      <c r="R121" s="87" t="n">
        <v>535</v>
      </c>
      <c r="S121" s="87" t="n">
        <v>72</v>
      </c>
      <c r="T121" s="87" t="n">
        <v>1</v>
      </c>
      <c r="U121" s="89" t="n">
        <v>3.8</v>
      </c>
      <c r="V121" s="89" t="n">
        <v>2.1</v>
      </c>
      <c r="W121" s="89" t="n">
        <v>16.1</v>
      </c>
      <c r="X121" s="87" t="n">
        <v>122</v>
      </c>
      <c r="Y121" s="87" t="n">
        <v>98</v>
      </c>
      <c r="Z121" s="88" t="n">
        <v>30154</v>
      </c>
      <c r="AA121" s="26" t="n"/>
      <c r="AB121" s="86">
        <f>IF($A121="","",$A121-WEEKDAY($A121,2)+1)</f>
        <v/>
      </c>
      <c r="AC121" s="86">
        <f>IF($A121="","",DATE(YEAR($A121),MONTH($A121),1))</f>
        <v/>
      </c>
      <c r="AD121" s="90">
        <f>IF($A121="","",IFERROR($K121/$J121,0))</f>
        <v/>
      </c>
      <c r="AE121" s="90">
        <f>IF($A121="","",IFERROR($L121/$J121,0))</f>
        <v/>
      </c>
      <c r="AF121" s="90">
        <f>IF($A121="","",IFERROR($M121/$J121,0))</f>
        <v/>
      </c>
      <c r="AG121" s="88">
        <f>IF($A121="","",$N121-$O121)</f>
        <v/>
      </c>
      <c r="AH121" s="90">
        <f>IF($A121="","",IFERROR($AG121/$N121,0))</f>
        <v/>
      </c>
      <c r="AI121" s="89">
        <f>IF($A121="","",IFERROR($K121/$P121,0))</f>
        <v/>
      </c>
      <c r="AJ121" s="90">
        <f>IF($A121="","",IFERROR($S121/$R121,0))</f>
        <v/>
      </c>
      <c r="AK121" s="90">
        <f>IF($A121="","",IFERROR($T121/$J121,0))</f>
        <v/>
      </c>
      <c r="AL121" s="26">
        <f>IF($A121="","",IF(AND($AD121&gt;='01_Settings'!$B$9,$V121&lt;='01_Settings'!$B$10,$W121&lt;='01_Settings'!$B$11),"On track","Off track"))</f>
        <v/>
      </c>
      <c r="AM121" s="42">
        <f>IF($A121="","",IF($AD121&lt;'01_Settings'!$B$9,"Low completion rate; ","")&amp;IF($AE121&gt;'01_Settings'!$B$12,"High overdue rate; ","")&amp;IF($U121&lt;'01_Settings'!$B$13,"Low satisfaction; ","")&amp;IF($AH121&lt;'01_Settings'!$B$14,"Low gross margin; ","")&amp;IF($AJ121&lt;'01_Settings'!$B$15,"Low conversion rate; ","")&amp;IF($AK121&gt;'01_Settings'!$B$16,"High complaint rate; ",""))</f>
        <v/>
      </c>
    </row>
    <row r="122" ht="18" customHeight="1">
      <c r="A122" s="86" t="n">
        <v>46124</v>
      </c>
      <c r="B122" s="26" t="inlineStr">
        <is>
          <t>North Operations Center</t>
        </is>
      </c>
      <c r="C122" s="26" t="inlineStr">
        <is>
          <t>Sales Operations</t>
        </is>
      </c>
      <c r="D122" s="26" t="inlineStr">
        <is>
          <t>Project Delivery</t>
        </is>
      </c>
      <c r="E122" s="26" t="inlineStr">
        <is>
          <t>Online</t>
        </is>
      </c>
      <c r="F122" s="26" t="inlineStr">
        <is>
          <t>Southwest</t>
        </is>
      </c>
      <c r="G122" s="26" t="inlineStr">
        <is>
          <t>Southwest Team</t>
        </is>
      </c>
      <c r="H122" s="26" t="inlineStr">
        <is>
          <t>Sarah Johnson</t>
        </is>
      </c>
      <c r="I122" s="26" t="inlineStr">
        <is>
          <t>Standard customer</t>
        </is>
      </c>
      <c r="J122" s="87" t="n">
        <v>177</v>
      </c>
      <c r="K122" s="87" t="n">
        <v>160</v>
      </c>
      <c r="L122" s="87" t="n">
        <v>21</v>
      </c>
      <c r="M122" s="87" t="n">
        <v>0</v>
      </c>
      <c r="N122" s="88" t="n">
        <v>52643</v>
      </c>
      <c r="O122" s="88" t="n">
        <v>39633</v>
      </c>
      <c r="P122" s="89" t="n">
        <v>16.1</v>
      </c>
      <c r="Q122" s="87" t="n">
        <v>36</v>
      </c>
      <c r="R122" s="87" t="n">
        <v>1978</v>
      </c>
      <c r="S122" s="87" t="n">
        <v>141</v>
      </c>
      <c r="T122" s="87" t="n">
        <v>6</v>
      </c>
      <c r="U122" s="89" t="n">
        <v>3.9</v>
      </c>
      <c r="V122" s="89" t="n">
        <v>5.3</v>
      </c>
      <c r="W122" s="89" t="n">
        <v>11.3</v>
      </c>
      <c r="X122" s="87" t="n">
        <v>65</v>
      </c>
      <c r="Y122" s="87" t="n">
        <v>159</v>
      </c>
      <c r="Z122" s="88" t="n">
        <v>54930</v>
      </c>
      <c r="AA122" s="26" t="n"/>
      <c r="AB122" s="86">
        <f>IF($A122="","",$A122-WEEKDAY($A122,2)+1)</f>
        <v/>
      </c>
      <c r="AC122" s="86">
        <f>IF($A122="","",DATE(YEAR($A122),MONTH($A122),1))</f>
        <v/>
      </c>
      <c r="AD122" s="90">
        <f>IF($A122="","",IFERROR($K122/$J122,0))</f>
        <v/>
      </c>
      <c r="AE122" s="90">
        <f>IF($A122="","",IFERROR($L122/$J122,0))</f>
        <v/>
      </c>
      <c r="AF122" s="90">
        <f>IF($A122="","",IFERROR($M122/$J122,0))</f>
        <v/>
      </c>
      <c r="AG122" s="88">
        <f>IF($A122="","",$N122-$O122)</f>
        <v/>
      </c>
      <c r="AH122" s="90">
        <f>IF($A122="","",IFERROR($AG122/$N122,0))</f>
        <v/>
      </c>
      <c r="AI122" s="89">
        <f>IF($A122="","",IFERROR($K122/$P122,0))</f>
        <v/>
      </c>
      <c r="AJ122" s="90">
        <f>IF($A122="","",IFERROR($S122/$R122,0))</f>
        <v/>
      </c>
      <c r="AK122" s="90">
        <f>IF($A122="","",IFERROR($T122/$J122,0))</f>
        <v/>
      </c>
      <c r="AL122" s="26">
        <f>IF($A122="","",IF(AND($AD122&gt;='01_Settings'!$B$9,$V122&lt;='01_Settings'!$B$10,$W122&lt;='01_Settings'!$B$11),"On track","Off track"))</f>
        <v/>
      </c>
      <c r="AM122" s="42">
        <f>IF($A122="","",IF($AD122&lt;'01_Settings'!$B$9,"Low completion rate; ","")&amp;IF($AE122&gt;'01_Settings'!$B$12,"High overdue rate; ","")&amp;IF($U122&lt;'01_Settings'!$B$13,"Low satisfaction; ","")&amp;IF($AH122&lt;'01_Settings'!$B$14,"Low gross margin; ","")&amp;IF($AJ122&lt;'01_Settings'!$B$15,"Low conversion rate; ","")&amp;IF($AK122&gt;'01_Settings'!$B$16,"High complaint rate; ",""))</f>
        <v/>
      </c>
    </row>
    <row r="123" ht="18" customHeight="1">
      <c r="A123" s="86" t="n">
        <v>46124</v>
      </c>
      <c r="B123" s="26" t="inlineStr">
        <is>
          <t>Digital Business Unit</t>
        </is>
      </c>
      <c r="C123" s="26" t="inlineStr">
        <is>
          <t>Production / Delivery</t>
        </is>
      </c>
      <c r="D123" s="26" t="inlineStr">
        <is>
          <t>After-sales Coverage</t>
        </is>
      </c>
      <c r="E123" s="26" t="inlineStr">
        <is>
          <t>Phone</t>
        </is>
      </c>
      <c r="F123" s="26" t="inlineStr">
        <is>
          <t>Southeast</t>
        </is>
      </c>
      <c r="G123" s="26" t="inlineStr">
        <is>
          <t>Southeast Team</t>
        </is>
      </c>
      <c r="H123" s="26" t="inlineStr">
        <is>
          <t>Emily Davis</t>
        </is>
      </c>
      <c r="I123" s="26" t="inlineStr">
        <is>
          <t>Existing customer</t>
        </is>
      </c>
      <c r="J123" s="87" t="n">
        <v>219</v>
      </c>
      <c r="K123" s="87" t="n">
        <v>207</v>
      </c>
      <c r="L123" s="87" t="n">
        <v>22</v>
      </c>
      <c r="M123" s="87" t="n">
        <v>8</v>
      </c>
      <c r="N123" s="88" t="n">
        <v>51962</v>
      </c>
      <c r="O123" s="88" t="n">
        <v>36047</v>
      </c>
      <c r="P123" s="89" t="n">
        <v>31.4</v>
      </c>
      <c r="Q123" s="87" t="n">
        <v>106</v>
      </c>
      <c r="R123" s="87" t="n">
        <v>1531</v>
      </c>
      <c r="S123" s="87" t="n">
        <v>241</v>
      </c>
      <c r="T123" s="87" t="n">
        <v>3</v>
      </c>
      <c r="U123" s="89" t="n">
        <v>4.4</v>
      </c>
      <c r="V123" s="89" t="n">
        <v>5.8</v>
      </c>
      <c r="W123" s="89" t="n">
        <v>22.4</v>
      </c>
      <c r="X123" s="87" t="n">
        <v>178</v>
      </c>
      <c r="Y123" s="87" t="n">
        <v>197</v>
      </c>
      <c r="Z123" s="88" t="n">
        <v>51924</v>
      </c>
      <c r="AA123" s="26" t="n"/>
      <c r="AB123" s="86">
        <f>IF($A123="","",$A123-WEEKDAY($A123,2)+1)</f>
        <v/>
      </c>
      <c r="AC123" s="86">
        <f>IF($A123="","",DATE(YEAR($A123),MONTH($A123),1))</f>
        <v/>
      </c>
      <c r="AD123" s="90">
        <f>IF($A123="","",IFERROR($K123/$J123,0))</f>
        <v/>
      </c>
      <c r="AE123" s="90">
        <f>IF($A123="","",IFERROR($L123/$J123,0))</f>
        <v/>
      </c>
      <c r="AF123" s="90">
        <f>IF($A123="","",IFERROR($M123/$J123,0))</f>
        <v/>
      </c>
      <c r="AG123" s="88">
        <f>IF($A123="","",$N123-$O123)</f>
        <v/>
      </c>
      <c r="AH123" s="90">
        <f>IF($A123="","",IFERROR($AG123/$N123,0))</f>
        <v/>
      </c>
      <c r="AI123" s="89">
        <f>IF($A123="","",IFERROR($K123/$P123,0))</f>
        <v/>
      </c>
      <c r="AJ123" s="90">
        <f>IF($A123="","",IFERROR($S123/$R123,0))</f>
        <v/>
      </c>
      <c r="AK123" s="90">
        <f>IF($A123="","",IFERROR($T123/$J123,0))</f>
        <v/>
      </c>
      <c r="AL123" s="26">
        <f>IF($A123="","",IF(AND($AD123&gt;='01_Settings'!$B$9,$V123&lt;='01_Settings'!$B$10,$W123&lt;='01_Settings'!$B$11),"On track","Off track"))</f>
        <v/>
      </c>
      <c r="AM123" s="42">
        <f>IF($A123="","",IF($AD123&lt;'01_Settings'!$B$9,"Low completion rate; ","")&amp;IF($AE123&gt;'01_Settings'!$B$12,"High overdue rate; ","")&amp;IF($U123&lt;'01_Settings'!$B$13,"Low satisfaction; ","")&amp;IF($AH123&lt;'01_Settings'!$B$14,"Low gross margin; ","")&amp;IF($AJ123&lt;'01_Settings'!$B$15,"Low conversion rate; ","")&amp;IF($AK123&gt;'01_Settings'!$B$16,"High complaint rate; ",""))</f>
        <v/>
      </c>
    </row>
    <row r="124" ht="18" customHeight="1">
      <c r="A124" s="86" t="n">
        <v>46124</v>
      </c>
      <c r="B124" s="26" t="inlineStr">
        <is>
          <t>North Operations Center</t>
        </is>
      </c>
      <c r="C124" s="26" t="inlineStr">
        <is>
          <t>Customer Support Operations</t>
        </is>
      </c>
      <c r="D124" s="26" t="inlineStr">
        <is>
          <t>Project Delivery</t>
        </is>
      </c>
      <c r="E124" s="26" t="inlineStr">
        <is>
          <t>Phone</t>
        </is>
      </c>
      <c r="F124" s="26" t="inlineStr">
        <is>
          <t>Southeast</t>
        </is>
      </c>
      <c r="G124" s="26" t="inlineStr">
        <is>
          <t>Southeast Team</t>
        </is>
      </c>
      <c r="H124" s="26" t="inlineStr">
        <is>
          <t>David Wilson</t>
        </is>
      </c>
      <c r="I124" s="26" t="inlineStr">
        <is>
          <t>Enterprise customers</t>
        </is>
      </c>
      <c r="J124" s="87" t="n">
        <v>95</v>
      </c>
      <c r="K124" s="87" t="n">
        <v>81</v>
      </c>
      <c r="L124" s="87" t="n">
        <v>8</v>
      </c>
      <c r="M124" s="87" t="n">
        <v>3</v>
      </c>
      <c r="N124" s="88" t="n">
        <v>24984</v>
      </c>
      <c r="O124" s="88" t="n">
        <v>18303</v>
      </c>
      <c r="P124" s="89" t="n">
        <v>10.8</v>
      </c>
      <c r="Q124" s="87" t="n">
        <v>315</v>
      </c>
      <c r="R124" s="87" t="n">
        <v>1515</v>
      </c>
      <c r="S124" s="87" t="n">
        <v>174</v>
      </c>
      <c r="T124" s="87" t="n">
        <v>1</v>
      </c>
      <c r="U124" s="89" t="n">
        <v>3.9</v>
      </c>
      <c r="V124" s="89" t="n">
        <v>5</v>
      </c>
      <c r="W124" s="89" t="n">
        <v>29.5</v>
      </c>
      <c r="X124" s="87" t="n">
        <v>108</v>
      </c>
      <c r="Y124" s="87" t="n">
        <v>85</v>
      </c>
      <c r="Z124" s="88" t="n">
        <v>27528</v>
      </c>
      <c r="AA124" s="26" t="n"/>
      <c r="AB124" s="86">
        <f>IF($A124="","",$A124-WEEKDAY($A124,2)+1)</f>
        <v/>
      </c>
      <c r="AC124" s="86">
        <f>IF($A124="","",DATE(YEAR($A124),MONTH($A124),1))</f>
        <v/>
      </c>
      <c r="AD124" s="90">
        <f>IF($A124="","",IFERROR($K124/$J124,0))</f>
        <v/>
      </c>
      <c r="AE124" s="90">
        <f>IF($A124="","",IFERROR($L124/$J124,0))</f>
        <v/>
      </c>
      <c r="AF124" s="90">
        <f>IF($A124="","",IFERROR($M124/$J124,0))</f>
        <v/>
      </c>
      <c r="AG124" s="88">
        <f>IF($A124="","",$N124-$O124)</f>
        <v/>
      </c>
      <c r="AH124" s="90">
        <f>IF($A124="","",IFERROR($AG124/$N124,0))</f>
        <v/>
      </c>
      <c r="AI124" s="89">
        <f>IF($A124="","",IFERROR($K124/$P124,0))</f>
        <v/>
      </c>
      <c r="AJ124" s="90">
        <f>IF($A124="","",IFERROR($S124/$R124,0))</f>
        <v/>
      </c>
      <c r="AK124" s="90">
        <f>IF($A124="","",IFERROR($T124/$J124,0))</f>
        <v/>
      </c>
      <c r="AL124" s="26">
        <f>IF($A124="","",IF(AND($AD124&gt;='01_Settings'!$B$9,$V124&lt;='01_Settings'!$B$10,$W124&lt;='01_Settings'!$B$11),"On track","Off track"))</f>
        <v/>
      </c>
      <c r="AM124" s="42">
        <f>IF($A124="","",IF($AD124&lt;'01_Settings'!$B$9,"Low completion rate; ","")&amp;IF($AE124&gt;'01_Settings'!$B$12,"High overdue rate; ","")&amp;IF($U124&lt;'01_Settings'!$B$13,"Low satisfaction; ","")&amp;IF($AH124&lt;'01_Settings'!$B$14,"Low gross margin; ","")&amp;IF($AJ124&lt;'01_Settings'!$B$15,"Low conversion rate; ","")&amp;IF($AK124&gt;'01_Settings'!$B$16,"High complaint rate; ",""))</f>
        <v/>
      </c>
    </row>
    <row r="125" ht="18" customHeight="1">
      <c r="A125" s="86" t="n">
        <v>46125</v>
      </c>
      <c r="B125" s="26" t="inlineStr">
        <is>
          <t>East Coast Division</t>
        </is>
      </c>
      <c r="C125" s="26" t="inlineStr">
        <is>
          <t>Finance / Expenses</t>
        </is>
      </c>
      <c r="D125" s="26" t="inlineStr">
        <is>
          <t>Project Delivery</t>
        </is>
      </c>
      <c r="E125" s="26" t="inlineStr">
        <is>
          <t>Distributor</t>
        </is>
      </c>
      <c r="F125" s="26" t="inlineStr">
        <is>
          <t>Midwest</t>
        </is>
      </c>
      <c r="G125" s="26" t="inlineStr">
        <is>
          <t>Midwest Team</t>
        </is>
      </c>
      <c r="H125" s="26" t="inlineStr">
        <is>
          <t>John Miller</t>
        </is>
      </c>
      <c r="I125" s="26" t="inlineStr">
        <is>
          <t>New customer</t>
        </is>
      </c>
      <c r="J125" s="87" t="n">
        <v>41</v>
      </c>
      <c r="K125" s="87" t="n">
        <v>39</v>
      </c>
      <c r="L125" s="87" t="n">
        <v>4</v>
      </c>
      <c r="M125" s="87" t="n">
        <v>0</v>
      </c>
      <c r="N125" s="88" t="n">
        <v>14447</v>
      </c>
      <c r="O125" s="88" t="n">
        <v>11163</v>
      </c>
      <c r="P125" s="89" t="n">
        <v>5.2</v>
      </c>
      <c r="Q125" s="87" t="n">
        <v>185</v>
      </c>
      <c r="R125" s="87" t="n">
        <v>1446</v>
      </c>
      <c r="S125" s="87" t="n">
        <v>116</v>
      </c>
      <c r="T125" s="87" t="n">
        <v>1</v>
      </c>
      <c r="U125" s="89" t="n">
        <v>4.4</v>
      </c>
      <c r="V125" s="89" t="n">
        <v>3.4</v>
      </c>
      <c r="W125" s="89" t="n">
        <v>17.6</v>
      </c>
      <c r="X125" s="87" t="n">
        <v>179</v>
      </c>
      <c r="Y125" s="87" t="n">
        <v>36</v>
      </c>
      <c r="Z125" s="88" t="n">
        <v>14003</v>
      </c>
      <c r="AA125" s="26" t="n"/>
      <c r="AB125" s="86">
        <f>IF($A125="","",$A125-WEEKDAY($A125,2)+1)</f>
        <v/>
      </c>
      <c r="AC125" s="86">
        <f>IF($A125="","",DATE(YEAR($A125),MONTH($A125),1))</f>
        <v/>
      </c>
      <c r="AD125" s="90">
        <f>IF($A125="","",IFERROR($K125/$J125,0))</f>
        <v/>
      </c>
      <c r="AE125" s="90">
        <f>IF($A125="","",IFERROR($L125/$J125,0))</f>
        <v/>
      </c>
      <c r="AF125" s="90">
        <f>IF($A125="","",IFERROR($M125/$J125,0))</f>
        <v/>
      </c>
      <c r="AG125" s="88">
        <f>IF($A125="","",$N125-$O125)</f>
        <v/>
      </c>
      <c r="AH125" s="90">
        <f>IF($A125="","",IFERROR($AG125/$N125,0))</f>
        <v/>
      </c>
      <c r="AI125" s="89">
        <f>IF($A125="","",IFERROR($K125/$P125,0))</f>
        <v/>
      </c>
      <c r="AJ125" s="90">
        <f>IF($A125="","",IFERROR($S125/$R125,0))</f>
        <v/>
      </c>
      <c r="AK125" s="90">
        <f>IF($A125="","",IFERROR($T125/$J125,0))</f>
        <v/>
      </c>
      <c r="AL125" s="26">
        <f>IF($A125="","",IF(AND($AD125&gt;='01_Settings'!$B$9,$V125&lt;='01_Settings'!$B$10,$W125&lt;='01_Settings'!$B$11),"On track","Off track"))</f>
        <v/>
      </c>
      <c r="AM125" s="42">
        <f>IF($A125="","",IF($AD125&lt;'01_Settings'!$B$9,"Low completion rate; ","")&amp;IF($AE125&gt;'01_Settings'!$B$12,"High overdue rate; ","")&amp;IF($U125&lt;'01_Settings'!$B$13,"Low satisfaction; ","")&amp;IF($AH125&lt;'01_Settings'!$B$14,"Low gross margin; ","")&amp;IF($AJ125&lt;'01_Settings'!$B$15,"Low conversion rate; ","")&amp;IF($AK125&gt;'01_Settings'!$B$16,"High complaint rate; ",""))</f>
        <v/>
      </c>
    </row>
    <row r="126" ht="18" customHeight="1">
      <c r="A126" s="86" t="n">
        <v>46125</v>
      </c>
      <c r="B126" s="26" t="inlineStr">
        <is>
          <t>Digital Business Unit</t>
        </is>
      </c>
      <c r="C126" s="26" t="inlineStr">
        <is>
          <t>Supply Chain / Inventory</t>
        </is>
      </c>
      <c r="D126" s="26" t="inlineStr">
        <is>
          <t>Standard Service</t>
        </is>
      </c>
      <c r="E126" s="26" t="inlineStr">
        <is>
          <t>Online</t>
        </is>
      </c>
      <c r="F126" s="26" t="inlineStr">
        <is>
          <t>Southeast</t>
        </is>
      </c>
      <c r="G126" s="26" t="inlineStr">
        <is>
          <t>Southeast Team</t>
        </is>
      </c>
      <c r="H126" s="26" t="inlineStr">
        <is>
          <t>Michael Brown</t>
        </is>
      </c>
      <c r="I126" s="26" t="inlineStr">
        <is>
          <t>New customer</t>
        </is>
      </c>
      <c r="J126" s="87" t="n">
        <v>90</v>
      </c>
      <c r="K126" s="87" t="n">
        <v>80</v>
      </c>
      <c r="L126" s="87" t="n">
        <v>1</v>
      </c>
      <c r="M126" s="87" t="n">
        <v>4</v>
      </c>
      <c r="N126" s="88" t="n">
        <v>11256</v>
      </c>
      <c r="O126" s="88" t="n">
        <v>8284</v>
      </c>
      <c r="P126" s="89" t="n">
        <v>5.8</v>
      </c>
      <c r="Q126" s="87" t="n">
        <v>352</v>
      </c>
      <c r="R126" s="87" t="n">
        <v>1688</v>
      </c>
      <c r="S126" s="87" t="n">
        <v>99</v>
      </c>
      <c r="T126" s="87" t="n">
        <v>3</v>
      </c>
      <c r="U126" s="89" t="n">
        <v>4.1</v>
      </c>
      <c r="V126" s="89" t="n">
        <v>4.3</v>
      </c>
      <c r="W126" s="89" t="n">
        <v>15</v>
      </c>
      <c r="X126" s="87" t="n">
        <v>100</v>
      </c>
      <c r="Y126" s="87" t="n">
        <v>81</v>
      </c>
      <c r="Z126" s="88" t="n">
        <v>11966</v>
      </c>
      <c r="AA126" s="26" t="n"/>
      <c r="AB126" s="86">
        <f>IF($A126="","",$A126-WEEKDAY($A126,2)+1)</f>
        <v/>
      </c>
      <c r="AC126" s="86">
        <f>IF($A126="","",DATE(YEAR($A126),MONTH($A126),1))</f>
        <v/>
      </c>
      <c r="AD126" s="90">
        <f>IF($A126="","",IFERROR($K126/$J126,0))</f>
        <v/>
      </c>
      <c r="AE126" s="90">
        <f>IF($A126="","",IFERROR($L126/$J126,0))</f>
        <v/>
      </c>
      <c r="AF126" s="90">
        <f>IF($A126="","",IFERROR($M126/$J126,0))</f>
        <v/>
      </c>
      <c r="AG126" s="88">
        <f>IF($A126="","",$N126-$O126)</f>
        <v/>
      </c>
      <c r="AH126" s="90">
        <f>IF($A126="","",IFERROR($AG126/$N126,0))</f>
        <v/>
      </c>
      <c r="AI126" s="89">
        <f>IF($A126="","",IFERROR($K126/$P126,0))</f>
        <v/>
      </c>
      <c r="AJ126" s="90">
        <f>IF($A126="","",IFERROR($S126/$R126,0))</f>
        <v/>
      </c>
      <c r="AK126" s="90">
        <f>IF($A126="","",IFERROR($T126/$J126,0))</f>
        <v/>
      </c>
      <c r="AL126" s="26">
        <f>IF($A126="","",IF(AND($AD126&gt;='01_Settings'!$B$9,$V126&lt;='01_Settings'!$B$10,$W126&lt;='01_Settings'!$B$11),"On track","Off track"))</f>
        <v/>
      </c>
      <c r="AM126" s="42">
        <f>IF($A126="","",IF($AD126&lt;'01_Settings'!$B$9,"Low completion rate; ","")&amp;IF($AE126&gt;'01_Settings'!$B$12,"High overdue rate; ","")&amp;IF($U126&lt;'01_Settings'!$B$13,"Low satisfaction; ","")&amp;IF($AH126&lt;'01_Settings'!$B$14,"Low gross margin; ","")&amp;IF($AJ126&lt;'01_Settings'!$B$15,"Low conversion rate; ","")&amp;IF($AK126&gt;'01_Settings'!$B$16,"High complaint rate; ",""))</f>
        <v/>
      </c>
    </row>
    <row r="127" ht="18" customHeight="1">
      <c r="A127" s="86" t="n">
        <v>46125</v>
      </c>
      <c r="B127" s="26" t="inlineStr">
        <is>
          <t>North Operations Center</t>
        </is>
      </c>
      <c r="C127" s="26" t="inlineStr">
        <is>
          <t>E-commerce Operations</t>
        </is>
      </c>
      <c r="D127" s="26" t="inlineStr">
        <is>
          <t>Enterprise customers</t>
        </is>
      </c>
      <c r="E127" s="26" t="inlineStr">
        <is>
          <t>Email</t>
        </is>
      </c>
      <c r="F127" s="26" t="inlineStr">
        <is>
          <t>Northeast</t>
        </is>
      </c>
      <c r="G127" s="26" t="inlineStr">
        <is>
          <t>Northeast Team</t>
        </is>
      </c>
      <c r="H127" s="26" t="inlineStr">
        <is>
          <t>Sarah Johnson</t>
        </is>
      </c>
      <c r="I127" s="26" t="inlineStr">
        <is>
          <t>High-value customer</t>
        </is>
      </c>
      <c r="J127" s="87" t="n">
        <v>242</v>
      </c>
      <c r="K127" s="87" t="n">
        <v>225</v>
      </c>
      <c r="L127" s="87" t="n">
        <v>4</v>
      </c>
      <c r="M127" s="87" t="n">
        <v>5</v>
      </c>
      <c r="N127" s="88" t="n">
        <v>26957</v>
      </c>
      <c r="O127" s="88" t="n">
        <v>16473</v>
      </c>
      <c r="P127" s="89" t="n">
        <v>37.3</v>
      </c>
      <c r="Q127" s="87" t="n">
        <v>24</v>
      </c>
      <c r="R127" s="87" t="n">
        <v>157</v>
      </c>
      <c r="S127" s="87" t="n">
        <v>19</v>
      </c>
      <c r="T127" s="87" t="n">
        <v>9</v>
      </c>
      <c r="U127" s="89" t="n">
        <v>4.8</v>
      </c>
      <c r="V127" s="89" t="n">
        <v>3.1</v>
      </c>
      <c r="W127" s="89" t="n">
        <v>11.7</v>
      </c>
      <c r="X127" s="87" t="n">
        <v>23</v>
      </c>
      <c r="Y127" s="87" t="n">
        <v>217</v>
      </c>
      <c r="Z127" s="88" t="n">
        <v>27299</v>
      </c>
      <c r="AA127" s="26" t="n"/>
      <c r="AB127" s="86">
        <f>IF($A127="","",$A127-WEEKDAY($A127,2)+1)</f>
        <v/>
      </c>
      <c r="AC127" s="86">
        <f>IF($A127="","",DATE(YEAR($A127),MONTH($A127),1))</f>
        <v/>
      </c>
      <c r="AD127" s="90">
        <f>IF($A127="","",IFERROR($K127/$J127,0))</f>
        <v/>
      </c>
      <c r="AE127" s="90">
        <f>IF($A127="","",IFERROR($L127/$J127,0))</f>
        <v/>
      </c>
      <c r="AF127" s="90">
        <f>IF($A127="","",IFERROR($M127/$J127,0))</f>
        <v/>
      </c>
      <c r="AG127" s="88">
        <f>IF($A127="","",$N127-$O127)</f>
        <v/>
      </c>
      <c r="AH127" s="90">
        <f>IF($A127="","",IFERROR($AG127/$N127,0))</f>
        <v/>
      </c>
      <c r="AI127" s="89">
        <f>IF($A127="","",IFERROR($K127/$P127,0))</f>
        <v/>
      </c>
      <c r="AJ127" s="90">
        <f>IF($A127="","",IFERROR($S127/$R127,0))</f>
        <v/>
      </c>
      <c r="AK127" s="90">
        <f>IF($A127="","",IFERROR($T127/$J127,0))</f>
        <v/>
      </c>
      <c r="AL127" s="26">
        <f>IF($A127="","",IF(AND($AD127&gt;='01_Settings'!$B$9,$V127&lt;='01_Settings'!$B$10,$W127&lt;='01_Settings'!$B$11),"On track","Off track"))</f>
        <v/>
      </c>
      <c r="AM127" s="42">
        <f>IF($A127="","",IF($AD127&lt;'01_Settings'!$B$9,"Low completion rate; ","")&amp;IF($AE127&gt;'01_Settings'!$B$12,"High overdue rate; ","")&amp;IF($U127&lt;'01_Settings'!$B$13,"Low satisfaction; ","")&amp;IF($AH127&lt;'01_Settings'!$B$14,"Low gross margin; ","")&amp;IF($AJ127&lt;'01_Settings'!$B$15,"Low conversion rate; ","")&amp;IF($AK127&gt;'01_Settings'!$B$16,"High complaint rate; ",""))</f>
        <v/>
      </c>
    </row>
    <row r="128" ht="18" customHeight="1">
      <c r="A128" s="86" t="n">
        <v>46126</v>
      </c>
      <c r="B128" s="26" t="inlineStr">
        <is>
          <t>North Operations Center</t>
        </is>
      </c>
      <c r="C128" s="26" t="inlineStr">
        <is>
          <t>Sales Operations</t>
        </is>
      </c>
      <c r="D128" s="26" t="inlineStr">
        <is>
          <t>Membership Program</t>
        </is>
      </c>
      <c r="E128" s="26" t="inlineStr">
        <is>
          <t>Mobile app</t>
        </is>
      </c>
      <c r="F128" s="26" t="inlineStr">
        <is>
          <t>Southeast</t>
        </is>
      </c>
      <c r="G128" s="26" t="inlineStr">
        <is>
          <t>Southeast Team</t>
        </is>
      </c>
      <c r="H128" s="26" t="inlineStr">
        <is>
          <t>Jessica Taylor</t>
        </is>
      </c>
      <c r="I128" s="26" t="inlineStr">
        <is>
          <t>Existing customer</t>
        </is>
      </c>
      <c r="J128" s="87" t="n">
        <v>92</v>
      </c>
      <c r="K128" s="87" t="n">
        <v>81</v>
      </c>
      <c r="L128" s="87" t="n">
        <v>9</v>
      </c>
      <c r="M128" s="87" t="n">
        <v>4</v>
      </c>
      <c r="N128" s="88" t="n">
        <v>22070</v>
      </c>
      <c r="O128" s="88" t="n">
        <v>16173</v>
      </c>
      <c r="P128" s="89" t="n">
        <v>5</v>
      </c>
      <c r="Q128" s="87" t="n">
        <v>308</v>
      </c>
      <c r="R128" s="87" t="n">
        <v>442</v>
      </c>
      <c r="S128" s="87" t="n">
        <v>50</v>
      </c>
      <c r="T128" s="87" t="n">
        <v>1</v>
      </c>
      <c r="U128" s="89" t="n">
        <v>4.2</v>
      </c>
      <c r="V128" s="89" t="n">
        <v>2.1</v>
      </c>
      <c r="W128" s="89" t="n">
        <v>29</v>
      </c>
      <c r="X128" s="87" t="n">
        <v>110</v>
      </c>
      <c r="Y128" s="87" t="n">
        <v>82</v>
      </c>
      <c r="Z128" s="88" t="n">
        <v>23460</v>
      </c>
      <c r="AA128" s="26" t="n"/>
      <c r="AB128" s="86">
        <f>IF($A128="","",$A128-WEEKDAY($A128,2)+1)</f>
        <v/>
      </c>
      <c r="AC128" s="86">
        <f>IF($A128="","",DATE(YEAR($A128),MONTH($A128),1))</f>
        <v/>
      </c>
      <c r="AD128" s="90">
        <f>IF($A128="","",IFERROR($K128/$J128,0))</f>
        <v/>
      </c>
      <c r="AE128" s="90">
        <f>IF($A128="","",IFERROR($L128/$J128,0))</f>
        <v/>
      </c>
      <c r="AF128" s="90">
        <f>IF($A128="","",IFERROR($M128/$J128,0))</f>
        <v/>
      </c>
      <c r="AG128" s="88">
        <f>IF($A128="","",$N128-$O128)</f>
        <v/>
      </c>
      <c r="AH128" s="90">
        <f>IF($A128="","",IFERROR($AG128/$N128,0))</f>
        <v/>
      </c>
      <c r="AI128" s="89">
        <f>IF($A128="","",IFERROR($K128/$P128,0))</f>
        <v/>
      </c>
      <c r="AJ128" s="90">
        <f>IF($A128="","",IFERROR($S128/$R128,0))</f>
        <v/>
      </c>
      <c r="AK128" s="90">
        <f>IF($A128="","",IFERROR($T128/$J128,0))</f>
        <v/>
      </c>
      <c r="AL128" s="26">
        <f>IF($A128="","",IF(AND($AD128&gt;='01_Settings'!$B$9,$V128&lt;='01_Settings'!$B$10,$W128&lt;='01_Settings'!$B$11),"On track","Off track"))</f>
        <v/>
      </c>
      <c r="AM128" s="42">
        <f>IF($A128="","",IF($AD128&lt;'01_Settings'!$B$9,"Low completion rate; ","")&amp;IF($AE128&gt;'01_Settings'!$B$12,"High overdue rate; ","")&amp;IF($U128&lt;'01_Settings'!$B$13,"Low satisfaction; ","")&amp;IF($AH128&lt;'01_Settings'!$B$14,"Low gross margin; ","")&amp;IF($AJ128&lt;'01_Settings'!$B$15,"Low conversion rate; ","")&amp;IF($AK128&gt;'01_Settings'!$B$16,"High complaint rate; ",""))</f>
        <v/>
      </c>
    </row>
    <row r="129" ht="18" customHeight="1">
      <c r="A129" s="86" t="n">
        <v>46126</v>
      </c>
      <c r="B129" s="26" t="inlineStr">
        <is>
          <t>Southeast Division</t>
        </is>
      </c>
      <c r="C129" s="26" t="inlineStr">
        <is>
          <t>Field Services</t>
        </is>
      </c>
      <c r="D129" s="26" t="inlineStr">
        <is>
          <t>After-sales Coverage</t>
        </is>
      </c>
      <c r="E129" s="26" t="inlineStr">
        <is>
          <t>Retail store</t>
        </is>
      </c>
      <c r="F129" s="26" t="inlineStr">
        <is>
          <t>Southwest</t>
        </is>
      </c>
      <c r="G129" s="26" t="inlineStr">
        <is>
          <t>Southwest Team</t>
        </is>
      </c>
      <c r="H129" s="26" t="inlineStr">
        <is>
          <t>Sarah Johnson</t>
        </is>
      </c>
      <c r="I129" s="26" t="inlineStr">
        <is>
          <t>High-value customer</t>
        </is>
      </c>
      <c r="J129" s="87" t="n">
        <v>105</v>
      </c>
      <c r="K129" s="87" t="n">
        <v>92</v>
      </c>
      <c r="L129" s="87" t="n">
        <v>6</v>
      </c>
      <c r="M129" s="87" t="n">
        <v>4</v>
      </c>
      <c r="N129" s="88" t="n">
        <v>14199</v>
      </c>
      <c r="O129" s="88" t="n">
        <v>10281</v>
      </c>
      <c r="P129" s="89" t="n">
        <v>8.5</v>
      </c>
      <c r="Q129" s="87" t="n">
        <v>327</v>
      </c>
      <c r="R129" s="87" t="n">
        <v>1594</v>
      </c>
      <c r="S129" s="87" t="n">
        <v>212</v>
      </c>
      <c r="T129" s="87" t="n">
        <v>3</v>
      </c>
      <c r="U129" s="89" t="n">
        <v>4.6</v>
      </c>
      <c r="V129" s="89" t="n">
        <v>4.3</v>
      </c>
      <c r="W129" s="89" t="n">
        <v>16.4</v>
      </c>
      <c r="X129" s="87" t="n">
        <v>137</v>
      </c>
      <c r="Y129" s="87" t="n">
        <v>94</v>
      </c>
      <c r="Z129" s="88" t="n">
        <v>15233</v>
      </c>
      <c r="AA129" s="26" t="n"/>
      <c r="AB129" s="86">
        <f>IF($A129="","",$A129-WEEKDAY($A129,2)+1)</f>
        <v/>
      </c>
      <c r="AC129" s="86">
        <f>IF($A129="","",DATE(YEAR($A129),MONTH($A129),1))</f>
        <v/>
      </c>
      <c r="AD129" s="90">
        <f>IF($A129="","",IFERROR($K129/$J129,0))</f>
        <v/>
      </c>
      <c r="AE129" s="90">
        <f>IF($A129="","",IFERROR($L129/$J129,0))</f>
        <v/>
      </c>
      <c r="AF129" s="90">
        <f>IF($A129="","",IFERROR($M129/$J129,0))</f>
        <v/>
      </c>
      <c r="AG129" s="88">
        <f>IF($A129="","",$N129-$O129)</f>
        <v/>
      </c>
      <c r="AH129" s="90">
        <f>IF($A129="","",IFERROR($AG129/$N129,0))</f>
        <v/>
      </c>
      <c r="AI129" s="89">
        <f>IF($A129="","",IFERROR($K129/$P129,0))</f>
        <v/>
      </c>
      <c r="AJ129" s="90">
        <f>IF($A129="","",IFERROR($S129/$R129,0))</f>
        <v/>
      </c>
      <c r="AK129" s="90">
        <f>IF($A129="","",IFERROR($T129/$J129,0))</f>
        <v/>
      </c>
      <c r="AL129" s="26">
        <f>IF($A129="","",IF(AND($AD129&gt;='01_Settings'!$B$9,$V129&lt;='01_Settings'!$B$10,$W129&lt;='01_Settings'!$B$11),"On track","Off track"))</f>
        <v/>
      </c>
      <c r="AM129" s="42">
        <f>IF($A129="","",IF($AD129&lt;'01_Settings'!$B$9,"Low completion rate; ","")&amp;IF($AE129&gt;'01_Settings'!$B$12,"High overdue rate; ","")&amp;IF($U129&lt;'01_Settings'!$B$13,"Low satisfaction; ","")&amp;IF($AH129&lt;'01_Settings'!$B$14,"Low gross margin; ","")&amp;IF($AJ129&lt;'01_Settings'!$B$15,"Low conversion rate; ","")&amp;IF($AK129&gt;'01_Settings'!$B$16,"High complaint rate; ",""))</f>
        <v/>
      </c>
    </row>
    <row r="130" ht="18" customHeight="1">
      <c r="A130" s="86" t="n">
        <v>46126</v>
      </c>
      <c r="B130" s="26" t="inlineStr">
        <is>
          <t>East Coast Division</t>
        </is>
      </c>
      <c r="C130" s="26" t="inlineStr">
        <is>
          <t>Customer Support Operations</t>
        </is>
      </c>
      <c r="D130" s="26" t="inlineStr">
        <is>
          <t>Enterprise customers</t>
        </is>
      </c>
      <c r="E130" s="26" t="inlineStr">
        <is>
          <t>Email</t>
        </is>
      </c>
      <c r="F130" s="26" t="inlineStr">
        <is>
          <t>Southwest</t>
        </is>
      </c>
      <c r="G130" s="26" t="inlineStr">
        <is>
          <t>Southwest Team</t>
        </is>
      </c>
      <c r="H130" s="26" t="inlineStr">
        <is>
          <t>Emily Davis</t>
        </is>
      </c>
      <c r="I130" s="26" t="inlineStr">
        <is>
          <t>New customer</t>
        </is>
      </c>
      <c r="J130" s="87" t="n">
        <v>245</v>
      </c>
      <c r="K130" s="87" t="n">
        <v>205</v>
      </c>
      <c r="L130" s="87" t="n">
        <v>17</v>
      </c>
      <c r="M130" s="87" t="n">
        <v>7</v>
      </c>
      <c r="N130" s="88" t="n">
        <v>48890</v>
      </c>
      <c r="O130" s="88" t="n">
        <v>39795</v>
      </c>
      <c r="P130" s="89" t="n">
        <v>44.6</v>
      </c>
      <c r="Q130" s="87" t="n">
        <v>182</v>
      </c>
      <c r="R130" s="87" t="n">
        <v>822</v>
      </c>
      <c r="S130" s="87" t="n">
        <v>71</v>
      </c>
      <c r="T130" s="87" t="n">
        <v>9</v>
      </c>
      <c r="U130" s="89" t="n">
        <v>4.2</v>
      </c>
      <c r="V130" s="89" t="n">
        <v>3.7</v>
      </c>
      <c r="W130" s="89" t="n">
        <v>12.8</v>
      </c>
      <c r="X130" s="87" t="n">
        <v>125</v>
      </c>
      <c r="Y130" s="87" t="n">
        <v>220</v>
      </c>
      <c r="Z130" s="88" t="n">
        <v>55090</v>
      </c>
      <c r="AA130" s="26" t="n"/>
      <c r="AB130" s="86">
        <f>IF($A130="","",$A130-WEEKDAY($A130,2)+1)</f>
        <v/>
      </c>
      <c r="AC130" s="86">
        <f>IF($A130="","",DATE(YEAR($A130),MONTH($A130),1))</f>
        <v/>
      </c>
      <c r="AD130" s="90">
        <f>IF($A130="","",IFERROR($K130/$J130,0))</f>
        <v/>
      </c>
      <c r="AE130" s="90">
        <f>IF($A130="","",IFERROR($L130/$J130,0))</f>
        <v/>
      </c>
      <c r="AF130" s="90">
        <f>IF($A130="","",IFERROR($M130/$J130,0))</f>
        <v/>
      </c>
      <c r="AG130" s="88">
        <f>IF($A130="","",$N130-$O130)</f>
        <v/>
      </c>
      <c r="AH130" s="90">
        <f>IF($A130="","",IFERROR($AG130/$N130,0))</f>
        <v/>
      </c>
      <c r="AI130" s="89">
        <f>IF($A130="","",IFERROR($K130/$P130,0))</f>
        <v/>
      </c>
      <c r="AJ130" s="90">
        <f>IF($A130="","",IFERROR($S130/$R130,0))</f>
        <v/>
      </c>
      <c r="AK130" s="90">
        <f>IF($A130="","",IFERROR($T130/$J130,0))</f>
        <v/>
      </c>
      <c r="AL130" s="26">
        <f>IF($A130="","",IF(AND($AD130&gt;='01_Settings'!$B$9,$V130&lt;='01_Settings'!$B$10,$W130&lt;='01_Settings'!$B$11),"On track","Off track"))</f>
        <v/>
      </c>
      <c r="AM130" s="42">
        <f>IF($A130="","",IF($AD130&lt;'01_Settings'!$B$9,"Low completion rate; ","")&amp;IF($AE130&gt;'01_Settings'!$B$12,"High overdue rate; ","")&amp;IF($U130&lt;'01_Settings'!$B$13,"Low satisfaction; ","")&amp;IF($AH130&lt;'01_Settings'!$B$14,"Low gross margin; ","")&amp;IF($AJ130&lt;'01_Settings'!$B$15,"Low conversion rate; ","")&amp;IF($AK130&gt;'01_Settings'!$B$16,"High complaint rate; ",""))</f>
        <v/>
      </c>
    </row>
    <row r="131" ht="18" customHeight="1">
      <c r="A131" s="86" t="n">
        <v>46127</v>
      </c>
      <c r="B131" s="26" t="inlineStr">
        <is>
          <t>East Coast Division</t>
        </is>
      </c>
      <c r="C131" s="26" t="inlineStr">
        <is>
          <t>Sales Operations</t>
        </is>
      </c>
      <c r="D131" s="26" t="inlineStr">
        <is>
          <t>Enterprise customers</t>
        </is>
      </c>
      <c r="E131" s="26" t="inlineStr">
        <is>
          <t>Online</t>
        </is>
      </c>
      <c r="F131" s="26" t="inlineStr">
        <is>
          <t>International</t>
        </is>
      </c>
      <c r="G131" s="26" t="inlineStr">
        <is>
          <t>International Team</t>
        </is>
      </c>
      <c r="H131" s="26" t="inlineStr">
        <is>
          <t>Matthew Anderson</t>
        </is>
      </c>
      <c r="I131" s="26" t="inlineStr">
        <is>
          <t>High-value customer</t>
        </is>
      </c>
      <c r="J131" s="87" t="n">
        <v>150</v>
      </c>
      <c r="K131" s="87" t="n">
        <v>129</v>
      </c>
      <c r="L131" s="87" t="n">
        <v>13</v>
      </c>
      <c r="M131" s="87" t="n">
        <v>5</v>
      </c>
      <c r="N131" s="88" t="n">
        <v>26712</v>
      </c>
      <c r="O131" s="88" t="n">
        <v>17593</v>
      </c>
      <c r="P131" s="89" t="n">
        <v>20.5</v>
      </c>
      <c r="Q131" s="87" t="n">
        <v>295</v>
      </c>
      <c r="R131" s="87" t="n">
        <v>1020</v>
      </c>
      <c r="S131" s="87" t="n">
        <v>74</v>
      </c>
      <c r="T131" s="87" t="n">
        <v>2</v>
      </c>
      <c r="U131" s="89" t="n">
        <v>4.3</v>
      </c>
      <c r="V131" s="89" t="n">
        <v>2</v>
      </c>
      <c r="W131" s="89" t="n">
        <v>30.6</v>
      </c>
      <c r="X131" s="87" t="n">
        <v>142</v>
      </c>
      <c r="Y131" s="87" t="n">
        <v>135</v>
      </c>
      <c r="Z131" s="88" t="n">
        <v>29353</v>
      </c>
      <c r="AA131" s="26" t="n"/>
      <c r="AB131" s="86">
        <f>IF($A131="","",$A131-WEEKDAY($A131,2)+1)</f>
        <v/>
      </c>
      <c r="AC131" s="86">
        <f>IF($A131="","",DATE(YEAR($A131),MONTH($A131),1))</f>
        <v/>
      </c>
      <c r="AD131" s="90">
        <f>IF($A131="","",IFERROR($K131/$J131,0))</f>
        <v/>
      </c>
      <c r="AE131" s="90">
        <f>IF($A131="","",IFERROR($L131/$J131,0))</f>
        <v/>
      </c>
      <c r="AF131" s="90">
        <f>IF($A131="","",IFERROR($M131/$J131,0))</f>
        <v/>
      </c>
      <c r="AG131" s="88">
        <f>IF($A131="","",$N131-$O131)</f>
        <v/>
      </c>
      <c r="AH131" s="90">
        <f>IF($A131="","",IFERROR($AG131/$N131,0))</f>
        <v/>
      </c>
      <c r="AI131" s="89">
        <f>IF($A131="","",IFERROR($K131/$P131,0))</f>
        <v/>
      </c>
      <c r="AJ131" s="90">
        <f>IF($A131="","",IFERROR($S131/$R131,0))</f>
        <v/>
      </c>
      <c r="AK131" s="90">
        <f>IF($A131="","",IFERROR($T131/$J131,0))</f>
        <v/>
      </c>
      <c r="AL131" s="26">
        <f>IF($A131="","",IF(AND($AD131&gt;='01_Settings'!$B$9,$V131&lt;='01_Settings'!$B$10,$W131&lt;='01_Settings'!$B$11),"On track","Off track"))</f>
        <v/>
      </c>
      <c r="AM131" s="42">
        <f>IF($A131="","",IF($AD131&lt;'01_Settings'!$B$9,"Low completion rate; ","")&amp;IF($AE131&gt;'01_Settings'!$B$12,"High overdue rate; ","")&amp;IF($U131&lt;'01_Settings'!$B$13,"Low satisfaction; ","")&amp;IF($AH131&lt;'01_Settings'!$B$14,"Low gross margin; ","")&amp;IF($AJ131&lt;'01_Settings'!$B$15,"Low conversion rate; ","")&amp;IF($AK131&gt;'01_Settings'!$B$16,"High complaint rate; ",""))</f>
        <v/>
      </c>
    </row>
    <row r="132" ht="18" customHeight="1">
      <c r="A132" s="86" t="n">
        <v>46127</v>
      </c>
      <c r="B132" s="26" t="inlineStr">
        <is>
          <t>Digital Business Unit</t>
        </is>
      </c>
      <c r="C132" s="26" t="inlineStr">
        <is>
          <t>Customer Support Operations</t>
        </is>
      </c>
      <c r="D132" s="26" t="inlineStr">
        <is>
          <t>Standard Service</t>
        </is>
      </c>
      <c r="E132" s="26" t="inlineStr">
        <is>
          <t>Email</t>
        </is>
      </c>
      <c r="F132" s="26" t="inlineStr">
        <is>
          <t>Southeast</t>
        </is>
      </c>
      <c r="G132" s="26" t="inlineStr">
        <is>
          <t>Southeast Team</t>
        </is>
      </c>
      <c r="H132" s="26" t="inlineStr">
        <is>
          <t>David Wilson</t>
        </is>
      </c>
      <c r="I132" s="26" t="inlineStr">
        <is>
          <t>Existing customer</t>
        </is>
      </c>
      <c r="J132" s="87" t="n">
        <v>159</v>
      </c>
      <c r="K132" s="87" t="n">
        <v>132</v>
      </c>
      <c r="L132" s="87" t="n">
        <v>10</v>
      </c>
      <c r="M132" s="87" t="n">
        <v>3</v>
      </c>
      <c r="N132" s="88" t="n">
        <v>34670</v>
      </c>
      <c r="O132" s="88" t="n">
        <v>21964</v>
      </c>
      <c r="P132" s="89" t="n">
        <v>23.2</v>
      </c>
      <c r="Q132" s="87" t="n">
        <v>399</v>
      </c>
      <c r="R132" s="87" t="n">
        <v>1218</v>
      </c>
      <c r="S132" s="87" t="n">
        <v>66</v>
      </c>
      <c r="T132" s="87" t="n">
        <v>5</v>
      </c>
      <c r="U132" s="89" t="n">
        <v>4.5</v>
      </c>
      <c r="V132" s="89" t="n">
        <v>1.8</v>
      </c>
      <c r="W132" s="89" t="n">
        <v>34.7</v>
      </c>
      <c r="X132" s="87" t="n">
        <v>138</v>
      </c>
      <c r="Y132" s="87" t="n">
        <v>143</v>
      </c>
      <c r="Z132" s="88" t="n">
        <v>39437</v>
      </c>
      <c r="AA132" s="26" t="n"/>
      <c r="AB132" s="86">
        <f>IF($A132="","",$A132-WEEKDAY($A132,2)+1)</f>
        <v/>
      </c>
      <c r="AC132" s="86">
        <f>IF($A132="","",DATE(YEAR($A132),MONTH($A132),1))</f>
        <v/>
      </c>
      <c r="AD132" s="90">
        <f>IF($A132="","",IFERROR($K132/$J132,0))</f>
        <v/>
      </c>
      <c r="AE132" s="90">
        <f>IF($A132="","",IFERROR($L132/$J132,0))</f>
        <v/>
      </c>
      <c r="AF132" s="90">
        <f>IF($A132="","",IFERROR($M132/$J132,0))</f>
        <v/>
      </c>
      <c r="AG132" s="88">
        <f>IF($A132="","",$N132-$O132)</f>
        <v/>
      </c>
      <c r="AH132" s="90">
        <f>IF($A132="","",IFERROR($AG132/$N132,0))</f>
        <v/>
      </c>
      <c r="AI132" s="89">
        <f>IF($A132="","",IFERROR($K132/$P132,0))</f>
        <v/>
      </c>
      <c r="AJ132" s="90">
        <f>IF($A132="","",IFERROR($S132/$R132,0))</f>
        <v/>
      </c>
      <c r="AK132" s="90">
        <f>IF($A132="","",IFERROR($T132/$J132,0))</f>
        <v/>
      </c>
      <c r="AL132" s="26">
        <f>IF($A132="","",IF(AND($AD132&gt;='01_Settings'!$B$9,$V132&lt;='01_Settings'!$B$10,$W132&lt;='01_Settings'!$B$11),"On track","Off track"))</f>
        <v/>
      </c>
      <c r="AM132" s="42">
        <f>IF($A132="","",IF($AD132&lt;'01_Settings'!$B$9,"Low completion rate; ","")&amp;IF($AE132&gt;'01_Settings'!$B$12,"High overdue rate; ","")&amp;IF($U132&lt;'01_Settings'!$B$13,"Low satisfaction; ","")&amp;IF($AH132&lt;'01_Settings'!$B$14,"Low gross margin; ","")&amp;IF($AJ132&lt;'01_Settings'!$B$15,"Low conversion rate; ","")&amp;IF($AK132&gt;'01_Settings'!$B$16,"High complaint rate; ",""))</f>
        <v/>
      </c>
    </row>
    <row r="133" ht="18" customHeight="1">
      <c r="A133" s="86" t="n">
        <v>46127</v>
      </c>
      <c r="B133" s="26" t="inlineStr">
        <is>
          <t>Southeast Division</t>
        </is>
      </c>
      <c r="C133" s="26" t="inlineStr">
        <is>
          <t>E-commerce Operations</t>
        </is>
      </c>
      <c r="D133" s="26" t="inlineStr">
        <is>
          <t>Project Delivery</t>
        </is>
      </c>
      <c r="E133" s="26" t="inlineStr">
        <is>
          <t>Team chat</t>
        </is>
      </c>
      <c r="F133" s="26" t="inlineStr">
        <is>
          <t>Northeast</t>
        </is>
      </c>
      <c r="G133" s="26" t="inlineStr">
        <is>
          <t>Northeast Team</t>
        </is>
      </c>
      <c r="H133" s="26" t="inlineStr">
        <is>
          <t>David Wilson</t>
        </is>
      </c>
      <c r="I133" s="26" t="inlineStr">
        <is>
          <t>New customer</t>
        </is>
      </c>
      <c r="J133" s="87" t="n">
        <v>230</v>
      </c>
      <c r="K133" s="87" t="n">
        <v>216</v>
      </c>
      <c r="L133" s="87" t="n">
        <v>5</v>
      </c>
      <c r="M133" s="87" t="n">
        <v>9</v>
      </c>
      <c r="N133" s="88" t="n">
        <v>34904</v>
      </c>
      <c r="O133" s="88" t="n">
        <v>19799</v>
      </c>
      <c r="P133" s="89" t="n">
        <v>37</v>
      </c>
      <c r="Q133" s="87" t="n">
        <v>315</v>
      </c>
      <c r="R133" s="87" t="n">
        <v>730</v>
      </c>
      <c r="S133" s="87" t="n">
        <v>72</v>
      </c>
      <c r="T133" s="87" t="n">
        <v>5</v>
      </c>
      <c r="U133" s="89" t="n">
        <v>3.9</v>
      </c>
      <c r="V133" s="89" t="n">
        <v>5.3</v>
      </c>
      <c r="W133" s="89" t="n">
        <v>12.7</v>
      </c>
      <c r="X133" s="87" t="n">
        <v>45</v>
      </c>
      <c r="Y133" s="87" t="n">
        <v>207</v>
      </c>
      <c r="Z133" s="88" t="n">
        <v>35122</v>
      </c>
      <c r="AA133" s="26" t="n"/>
      <c r="AB133" s="86">
        <f>IF($A133="","",$A133-WEEKDAY($A133,2)+1)</f>
        <v/>
      </c>
      <c r="AC133" s="86">
        <f>IF($A133="","",DATE(YEAR($A133),MONTH($A133),1))</f>
        <v/>
      </c>
      <c r="AD133" s="90">
        <f>IF($A133="","",IFERROR($K133/$J133,0))</f>
        <v/>
      </c>
      <c r="AE133" s="90">
        <f>IF($A133="","",IFERROR($L133/$J133,0))</f>
        <v/>
      </c>
      <c r="AF133" s="90">
        <f>IF($A133="","",IFERROR($M133/$J133,0))</f>
        <v/>
      </c>
      <c r="AG133" s="88">
        <f>IF($A133="","",$N133-$O133)</f>
        <v/>
      </c>
      <c r="AH133" s="90">
        <f>IF($A133="","",IFERROR($AG133/$N133,0))</f>
        <v/>
      </c>
      <c r="AI133" s="89">
        <f>IF($A133="","",IFERROR($K133/$P133,0))</f>
        <v/>
      </c>
      <c r="AJ133" s="90">
        <f>IF($A133="","",IFERROR($S133/$R133,0))</f>
        <v/>
      </c>
      <c r="AK133" s="90">
        <f>IF($A133="","",IFERROR($T133/$J133,0))</f>
        <v/>
      </c>
      <c r="AL133" s="26">
        <f>IF($A133="","",IF(AND($AD133&gt;='01_Settings'!$B$9,$V133&lt;='01_Settings'!$B$10,$W133&lt;='01_Settings'!$B$11),"On track","Off track"))</f>
        <v/>
      </c>
      <c r="AM133" s="42">
        <f>IF($A133="","",IF($AD133&lt;'01_Settings'!$B$9,"Low completion rate; ","")&amp;IF($AE133&gt;'01_Settings'!$B$12,"High overdue rate; ","")&amp;IF($U133&lt;'01_Settings'!$B$13,"Low satisfaction; ","")&amp;IF($AH133&lt;'01_Settings'!$B$14,"Low gross margin; ","")&amp;IF($AJ133&lt;'01_Settings'!$B$15,"Low conversion rate; ","")&amp;IF($AK133&gt;'01_Settings'!$B$16,"High complaint rate; ",""))</f>
        <v/>
      </c>
    </row>
    <row r="134" ht="18" customHeight="1">
      <c r="A134" s="86" t="n">
        <v>46128</v>
      </c>
      <c r="B134" s="26" t="inlineStr">
        <is>
          <t>East Coast Division</t>
        </is>
      </c>
      <c r="C134" s="26" t="inlineStr">
        <is>
          <t>Sales Operations</t>
        </is>
      </c>
      <c r="D134" s="26" t="inlineStr">
        <is>
          <t>Standard Service</t>
        </is>
      </c>
      <c r="E134" s="26" t="inlineStr">
        <is>
          <t>Online</t>
        </is>
      </c>
      <c r="F134" s="26" t="inlineStr">
        <is>
          <t>Southeast</t>
        </is>
      </c>
      <c r="G134" s="26" t="inlineStr">
        <is>
          <t>Southeast Team</t>
        </is>
      </c>
      <c r="H134" s="26" t="inlineStr">
        <is>
          <t>Matthew Anderson</t>
        </is>
      </c>
      <c r="I134" s="26" t="inlineStr">
        <is>
          <t>New customer</t>
        </is>
      </c>
      <c r="J134" s="87" t="n">
        <v>300</v>
      </c>
      <c r="K134" s="87" t="n">
        <v>248</v>
      </c>
      <c r="L134" s="87" t="n">
        <v>16</v>
      </c>
      <c r="M134" s="87" t="n">
        <v>13</v>
      </c>
      <c r="N134" s="88" t="n">
        <v>33155</v>
      </c>
      <c r="O134" s="88" t="n">
        <v>26832</v>
      </c>
      <c r="P134" s="89" t="n">
        <v>13.9</v>
      </c>
      <c r="Q134" s="87" t="n">
        <v>385</v>
      </c>
      <c r="R134" s="87" t="n">
        <v>2202</v>
      </c>
      <c r="S134" s="87" t="n">
        <v>147</v>
      </c>
      <c r="T134" s="87" t="n">
        <v>4</v>
      </c>
      <c r="U134" s="89" t="n">
        <v>4.7</v>
      </c>
      <c r="V134" s="89" t="n">
        <v>2.6</v>
      </c>
      <c r="W134" s="89" t="n">
        <v>31.1</v>
      </c>
      <c r="X134" s="87" t="n">
        <v>151</v>
      </c>
      <c r="Y134" s="87" t="n">
        <v>270</v>
      </c>
      <c r="Z134" s="88" t="n">
        <v>37901</v>
      </c>
      <c r="AA134" s="26" t="n"/>
      <c r="AB134" s="86">
        <f>IF($A134="","",$A134-WEEKDAY($A134,2)+1)</f>
        <v/>
      </c>
      <c r="AC134" s="86">
        <f>IF($A134="","",DATE(YEAR($A134),MONTH($A134),1))</f>
        <v/>
      </c>
      <c r="AD134" s="90">
        <f>IF($A134="","",IFERROR($K134/$J134,0))</f>
        <v/>
      </c>
      <c r="AE134" s="90">
        <f>IF($A134="","",IFERROR($L134/$J134,0))</f>
        <v/>
      </c>
      <c r="AF134" s="90">
        <f>IF($A134="","",IFERROR($M134/$J134,0))</f>
        <v/>
      </c>
      <c r="AG134" s="88">
        <f>IF($A134="","",$N134-$O134)</f>
        <v/>
      </c>
      <c r="AH134" s="90">
        <f>IF($A134="","",IFERROR($AG134/$N134,0))</f>
        <v/>
      </c>
      <c r="AI134" s="89">
        <f>IF($A134="","",IFERROR($K134/$P134,0))</f>
        <v/>
      </c>
      <c r="AJ134" s="90">
        <f>IF($A134="","",IFERROR($S134/$R134,0))</f>
        <v/>
      </c>
      <c r="AK134" s="90">
        <f>IF($A134="","",IFERROR($T134/$J134,0))</f>
        <v/>
      </c>
      <c r="AL134" s="26">
        <f>IF($A134="","",IF(AND($AD134&gt;='01_Settings'!$B$9,$V134&lt;='01_Settings'!$B$10,$W134&lt;='01_Settings'!$B$11),"On track","Off track"))</f>
        <v/>
      </c>
      <c r="AM134" s="42">
        <f>IF($A134="","",IF($AD134&lt;'01_Settings'!$B$9,"Low completion rate; ","")&amp;IF($AE134&gt;'01_Settings'!$B$12,"High overdue rate; ","")&amp;IF($U134&lt;'01_Settings'!$B$13,"Low satisfaction; ","")&amp;IF($AH134&lt;'01_Settings'!$B$14,"Low gross margin; ","")&amp;IF($AJ134&lt;'01_Settings'!$B$15,"Low conversion rate; ","")&amp;IF($AK134&gt;'01_Settings'!$B$16,"High complaint rate; ",""))</f>
        <v/>
      </c>
    </row>
    <row r="135" ht="18" customHeight="1">
      <c r="A135" s="86" t="n">
        <v>46128</v>
      </c>
      <c r="B135" s="26" t="inlineStr">
        <is>
          <t>East Coast Division</t>
        </is>
      </c>
      <c r="C135" s="26" t="inlineStr">
        <is>
          <t>Finance / Expenses</t>
        </is>
      </c>
      <c r="D135" s="26" t="inlineStr">
        <is>
          <t>Premium Service</t>
        </is>
      </c>
      <c r="E135" s="26" t="inlineStr">
        <is>
          <t>Phone</t>
        </is>
      </c>
      <c r="F135" s="26" t="inlineStr">
        <is>
          <t>International</t>
        </is>
      </c>
      <c r="G135" s="26" t="inlineStr">
        <is>
          <t>International Team</t>
        </is>
      </c>
      <c r="H135" s="26" t="inlineStr">
        <is>
          <t>Sarah Johnson</t>
        </is>
      </c>
      <c r="I135" s="26" t="inlineStr">
        <is>
          <t>High-value customer</t>
        </is>
      </c>
      <c r="J135" s="87" t="n">
        <v>297</v>
      </c>
      <c r="K135" s="87" t="n">
        <v>290</v>
      </c>
      <c r="L135" s="87" t="n">
        <v>34</v>
      </c>
      <c r="M135" s="87" t="n">
        <v>1</v>
      </c>
      <c r="N135" s="88" t="n">
        <v>63663</v>
      </c>
      <c r="O135" s="88" t="n">
        <v>39867</v>
      </c>
      <c r="P135" s="89" t="n">
        <v>56.2</v>
      </c>
      <c r="Q135" s="87" t="n">
        <v>187</v>
      </c>
      <c r="R135" s="87" t="n">
        <v>640</v>
      </c>
      <c r="S135" s="87" t="n">
        <v>68</v>
      </c>
      <c r="T135" s="87" t="n">
        <v>1</v>
      </c>
      <c r="U135" s="89" t="n">
        <v>4</v>
      </c>
      <c r="V135" s="89" t="n">
        <v>3.8</v>
      </c>
      <c r="W135" s="89" t="n">
        <v>16.5</v>
      </c>
      <c r="X135" s="87" t="n">
        <v>164</v>
      </c>
      <c r="Y135" s="87" t="n">
        <v>267</v>
      </c>
      <c r="Z135" s="88" t="n">
        <v>61545</v>
      </c>
      <c r="AA135" s="26" t="n"/>
      <c r="AB135" s="86">
        <f>IF($A135="","",$A135-WEEKDAY($A135,2)+1)</f>
        <v/>
      </c>
      <c r="AC135" s="86">
        <f>IF($A135="","",DATE(YEAR($A135),MONTH($A135),1))</f>
        <v/>
      </c>
      <c r="AD135" s="90">
        <f>IF($A135="","",IFERROR($K135/$J135,0))</f>
        <v/>
      </c>
      <c r="AE135" s="90">
        <f>IF($A135="","",IFERROR($L135/$J135,0))</f>
        <v/>
      </c>
      <c r="AF135" s="90">
        <f>IF($A135="","",IFERROR($M135/$J135,0))</f>
        <v/>
      </c>
      <c r="AG135" s="88">
        <f>IF($A135="","",$N135-$O135)</f>
        <v/>
      </c>
      <c r="AH135" s="90">
        <f>IF($A135="","",IFERROR($AG135/$N135,0))</f>
        <v/>
      </c>
      <c r="AI135" s="89">
        <f>IF($A135="","",IFERROR($K135/$P135,0))</f>
        <v/>
      </c>
      <c r="AJ135" s="90">
        <f>IF($A135="","",IFERROR($S135/$R135,0))</f>
        <v/>
      </c>
      <c r="AK135" s="90">
        <f>IF($A135="","",IFERROR($T135/$J135,0))</f>
        <v/>
      </c>
      <c r="AL135" s="26">
        <f>IF($A135="","",IF(AND($AD135&gt;='01_Settings'!$B$9,$V135&lt;='01_Settings'!$B$10,$W135&lt;='01_Settings'!$B$11),"On track","Off track"))</f>
        <v/>
      </c>
      <c r="AM135" s="42">
        <f>IF($A135="","",IF($AD135&lt;'01_Settings'!$B$9,"Low completion rate; ","")&amp;IF($AE135&gt;'01_Settings'!$B$12,"High overdue rate; ","")&amp;IF($U135&lt;'01_Settings'!$B$13,"Low satisfaction; ","")&amp;IF($AH135&lt;'01_Settings'!$B$14,"Low gross margin; ","")&amp;IF($AJ135&lt;'01_Settings'!$B$15,"Low conversion rate; ","")&amp;IF($AK135&gt;'01_Settings'!$B$16,"High complaint rate; ",""))</f>
        <v/>
      </c>
    </row>
    <row r="136" ht="18" customHeight="1">
      <c r="A136" s="86" t="n">
        <v>46128</v>
      </c>
      <c r="B136" s="26" t="inlineStr">
        <is>
          <t>Digital Business Unit</t>
        </is>
      </c>
      <c r="C136" s="26" t="inlineStr">
        <is>
          <t>Field Services</t>
        </is>
      </c>
      <c r="D136" s="26" t="inlineStr">
        <is>
          <t>Project Delivery</t>
        </is>
      </c>
      <c r="E136" s="26" t="inlineStr">
        <is>
          <t>Email</t>
        </is>
      </c>
      <c r="F136" s="26" t="inlineStr">
        <is>
          <t>International</t>
        </is>
      </c>
      <c r="G136" s="26" t="inlineStr">
        <is>
          <t>International Team</t>
        </is>
      </c>
      <c r="H136" s="26" t="inlineStr">
        <is>
          <t>Sarah Johnson</t>
        </is>
      </c>
      <c r="I136" s="26" t="inlineStr">
        <is>
          <t>Standard customer</t>
        </is>
      </c>
      <c r="J136" s="87" t="n">
        <v>231</v>
      </c>
      <c r="K136" s="87" t="n">
        <v>217</v>
      </c>
      <c r="L136" s="87" t="n">
        <v>10</v>
      </c>
      <c r="M136" s="87" t="n">
        <v>0</v>
      </c>
      <c r="N136" s="88" t="n">
        <v>44053</v>
      </c>
      <c r="O136" s="88" t="n">
        <v>27000</v>
      </c>
      <c r="P136" s="89" t="n">
        <v>23.6</v>
      </c>
      <c r="Q136" s="87" t="n">
        <v>375</v>
      </c>
      <c r="R136" s="87" t="n">
        <v>514</v>
      </c>
      <c r="S136" s="87" t="n">
        <v>79</v>
      </c>
      <c r="T136" s="87" t="n">
        <v>1</v>
      </c>
      <c r="U136" s="89" t="n">
        <v>4.5</v>
      </c>
      <c r="V136" s="89" t="n">
        <v>5.2</v>
      </c>
      <c r="W136" s="89" t="n">
        <v>28.4</v>
      </c>
      <c r="X136" s="87" t="n">
        <v>31</v>
      </c>
      <c r="Y136" s="87" t="n">
        <v>207</v>
      </c>
      <c r="Z136" s="88" t="n">
        <v>44124</v>
      </c>
      <c r="AA136" s="26" t="n"/>
      <c r="AB136" s="86">
        <f>IF($A136="","",$A136-WEEKDAY($A136,2)+1)</f>
        <v/>
      </c>
      <c r="AC136" s="86">
        <f>IF($A136="","",DATE(YEAR($A136),MONTH($A136),1))</f>
        <v/>
      </c>
      <c r="AD136" s="90">
        <f>IF($A136="","",IFERROR($K136/$J136,0))</f>
        <v/>
      </c>
      <c r="AE136" s="90">
        <f>IF($A136="","",IFERROR($L136/$J136,0))</f>
        <v/>
      </c>
      <c r="AF136" s="90">
        <f>IF($A136="","",IFERROR($M136/$J136,0))</f>
        <v/>
      </c>
      <c r="AG136" s="88">
        <f>IF($A136="","",$N136-$O136)</f>
        <v/>
      </c>
      <c r="AH136" s="90">
        <f>IF($A136="","",IFERROR($AG136/$N136,0))</f>
        <v/>
      </c>
      <c r="AI136" s="89">
        <f>IF($A136="","",IFERROR($K136/$P136,0))</f>
        <v/>
      </c>
      <c r="AJ136" s="90">
        <f>IF($A136="","",IFERROR($S136/$R136,0))</f>
        <v/>
      </c>
      <c r="AK136" s="90">
        <f>IF($A136="","",IFERROR($T136/$J136,0))</f>
        <v/>
      </c>
      <c r="AL136" s="26">
        <f>IF($A136="","",IF(AND($AD136&gt;='01_Settings'!$B$9,$V136&lt;='01_Settings'!$B$10,$W136&lt;='01_Settings'!$B$11),"On track","Off track"))</f>
        <v/>
      </c>
      <c r="AM136" s="42">
        <f>IF($A136="","",IF($AD136&lt;'01_Settings'!$B$9,"Low completion rate; ","")&amp;IF($AE136&gt;'01_Settings'!$B$12,"High overdue rate; ","")&amp;IF($U136&lt;'01_Settings'!$B$13,"Low satisfaction; ","")&amp;IF($AH136&lt;'01_Settings'!$B$14,"Low gross margin; ","")&amp;IF($AJ136&lt;'01_Settings'!$B$15,"Low conversion rate; ","")&amp;IF($AK136&gt;'01_Settings'!$B$16,"High complaint rate; ",""))</f>
        <v/>
      </c>
    </row>
    <row r="137" ht="18" customHeight="1">
      <c r="A137" s="86" t="n">
        <v>46129</v>
      </c>
      <c r="B137" s="26" t="inlineStr">
        <is>
          <t>Southeast Division</t>
        </is>
      </c>
      <c r="C137" s="26" t="inlineStr">
        <is>
          <t>Supply Chain / Inventory</t>
        </is>
      </c>
      <c r="D137" s="26" t="inlineStr">
        <is>
          <t>Standard Service</t>
        </is>
      </c>
      <c r="E137" s="26" t="inlineStr">
        <is>
          <t>Team chat</t>
        </is>
      </c>
      <c r="F137" s="26" t="inlineStr">
        <is>
          <t>Northeast</t>
        </is>
      </c>
      <c r="G137" s="26" t="inlineStr">
        <is>
          <t>Northeast Team</t>
        </is>
      </c>
      <c r="H137" s="26" t="inlineStr">
        <is>
          <t>Michael Brown</t>
        </is>
      </c>
      <c r="I137" s="26" t="inlineStr">
        <is>
          <t>Existing customer</t>
        </is>
      </c>
      <c r="J137" s="87" t="n">
        <v>70</v>
      </c>
      <c r="K137" s="87" t="n">
        <v>67</v>
      </c>
      <c r="L137" s="87" t="n">
        <v>7</v>
      </c>
      <c r="M137" s="87" t="n">
        <v>1</v>
      </c>
      <c r="N137" s="88" t="n">
        <v>19447</v>
      </c>
      <c r="O137" s="88" t="n">
        <v>12652</v>
      </c>
      <c r="P137" s="89" t="n">
        <v>14.5</v>
      </c>
      <c r="Q137" s="87" t="n">
        <v>63</v>
      </c>
      <c r="R137" s="87" t="n">
        <v>2541</v>
      </c>
      <c r="S137" s="87" t="n">
        <v>130</v>
      </c>
      <c r="T137" s="87" t="n">
        <v>0</v>
      </c>
      <c r="U137" s="89" t="n">
        <v>4.6</v>
      </c>
      <c r="V137" s="89" t="n">
        <v>1.4</v>
      </c>
      <c r="W137" s="89" t="n">
        <v>23.9</v>
      </c>
      <c r="X137" s="87" t="n">
        <v>116</v>
      </c>
      <c r="Y137" s="87" t="n">
        <v>63</v>
      </c>
      <c r="Z137" s="88" t="n">
        <v>19200</v>
      </c>
      <c r="AA137" s="26" t="n"/>
      <c r="AB137" s="86">
        <f>IF($A137="","",$A137-WEEKDAY($A137,2)+1)</f>
        <v/>
      </c>
      <c r="AC137" s="86">
        <f>IF($A137="","",DATE(YEAR($A137),MONTH($A137),1))</f>
        <v/>
      </c>
      <c r="AD137" s="90">
        <f>IF($A137="","",IFERROR($K137/$J137,0))</f>
        <v/>
      </c>
      <c r="AE137" s="90">
        <f>IF($A137="","",IFERROR($L137/$J137,0))</f>
        <v/>
      </c>
      <c r="AF137" s="90">
        <f>IF($A137="","",IFERROR($M137/$J137,0))</f>
        <v/>
      </c>
      <c r="AG137" s="88">
        <f>IF($A137="","",$N137-$O137)</f>
        <v/>
      </c>
      <c r="AH137" s="90">
        <f>IF($A137="","",IFERROR($AG137/$N137,0))</f>
        <v/>
      </c>
      <c r="AI137" s="89">
        <f>IF($A137="","",IFERROR($K137/$P137,0))</f>
        <v/>
      </c>
      <c r="AJ137" s="90">
        <f>IF($A137="","",IFERROR($S137/$R137,0))</f>
        <v/>
      </c>
      <c r="AK137" s="90">
        <f>IF($A137="","",IFERROR($T137/$J137,0))</f>
        <v/>
      </c>
      <c r="AL137" s="26">
        <f>IF($A137="","",IF(AND($AD137&gt;='01_Settings'!$B$9,$V137&lt;='01_Settings'!$B$10,$W137&lt;='01_Settings'!$B$11),"On track","Off track"))</f>
        <v/>
      </c>
      <c r="AM137" s="42">
        <f>IF($A137="","",IF($AD137&lt;'01_Settings'!$B$9,"Low completion rate; ","")&amp;IF($AE137&gt;'01_Settings'!$B$12,"High overdue rate; ","")&amp;IF($U137&lt;'01_Settings'!$B$13,"Low satisfaction; ","")&amp;IF($AH137&lt;'01_Settings'!$B$14,"Low gross margin; ","")&amp;IF($AJ137&lt;'01_Settings'!$B$15,"Low conversion rate; ","")&amp;IF($AK137&gt;'01_Settings'!$B$16,"High complaint rate; ",""))</f>
        <v/>
      </c>
    </row>
    <row r="138" ht="18" customHeight="1">
      <c r="A138" s="86" t="n">
        <v>46129</v>
      </c>
      <c r="B138" s="26" t="inlineStr">
        <is>
          <t>North Operations Center</t>
        </is>
      </c>
      <c r="C138" s="26" t="inlineStr">
        <is>
          <t>Finance / Expenses</t>
        </is>
      </c>
      <c r="D138" s="26" t="inlineStr">
        <is>
          <t>Enterprise customers</t>
        </is>
      </c>
      <c r="E138" s="26" t="inlineStr">
        <is>
          <t>Mobile app</t>
        </is>
      </c>
      <c r="F138" s="26" t="inlineStr">
        <is>
          <t>Midwest</t>
        </is>
      </c>
      <c r="G138" s="26" t="inlineStr">
        <is>
          <t>Midwest Team</t>
        </is>
      </c>
      <c r="H138" s="26" t="inlineStr">
        <is>
          <t>Jessica Taylor</t>
        </is>
      </c>
      <c r="I138" s="26" t="inlineStr">
        <is>
          <t>Enterprise customers</t>
        </is>
      </c>
      <c r="J138" s="87" t="n">
        <v>189</v>
      </c>
      <c r="K138" s="87" t="n">
        <v>164</v>
      </c>
      <c r="L138" s="87" t="n">
        <v>8</v>
      </c>
      <c r="M138" s="87" t="n">
        <v>0</v>
      </c>
      <c r="N138" s="88" t="n">
        <v>23093</v>
      </c>
      <c r="O138" s="88" t="n">
        <v>17564</v>
      </c>
      <c r="P138" s="89" t="n">
        <v>24.5</v>
      </c>
      <c r="Q138" s="87" t="n">
        <v>99</v>
      </c>
      <c r="R138" s="87" t="n">
        <v>631</v>
      </c>
      <c r="S138" s="87" t="n">
        <v>37</v>
      </c>
      <c r="T138" s="87" t="n">
        <v>4</v>
      </c>
      <c r="U138" s="89" t="n">
        <v>4.2</v>
      </c>
      <c r="V138" s="89" t="n">
        <v>3.7</v>
      </c>
      <c r="W138" s="89" t="n">
        <v>35</v>
      </c>
      <c r="X138" s="87" t="n">
        <v>58</v>
      </c>
      <c r="Y138" s="87" t="n">
        <v>170</v>
      </c>
      <c r="Z138" s="88" t="n">
        <v>25135</v>
      </c>
      <c r="AA138" s="26" t="n"/>
      <c r="AB138" s="86">
        <f>IF($A138="","",$A138-WEEKDAY($A138,2)+1)</f>
        <v/>
      </c>
      <c r="AC138" s="86">
        <f>IF($A138="","",DATE(YEAR($A138),MONTH($A138),1))</f>
        <v/>
      </c>
      <c r="AD138" s="90">
        <f>IF($A138="","",IFERROR($K138/$J138,0))</f>
        <v/>
      </c>
      <c r="AE138" s="90">
        <f>IF($A138="","",IFERROR($L138/$J138,0))</f>
        <v/>
      </c>
      <c r="AF138" s="90">
        <f>IF($A138="","",IFERROR($M138/$J138,0))</f>
        <v/>
      </c>
      <c r="AG138" s="88">
        <f>IF($A138="","",$N138-$O138)</f>
        <v/>
      </c>
      <c r="AH138" s="90">
        <f>IF($A138="","",IFERROR($AG138/$N138,0))</f>
        <v/>
      </c>
      <c r="AI138" s="89">
        <f>IF($A138="","",IFERROR($K138/$P138,0))</f>
        <v/>
      </c>
      <c r="AJ138" s="90">
        <f>IF($A138="","",IFERROR($S138/$R138,0))</f>
        <v/>
      </c>
      <c r="AK138" s="90">
        <f>IF($A138="","",IFERROR($T138/$J138,0))</f>
        <v/>
      </c>
      <c r="AL138" s="26">
        <f>IF($A138="","",IF(AND($AD138&gt;='01_Settings'!$B$9,$V138&lt;='01_Settings'!$B$10,$W138&lt;='01_Settings'!$B$11),"On track","Off track"))</f>
        <v/>
      </c>
      <c r="AM138" s="42">
        <f>IF($A138="","",IF($AD138&lt;'01_Settings'!$B$9,"Low completion rate; ","")&amp;IF($AE138&gt;'01_Settings'!$B$12,"High overdue rate; ","")&amp;IF($U138&lt;'01_Settings'!$B$13,"Low satisfaction; ","")&amp;IF($AH138&lt;'01_Settings'!$B$14,"Low gross margin; ","")&amp;IF($AJ138&lt;'01_Settings'!$B$15,"Low conversion rate; ","")&amp;IF($AK138&gt;'01_Settings'!$B$16,"High complaint rate; ",""))</f>
        <v/>
      </c>
    </row>
    <row r="139" ht="18" customHeight="1">
      <c r="A139" s="86" t="n">
        <v>46129</v>
      </c>
      <c r="B139" s="26" t="inlineStr">
        <is>
          <t>North Operations Center</t>
        </is>
      </c>
      <c r="C139" s="26" t="inlineStr">
        <is>
          <t>Growth Marketing</t>
        </is>
      </c>
      <c r="D139" s="26" t="inlineStr">
        <is>
          <t>Standard Service</t>
        </is>
      </c>
      <c r="E139" s="26" t="inlineStr">
        <is>
          <t>Retail store</t>
        </is>
      </c>
      <c r="F139" s="26" t="inlineStr">
        <is>
          <t>Southeast</t>
        </is>
      </c>
      <c r="G139" s="26" t="inlineStr">
        <is>
          <t>Southeast Team</t>
        </is>
      </c>
      <c r="H139" s="26" t="inlineStr">
        <is>
          <t>John Miller</t>
        </is>
      </c>
      <c r="I139" s="26" t="inlineStr">
        <is>
          <t>High-value customer</t>
        </is>
      </c>
      <c r="J139" s="87" t="n">
        <v>277</v>
      </c>
      <c r="K139" s="87" t="n">
        <v>262</v>
      </c>
      <c r="L139" s="87" t="n">
        <v>13</v>
      </c>
      <c r="M139" s="87" t="n">
        <v>9</v>
      </c>
      <c r="N139" s="88" t="n">
        <v>68380</v>
      </c>
      <c r="O139" s="88" t="n">
        <v>41579</v>
      </c>
      <c r="P139" s="89" t="n">
        <v>51.3</v>
      </c>
      <c r="Q139" s="87" t="n">
        <v>95</v>
      </c>
      <c r="R139" s="87" t="n">
        <v>568</v>
      </c>
      <c r="S139" s="87" t="n">
        <v>71</v>
      </c>
      <c r="T139" s="87" t="n">
        <v>12</v>
      </c>
      <c r="U139" s="89" t="n">
        <v>4.2</v>
      </c>
      <c r="V139" s="89" t="n">
        <v>1.2</v>
      </c>
      <c r="W139" s="89" t="n">
        <v>16.4</v>
      </c>
      <c r="X139" s="87" t="n">
        <v>49</v>
      </c>
      <c r="Y139" s="87" t="n">
        <v>249</v>
      </c>
      <c r="Z139" s="88" t="n">
        <v>68236</v>
      </c>
      <c r="AA139" s="26" t="n"/>
      <c r="AB139" s="86">
        <f>IF($A139="","",$A139-WEEKDAY($A139,2)+1)</f>
        <v/>
      </c>
      <c r="AC139" s="86">
        <f>IF($A139="","",DATE(YEAR($A139),MONTH($A139),1))</f>
        <v/>
      </c>
      <c r="AD139" s="90">
        <f>IF($A139="","",IFERROR($K139/$J139,0))</f>
        <v/>
      </c>
      <c r="AE139" s="90">
        <f>IF($A139="","",IFERROR($L139/$J139,0))</f>
        <v/>
      </c>
      <c r="AF139" s="90">
        <f>IF($A139="","",IFERROR($M139/$J139,0))</f>
        <v/>
      </c>
      <c r="AG139" s="88">
        <f>IF($A139="","",$N139-$O139)</f>
        <v/>
      </c>
      <c r="AH139" s="90">
        <f>IF($A139="","",IFERROR($AG139/$N139,0))</f>
        <v/>
      </c>
      <c r="AI139" s="89">
        <f>IF($A139="","",IFERROR($K139/$P139,0))</f>
        <v/>
      </c>
      <c r="AJ139" s="90">
        <f>IF($A139="","",IFERROR($S139/$R139,0))</f>
        <v/>
      </c>
      <c r="AK139" s="90">
        <f>IF($A139="","",IFERROR($T139/$J139,0))</f>
        <v/>
      </c>
      <c r="AL139" s="26">
        <f>IF($A139="","",IF(AND($AD139&gt;='01_Settings'!$B$9,$V139&lt;='01_Settings'!$B$10,$W139&lt;='01_Settings'!$B$11),"On track","Off track"))</f>
        <v/>
      </c>
      <c r="AM139" s="42">
        <f>IF($A139="","",IF($AD139&lt;'01_Settings'!$B$9,"Low completion rate; ","")&amp;IF($AE139&gt;'01_Settings'!$B$12,"High overdue rate; ","")&amp;IF($U139&lt;'01_Settings'!$B$13,"Low satisfaction; ","")&amp;IF($AH139&lt;'01_Settings'!$B$14,"Low gross margin; ","")&amp;IF($AJ139&lt;'01_Settings'!$B$15,"Low conversion rate; ","")&amp;IF($AK139&gt;'01_Settings'!$B$16,"High complaint rate; ",""))</f>
        <v/>
      </c>
    </row>
    <row r="140" ht="18" customHeight="1">
      <c r="A140" s="86" t="n">
        <v>46130</v>
      </c>
      <c r="B140" s="26" t="inlineStr">
        <is>
          <t>East Coast Division</t>
        </is>
      </c>
      <c r="C140" s="26" t="inlineStr">
        <is>
          <t>Finance / Expenses</t>
        </is>
      </c>
      <c r="D140" s="26" t="inlineStr">
        <is>
          <t>Standard Service</t>
        </is>
      </c>
      <c r="E140" s="26" t="inlineStr">
        <is>
          <t>Distributor</t>
        </is>
      </c>
      <c r="F140" s="26" t="inlineStr">
        <is>
          <t>Southeast</t>
        </is>
      </c>
      <c r="G140" s="26" t="inlineStr">
        <is>
          <t>Southeast Team</t>
        </is>
      </c>
      <c r="H140" s="26" t="inlineStr">
        <is>
          <t>Jessica Taylor</t>
        </is>
      </c>
      <c r="I140" s="26" t="inlineStr">
        <is>
          <t>Existing customer</t>
        </is>
      </c>
      <c r="J140" s="87" t="n">
        <v>167</v>
      </c>
      <c r="K140" s="87" t="n">
        <v>140</v>
      </c>
      <c r="L140" s="87" t="n">
        <v>4</v>
      </c>
      <c r="M140" s="87" t="n">
        <v>6</v>
      </c>
      <c r="N140" s="88" t="n">
        <v>20536</v>
      </c>
      <c r="O140" s="88" t="n">
        <v>12393</v>
      </c>
      <c r="P140" s="89" t="n">
        <v>16.5</v>
      </c>
      <c r="Q140" s="87" t="n">
        <v>371</v>
      </c>
      <c r="R140" s="87" t="n">
        <v>815</v>
      </c>
      <c r="S140" s="87" t="n">
        <v>89</v>
      </c>
      <c r="T140" s="87" t="n">
        <v>2</v>
      </c>
      <c r="U140" s="89" t="n">
        <v>4.6</v>
      </c>
      <c r="V140" s="89" t="n">
        <v>1.1</v>
      </c>
      <c r="W140" s="89" t="n">
        <v>9.800000000000001</v>
      </c>
      <c r="X140" s="87" t="n">
        <v>170</v>
      </c>
      <c r="Y140" s="87" t="n">
        <v>150</v>
      </c>
      <c r="Z140" s="88" t="n">
        <v>23103</v>
      </c>
      <c r="AA140" s="26" t="n"/>
      <c r="AB140" s="86">
        <f>IF($A140="","",$A140-WEEKDAY($A140,2)+1)</f>
        <v/>
      </c>
      <c r="AC140" s="86">
        <f>IF($A140="","",DATE(YEAR($A140),MONTH($A140),1))</f>
        <v/>
      </c>
      <c r="AD140" s="90">
        <f>IF($A140="","",IFERROR($K140/$J140,0))</f>
        <v/>
      </c>
      <c r="AE140" s="90">
        <f>IF($A140="","",IFERROR($L140/$J140,0))</f>
        <v/>
      </c>
      <c r="AF140" s="90">
        <f>IF($A140="","",IFERROR($M140/$J140,0))</f>
        <v/>
      </c>
      <c r="AG140" s="88">
        <f>IF($A140="","",$N140-$O140)</f>
        <v/>
      </c>
      <c r="AH140" s="90">
        <f>IF($A140="","",IFERROR($AG140/$N140,0))</f>
        <v/>
      </c>
      <c r="AI140" s="89">
        <f>IF($A140="","",IFERROR($K140/$P140,0))</f>
        <v/>
      </c>
      <c r="AJ140" s="90">
        <f>IF($A140="","",IFERROR($S140/$R140,0))</f>
        <v/>
      </c>
      <c r="AK140" s="90">
        <f>IF($A140="","",IFERROR($T140/$J140,0))</f>
        <v/>
      </c>
      <c r="AL140" s="26">
        <f>IF($A140="","",IF(AND($AD140&gt;='01_Settings'!$B$9,$V140&lt;='01_Settings'!$B$10,$W140&lt;='01_Settings'!$B$11),"On track","Off track"))</f>
        <v/>
      </c>
      <c r="AM140" s="42">
        <f>IF($A140="","",IF($AD140&lt;'01_Settings'!$B$9,"Low completion rate; ","")&amp;IF($AE140&gt;'01_Settings'!$B$12,"High overdue rate; ","")&amp;IF($U140&lt;'01_Settings'!$B$13,"Low satisfaction; ","")&amp;IF($AH140&lt;'01_Settings'!$B$14,"Low gross margin; ","")&amp;IF($AJ140&lt;'01_Settings'!$B$15,"Low conversion rate; ","")&amp;IF($AK140&gt;'01_Settings'!$B$16,"High complaint rate; ",""))</f>
        <v/>
      </c>
    </row>
    <row r="141" ht="18" customHeight="1">
      <c r="A141" s="86" t="n">
        <v>46130</v>
      </c>
      <c r="B141" s="26" t="inlineStr">
        <is>
          <t>North Operations Center</t>
        </is>
      </c>
      <c r="C141" s="26" t="inlineStr">
        <is>
          <t>Production / Delivery</t>
        </is>
      </c>
      <c r="D141" s="26" t="inlineStr">
        <is>
          <t>Standard Service</t>
        </is>
      </c>
      <c r="E141" s="26" t="inlineStr">
        <is>
          <t>Retail store</t>
        </is>
      </c>
      <c r="F141" s="26" t="inlineStr">
        <is>
          <t>Southwest</t>
        </is>
      </c>
      <c r="G141" s="26" t="inlineStr">
        <is>
          <t>Southwest Team</t>
        </is>
      </c>
      <c r="H141" s="26" t="inlineStr">
        <is>
          <t>Sarah Johnson</t>
        </is>
      </c>
      <c r="I141" s="26" t="inlineStr">
        <is>
          <t>Enterprise customers</t>
        </is>
      </c>
      <c r="J141" s="87" t="n">
        <v>87</v>
      </c>
      <c r="K141" s="87" t="n">
        <v>72</v>
      </c>
      <c r="L141" s="87" t="n">
        <v>9</v>
      </c>
      <c r="M141" s="87" t="n">
        <v>1</v>
      </c>
      <c r="N141" s="88" t="n">
        <v>21408</v>
      </c>
      <c r="O141" s="88" t="n">
        <v>14642</v>
      </c>
      <c r="P141" s="89" t="n">
        <v>8.300000000000001</v>
      </c>
      <c r="Q141" s="87" t="n">
        <v>238</v>
      </c>
      <c r="R141" s="87" t="n">
        <v>1045</v>
      </c>
      <c r="S141" s="87" t="n">
        <v>86</v>
      </c>
      <c r="T141" s="87" t="n">
        <v>3</v>
      </c>
      <c r="U141" s="89" t="n">
        <v>4.1</v>
      </c>
      <c r="V141" s="89" t="n">
        <v>3.2</v>
      </c>
      <c r="W141" s="89" t="n">
        <v>12.2</v>
      </c>
      <c r="X141" s="87" t="n">
        <v>162</v>
      </c>
      <c r="Y141" s="87" t="n">
        <v>78</v>
      </c>
      <c r="Z141" s="88" t="n">
        <v>24351</v>
      </c>
      <c r="AA141" s="26" t="n"/>
      <c r="AB141" s="86">
        <f>IF($A141="","",$A141-WEEKDAY($A141,2)+1)</f>
        <v/>
      </c>
      <c r="AC141" s="86">
        <f>IF($A141="","",DATE(YEAR($A141),MONTH($A141),1))</f>
        <v/>
      </c>
      <c r="AD141" s="90">
        <f>IF($A141="","",IFERROR($K141/$J141,0))</f>
        <v/>
      </c>
      <c r="AE141" s="90">
        <f>IF($A141="","",IFERROR($L141/$J141,0))</f>
        <v/>
      </c>
      <c r="AF141" s="90">
        <f>IF($A141="","",IFERROR($M141/$J141,0))</f>
        <v/>
      </c>
      <c r="AG141" s="88">
        <f>IF($A141="","",$N141-$O141)</f>
        <v/>
      </c>
      <c r="AH141" s="90">
        <f>IF($A141="","",IFERROR($AG141/$N141,0))</f>
        <v/>
      </c>
      <c r="AI141" s="89">
        <f>IF($A141="","",IFERROR($K141/$P141,0))</f>
        <v/>
      </c>
      <c r="AJ141" s="90">
        <f>IF($A141="","",IFERROR($S141/$R141,0))</f>
        <v/>
      </c>
      <c r="AK141" s="90">
        <f>IF($A141="","",IFERROR($T141/$J141,0))</f>
        <v/>
      </c>
      <c r="AL141" s="26">
        <f>IF($A141="","",IF(AND($AD141&gt;='01_Settings'!$B$9,$V141&lt;='01_Settings'!$B$10,$W141&lt;='01_Settings'!$B$11),"On track","Off track"))</f>
        <v/>
      </c>
      <c r="AM141" s="42">
        <f>IF($A141="","",IF($AD141&lt;'01_Settings'!$B$9,"Low completion rate; ","")&amp;IF($AE141&gt;'01_Settings'!$B$12,"High overdue rate; ","")&amp;IF($U141&lt;'01_Settings'!$B$13,"Low satisfaction; ","")&amp;IF($AH141&lt;'01_Settings'!$B$14,"Low gross margin; ","")&amp;IF($AJ141&lt;'01_Settings'!$B$15,"Low conversion rate; ","")&amp;IF($AK141&gt;'01_Settings'!$B$16,"High complaint rate; ",""))</f>
        <v/>
      </c>
    </row>
    <row r="142" ht="18" customHeight="1">
      <c r="A142" s="86" t="n">
        <v>46130</v>
      </c>
      <c r="B142" s="26" t="inlineStr">
        <is>
          <t>Digital Business Unit</t>
        </is>
      </c>
      <c r="C142" s="26" t="inlineStr">
        <is>
          <t>Field Services</t>
        </is>
      </c>
      <c r="D142" s="26" t="inlineStr">
        <is>
          <t>Standard Service</t>
        </is>
      </c>
      <c r="E142" s="26" t="inlineStr">
        <is>
          <t>Online</t>
        </is>
      </c>
      <c r="F142" s="26" t="inlineStr">
        <is>
          <t>Midwest</t>
        </is>
      </c>
      <c r="G142" s="26" t="inlineStr">
        <is>
          <t>Midwest Team</t>
        </is>
      </c>
      <c r="H142" s="26" t="inlineStr">
        <is>
          <t>Matthew Anderson</t>
        </is>
      </c>
      <c r="I142" s="26" t="inlineStr">
        <is>
          <t>High-value customer</t>
        </is>
      </c>
      <c r="J142" s="87" t="n">
        <v>185</v>
      </c>
      <c r="K142" s="87" t="n">
        <v>163</v>
      </c>
      <c r="L142" s="87" t="n">
        <v>11</v>
      </c>
      <c r="M142" s="87" t="n">
        <v>5</v>
      </c>
      <c r="N142" s="88" t="n">
        <v>52023</v>
      </c>
      <c r="O142" s="88" t="n">
        <v>32112</v>
      </c>
      <c r="P142" s="89" t="n">
        <v>35.7</v>
      </c>
      <c r="Q142" s="87" t="n">
        <v>298</v>
      </c>
      <c r="R142" s="87" t="n">
        <v>477</v>
      </c>
      <c r="S142" s="87" t="n">
        <v>75</v>
      </c>
      <c r="T142" s="87" t="n">
        <v>6</v>
      </c>
      <c r="U142" s="89" t="n">
        <v>4.2</v>
      </c>
      <c r="V142" s="89" t="n">
        <v>3.7</v>
      </c>
      <c r="W142" s="89" t="n">
        <v>21.6</v>
      </c>
      <c r="X142" s="87" t="n">
        <v>149</v>
      </c>
      <c r="Y142" s="87" t="n">
        <v>166</v>
      </c>
      <c r="Z142" s="88" t="n">
        <v>55629</v>
      </c>
      <c r="AA142" s="26" t="n"/>
      <c r="AB142" s="86">
        <f>IF($A142="","",$A142-WEEKDAY($A142,2)+1)</f>
        <v/>
      </c>
      <c r="AC142" s="86">
        <f>IF($A142="","",DATE(YEAR($A142),MONTH($A142),1))</f>
        <v/>
      </c>
      <c r="AD142" s="90">
        <f>IF($A142="","",IFERROR($K142/$J142,0))</f>
        <v/>
      </c>
      <c r="AE142" s="90">
        <f>IF($A142="","",IFERROR($L142/$J142,0))</f>
        <v/>
      </c>
      <c r="AF142" s="90">
        <f>IF($A142="","",IFERROR($M142/$J142,0))</f>
        <v/>
      </c>
      <c r="AG142" s="88">
        <f>IF($A142="","",$N142-$O142)</f>
        <v/>
      </c>
      <c r="AH142" s="90">
        <f>IF($A142="","",IFERROR($AG142/$N142,0))</f>
        <v/>
      </c>
      <c r="AI142" s="89">
        <f>IF($A142="","",IFERROR($K142/$P142,0))</f>
        <v/>
      </c>
      <c r="AJ142" s="90">
        <f>IF($A142="","",IFERROR($S142/$R142,0))</f>
        <v/>
      </c>
      <c r="AK142" s="90">
        <f>IF($A142="","",IFERROR($T142/$J142,0))</f>
        <v/>
      </c>
      <c r="AL142" s="26">
        <f>IF($A142="","",IF(AND($AD142&gt;='01_Settings'!$B$9,$V142&lt;='01_Settings'!$B$10,$W142&lt;='01_Settings'!$B$11),"On track","Off track"))</f>
        <v/>
      </c>
      <c r="AM142" s="42">
        <f>IF($A142="","",IF($AD142&lt;'01_Settings'!$B$9,"Low completion rate; ","")&amp;IF($AE142&gt;'01_Settings'!$B$12,"High overdue rate; ","")&amp;IF($U142&lt;'01_Settings'!$B$13,"Low satisfaction; ","")&amp;IF($AH142&lt;'01_Settings'!$B$14,"Low gross margin; ","")&amp;IF($AJ142&lt;'01_Settings'!$B$15,"Low conversion rate; ","")&amp;IF($AK142&gt;'01_Settings'!$B$16,"High complaint rate; ",""))</f>
        <v/>
      </c>
    </row>
    <row r="143" ht="18" customHeight="1">
      <c r="A143" s="86" t="n">
        <v>46131</v>
      </c>
      <c r="B143" s="26" t="inlineStr">
        <is>
          <t>Southeast Division</t>
        </is>
      </c>
      <c r="C143" s="26" t="inlineStr">
        <is>
          <t>Production / Delivery</t>
        </is>
      </c>
      <c r="D143" s="26" t="inlineStr">
        <is>
          <t>Membership Program</t>
        </is>
      </c>
      <c r="E143" s="26" t="inlineStr">
        <is>
          <t>Online</t>
        </is>
      </c>
      <c r="F143" s="26" t="inlineStr">
        <is>
          <t>Northeast</t>
        </is>
      </c>
      <c r="G143" s="26" t="inlineStr">
        <is>
          <t>Northeast Team</t>
        </is>
      </c>
      <c r="H143" s="26" t="inlineStr">
        <is>
          <t>Robert Thomas</t>
        </is>
      </c>
      <c r="I143" s="26" t="inlineStr">
        <is>
          <t>Enterprise customers</t>
        </is>
      </c>
      <c r="J143" s="87" t="n">
        <v>203</v>
      </c>
      <c r="K143" s="87" t="n">
        <v>192</v>
      </c>
      <c r="L143" s="87" t="n">
        <v>13</v>
      </c>
      <c r="M143" s="87" t="n">
        <v>3</v>
      </c>
      <c r="N143" s="88" t="n">
        <v>48998</v>
      </c>
      <c r="O143" s="88" t="n">
        <v>30028</v>
      </c>
      <c r="P143" s="89" t="n">
        <v>14.8</v>
      </c>
      <c r="Q143" s="87" t="n">
        <v>146</v>
      </c>
      <c r="R143" s="87" t="n">
        <v>1233</v>
      </c>
      <c r="S143" s="87" t="n">
        <v>88</v>
      </c>
      <c r="T143" s="87" t="n">
        <v>7</v>
      </c>
      <c r="U143" s="89" t="n">
        <v>4.7</v>
      </c>
      <c r="V143" s="89" t="n">
        <v>1.3</v>
      </c>
      <c r="W143" s="89" t="n">
        <v>35.9</v>
      </c>
      <c r="X143" s="87" t="n">
        <v>61</v>
      </c>
      <c r="Y143" s="87" t="n">
        <v>182</v>
      </c>
      <c r="Z143" s="88" t="n">
        <v>48768</v>
      </c>
      <c r="AA143" s="26" t="n"/>
      <c r="AB143" s="86">
        <f>IF($A143="","",$A143-WEEKDAY($A143,2)+1)</f>
        <v/>
      </c>
      <c r="AC143" s="86">
        <f>IF($A143="","",DATE(YEAR($A143),MONTH($A143),1))</f>
        <v/>
      </c>
      <c r="AD143" s="90">
        <f>IF($A143="","",IFERROR($K143/$J143,0))</f>
        <v/>
      </c>
      <c r="AE143" s="90">
        <f>IF($A143="","",IFERROR($L143/$J143,0))</f>
        <v/>
      </c>
      <c r="AF143" s="90">
        <f>IF($A143="","",IFERROR($M143/$J143,0))</f>
        <v/>
      </c>
      <c r="AG143" s="88">
        <f>IF($A143="","",$N143-$O143)</f>
        <v/>
      </c>
      <c r="AH143" s="90">
        <f>IF($A143="","",IFERROR($AG143/$N143,0))</f>
        <v/>
      </c>
      <c r="AI143" s="89">
        <f>IF($A143="","",IFERROR($K143/$P143,0))</f>
        <v/>
      </c>
      <c r="AJ143" s="90">
        <f>IF($A143="","",IFERROR($S143/$R143,0))</f>
        <v/>
      </c>
      <c r="AK143" s="90">
        <f>IF($A143="","",IFERROR($T143/$J143,0))</f>
        <v/>
      </c>
      <c r="AL143" s="26">
        <f>IF($A143="","",IF(AND($AD143&gt;='01_Settings'!$B$9,$V143&lt;='01_Settings'!$B$10,$W143&lt;='01_Settings'!$B$11),"On track","Off track"))</f>
        <v/>
      </c>
      <c r="AM143" s="42">
        <f>IF($A143="","",IF($AD143&lt;'01_Settings'!$B$9,"Low completion rate; ","")&amp;IF($AE143&gt;'01_Settings'!$B$12,"High overdue rate; ","")&amp;IF($U143&lt;'01_Settings'!$B$13,"Low satisfaction; ","")&amp;IF($AH143&lt;'01_Settings'!$B$14,"Low gross margin; ","")&amp;IF($AJ143&lt;'01_Settings'!$B$15,"Low conversion rate; ","")&amp;IF($AK143&gt;'01_Settings'!$B$16,"High complaint rate; ",""))</f>
        <v/>
      </c>
    </row>
    <row r="144" ht="18" customHeight="1">
      <c r="A144" s="86" t="n">
        <v>46131</v>
      </c>
      <c r="B144" s="26" t="inlineStr">
        <is>
          <t>Southeast Division</t>
        </is>
      </c>
      <c r="C144" s="26" t="inlineStr">
        <is>
          <t>Sales Operations</t>
        </is>
      </c>
      <c r="D144" s="26" t="inlineStr">
        <is>
          <t>After-sales Coverage</t>
        </is>
      </c>
      <c r="E144" s="26" t="inlineStr">
        <is>
          <t>Email</t>
        </is>
      </c>
      <c r="F144" s="26" t="inlineStr">
        <is>
          <t>Midwest</t>
        </is>
      </c>
      <c r="G144" s="26" t="inlineStr">
        <is>
          <t>Midwest Team</t>
        </is>
      </c>
      <c r="H144" s="26" t="inlineStr">
        <is>
          <t>Michael Brown</t>
        </is>
      </c>
      <c r="I144" s="26" t="inlineStr">
        <is>
          <t>High-value customer</t>
        </is>
      </c>
      <c r="J144" s="87" t="n">
        <v>128</v>
      </c>
      <c r="K144" s="87" t="n">
        <v>121</v>
      </c>
      <c r="L144" s="87" t="n">
        <v>11</v>
      </c>
      <c r="M144" s="87" t="n">
        <v>5</v>
      </c>
      <c r="N144" s="88" t="n">
        <v>10704</v>
      </c>
      <c r="O144" s="88" t="n">
        <v>7912</v>
      </c>
      <c r="P144" s="89" t="n">
        <v>25.5</v>
      </c>
      <c r="Q144" s="87" t="n">
        <v>308</v>
      </c>
      <c r="R144" s="87" t="n">
        <v>990</v>
      </c>
      <c r="S144" s="87" t="n">
        <v>106</v>
      </c>
      <c r="T144" s="87" t="n">
        <v>1</v>
      </c>
      <c r="U144" s="89" t="n">
        <v>4.8</v>
      </c>
      <c r="V144" s="89" t="n">
        <v>5.4</v>
      </c>
      <c r="W144" s="89" t="n">
        <v>21.8</v>
      </c>
      <c r="X144" s="87" t="n">
        <v>84</v>
      </c>
      <c r="Y144" s="87" t="n">
        <v>115</v>
      </c>
      <c r="Z144" s="88" t="n">
        <v>10682</v>
      </c>
      <c r="AA144" s="26" t="n"/>
      <c r="AB144" s="86">
        <f>IF($A144="","",$A144-WEEKDAY($A144,2)+1)</f>
        <v/>
      </c>
      <c r="AC144" s="86">
        <f>IF($A144="","",DATE(YEAR($A144),MONTH($A144),1))</f>
        <v/>
      </c>
      <c r="AD144" s="90">
        <f>IF($A144="","",IFERROR($K144/$J144,0))</f>
        <v/>
      </c>
      <c r="AE144" s="90">
        <f>IF($A144="","",IFERROR($L144/$J144,0))</f>
        <v/>
      </c>
      <c r="AF144" s="90">
        <f>IF($A144="","",IFERROR($M144/$J144,0))</f>
        <v/>
      </c>
      <c r="AG144" s="88">
        <f>IF($A144="","",$N144-$O144)</f>
        <v/>
      </c>
      <c r="AH144" s="90">
        <f>IF($A144="","",IFERROR($AG144/$N144,0))</f>
        <v/>
      </c>
      <c r="AI144" s="89">
        <f>IF($A144="","",IFERROR($K144/$P144,0))</f>
        <v/>
      </c>
      <c r="AJ144" s="90">
        <f>IF($A144="","",IFERROR($S144/$R144,0))</f>
        <v/>
      </c>
      <c r="AK144" s="90">
        <f>IF($A144="","",IFERROR($T144/$J144,0))</f>
        <v/>
      </c>
      <c r="AL144" s="26">
        <f>IF($A144="","",IF(AND($AD144&gt;='01_Settings'!$B$9,$V144&lt;='01_Settings'!$B$10,$W144&lt;='01_Settings'!$B$11),"On track","Off track"))</f>
        <v/>
      </c>
      <c r="AM144" s="42">
        <f>IF($A144="","",IF($AD144&lt;'01_Settings'!$B$9,"Low completion rate; ","")&amp;IF($AE144&gt;'01_Settings'!$B$12,"High overdue rate; ","")&amp;IF($U144&lt;'01_Settings'!$B$13,"Low satisfaction; ","")&amp;IF($AH144&lt;'01_Settings'!$B$14,"Low gross margin; ","")&amp;IF($AJ144&lt;'01_Settings'!$B$15,"Low conversion rate; ","")&amp;IF($AK144&gt;'01_Settings'!$B$16,"High complaint rate; ",""))</f>
        <v/>
      </c>
    </row>
    <row r="145" ht="18" customHeight="1">
      <c r="A145" s="86" t="n">
        <v>46131</v>
      </c>
      <c r="B145" s="26" t="inlineStr">
        <is>
          <t>East Coast Division</t>
        </is>
      </c>
      <c r="C145" s="26" t="inlineStr">
        <is>
          <t>Customer Support Operations</t>
        </is>
      </c>
      <c r="D145" s="26" t="inlineStr">
        <is>
          <t>After-sales Coverage</t>
        </is>
      </c>
      <c r="E145" s="26" t="inlineStr">
        <is>
          <t>Email</t>
        </is>
      </c>
      <c r="F145" s="26" t="inlineStr">
        <is>
          <t>Southeast</t>
        </is>
      </c>
      <c r="G145" s="26" t="inlineStr">
        <is>
          <t>Southeast Team</t>
        </is>
      </c>
      <c r="H145" s="26" t="inlineStr">
        <is>
          <t>Matthew Anderson</t>
        </is>
      </c>
      <c r="I145" s="26" t="inlineStr">
        <is>
          <t>New customer</t>
        </is>
      </c>
      <c r="J145" s="87" t="n">
        <v>103</v>
      </c>
      <c r="K145" s="87" t="n">
        <v>84</v>
      </c>
      <c r="L145" s="87" t="n">
        <v>6</v>
      </c>
      <c r="M145" s="87" t="n">
        <v>1</v>
      </c>
      <c r="N145" s="88" t="n">
        <v>22196</v>
      </c>
      <c r="O145" s="88" t="n">
        <v>17041</v>
      </c>
      <c r="P145" s="89" t="n">
        <v>9.1</v>
      </c>
      <c r="Q145" s="87" t="n">
        <v>110</v>
      </c>
      <c r="R145" s="87" t="n">
        <v>1535</v>
      </c>
      <c r="S145" s="87" t="n">
        <v>72</v>
      </c>
      <c r="T145" s="87" t="n">
        <v>1</v>
      </c>
      <c r="U145" s="89" t="n">
        <v>4.5</v>
      </c>
      <c r="V145" s="89" t="n">
        <v>1.7</v>
      </c>
      <c r="W145" s="89" t="n">
        <v>11.1</v>
      </c>
      <c r="X145" s="87" t="n">
        <v>139</v>
      </c>
      <c r="Y145" s="87" t="n">
        <v>92</v>
      </c>
      <c r="Z145" s="88" t="n">
        <v>25526</v>
      </c>
      <c r="AA145" s="26" t="n"/>
      <c r="AB145" s="86">
        <f>IF($A145="","",$A145-WEEKDAY($A145,2)+1)</f>
        <v/>
      </c>
      <c r="AC145" s="86">
        <f>IF($A145="","",DATE(YEAR($A145),MONTH($A145),1))</f>
        <v/>
      </c>
      <c r="AD145" s="90">
        <f>IF($A145="","",IFERROR($K145/$J145,0))</f>
        <v/>
      </c>
      <c r="AE145" s="90">
        <f>IF($A145="","",IFERROR($L145/$J145,0))</f>
        <v/>
      </c>
      <c r="AF145" s="90">
        <f>IF($A145="","",IFERROR($M145/$J145,0))</f>
        <v/>
      </c>
      <c r="AG145" s="88">
        <f>IF($A145="","",$N145-$O145)</f>
        <v/>
      </c>
      <c r="AH145" s="90">
        <f>IF($A145="","",IFERROR($AG145/$N145,0))</f>
        <v/>
      </c>
      <c r="AI145" s="89">
        <f>IF($A145="","",IFERROR($K145/$P145,0))</f>
        <v/>
      </c>
      <c r="AJ145" s="90">
        <f>IF($A145="","",IFERROR($S145/$R145,0))</f>
        <v/>
      </c>
      <c r="AK145" s="90">
        <f>IF($A145="","",IFERROR($T145/$J145,0))</f>
        <v/>
      </c>
      <c r="AL145" s="26">
        <f>IF($A145="","",IF(AND($AD145&gt;='01_Settings'!$B$9,$V145&lt;='01_Settings'!$B$10,$W145&lt;='01_Settings'!$B$11),"On track","Off track"))</f>
        <v/>
      </c>
      <c r="AM145" s="42">
        <f>IF($A145="","",IF($AD145&lt;'01_Settings'!$B$9,"Low completion rate; ","")&amp;IF($AE145&gt;'01_Settings'!$B$12,"High overdue rate; ","")&amp;IF($U145&lt;'01_Settings'!$B$13,"Low satisfaction; ","")&amp;IF($AH145&lt;'01_Settings'!$B$14,"Low gross margin; ","")&amp;IF($AJ145&lt;'01_Settings'!$B$15,"Low conversion rate; ","")&amp;IF($AK145&gt;'01_Settings'!$B$16,"High complaint rate; ",""))</f>
        <v/>
      </c>
    </row>
    <row r="146" ht="18" customHeight="1">
      <c r="A146" s="86" t="n">
        <v>46132</v>
      </c>
      <c r="B146" s="26" t="inlineStr">
        <is>
          <t>East Coast Division</t>
        </is>
      </c>
      <c r="C146" s="26" t="inlineStr">
        <is>
          <t>Field Services</t>
        </is>
      </c>
      <c r="D146" s="26" t="inlineStr">
        <is>
          <t>Membership Program</t>
        </is>
      </c>
      <c r="E146" s="26" t="inlineStr">
        <is>
          <t>Mobile app</t>
        </is>
      </c>
      <c r="F146" s="26" t="inlineStr">
        <is>
          <t>Midwest</t>
        </is>
      </c>
      <c r="G146" s="26" t="inlineStr">
        <is>
          <t>Midwest Team</t>
        </is>
      </c>
      <c r="H146" s="26" t="inlineStr">
        <is>
          <t>Robert Thomas</t>
        </is>
      </c>
      <c r="I146" s="26" t="inlineStr">
        <is>
          <t>Enterprise customers</t>
        </is>
      </c>
      <c r="J146" s="87" t="n">
        <v>230</v>
      </c>
      <c r="K146" s="87" t="n">
        <v>193</v>
      </c>
      <c r="L146" s="87" t="n">
        <v>8</v>
      </c>
      <c r="M146" s="87" t="n">
        <v>10</v>
      </c>
      <c r="N146" s="88" t="n">
        <v>61288</v>
      </c>
      <c r="O146" s="88" t="n">
        <v>49605</v>
      </c>
      <c r="P146" s="89" t="n">
        <v>30.9</v>
      </c>
      <c r="Q146" s="87" t="n">
        <v>109</v>
      </c>
      <c r="R146" s="87" t="n">
        <v>2510</v>
      </c>
      <c r="S146" s="87" t="n">
        <v>309</v>
      </c>
      <c r="T146" s="87" t="n">
        <v>9</v>
      </c>
      <c r="U146" s="89" t="n">
        <v>4.6</v>
      </c>
      <c r="V146" s="89" t="n">
        <v>2.1</v>
      </c>
      <c r="W146" s="89" t="n">
        <v>24.5</v>
      </c>
      <c r="X146" s="87" t="n">
        <v>49</v>
      </c>
      <c r="Y146" s="87" t="n">
        <v>207</v>
      </c>
      <c r="Z146" s="88" t="n">
        <v>69020</v>
      </c>
      <c r="AA146" s="26" t="n"/>
      <c r="AB146" s="86">
        <f>IF($A146="","",$A146-WEEKDAY($A146,2)+1)</f>
        <v/>
      </c>
      <c r="AC146" s="86">
        <f>IF($A146="","",DATE(YEAR($A146),MONTH($A146),1))</f>
        <v/>
      </c>
      <c r="AD146" s="90">
        <f>IF($A146="","",IFERROR($K146/$J146,0))</f>
        <v/>
      </c>
      <c r="AE146" s="90">
        <f>IF($A146="","",IFERROR($L146/$J146,0))</f>
        <v/>
      </c>
      <c r="AF146" s="90">
        <f>IF($A146="","",IFERROR($M146/$J146,0))</f>
        <v/>
      </c>
      <c r="AG146" s="88">
        <f>IF($A146="","",$N146-$O146)</f>
        <v/>
      </c>
      <c r="AH146" s="90">
        <f>IF($A146="","",IFERROR($AG146/$N146,0))</f>
        <v/>
      </c>
      <c r="AI146" s="89">
        <f>IF($A146="","",IFERROR($K146/$P146,0))</f>
        <v/>
      </c>
      <c r="AJ146" s="90">
        <f>IF($A146="","",IFERROR($S146/$R146,0))</f>
        <v/>
      </c>
      <c r="AK146" s="90">
        <f>IF($A146="","",IFERROR($T146/$J146,0))</f>
        <v/>
      </c>
      <c r="AL146" s="26">
        <f>IF($A146="","",IF(AND($AD146&gt;='01_Settings'!$B$9,$V146&lt;='01_Settings'!$B$10,$W146&lt;='01_Settings'!$B$11),"On track","Off track"))</f>
        <v/>
      </c>
      <c r="AM146" s="42">
        <f>IF($A146="","",IF($AD146&lt;'01_Settings'!$B$9,"Low completion rate; ","")&amp;IF($AE146&gt;'01_Settings'!$B$12,"High overdue rate; ","")&amp;IF($U146&lt;'01_Settings'!$B$13,"Low satisfaction; ","")&amp;IF($AH146&lt;'01_Settings'!$B$14,"Low gross margin; ","")&amp;IF($AJ146&lt;'01_Settings'!$B$15,"Low conversion rate; ","")&amp;IF($AK146&gt;'01_Settings'!$B$16,"High complaint rate; ",""))</f>
        <v/>
      </c>
    </row>
    <row r="147" ht="18" customHeight="1">
      <c r="A147" s="86" t="n">
        <v>46132</v>
      </c>
      <c r="B147" s="26" t="inlineStr">
        <is>
          <t>Southeast Division</t>
        </is>
      </c>
      <c r="C147" s="26" t="inlineStr">
        <is>
          <t>Finance / Expenses</t>
        </is>
      </c>
      <c r="D147" s="26" t="inlineStr">
        <is>
          <t>Project Delivery</t>
        </is>
      </c>
      <c r="E147" s="26" t="inlineStr">
        <is>
          <t>Phone</t>
        </is>
      </c>
      <c r="F147" s="26" t="inlineStr">
        <is>
          <t>Northeast</t>
        </is>
      </c>
      <c r="G147" s="26" t="inlineStr">
        <is>
          <t>Northeast Team</t>
        </is>
      </c>
      <c r="H147" s="26" t="inlineStr">
        <is>
          <t>Matthew Anderson</t>
        </is>
      </c>
      <c r="I147" s="26" t="inlineStr">
        <is>
          <t>New customer</t>
        </is>
      </c>
      <c r="J147" s="87" t="n">
        <v>190</v>
      </c>
      <c r="K147" s="87" t="n">
        <v>184</v>
      </c>
      <c r="L147" s="87" t="n">
        <v>21</v>
      </c>
      <c r="M147" s="87" t="n">
        <v>3</v>
      </c>
      <c r="N147" s="88" t="n">
        <v>69604</v>
      </c>
      <c r="O147" s="88" t="n">
        <v>56421</v>
      </c>
      <c r="P147" s="89" t="n">
        <v>10.2</v>
      </c>
      <c r="Q147" s="87" t="n">
        <v>328</v>
      </c>
      <c r="R147" s="87" t="n">
        <v>1731</v>
      </c>
      <c r="S147" s="87" t="n">
        <v>260</v>
      </c>
      <c r="T147" s="87" t="n">
        <v>8</v>
      </c>
      <c r="U147" s="89" t="n">
        <v>4</v>
      </c>
      <c r="V147" s="89" t="n">
        <v>3.8</v>
      </c>
      <c r="W147" s="89" t="n">
        <v>34.2</v>
      </c>
      <c r="X147" s="87" t="n">
        <v>41</v>
      </c>
      <c r="Y147" s="87" t="n">
        <v>171</v>
      </c>
      <c r="Z147" s="88" t="n">
        <v>67921</v>
      </c>
      <c r="AA147" s="26" t="n"/>
      <c r="AB147" s="86">
        <f>IF($A147="","",$A147-WEEKDAY($A147,2)+1)</f>
        <v/>
      </c>
      <c r="AC147" s="86">
        <f>IF($A147="","",DATE(YEAR($A147),MONTH($A147),1))</f>
        <v/>
      </c>
      <c r="AD147" s="90">
        <f>IF($A147="","",IFERROR($K147/$J147,0))</f>
        <v/>
      </c>
      <c r="AE147" s="90">
        <f>IF($A147="","",IFERROR($L147/$J147,0))</f>
        <v/>
      </c>
      <c r="AF147" s="90">
        <f>IF($A147="","",IFERROR($M147/$J147,0))</f>
        <v/>
      </c>
      <c r="AG147" s="88">
        <f>IF($A147="","",$N147-$O147)</f>
        <v/>
      </c>
      <c r="AH147" s="90">
        <f>IF($A147="","",IFERROR($AG147/$N147,0))</f>
        <v/>
      </c>
      <c r="AI147" s="89">
        <f>IF($A147="","",IFERROR($K147/$P147,0))</f>
        <v/>
      </c>
      <c r="AJ147" s="90">
        <f>IF($A147="","",IFERROR($S147/$R147,0))</f>
        <v/>
      </c>
      <c r="AK147" s="90">
        <f>IF($A147="","",IFERROR($T147/$J147,0))</f>
        <v/>
      </c>
      <c r="AL147" s="26">
        <f>IF($A147="","",IF(AND($AD147&gt;='01_Settings'!$B$9,$V147&lt;='01_Settings'!$B$10,$W147&lt;='01_Settings'!$B$11),"On track","Off track"))</f>
        <v/>
      </c>
      <c r="AM147" s="42">
        <f>IF($A147="","",IF($AD147&lt;'01_Settings'!$B$9,"Low completion rate; ","")&amp;IF($AE147&gt;'01_Settings'!$B$12,"High overdue rate; ","")&amp;IF($U147&lt;'01_Settings'!$B$13,"Low satisfaction; ","")&amp;IF($AH147&lt;'01_Settings'!$B$14,"Low gross margin; ","")&amp;IF($AJ147&lt;'01_Settings'!$B$15,"Low conversion rate; ","")&amp;IF($AK147&gt;'01_Settings'!$B$16,"High complaint rate; ",""))</f>
        <v/>
      </c>
    </row>
    <row r="148" ht="18" customHeight="1">
      <c r="A148" s="86" t="n">
        <v>46132</v>
      </c>
      <c r="B148" s="26" t="inlineStr">
        <is>
          <t>North Operations Center</t>
        </is>
      </c>
      <c r="C148" s="26" t="inlineStr">
        <is>
          <t>Growth Marketing</t>
        </is>
      </c>
      <c r="D148" s="26" t="inlineStr">
        <is>
          <t>Premium Service</t>
        </is>
      </c>
      <c r="E148" s="26" t="inlineStr">
        <is>
          <t>Mobile app</t>
        </is>
      </c>
      <c r="F148" s="26" t="inlineStr">
        <is>
          <t>Northeast</t>
        </is>
      </c>
      <c r="G148" s="26" t="inlineStr">
        <is>
          <t>Northeast Team</t>
        </is>
      </c>
      <c r="H148" s="26" t="inlineStr">
        <is>
          <t>Michael Brown</t>
        </is>
      </c>
      <c r="I148" s="26" t="inlineStr">
        <is>
          <t>High-value customer</t>
        </is>
      </c>
      <c r="J148" s="87" t="n">
        <v>161</v>
      </c>
      <c r="K148" s="87" t="n">
        <v>153</v>
      </c>
      <c r="L148" s="87" t="n">
        <v>14</v>
      </c>
      <c r="M148" s="87" t="n">
        <v>5</v>
      </c>
      <c r="N148" s="88" t="n">
        <v>27651</v>
      </c>
      <c r="O148" s="88" t="n">
        <v>15293</v>
      </c>
      <c r="P148" s="89" t="n">
        <v>13.1</v>
      </c>
      <c r="Q148" s="87" t="n">
        <v>374</v>
      </c>
      <c r="R148" s="87" t="n">
        <v>751</v>
      </c>
      <c r="S148" s="87" t="n">
        <v>61</v>
      </c>
      <c r="T148" s="87" t="n">
        <v>5</v>
      </c>
      <c r="U148" s="89" t="n">
        <v>4.5</v>
      </c>
      <c r="V148" s="89" t="n">
        <v>1.2</v>
      </c>
      <c r="W148" s="89" t="n">
        <v>20.3</v>
      </c>
      <c r="X148" s="87" t="n">
        <v>112</v>
      </c>
      <c r="Y148" s="87" t="n">
        <v>144</v>
      </c>
      <c r="Z148" s="88" t="n">
        <v>27326</v>
      </c>
      <c r="AA148" s="26" t="n"/>
      <c r="AB148" s="86">
        <f>IF($A148="","",$A148-WEEKDAY($A148,2)+1)</f>
        <v/>
      </c>
      <c r="AC148" s="86">
        <f>IF($A148="","",DATE(YEAR($A148),MONTH($A148),1))</f>
        <v/>
      </c>
      <c r="AD148" s="90">
        <f>IF($A148="","",IFERROR($K148/$J148,0))</f>
        <v/>
      </c>
      <c r="AE148" s="90">
        <f>IF($A148="","",IFERROR($L148/$J148,0))</f>
        <v/>
      </c>
      <c r="AF148" s="90">
        <f>IF($A148="","",IFERROR($M148/$J148,0))</f>
        <v/>
      </c>
      <c r="AG148" s="88">
        <f>IF($A148="","",$N148-$O148)</f>
        <v/>
      </c>
      <c r="AH148" s="90">
        <f>IF($A148="","",IFERROR($AG148/$N148,0))</f>
        <v/>
      </c>
      <c r="AI148" s="89">
        <f>IF($A148="","",IFERROR($K148/$P148,0))</f>
        <v/>
      </c>
      <c r="AJ148" s="90">
        <f>IF($A148="","",IFERROR($S148/$R148,0))</f>
        <v/>
      </c>
      <c r="AK148" s="90">
        <f>IF($A148="","",IFERROR($T148/$J148,0))</f>
        <v/>
      </c>
      <c r="AL148" s="26">
        <f>IF($A148="","",IF(AND($AD148&gt;='01_Settings'!$B$9,$V148&lt;='01_Settings'!$B$10,$W148&lt;='01_Settings'!$B$11),"On track","Off track"))</f>
        <v/>
      </c>
      <c r="AM148" s="42">
        <f>IF($A148="","",IF($AD148&lt;'01_Settings'!$B$9,"Low completion rate; ","")&amp;IF($AE148&gt;'01_Settings'!$B$12,"High overdue rate; ","")&amp;IF($U148&lt;'01_Settings'!$B$13,"Low satisfaction; ","")&amp;IF($AH148&lt;'01_Settings'!$B$14,"Low gross margin; ","")&amp;IF($AJ148&lt;'01_Settings'!$B$15,"Low conversion rate; ","")&amp;IF($AK148&gt;'01_Settings'!$B$16,"High complaint rate; ",""))</f>
        <v/>
      </c>
    </row>
    <row r="149" ht="18" customHeight="1">
      <c r="A149" s="86" t="n">
        <v>46133</v>
      </c>
      <c r="B149" s="26" t="inlineStr">
        <is>
          <t>East Coast Division</t>
        </is>
      </c>
      <c r="C149" s="26" t="inlineStr">
        <is>
          <t>Finance / Expenses</t>
        </is>
      </c>
      <c r="D149" s="26" t="inlineStr">
        <is>
          <t>After-sales Coverage</t>
        </is>
      </c>
      <c r="E149" s="26" t="inlineStr">
        <is>
          <t>Distributor</t>
        </is>
      </c>
      <c r="F149" s="26" t="inlineStr">
        <is>
          <t>Southeast</t>
        </is>
      </c>
      <c r="G149" s="26" t="inlineStr">
        <is>
          <t>Southeast Team</t>
        </is>
      </c>
      <c r="H149" s="26" t="inlineStr">
        <is>
          <t>Matthew Anderson</t>
        </is>
      </c>
      <c r="I149" s="26" t="inlineStr">
        <is>
          <t>Standard customer</t>
        </is>
      </c>
      <c r="J149" s="87" t="n">
        <v>232</v>
      </c>
      <c r="K149" s="87" t="n">
        <v>196</v>
      </c>
      <c r="L149" s="87" t="n">
        <v>6</v>
      </c>
      <c r="M149" s="87" t="n">
        <v>9</v>
      </c>
      <c r="N149" s="88" t="n">
        <v>33021</v>
      </c>
      <c r="O149" s="88" t="n">
        <v>21003</v>
      </c>
      <c r="P149" s="89" t="n">
        <v>41.5</v>
      </c>
      <c r="Q149" s="87" t="n">
        <v>57</v>
      </c>
      <c r="R149" s="87" t="n">
        <v>1557</v>
      </c>
      <c r="S149" s="87" t="n">
        <v>94</v>
      </c>
      <c r="T149" s="87" t="n">
        <v>4</v>
      </c>
      <c r="U149" s="89" t="n">
        <v>4.5</v>
      </c>
      <c r="V149" s="89" t="n">
        <v>3.7</v>
      </c>
      <c r="W149" s="89" t="n">
        <v>33.1</v>
      </c>
      <c r="X149" s="87" t="n">
        <v>28</v>
      </c>
      <c r="Y149" s="87" t="n">
        <v>208</v>
      </c>
      <c r="Z149" s="88" t="n">
        <v>36794</v>
      </c>
      <c r="AA149" s="26" t="n"/>
      <c r="AB149" s="86">
        <f>IF($A149="","",$A149-WEEKDAY($A149,2)+1)</f>
        <v/>
      </c>
      <c r="AC149" s="86">
        <f>IF($A149="","",DATE(YEAR($A149),MONTH($A149),1))</f>
        <v/>
      </c>
      <c r="AD149" s="90">
        <f>IF($A149="","",IFERROR($K149/$J149,0))</f>
        <v/>
      </c>
      <c r="AE149" s="90">
        <f>IF($A149="","",IFERROR($L149/$J149,0))</f>
        <v/>
      </c>
      <c r="AF149" s="90">
        <f>IF($A149="","",IFERROR($M149/$J149,0))</f>
        <v/>
      </c>
      <c r="AG149" s="88">
        <f>IF($A149="","",$N149-$O149)</f>
        <v/>
      </c>
      <c r="AH149" s="90">
        <f>IF($A149="","",IFERROR($AG149/$N149,0))</f>
        <v/>
      </c>
      <c r="AI149" s="89">
        <f>IF($A149="","",IFERROR($K149/$P149,0))</f>
        <v/>
      </c>
      <c r="AJ149" s="90">
        <f>IF($A149="","",IFERROR($S149/$R149,0))</f>
        <v/>
      </c>
      <c r="AK149" s="90">
        <f>IF($A149="","",IFERROR($T149/$J149,0))</f>
        <v/>
      </c>
      <c r="AL149" s="26">
        <f>IF($A149="","",IF(AND($AD149&gt;='01_Settings'!$B$9,$V149&lt;='01_Settings'!$B$10,$W149&lt;='01_Settings'!$B$11),"On track","Off track"))</f>
        <v/>
      </c>
      <c r="AM149" s="42">
        <f>IF($A149="","",IF($AD149&lt;'01_Settings'!$B$9,"Low completion rate; ","")&amp;IF($AE149&gt;'01_Settings'!$B$12,"High overdue rate; ","")&amp;IF($U149&lt;'01_Settings'!$B$13,"Low satisfaction; ","")&amp;IF($AH149&lt;'01_Settings'!$B$14,"Low gross margin; ","")&amp;IF($AJ149&lt;'01_Settings'!$B$15,"Low conversion rate; ","")&amp;IF($AK149&gt;'01_Settings'!$B$16,"High complaint rate; ",""))</f>
        <v/>
      </c>
    </row>
    <row r="150" ht="18" customHeight="1">
      <c r="A150" s="86" t="n">
        <v>46133</v>
      </c>
      <c r="B150" s="26" t="inlineStr">
        <is>
          <t>East Coast Division</t>
        </is>
      </c>
      <c r="C150" s="26" t="inlineStr">
        <is>
          <t>Supply Chain / Inventory</t>
        </is>
      </c>
      <c r="D150" s="26" t="inlineStr">
        <is>
          <t>Project Delivery</t>
        </is>
      </c>
      <c r="E150" s="26" t="inlineStr">
        <is>
          <t>Marketplace store</t>
        </is>
      </c>
      <c r="F150" s="26" t="inlineStr">
        <is>
          <t>Southeast</t>
        </is>
      </c>
      <c r="G150" s="26" t="inlineStr">
        <is>
          <t>Southeast Team</t>
        </is>
      </c>
      <c r="H150" s="26" t="inlineStr">
        <is>
          <t>Michael Brown</t>
        </is>
      </c>
      <c r="I150" s="26" t="inlineStr">
        <is>
          <t>New customer</t>
        </is>
      </c>
      <c r="J150" s="87" t="n">
        <v>287</v>
      </c>
      <c r="K150" s="87" t="n">
        <v>263</v>
      </c>
      <c r="L150" s="87" t="n">
        <v>18</v>
      </c>
      <c r="M150" s="87" t="n">
        <v>0</v>
      </c>
      <c r="N150" s="88" t="n">
        <v>47163</v>
      </c>
      <c r="O150" s="88" t="n">
        <v>38348</v>
      </c>
      <c r="P150" s="89" t="n">
        <v>31.4</v>
      </c>
      <c r="Q150" s="87" t="n">
        <v>303</v>
      </c>
      <c r="R150" s="87" t="n">
        <v>2615</v>
      </c>
      <c r="S150" s="87" t="n">
        <v>187</v>
      </c>
      <c r="T150" s="87" t="n">
        <v>4</v>
      </c>
      <c r="U150" s="89" t="n">
        <v>4</v>
      </c>
      <c r="V150" s="89" t="n">
        <v>1.2</v>
      </c>
      <c r="W150" s="89" t="n">
        <v>24</v>
      </c>
      <c r="X150" s="87" t="n">
        <v>130</v>
      </c>
      <c r="Y150" s="87" t="n">
        <v>258</v>
      </c>
      <c r="Z150" s="88" t="n">
        <v>48580</v>
      </c>
      <c r="AA150" s="26" t="n"/>
      <c r="AB150" s="86">
        <f>IF($A150="","",$A150-WEEKDAY($A150,2)+1)</f>
        <v/>
      </c>
      <c r="AC150" s="86">
        <f>IF($A150="","",DATE(YEAR($A150),MONTH($A150),1))</f>
        <v/>
      </c>
      <c r="AD150" s="90">
        <f>IF($A150="","",IFERROR($K150/$J150,0))</f>
        <v/>
      </c>
      <c r="AE150" s="90">
        <f>IF($A150="","",IFERROR($L150/$J150,0))</f>
        <v/>
      </c>
      <c r="AF150" s="90">
        <f>IF($A150="","",IFERROR($M150/$J150,0))</f>
        <v/>
      </c>
      <c r="AG150" s="88">
        <f>IF($A150="","",$N150-$O150)</f>
        <v/>
      </c>
      <c r="AH150" s="90">
        <f>IF($A150="","",IFERROR($AG150/$N150,0))</f>
        <v/>
      </c>
      <c r="AI150" s="89">
        <f>IF($A150="","",IFERROR($K150/$P150,0))</f>
        <v/>
      </c>
      <c r="AJ150" s="90">
        <f>IF($A150="","",IFERROR($S150/$R150,0))</f>
        <v/>
      </c>
      <c r="AK150" s="90">
        <f>IF($A150="","",IFERROR($T150/$J150,0))</f>
        <v/>
      </c>
      <c r="AL150" s="26">
        <f>IF($A150="","",IF(AND($AD150&gt;='01_Settings'!$B$9,$V150&lt;='01_Settings'!$B$10,$W150&lt;='01_Settings'!$B$11),"On track","Off track"))</f>
        <v/>
      </c>
      <c r="AM150" s="42">
        <f>IF($A150="","",IF($AD150&lt;'01_Settings'!$B$9,"Low completion rate; ","")&amp;IF($AE150&gt;'01_Settings'!$B$12,"High overdue rate; ","")&amp;IF($U150&lt;'01_Settings'!$B$13,"Low satisfaction; ","")&amp;IF($AH150&lt;'01_Settings'!$B$14,"Low gross margin; ","")&amp;IF($AJ150&lt;'01_Settings'!$B$15,"Low conversion rate; ","")&amp;IF($AK150&gt;'01_Settings'!$B$16,"High complaint rate; ",""))</f>
        <v/>
      </c>
    </row>
    <row r="151" ht="18" customHeight="1">
      <c r="A151" s="86" t="n">
        <v>46133</v>
      </c>
      <c r="B151" s="26" t="inlineStr">
        <is>
          <t>East Coast Division</t>
        </is>
      </c>
      <c r="C151" s="26" t="inlineStr">
        <is>
          <t>E-commerce Operations</t>
        </is>
      </c>
      <c r="D151" s="26" t="inlineStr">
        <is>
          <t>Standard Service</t>
        </is>
      </c>
      <c r="E151" s="26" t="inlineStr">
        <is>
          <t>Marketplace store</t>
        </is>
      </c>
      <c r="F151" s="26" t="inlineStr">
        <is>
          <t>Midwest</t>
        </is>
      </c>
      <c r="G151" s="26" t="inlineStr">
        <is>
          <t>Midwest Team</t>
        </is>
      </c>
      <c r="H151" s="26" t="inlineStr">
        <is>
          <t>Robert Thomas</t>
        </is>
      </c>
      <c r="I151" s="26" t="inlineStr">
        <is>
          <t>Existing customer</t>
        </is>
      </c>
      <c r="J151" s="87" t="n">
        <v>224</v>
      </c>
      <c r="K151" s="87" t="n">
        <v>213</v>
      </c>
      <c r="L151" s="87" t="n">
        <v>18</v>
      </c>
      <c r="M151" s="87" t="n">
        <v>5</v>
      </c>
      <c r="N151" s="88" t="n">
        <v>23237</v>
      </c>
      <c r="O151" s="88" t="n">
        <v>14079</v>
      </c>
      <c r="P151" s="89" t="n">
        <v>33.8</v>
      </c>
      <c r="Q151" s="87" t="n">
        <v>61</v>
      </c>
      <c r="R151" s="87" t="n">
        <v>2100</v>
      </c>
      <c r="S151" s="87" t="n">
        <v>296</v>
      </c>
      <c r="T151" s="87" t="n">
        <v>3</v>
      </c>
      <c r="U151" s="89" t="n">
        <v>4.2</v>
      </c>
      <c r="V151" s="89" t="n">
        <v>3.4</v>
      </c>
      <c r="W151" s="89" t="n">
        <v>26.5</v>
      </c>
      <c r="X151" s="87" t="n">
        <v>28</v>
      </c>
      <c r="Y151" s="87" t="n">
        <v>201</v>
      </c>
      <c r="Z151" s="88" t="n">
        <v>23025</v>
      </c>
      <c r="AA151" s="26" t="n"/>
      <c r="AB151" s="86">
        <f>IF($A151="","",$A151-WEEKDAY($A151,2)+1)</f>
        <v/>
      </c>
      <c r="AC151" s="86">
        <f>IF($A151="","",DATE(YEAR($A151),MONTH($A151),1))</f>
        <v/>
      </c>
      <c r="AD151" s="90">
        <f>IF($A151="","",IFERROR($K151/$J151,0))</f>
        <v/>
      </c>
      <c r="AE151" s="90">
        <f>IF($A151="","",IFERROR($L151/$J151,0))</f>
        <v/>
      </c>
      <c r="AF151" s="90">
        <f>IF($A151="","",IFERROR($M151/$J151,0))</f>
        <v/>
      </c>
      <c r="AG151" s="88">
        <f>IF($A151="","",$N151-$O151)</f>
        <v/>
      </c>
      <c r="AH151" s="90">
        <f>IF($A151="","",IFERROR($AG151/$N151,0))</f>
        <v/>
      </c>
      <c r="AI151" s="89">
        <f>IF($A151="","",IFERROR($K151/$P151,0))</f>
        <v/>
      </c>
      <c r="AJ151" s="90">
        <f>IF($A151="","",IFERROR($S151/$R151,0))</f>
        <v/>
      </c>
      <c r="AK151" s="90">
        <f>IF($A151="","",IFERROR($T151/$J151,0))</f>
        <v/>
      </c>
      <c r="AL151" s="26">
        <f>IF($A151="","",IF(AND($AD151&gt;='01_Settings'!$B$9,$V151&lt;='01_Settings'!$B$10,$W151&lt;='01_Settings'!$B$11),"On track","Off track"))</f>
        <v/>
      </c>
      <c r="AM151" s="42">
        <f>IF($A151="","",IF($AD151&lt;'01_Settings'!$B$9,"Low completion rate; ","")&amp;IF($AE151&gt;'01_Settings'!$B$12,"High overdue rate; ","")&amp;IF($U151&lt;'01_Settings'!$B$13,"Low satisfaction; ","")&amp;IF($AH151&lt;'01_Settings'!$B$14,"Low gross margin; ","")&amp;IF($AJ151&lt;'01_Settings'!$B$15,"Low conversion rate; ","")&amp;IF($AK151&gt;'01_Settings'!$B$16,"High complaint rate; ",""))</f>
        <v/>
      </c>
    </row>
    <row r="152" ht="18" customHeight="1">
      <c r="A152" s="86" t="n">
        <v>46134</v>
      </c>
      <c r="B152" s="26" t="inlineStr">
        <is>
          <t>East Coast Division</t>
        </is>
      </c>
      <c r="C152" s="26" t="inlineStr">
        <is>
          <t>Field Services</t>
        </is>
      </c>
      <c r="D152" s="26" t="inlineStr">
        <is>
          <t>Enterprise customers</t>
        </is>
      </c>
      <c r="E152" s="26" t="inlineStr">
        <is>
          <t>Team chat</t>
        </is>
      </c>
      <c r="F152" s="26" t="inlineStr">
        <is>
          <t>Southwest</t>
        </is>
      </c>
      <c r="G152" s="26" t="inlineStr">
        <is>
          <t>Southwest Team</t>
        </is>
      </c>
      <c r="H152" s="26" t="inlineStr">
        <is>
          <t>Robert Thomas</t>
        </is>
      </c>
      <c r="I152" s="26" t="inlineStr">
        <is>
          <t>Standard customer</t>
        </is>
      </c>
      <c r="J152" s="87" t="n">
        <v>194</v>
      </c>
      <c r="K152" s="87" t="n">
        <v>167</v>
      </c>
      <c r="L152" s="87" t="n">
        <v>20</v>
      </c>
      <c r="M152" s="87" t="n">
        <v>5</v>
      </c>
      <c r="N152" s="88" t="n">
        <v>20932</v>
      </c>
      <c r="O152" s="88" t="n">
        <v>15449</v>
      </c>
      <c r="P152" s="89" t="n">
        <v>11.1</v>
      </c>
      <c r="Q152" s="87" t="n">
        <v>362</v>
      </c>
      <c r="R152" s="87" t="n">
        <v>1870</v>
      </c>
      <c r="S152" s="87" t="n">
        <v>256</v>
      </c>
      <c r="T152" s="87" t="n">
        <v>4</v>
      </c>
      <c r="U152" s="89" t="n">
        <v>4.6</v>
      </c>
      <c r="V152" s="89" t="n">
        <v>2.1</v>
      </c>
      <c r="W152" s="89" t="n">
        <v>9.699999999999999</v>
      </c>
      <c r="X152" s="87" t="n">
        <v>104</v>
      </c>
      <c r="Y152" s="87" t="n">
        <v>174</v>
      </c>
      <c r="Z152" s="88" t="n">
        <v>22899</v>
      </c>
      <c r="AA152" s="26" t="n"/>
      <c r="AB152" s="86">
        <f>IF($A152="","",$A152-WEEKDAY($A152,2)+1)</f>
        <v/>
      </c>
      <c r="AC152" s="86">
        <f>IF($A152="","",DATE(YEAR($A152),MONTH($A152),1))</f>
        <v/>
      </c>
      <c r="AD152" s="90">
        <f>IF($A152="","",IFERROR($K152/$J152,0))</f>
        <v/>
      </c>
      <c r="AE152" s="90">
        <f>IF($A152="","",IFERROR($L152/$J152,0))</f>
        <v/>
      </c>
      <c r="AF152" s="90">
        <f>IF($A152="","",IFERROR($M152/$J152,0))</f>
        <v/>
      </c>
      <c r="AG152" s="88">
        <f>IF($A152="","",$N152-$O152)</f>
        <v/>
      </c>
      <c r="AH152" s="90">
        <f>IF($A152="","",IFERROR($AG152/$N152,0))</f>
        <v/>
      </c>
      <c r="AI152" s="89">
        <f>IF($A152="","",IFERROR($K152/$P152,0))</f>
        <v/>
      </c>
      <c r="AJ152" s="90">
        <f>IF($A152="","",IFERROR($S152/$R152,0))</f>
        <v/>
      </c>
      <c r="AK152" s="90">
        <f>IF($A152="","",IFERROR($T152/$J152,0))</f>
        <v/>
      </c>
      <c r="AL152" s="26">
        <f>IF($A152="","",IF(AND($AD152&gt;='01_Settings'!$B$9,$V152&lt;='01_Settings'!$B$10,$W152&lt;='01_Settings'!$B$11),"On track","Off track"))</f>
        <v/>
      </c>
      <c r="AM152" s="42">
        <f>IF($A152="","",IF($AD152&lt;'01_Settings'!$B$9,"Low completion rate; ","")&amp;IF($AE152&gt;'01_Settings'!$B$12,"High overdue rate; ","")&amp;IF($U152&lt;'01_Settings'!$B$13,"Low satisfaction; ","")&amp;IF($AH152&lt;'01_Settings'!$B$14,"Low gross margin; ","")&amp;IF($AJ152&lt;'01_Settings'!$B$15,"Low conversion rate; ","")&amp;IF($AK152&gt;'01_Settings'!$B$16,"High complaint rate; ",""))</f>
        <v/>
      </c>
    </row>
    <row r="153" ht="18" customHeight="1">
      <c r="A153" s="86" t="n">
        <v>46134</v>
      </c>
      <c r="B153" s="26" t="inlineStr">
        <is>
          <t>Southeast Division</t>
        </is>
      </c>
      <c r="C153" s="26" t="inlineStr">
        <is>
          <t>Supply Chain / Inventory</t>
        </is>
      </c>
      <c r="D153" s="26" t="inlineStr">
        <is>
          <t>Membership Program</t>
        </is>
      </c>
      <c r="E153" s="26" t="inlineStr">
        <is>
          <t>Distributor</t>
        </is>
      </c>
      <c r="F153" s="26" t="inlineStr">
        <is>
          <t>Northeast</t>
        </is>
      </c>
      <c r="G153" s="26" t="inlineStr">
        <is>
          <t>Northeast Team</t>
        </is>
      </c>
      <c r="H153" s="26" t="inlineStr">
        <is>
          <t>Michael Brown</t>
        </is>
      </c>
      <c r="I153" s="26" t="inlineStr">
        <is>
          <t>New customer</t>
        </is>
      </c>
      <c r="J153" s="87" t="n">
        <v>283</v>
      </c>
      <c r="K153" s="87" t="n">
        <v>249</v>
      </c>
      <c r="L153" s="87" t="n">
        <v>29</v>
      </c>
      <c r="M153" s="87" t="n">
        <v>0</v>
      </c>
      <c r="N153" s="88" t="n">
        <v>62590</v>
      </c>
      <c r="O153" s="88" t="n">
        <v>43158</v>
      </c>
      <c r="P153" s="89" t="n">
        <v>36.6</v>
      </c>
      <c r="Q153" s="87" t="n">
        <v>337</v>
      </c>
      <c r="R153" s="87" t="n">
        <v>1040</v>
      </c>
      <c r="S153" s="87" t="n">
        <v>56</v>
      </c>
      <c r="T153" s="87" t="n">
        <v>9</v>
      </c>
      <c r="U153" s="89" t="n">
        <v>4</v>
      </c>
      <c r="V153" s="89" t="n">
        <v>5.9</v>
      </c>
      <c r="W153" s="89" t="n">
        <v>35.2</v>
      </c>
      <c r="X153" s="87" t="n">
        <v>54</v>
      </c>
      <c r="Y153" s="87" t="n">
        <v>254</v>
      </c>
      <c r="Z153" s="88" t="n">
        <v>67039</v>
      </c>
      <c r="AA153" s="26" t="n"/>
      <c r="AB153" s="86">
        <f>IF($A153="","",$A153-WEEKDAY($A153,2)+1)</f>
        <v/>
      </c>
      <c r="AC153" s="86">
        <f>IF($A153="","",DATE(YEAR($A153),MONTH($A153),1))</f>
        <v/>
      </c>
      <c r="AD153" s="90">
        <f>IF($A153="","",IFERROR($K153/$J153,0))</f>
        <v/>
      </c>
      <c r="AE153" s="90">
        <f>IF($A153="","",IFERROR($L153/$J153,0))</f>
        <v/>
      </c>
      <c r="AF153" s="90">
        <f>IF($A153="","",IFERROR($M153/$J153,0))</f>
        <v/>
      </c>
      <c r="AG153" s="88">
        <f>IF($A153="","",$N153-$O153)</f>
        <v/>
      </c>
      <c r="AH153" s="90">
        <f>IF($A153="","",IFERROR($AG153/$N153,0))</f>
        <v/>
      </c>
      <c r="AI153" s="89">
        <f>IF($A153="","",IFERROR($K153/$P153,0))</f>
        <v/>
      </c>
      <c r="AJ153" s="90">
        <f>IF($A153="","",IFERROR($S153/$R153,0))</f>
        <v/>
      </c>
      <c r="AK153" s="90">
        <f>IF($A153="","",IFERROR($T153/$J153,0))</f>
        <v/>
      </c>
      <c r="AL153" s="26">
        <f>IF($A153="","",IF(AND($AD153&gt;='01_Settings'!$B$9,$V153&lt;='01_Settings'!$B$10,$W153&lt;='01_Settings'!$B$11),"On track","Off track"))</f>
        <v/>
      </c>
      <c r="AM153" s="42">
        <f>IF($A153="","",IF($AD153&lt;'01_Settings'!$B$9,"Low completion rate; ","")&amp;IF($AE153&gt;'01_Settings'!$B$12,"High overdue rate; ","")&amp;IF($U153&lt;'01_Settings'!$B$13,"Low satisfaction; ","")&amp;IF($AH153&lt;'01_Settings'!$B$14,"Low gross margin; ","")&amp;IF($AJ153&lt;'01_Settings'!$B$15,"Low conversion rate; ","")&amp;IF($AK153&gt;'01_Settings'!$B$16,"High complaint rate; ",""))</f>
        <v/>
      </c>
    </row>
    <row r="154" ht="18" customHeight="1">
      <c r="A154" s="86" t="n">
        <v>46134</v>
      </c>
      <c r="B154" s="26" t="inlineStr">
        <is>
          <t>East Coast Division</t>
        </is>
      </c>
      <c r="C154" s="26" t="inlineStr">
        <is>
          <t>E-commerce Operations</t>
        </is>
      </c>
      <c r="D154" s="26" t="inlineStr">
        <is>
          <t>Premium Service</t>
        </is>
      </c>
      <c r="E154" s="26" t="inlineStr">
        <is>
          <t>Marketplace store</t>
        </is>
      </c>
      <c r="F154" s="26" t="inlineStr">
        <is>
          <t>Southeast</t>
        </is>
      </c>
      <c r="G154" s="26" t="inlineStr">
        <is>
          <t>Southeast Team</t>
        </is>
      </c>
      <c r="H154" s="26" t="inlineStr">
        <is>
          <t>Robert Thomas</t>
        </is>
      </c>
      <c r="I154" s="26" t="inlineStr">
        <is>
          <t>New customer</t>
        </is>
      </c>
      <c r="J154" s="87" t="n">
        <v>256</v>
      </c>
      <c r="K154" s="87" t="n">
        <v>244</v>
      </c>
      <c r="L154" s="87" t="n">
        <v>11</v>
      </c>
      <c r="M154" s="87" t="n">
        <v>11</v>
      </c>
      <c r="N154" s="88" t="n">
        <v>86438</v>
      </c>
      <c r="O154" s="88" t="n">
        <v>49105</v>
      </c>
      <c r="P154" s="89" t="n">
        <v>28.3</v>
      </c>
      <c r="Q154" s="87" t="n">
        <v>223</v>
      </c>
      <c r="R154" s="87" t="n">
        <v>2584</v>
      </c>
      <c r="S154" s="87" t="n">
        <v>204</v>
      </c>
      <c r="T154" s="87" t="n">
        <v>4</v>
      </c>
      <c r="U154" s="89" t="n">
        <v>4.3</v>
      </c>
      <c r="V154" s="89" t="n">
        <v>5.4</v>
      </c>
      <c r="W154" s="89" t="n">
        <v>30</v>
      </c>
      <c r="X154" s="87" t="n">
        <v>164</v>
      </c>
      <c r="Y154" s="87" t="n">
        <v>230</v>
      </c>
      <c r="Z154" s="88" t="n">
        <v>85552</v>
      </c>
      <c r="AA154" s="26" t="n"/>
      <c r="AB154" s="86">
        <f>IF($A154="","",$A154-WEEKDAY($A154,2)+1)</f>
        <v/>
      </c>
      <c r="AC154" s="86">
        <f>IF($A154="","",DATE(YEAR($A154),MONTH($A154),1))</f>
        <v/>
      </c>
      <c r="AD154" s="90">
        <f>IF($A154="","",IFERROR($K154/$J154,0))</f>
        <v/>
      </c>
      <c r="AE154" s="90">
        <f>IF($A154="","",IFERROR($L154/$J154,0))</f>
        <v/>
      </c>
      <c r="AF154" s="90">
        <f>IF($A154="","",IFERROR($M154/$J154,0))</f>
        <v/>
      </c>
      <c r="AG154" s="88">
        <f>IF($A154="","",$N154-$O154)</f>
        <v/>
      </c>
      <c r="AH154" s="90">
        <f>IF($A154="","",IFERROR($AG154/$N154,0))</f>
        <v/>
      </c>
      <c r="AI154" s="89">
        <f>IF($A154="","",IFERROR($K154/$P154,0))</f>
        <v/>
      </c>
      <c r="AJ154" s="90">
        <f>IF($A154="","",IFERROR($S154/$R154,0))</f>
        <v/>
      </c>
      <c r="AK154" s="90">
        <f>IF($A154="","",IFERROR($T154/$J154,0))</f>
        <v/>
      </c>
      <c r="AL154" s="26">
        <f>IF($A154="","",IF(AND($AD154&gt;='01_Settings'!$B$9,$V154&lt;='01_Settings'!$B$10,$W154&lt;='01_Settings'!$B$11),"On track","Off track"))</f>
        <v/>
      </c>
      <c r="AM154" s="42">
        <f>IF($A154="","",IF($AD154&lt;'01_Settings'!$B$9,"Low completion rate; ","")&amp;IF($AE154&gt;'01_Settings'!$B$12,"High overdue rate; ","")&amp;IF($U154&lt;'01_Settings'!$B$13,"Low satisfaction; ","")&amp;IF($AH154&lt;'01_Settings'!$B$14,"Low gross margin; ","")&amp;IF($AJ154&lt;'01_Settings'!$B$15,"Low conversion rate; ","")&amp;IF($AK154&gt;'01_Settings'!$B$16,"High complaint rate; ",""))</f>
        <v/>
      </c>
    </row>
    <row r="155" ht="18" customHeight="1">
      <c r="A155" s="86" t="n">
        <v>46135</v>
      </c>
      <c r="B155" s="26" t="inlineStr">
        <is>
          <t>East Coast Division</t>
        </is>
      </c>
      <c r="C155" s="26" t="inlineStr">
        <is>
          <t>Growth Marketing</t>
        </is>
      </c>
      <c r="D155" s="26" t="inlineStr">
        <is>
          <t>Membership Program</t>
        </is>
      </c>
      <c r="E155" s="26" t="inlineStr">
        <is>
          <t>Retail store</t>
        </is>
      </c>
      <c r="F155" s="26" t="inlineStr">
        <is>
          <t>International</t>
        </is>
      </c>
      <c r="G155" s="26" t="inlineStr">
        <is>
          <t>International Team</t>
        </is>
      </c>
      <c r="H155" s="26" t="inlineStr">
        <is>
          <t>Sarah Johnson</t>
        </is>
      </c>
      <c r="I155" s="26" t="inlineStr">
        <is>
          <t>New customer</t>
        </is>
      </c>
      <c r="J155" s="87" t="n">
        <v>91</v>
      </c>
      <c r="K155" s="87" t="n">
        <v>87</v>
      </c>
      <c r="L155" s="87" t="n">
        <v>9</v>
      </c>
      <c r="M155" s="87" t="n">
        <v>1</v>
      </c>
      <c r="N155" s="88" t="n">
        <v>24050</v>
      </c>
      <c r="O155" s="88" t="n">
        <v>16942</v>
      </c>
      <c r="P155" s="89" t="n">
        <v>11.3</v>
      </c>
      <c r="Q155" s="87" t="n">
        <v>108</v>
      </c>
      <c r="R155" s="87" t="n">
        <v>1336</v>
      </c>
      <c r="S155" s="87" t="n">
        <v>118</v>
      </c>
      <c r="T155" s="87" t="n">
        <v>2</v>
      </c>
      <c r="U155" s="89" t="n">
        <v>4.5</v>
      </c>
      <c r="V155" s="89" t="n">
        <v>3</v>
      </c>
      <c r="W155" s="89" t="n">
        <v>19.1</v>
      </c>
      <c r="X155" s="87" t="n">
        <v>89</v>
      </c>
      <c r="Y155" s="87" t="n">
        <v>81</v>
      </c>
      <c r="Z155" s="88" t="n">
        <v>23511</v>
      </c>
      <c r="AA155" s="26" t="n"/>
      <c r="AB155" s="86">
        <f>IF($A155="","",$A155-WEEKDAY($A155,2)+1)</f>
        <v/>
      </c>
      <c r="AC155" s="86">
        <f>IF($A155="","",DATE(YEAR($A155),MONTH($A155),1))</f>
        <v/>
      </c>
      <c r="AD155" s="90">
        <f>IF($A155="","",IFERROR($K155/$J155,0))</f>
        <v/>
      </c>
      <c r="AE155" s="90">
        <f>IF($A155="","",IFERROR($L155/$J155,0))</f>
        <v/>
      </c>
      <c r="AF155" s="90">
        <f>IF($A155="","",IFERROR($M155/$J155,0))</f>
        <v/>
      </c>
      <c r="AG155" s="88">
        <f>IF($A155="","",$N155-$O155)</f>
        <v/>
      </c>
      <c r="AH155" s="90">
        <f>IF($A155="","",IFERROR($AG155/$N155,0))</f>
        <v/>
      </c>
      <c r="AI155" s="89">
        <f>IF($A155="","",IFERROR($K155/$P155,0))</f>
        <v/>
      </c>
      <c r="AJ155" s="90">
        <f>IF($A155="","",IFERROR($S155/$R155,0))</f>
        <v/>
      </c>
      <c r="AK155" s="90">
        <f>IF($A155="","",IFERROR($T155/$J155,0))</f>
        <v/>
      </c>
      <c r="AL155" s="26">
        <f>IF($A155="","",IF(AND($AD155&gt;='01_Settings'!$B$9,$V155&lt;='01_Settings'!$B$10,$W155&lt;='01_Settings'!$B$11),"On track","Off track"))</f>
        <v/>
      </c>
      <c r="AM155" s="42">
        <f>IF($A155="","",IF($AD155&lt;'01_Settings'!$B$9,"Low completion rate; ","")&amp;IF($AE155&gt;'01_Settings'!$B$12,"High overdue rate; ","")&amp;IF($U155&lt;'01_Settings'!$B$13,"Low satisfaction; ","")&amp;IF($AH155&lt;'01_Settings'!$B$14,"Low gross margin; ","")&amp;IF($AJ155&lt;'01_Settings'!$B$15,"Low conversion rate; ","")&amp;IF($AK155&gt;'01_Settings'!$B$16,"High complaint rate; ",""))</f>
        <v/>
      </c>
    </row>
    <row r="156" ht="18" customHeight="1">
      <c r="A156" s="86" t="n">
        <v>46135</v>
      </c>
      <c r="B156" s="26" t="inlineStr">
        <is>
          <t>North Operations Center</t>
        </is>
      </c>
      <c r="C156" s="26" t="inlineStr">
        <is>
          <t>Sales Operations</t>
        </is>
      </c>
      <c r="D156" s="26" t="inlineStr">
        <is>
          <t>Standard Service</t>
        </is>
      </c>
      <c r="E156" s="26" t="inlineStr">
        <is>
          <t>Mobile app</t>
        </is>
      </c>
      <c r="F156" s="26" t="inlineStr">
        <is>
          <t>Midwest</t>
        </is>
      </c>
      <c r="G156" s="26" t="inlineStr">
        <is>
          <t>Midwest Team</t>
        </is>
      </c>
      <c r="H156" s="26" t="inlineStr">
        <is>
          <t>Emily Davis</t>
        </is>
      </c>
      <c r="I156" s="26" t="inlineStr">
        <is>
          <t>Existing customer</t>
        </is>
      </c>
      <c r="J156" s="87" t="n">
        <v>283</v>
      </c>
      <c r="K156" s="87" t="n">
        <v>269</v>
      </c>
      <c r="L156" s="87" t="n">
        <v>14</v>
      </c>
      <c r="M156" s="87" t="n">
        <v>3</v>
      </c>
      <c r="N156" s="88" t="n">
        <v>61194</v>
      </c>
      <c r="O156" s="88" t="n">
        <v>45159</v>
      </c>
      <c r="P156" s="89" t="n">
        <v>17.9</v>
      </c>
      <c r="Q156" s="87" t="n">
        <v>136</v>
      </c>
      <c r="R156" s="87" t="n">
        <v>786</v>
      </c>
      <c r="S156" s="87" t="n">
        <v>59</v>
      </c>
      <c r="T156" s="87" t="n">
        <v>9</v>
      </c>
      <c r="U156" s="89" t="n">
        <v>4.6</v>
      </c>
      <c r="V156" s="89" t="n">
        <v>2.6</v>
      </c>
      <c r="W156" s="89" t="n">
        <v>28.4</v>
      </c>
      <c r="X156" s="87" t="n">
        <v>159</v>
      </c>
      <c r="Y156" s="87" t="n">
        <v>254</v>
      </c>
      <c r="Z156" s="88" t="n">
        <v>60670</v>
      </c>
      <c r="AA156" s="26" t="n"/>
      <c r="AB156" s="86">
        <f>IF($A156="","",$A156-WEEKDAY($A156,2)+1)</f>
        <v/>
      </c>
      <c r="AC156" s="86">
        <f>IF($A156="","",DATE(YEAR($A156),MONTH($A156),1))</f>
        <v/>
      </c>
      <c r="AD156" s="90">
        <f>IF($A156="","",IFERROR($K156/$J156,0))</f>
        <v/>
      </c>
      <c r="AE156" s="90">
        <f>IF($A156="","",IFERROR($L156/$J156,0))</f>
        <v/>
      </c>
      <c r="AF156" s="90">
        <f>IF($A156="","",IFERROR($M156/$J156,0))</f>
        <v/>
      </c>
      <c r="AG156" s="88">
        <f>IF($A156="","",$N156-$O156)</f>
        <v/>
      </c>
      <c r="AH156" s="90">
        <f>IF($A156="","",IFERROR($AG156/$N156,0))</f>
        <v/>
      </c>
      <c r="AI156" s="89">
        <f>IF($A156="","",IFERROR($K156/$P156,0))</f>
        <v/>
      </c>
      <c r="AJ156" s="90">
        <f>IF($A156="","",IFERROR($S156/$R156,0))</f>
        <v/>
      </c>
      <c r="AK156" s="90">
        <f>IF($A156="","",IFERROR($T156/$J156,0))</f>
        <v/>
      </c>
      <c r="AL156" s="26">
        <f>IF($A156="","",IF(AND($AD156&gt;='01_Settings'!$B$9,$V156&lt;='01_Settings'!$B$10,$W156&lt;='01_Settings'!$B$11),"On track","Off track"))</f>
        <v/>
      </c>
      <c r="AM156" s="42">
        <f>IF($A156="","",IF($AD156&lt;'01_Settings'!$B$9,"Low completion rate; ","")&amp;IF($AE156&gt;'01_Settings'!$B$12,"High overdue rate; ","")&amp;IF($U156&lt;'01_Settings'!$B$13,"Low satisfaction; ","")&amp;IF($AH156&lt;'01_Settings'!$B$14,"Low gross margin; ","")&amp;IF($AJ156&lt;'01_Settings'!$B$15,"Low conversion rate; ","")&amp;IF($AK156&gt;'01_Settings'!$B$16,"High complaint rate; ",""))</f>
        <v/>
      </c>
    </row>
    <row r="157" ht="18" customHeight="1">
      <c r="A157" s="86" t="n">
        <v>46135</v>
      </c>
      <c r="B157" s="26" t="inlineStr">
        <is>
          <t>Southeast Division</t>
        </is>
      </c>
      <c r="C157" s="26" t="inlineStr">
        <is>
          <t>Finance / Expenses</t>
        </is>
      </c>
      <c r="D157" s="26" t="inlineStr">
        <is>
          <t>Project Delivery</t>
        </is>
      </c>
      <c r="E157" s="26" t="inlineStr">
        <is>
          <t>Marketplace store</t>
        </is>
      </c>
      <c r="F157" s="26" t="inlineStr">
        <is>
          <t>Southwest</t>
        </is>
      </c>
      <c r="G157" s="26" t="inlineStr">
        <is>
          <t>Southwest Team</t>
        </is>
      </c>
      <c r="H157" s="26" t="inlineStr">
        <is>
          <t>John Miller</t>
        </is>
      </c>
      <c r="I157" s="26" t="inlineStr">
        <is>
          <t>Existing customer</t>
        </is>
      </c>
      <c r="J157" s="87" t="n">
        <v>266</v>
      </c>
      <c r="K157" s="87" t="n">
        <v>250</v>
      </c>
      <c r="L157" s="87" t="n">
        <v>28</v>
      </c>
      <c r="M157" s="87" t="n">
        <v>10</v>
      </c>
      <c r="N157" s="88" t="n">
        <v>58645</v>
      </c>
      <c r="O157" s="88" t="n">
        <v>34772</v>
      </c>
      <c r="P157" s="89" t="n">
        <v>25.7</v>
      </c>
      <c r="Q157" s="87" t="n">
        <v>279</v>
      </c>
      <c r="R157" s="87" t="n">
        <v>2031</v>
      </c>
      <c r="S157" s="87" t="n">
        <v>114</v>
      </c>
      <c r="T157" s="87" t="n">
        <v>10</v>
      </c>
      <c r="U157" s="89" t="n">
        <v>4.7</v>
      </c>
      <c r="V157" s="89" t="n">
        <v>1.1</v>
      </c>
      <c r="W157" s="89" t="n">
        <v>13.4</v>
      </c>
      <c r="X157" s="87" t="n">
        <v>56</v>
      </c>
      <c r="Y157" s="87" t="n">
        <v>239</v>
      </c>
      <c r="Z157" s="88" t="n">
        <v>58868</v>
      </c>
      <c r="AA157" s="26" t="n"/>
      <c r="AB157" s="86">
        <f>IF($A157="","",$A157-WEEKDAY($A157,2)+1)</f>
        <v/>
      </c>
      <c r="AC157" s="86">
        <f>IF($A157="","",DATE(YEAR($A157),MONTH($A157),1))</f>
        <v/>
      </c>
      <c r="AD157" s="90">
        <f>IF($A157="","",IFERROR($K157/$J157,0))</f>
        <v/>
      </c>
      <c r="AE157" s="90">
        <f>IF($A157="","",IFERROR($L157/$J157,0))</f>
        <v/>
      </c>
      <c r="AF157" s="90">
        <f>IF($A157="","",IFERROR($M157/$J157,0))</f>
        <v/>
      </c>
      <c r="AG157" s="88">
        <f>IF($A157="","",$N157-$O157)</f>
        <v/>
      </c>
      <c r="AH157" s="90">
        <f>IF($A157="","",IFERROR($AG157/$N157,0))</f>
        <v/>
      </c>
      <c r="AI157" s="89">
        <f>IF($A157="","",IFERROR($K157/$P157,0))</f>
        <v/>
      </c>
      <c r="AJ157" s="90">
        <f>IF($A157="","",IFERROR($S157/$R157,0))</f>
        <v/>
      </c>
      <c r="AK157" s="90">
        <f>IF($A157="","",IFERROR($T157/$J157,0))</f>
        <v/>
      </c>
      <c r="AL157" s="26">
        <f>IF($A157="","",IF(AND($AD157&gt;='01_Settings'!$B$9,$V157&lt;='01_Settings'!$B$10,$W157&lt;='01_Settings'!$B$11),"On track","Off track"))</f>
        <v/>
      </c>
      <c r="AM157" s="42">
        <f>IF($A157="","",IF($AD157&lt;'01_Settings'!$B$9,"Low completion rate; ","")&amp;IF($AE157&gt;'01_Settings'!$B$12,"High overdue rate; ","")&amp;IF($U157&lt;'01_Settings'!$B$13,"Low satisfaction; ","")&amp;IF($AH157&lt;'01_Settings'!$B$14,"Low gross margin; ","")&amp;IF($AJ157&lt;'01_Settings'!$B$15,"Low conversion rate; ","")&amp;IF($AK157&gt;'01_Settings'!$B$16,"High complaint rate; ",""))</f>
        <v/>
      </c>
    </row>
    <row r="158" ht="18" customHeight="1">
      <c r="A158" s="86" t="n">
        <v>46136</v>
      </c>
      <c r="B158" s="26" t="inlineStr">
        <is>
          <t>Southeast Division</t>
        </is>
      </c>
      <c r="C158" s="26" t="inlineStr">
        <is>
          <t>Customer Support Operations</t>
        </is>
      </c>
      <c r="D158" s="26" t="inlineStr">
        <is>
          <t>Membership Program</t>
        </is>
      </c>
      <c r="E158" s="26" t="inlineStr">
        <is>
          <t>Team chat</t>
        </is>
      </c>
      <c r="F158" s="26" t="inlineStr">
        <is>
          <t>Southwest</t>
        </is>
      </c>
      <c r="G158" s="26" t="inlineStr">
        <is>
          <t>Southwest Team</t>
        </is>
      </c>
      <c r="H158" s="26" t="inlineStr">
        <is>
          <t>David Wilson</t>
        </is>
      </c>
      <c r="I158" s="26" t="inlineStr">
        <is>
          <t>New customer</t>
        </is>
      </c>
      <c r="J158" s="87" t="n">
        <v>260</v>
      </c>
      <c r="K158" s="87" t="n">
        <v>234</v>
      </c>
      <c r="L158" s="87" t="n">
        <v>21</v>
      </c>
      <c r="M158" s="87" t="n">
        <v>1</v>
      </c>
      <c r="N158" s="88" t="n">
        <v>20866</v>
      </c>
      <c r="O158" s="88" t="n">
        <v>13575</v>
      </c>
      <c r="P158" s="89" t="n">
        <v>35.3</v>
      </c>
      <c r="Q158" s="87" t="n">
        <v>110</v>
      </c>
      <c r="R158" s="87" t="n">
        <v>2153</v>
      </c>
      <c r="S158" s="87" t="n">
        <v>237</v>
      </c>
      <c r="T158" s="87" t="n">
        <v>4</v>
      </c>
      <c r="U158" s="89" t="n">
        <v>4</v>
      </c>
      <c r="V158" s="89" t="n">
        <v>5.5</v>
      </c>
      <c r="W158" s="89" t="n">
        <v>29</v>
      </c>
      <c r="X158" s="87" t="n">
        <v>28</v>
      </c>
      <c r="Y158" s="87" t="n">
        <v>234</v>
      </c>
      <c r="Z158" s="88" t="n">
        <v>21909</v>
      </c>
      <c r="AA158" s="26" t="n"/>
      <c r="AB158" s="86">
        <f>IF($A158="","",$A158-WEEKDAY($A158,2)+1)</f>
        <v/>
      </c>
      <c r="AC158" s="86">
        <f>IF($A158="","",DATE(YEAR($A158),MONTH($A158),1))</f>
        <v/>
      </c>
      <c r="AD158" s="90">
        <f>IF($A158="","",IFERROR($K158/$J158,0))</f>
        <v/>
      </c>
      <c r="AE158" s="90">
        <f>IF($A158="","",IFERROR($L158/$J158,0))</f>
        <v/>
      </c>
      <c r="AF158" s="90">
        <f>IF($A158="","",IFERROR($M158/$J158,0))</f>
        <v/>
      </c>
      <c r="AG158" s="88">
        <f>IF($A158="","",$N158-$O158)</f>
        <v/>
      </c>
      <c r="AH158" s="90">
        <f>IF($A158="","",IFERROR($AG158/$N158,0))</f>
        <v/>
      </c>
      <c r="AI158" s="89">
        <f>IF($A158="","",IFERROR($K158/$P158,0))</f>
        <v/>
      </c>
      <c r="AJ158" s="90">
        <f>IF($A158="","",IFERROR($S158/$R158,0))</f>
        <v/>
      </c>
      <c r="AK158" s="90">
        <f>IF($A158="","",IFERROR($T158/$J158,0))</f>
        <v/>
      </c>
      <c r="AL158" s="26">
        <f>IF($A158="","",IF(AND($AD158&gt;='01_Settings'!$B$9,$V158&lt;='01_Settings'!$B$10,$W158&lt;='01_Settings'!$B$11),"On track","Off track"))</f>
        <v/>
      </c>
      <c r="AM158" s="42">
        <f>IF($A158="","",IF($AD158&lt;'01_Settings'!$B$9,"Low completion rate; ","")&amp;IF($AE158&gt;'01_Settings'!$B$12,"High overdue rate; ","")&amp;IF($U158&lt;'01_Settings'!$B$13,"Low satisfaction; ","")&amp;IF($AH158&lt;'01_Settings'!$B$14,"Low gross margin; ","")&amp;IF($AJ158&lt;'01_Settings'!$B$15,"Low conversion rate; ","")&amp;IF($AK158&gt;'01_Settings'!$B$16,"High complaint rate; ",""))</f>
        <v/>
      </c>
    </row>
    <row r="159" ht="18" customHeight="1">
      <c r="A159" s="86" t="n">
        <v>46136</v>
      </c>
      <c r="B159" s="26" t="inlineStr">
        <is>
          <t>East Coast Division</t>
        </is>
      </c>
      <c r="C159" s="26" t="inlineStr">
        <is>
          <t>Supply Chain / Inventory</t>
        </is>
      </c>
      <c r="D159" s="26" t="inlineStr">
        <is>
          <t>After-sales Coverage</t>
        </is>
      </c>
      <c r="E159" s="26" t="inlineStr">
        <is>
          <t>Phone</t>
        </is>
      </c>
      <c r="F159" s="26" t="inlineStr">
        <is>
          <t>Southeast</t>
        </is>
      </c>
      <c r="G159" s="26" t="inlineStr">
        <is>
          <t>Southeast Team</t>
        </is>
      </c>
      <c r="H159" s="26" t="inlineStr">
        <is>
          <t>David Wilson</t>
        </is>
      </c>
      <c r="I159" s="26" t="inlineStr">
        <is>
          <t>Enterprise customers</t>
        </is>
      </c>
      <c r="J159" s="87" t="n">
        <v>237</v>
      </c>
      <c r="K159" s="87" t="n">
        <v>226</v>
      </c>
      <c r="L159" s="87" t="n">
        <v>20</v>
      </c>
      <c r="M159" s="87" t="n">
        <v>8</v>
      </c>
      <c r="N159" s="88" t="n">
        <v>36324</v>
      </c>
      <c r="O159" s="88" t="n">
        <v>23994</v>
      </c>
      <c r="P159" s="89" t="n">
        <v>12.1</v>
      </c>
      <c r="Q159" s="87" t="n">
        <v>369</v>
      </c>
      <c r="R159" s="87" t="n">
        <v>505</v>
      </c>
      <c r="S159" s="87" t="n">
        <v>48</v>
      </c>
      <c r="T159" s="87" t="n">
        <v>2</v>
      </c>
      <c r="U159" s="89" t="n">
        <v>4</v>
      </c>
      <c r="V159" s="89" t="n">
        <v>5</v>
      </c>
      <c r="W159" s="89" t="n">
        <v>14.3</v>
      </c>
      <c r="X159" s="87" t="n">
        <v>160</v>
      </c>
      <c r="Y159" s="87" t="n">
        <v>213</v>
      </c>
      <c r="Z159" s="88" t="n">
        <v>35946</v>
      </c>
      <c r="AA159" s="26" t="n"/>
      <c r="AB159" s="86">
        <f>IF($A159="","",$A159-WEEKDAY($A159,2)+1)</f>
        <v/>
      </c>
      <c r="AC159" s="86">
        <f>IF($A159="","",DATE(YEAR($A159),MONTH($A159),1))</f>
        <v/>
      </c>
      <c r="AD159" s="90">
        <f>IF($A159="","",IFERROR($K159/$J159,0))</f>
        <v/>
      </c>
      <c r="AE159" s="90">
        <f>IF($A159="","",IFERROR($L159/$J159,0))</f>
        <v/>
      </c>
      <c r="AF159" s="90">
        <f>IF($A159="","",IFERROR($M159/$J159,0))</f>
        <v/>
      </c>
      <c r="AG159" s="88">
        <f>IF($A159="","",$N159-$O159)</f>
        <v/>
      </c>
      <c r="AH159" s="90">
        <f>IF($A159="","",IFERROR($AG159/$N159,0))</f>
        <v/>
      </c>
      <c r="AI159" s="89">
        <f>IF($A159="","",IFERROR($K159/$P159,0))</f>
        <v/>
      </c>
      <c r="AJ159" s="90">
        <f>IF($A159="","",IFERROR($S159/$R159,0))</f>
        <v/>
      </c>
      <c r="AK159" s="90">
        <f>IF($A159="","",IFERROR($T159/$J159,0))</f>
        <v/>
      </c>
      <c r="AL159" s="26">
        <f>IF($A159="","",IF(AND($AD159&gt;='01_Settings'!$B$9,$V159&lt;='01_Settings'!$B$10,$W159&lt;='01_Settings'!$B$11),"On track","Off track"))</f>
        <v/>
      </c>
      <c r="AM159" s="42">
        <f>IF($A159="","",IF($AD159&lt;'01_Settings'!$B$9,"Low completion rate; ","")&amp;IF($AE159&gt;'01_Settings'!$B$12,"High overdue rate; ","")&amp;IF($U159&lt;'01_Settings'!$B$13,"Low satisfaction; ","")&amp;IF($AH159&lt;'01_Settings'!$B$14,"Low gross margin; ","")&amp;IF($AJ159&lt;'01_Settings'!$B$15,"Low conversion rate; ","")&amp;IF($AK159&gt;'01_Settings'!$B$16,"High complaint rate; ",""))</f>
        <v/>
      </c>
    </row>
    <row r="160" ht="18" customHeight="1">
      <c r="A160" s="86" t="n">
        <v>46136</v>
      </c>
      <c r="B160" s="26" t="inlineStr">
        <is>
          <t>Digital Business Unit</t>
        </is>
      </c>
      <c r="C160" s="26" t="inlineStr">
        <is>
          <t>Finance / Expenses</t>
        </is>
      </c>
      <c r="D160" s="26" t="inlineStr">
        <is>
          <t>Enterprise customers</t>
        </is>
      </c>
      <c r="E160" s="26" t="inlineStr">
        <is>
          <t>Mobile app</t>
        </is>
      </c>
      <c r="F160" s="26" t="inlineStr">
        <is>
          <t>Midwest</t>
        </is>
      </c>
      <c r="G160" s="26" t="inlineStr">
        <is>
          <t>Midwest Team</t>
        </is>
      </c>
      <c r="H160" s="26" t="inlineStr">
        <is>
          <t>David Wilson</t>
        </is>
      </c>
      <c r="I160" s="26" t="inlineStr">
        <is>
          <t>Enterprise customers</t>
        </is>
      </c>
      <c r="J160" s="87" t="n">
        <v>256</v>
      </c>
      <c r="K160" s="87" t="n">
        <v>218</v>
      </c>
      <c r="L160" s="87" t="n">
        <v>12</v>
      </c>
      <c r="M160" s="87" t="n">
        <v>6</v>
      </c>
      <c r="N160" s="88" t="n">
        <v>58224</v>
      </c>
      <c r="O160" s="88" t="n">
        <v>41212</v>
      </c>
      <c r="P160" s="89" t="n">
        <v>11.2</v>
      </c>
      <c r="Q160" s="87" t="n">
        <v>359</v>
      </c>
      <c r="R160" s="87" t="n">
        <v>1991</v>
      </c>
      <c r="S160" s="87" t="n">
        <v>213</v>
      </c>
      <c r="T160" s="87" t="n">
        <v>7</v>
      </c>
      <c r="U160" s="89" t="n">
        <v>4.1</v>
      </c>
      <c r="V160" s="89" t="n">
        <v>4.4</v>
      </c>
      <c r="W160" s="89" t="n">
        <v>21.5</v>
      </c>
      <c r="X160" s="87" t="n">
        <v>91</v>
      </c>
      <c r="Y160" s="87" t="n">
        <v>230</v>
      </c>
      <c r="Z160" s="88" t="n">
        <v>64500</v>
      </c>
      <c r="AA160" s="26" t="n"/>
      <c r="AB160" s="86">
        <f>IF($A160="","",$A160-WEEKDAY($A160,2)+1)</f>
        <v/>
      </c>
      <c r="AC160" s="86">
        <f>IF($A160="","",DATE(YEAR($A160),MONTH($A160),1))</f>
        <v/>
      </c>
      <c r="AD160" s="90">
        <f>IF($A160="","",IFERROR($K160/$J160,0))</f>
        <v/>
      </c>
      <c r="AE160" s="90">
        <f>IF($A160="","",IFERROR($L160/$J160,0))</f>
        <v/>
      </c>
      <c r="AF160" s="90">
        <f>IF($A160="","",IFERROR($M160/$J160,0))</f>
        <v/>
      </c>
      <c r="AG160" s="88">
        <f>IF($A160="","",$N160-$O160)</f>
        <v/>
      </c>
      <c r="AH160" s="90">
        <f>IF($A160="","",IFERROR($AG160/$N160,0))</f>
        <v/>
      </c>
      <c r="AI160" s="89">
        <f>IF($A160="","",IFERROR($K160/$P160,0))</f>
        <v/>
      </c>
      <c r="AJ160" s="90">
        <f>IF($A160="","",IFERROR($S160/$R160,0))</f>
        <v/>
      </c>
      <c r="AK160" s="90">
        <f>IF($A160="","",IFERROR($T160/$J160,0))</f>
        <v/>
      </c>
      <c r="AL160" s="26">
        <f>IF($A160="","",IF(AND($AD160&gt;='01_Settings'!$B$9,$V160&lt;='01_Settings'!$B$10,$W160&lt;='01_Settings'!$B$11),"On track","Off track"))</f>
        <v/>
      </c>
      <c r="AM160" s="42">
        <f>IF($A160="","",IF($AD160&lt;'01_Settings'!$B$9,"Low completion rate; ","")&amp;IF($AE160&gt;'01_Settings'!$B$12,"High overdue rate; ","")&amp;IF($U160&lt;'01_Settings'!$B$13,"Low satisfaction; ","")&amp;IF($AH160&lt;'01_Settings'!$B$14,"Low gross margin; ","")&amp;IF($AJ160&lt;'01_Settings'!$B$15,"Low conversion rate; ","")&amp;IF($AK160&gt;'01_Settings'!$B$16,"High complaint rate; ",""))</f>
        <v/>
      </c>
    </row>
    <row r="161" ht="18" customHeight="1">
      <c r="A161" s="86" t="n">
        <v>46137</v>
      </c>
      <c r="B161" s="26" t="inlineStr">
        <is>
          <t>Southeast Division</t>
        </is>
      </c>
      <c r="C161" s="26" t="inlineStr">
        <is>
          <t>Production / Delivery</t>
        </is>
      </c>
      <c r="D161" s="26" t="inlineStr">
        <is>
          <t>After-sales Coverage</t>
        </is>
      </c>
      <c r="E161" s="26" t="inlineStr">
        <is>
          <t>Phone</t>
        </is>
      </c>
      <c r="F161" s="26" t="inlineStr">
        <is>
          <t>Southeast</t>
        </is>
      </c>
      <c r="G161" s="26" t="inlineStr">
        <is>
          <t>Southeast Team</t>
        </is>
      </c>
      <c r="H161" s="26" t="inlineStr">
        <is>
          <t>Sarah Johnson</t>
        </is>
      </c>
      <c r="I161" s="26" t="inlineStr">
        <is>
          <t>Enterprise customers</t>
        </is>
      </c>
      <c r="J161" s="87" t="n">
        <v>192</v>
      </c>
      <c r="K161" s="87" t="n">
        <v>185</v>
      </c>
      <c r="L161" s="87" t="n">
        <v>19</v>
      </c>
      <c r="M161" s="87" t="n">
        <v>7</v>
      </c>
      <c r="N161" s="88" t="n">
        <v>48102</v>
      </c>
      <c r="O161" s="88" t="n">
        <v>35035</v>
      </c>
      <c r="P161" s="89" t="n">
        <v>30.7</v>
      </c>
      <c r="Q161" s="87" t="n">
        <v>389</v>
      </c>
      <c r="R161" s="87" t="n">
        <v>593</v>
      </c>
      <c r="S161" s="87" t="n">
        <v>70</v>
      </c>
      <c r="T161" s="87" t="n">
        <v>8</v>
      </c>
      <c r="U161" s="89" t="n">
        <v>4.1</v>
      </c>
      <c r="V161" s="89" t="n">
        <v>3.1</v>
      </c>
      <c r="W161" s="89" t="n">
        <v>18.9</v>
      </c>
      <c r="X161" s="87" t="n">
        <v>14</v>
      </c>
      <c r="Y161" s="87" t="n">
        <v>172</v>
      </c>
      <c r="Z161" s="88" t="n">
        <v>46958</v>
      </c>
      <c r="AA161" s="26" t="n"/>
      <c r="AB161" s="86">
        <f>IF($A161="","",$A161-WEEKDAY($A161,2)+1)</f>
        <v/>
      </c>
      <c r="AC161" s="86">
        <f>IF($A161="","",DATE(YEAR($A161),MONTH($A161),1))</f>
        <v/>
      </c>
      <c r="AD161" s="90">
        <f>IF($A161="","",IFERROR($K161/$J161,0))</f>
        <v/>
      </c>
      <c r="AE161" s="90">
        <f>IF($A161="","",IFERROR($L161/$J161,0))</f>
        <v/>
      </c>
      <c r="AF161" s="90">
        <f>IF($A161="","",IFERROR($M161/$J161,0))</f>
        <v/>
      </c>
      <c r="AG161" s="88">
        <f>IF($A161="","",$N161-$O161)</f>
        <v/>
      </c>
      <c r="AH161" s="90">
        <f>IF($A161="","",IFERROR($AG161/$N161,0))</f>
        <v/>
      </c>
      <c r="AI161" s="89">
        <f>IF($A161="","",IFERROR($K161/$P161,0))</f>
        <v/>
      </c>
      <c r="AJ161" s="90">
        <f>IF($A161="","",IFERROR($S161/$R161,0))</f>
        <v/>
      </c>
      <c r="AK161" s="90">
        <f>IF($A161="","",IFERROR($T161/$J161,0))</f>
        <v/>
      </c>
      <c r="AL161" s="26">
        <f>IF($A161="","",IF(AND($AD161&gt;='01_Settings'!$B$9,$V161&lt;='01_Settings'!$B$10,$W161&lt;='01_Settings'!$B$11),"On track","Off track"))</f>
        <v/>
      </c>
      <c r="AM161" s="42">
        <f>IF($A161="","",IF($AD161&lt;'01_Settings'!$B$9,"Low completion rate; ","")&amp;IF($AE161&gt;'01_Settings'!$B$12,"High overdue rate; ","")&amp;IF($U161&lt;'01_Settings'!$B$13,"Low satisfaction; ","")&amp;IF($AH161&lt;'01_Settings'!$B$14,"Low gross margin; ","")&amp;IF($AJ161&lt;'01_Settings'!$B$15,"Low conversion rate; ","")&amp;IF($AK161&gt;'01_Settings'!$B$16,"High complaint rate; ",""))</f>
        <v/>
      </c>
    </row>
    <row r="162" ht="18" customHeight="1">
      <c r="A162" s="86" t="n">
        <v>46137</v>
      </c>
      <c r="B162" s="26" t="inlineStr">
        <is>
          <t>Digital Business Unit</t>
        </is>
      </c>
      <c r="C162" s="26" t="inlineStr">
        <is>
          <t>E-commerce Operations</t>
        </is>
      </c>
      <c r="D162" s="26" t="inlineStr">
        <is>
          <t>After-sales Coverage</t>
        </is>
      </c>
      <c r="E162" s="26" t="inlineStr">
        <is>
          <t>Mobile app</t>
        </is>
      </c>
      <c r="F162" s="26" t="inlineStr">
        <is>
          <t>Midwest</t>
        </is>
      </c>
      <c r="G162" s="26" t="inlineStr">
        <is>
          <t>Midwest Team</t>
        </is>
      </c>
      <c r="H162" s="26" t="inlineStr">
        <is>
          <t>Sarah Johnson</t>
        </is>
      </c>
      <c r="I162" s="26" t="inlineStr">
        <is>
          <t>Enterprise customers</t>
        </is>
      </c>
      <c r="J162" s="87" t="n">
        <v>153</v>
      </c>
      <c r="K162" s="87" t="n">
        <v>146</v>
      </c>
      <c r="L162" s="87" t="n">
        <v>15</v>
      </c>
      <c r="M162" s="87" t="n">
        <v>6</v>
      </c>
      <c r="N162" s="88" t="n">
        <v>19614</v>
      </c>
      <c r="O162" s="88" t="n">
        <v>11305</v>
      </c>
      <c r="P162" s="89" t="n">
        <v>10.5</v>
      </c>
      <c r="Q162" s="87" t="n">
        <v>152</v>
      </c>
      <c r="R162" s="87" t="n">
        <v>2541</v>
      </c>
      <c r="S162" s="87" t="n">
        <v>334</v>
      </c>
      <c r="T162" s="87" t="n">
        <v>1</v>
      </c>
      <c r="U162" s="89" t="n">
        <v>4.5</v>
      </c>
      <c r="V162" s="89" t="n">
        <v>2.7</v>
      </c>
      <c r="W162" s="89" t="n">
        <v>10.5</v>
      </c>
      <c r="X162" s="87" t="n">
        <v>95</v>
      </c>
      <c r="Y162" s="87" t="n">
        <v>137</v>
      </c>
      <c r="Z162" s="88" t="n">
        <v>19325</v>
      </c>
      <c r="AA162" s="26" t="n"/>
      <c r="AB162" s="86">
        <f>IF($A162="","",$A162-WEEKDAY($A162,2)+1)</f>
        <v/>
      </c>
      <c r="AC162" s="86">
        <f>IF($A162="","",DATE(YEAR($A162),MONTH($A162),1))</f>
        <v/>
      </c>
      <c r="AD162" s="90">
        <f>IF($A162="","",IFERROR($K162/$J162,0))</f>
        <v/>
      </c>
      <c r="AE162" s="90">
        <f>IF($A162="","",IFERROR($L162/$J162,0))</f>
        <v/>
      </c>
      <c r="AF162" s="90">
        <f>IF($A162="","",IFERROR($M162/$J162,0))</f>
        <v/>
      </c>
      <c r="AG162" s="88">
        <f>IF($A162="","",$N162-$O162)</f>
        <v/>
      </c>
      <c r="AH162" s="90">
        <f>IF($A162="","",IFERROR($AG162/$N162,0))</f>
        <v/>
      </c>
      <c r="AI162" s="89">
        <f>IF($A162="","",IFERROR($K162/$P162,0))</f>
        <v/>
      </c>
      <c r="AJ162" s="90">
        <f>IF($A162="","",IFERROR($S162/$R162,0))</f>
        <v/>
      </c>
      <c r="AK162" s="90">
        <f>IF($A162="","",IFERROR($T162/$J162,0))</f>
        <v/>
      </c>
      <c r="AL162" s="26">
        <f>IF($A162="","",IF(AND($AD162&gt;='01_Settings'!$B$9,$V162&lt;='01_Settings'!$B$10,$W162&lt;='01_Settings'!$B$11),"On track","Off track"))</f>
        <v/>
      </c>
      <c r="AM162" s="42">
        <f>IF($A162="","",IF($AD162&lt;'01_Settings'!$B$9,"Low completion rate; ","")&amp;IF($AE162&gt;'01_Settings'!$B$12,"High overdue rate; ","")&amp;IF($U162&lt;'01_Settings'!$B$13,"Low satisfaction; ","")&amp;IF($AH162&lt;'01_Settings'!$B$14,"Low gross margin; ","")&amp;IF($AJ162&lt;'01_Settings'!$B$15,"Low conversion rate; ","")&amp;IF($AK162&gt;'01_Settings'!$B$16,"High complaint rate; ",""))</f>
        <v/>
      </c>
    </row>
    <row r="163" ht="18" customHeight="1">
      <c r="A163" s="86" t="n">
        <v>46137</v>
      </c>
      <c r="B163" s="26" t="inlineStr">
        <is>
          <t>North Operations Center</t>
        </is>
      </c>
      <c r="C163" s="26" t="inlineStr">
        <is>
          <t>Field Services</t>
        </is>
      </c>
      <c r="D163" s="26" t="inlineStr">
        <is>
          <t>After-sales Coverage</t>
        </is>
      </c>
      <c r="E163" s="26" t="inlineStr">
        <is>
          <t>Team chat</t>
        </is>
      </c>
      <c r="F163" s="26" t="inlineStr">
        <is>
          <t>Midwest</t>
        </is>
      </c>
      <c r="G163" s="26" t="inlineStr">
        <is>
          <t>Midwest Team</t>
        </is>
      </c>
      <c r="H163" s="26" t="inlineStr">
        <is>
          <t>Michael Brown</t>
        </is>
      </c>
      <c r="I163" s="26" t="inlineStr">
        <is>
          <t>Existing customer</t>
        </is>
      </c>
      <c r="J163" s="87" t="n">
        <v>164</v>
      </c>
      <c r="K163" s="87" t="n">
        <v>146</v>
      </c>
      <c r="L163" s="87" t="n">
        <v>5</v>
      </c>
      <c r="M163" s="87" t="n">
        <v>0</v>
      </c>
      <c r="N163" s="88" t="n">
        <v>39467</v>
      </c>
      <c r="O163" s="88" t="n">
        <v>27891</v>
      </c>
      <c r="P163" s="89" t="n">
        <v>22.7</v>
      </c>
      <c r="Q163" s="87" t="n">
        <v>261</v>
      </c>
      <c r="R163" s="87" t="n">
        <v>1157</v>
      </c>
      <c r="S163" s="87" t="n">
        <v>115</v>
      </c>
      <c r="T163" s="87" t="n">
        <v>6</v>
      </c>
      <c r="U163" s="89" t="n">
        <v>4.2</v>
      </c>
      <c r="V163" s="89" t="n">
        <v>2.5</v>
      </c>
      <c r="W163" s="89" t="n">
        <v>9.5</v>
      </c>
      <c r="X163" s="87" t="n">
        <v>43</v>
      </c>
      <c r="Y163" s="87" t="n">
        <v>147</v>
      </c>
      <c r="Z163" s="88" t="n">
        <v>41724</v>
      </c>
      <c r="AA163" s="26" t="n"/>
      <c r="AB163" s="86">
        <f>IF($A163="","",$A163-WEEKDAY($A163,2)+1)</f>
        <v/>
      </c>
      <c r="AC163" s="86">
        <f>IF($A163="","",DATE(YEAR($A163),MONTH($A163),1))</f>
        <v/>
      </c>
      <c r="AD163" s="90">
        <f>IF($A163="","",IFERROR($K163/$J163,0))</f>
        <v/>
      </c>
      <c r="AE163" s="90">
        <f>IF($A163="","",IFERROR($L163/$J163,0))</f>
        <v/>
      </c>
      <c r="AF163" s="90">
        <f>IF($A163="","",IFERROR($M163/$J163,0))</f>
        <v/>
      </c>
      <c r="AG163" s="88">
        <f>IF($A163="","",$N163-$O163)</f>
        <v/>
      </c>
      <c r="AH163" s="90">
        <f>IF($A163="","",IFERROR($AG163/$N163,0))</f>
        <v/>
      </c>
      <c r="AI163" s="89">
        <f>IF($A163="","",IFERROR($K163/$P163,0))</f>
        <v/>
      </c>
      <c r="AJ163" s="90">
        <f>IF($A163="","",IFERROR($S163/$R163,0))</f>
        <v/>
      </c>
      <c r="AK163" s="90">
        <f>IF($A163="","",IFERROR($T163/$J163,0))</f>
        <v/>
      </c>
      <c r="AL163" s="26">
        <f>IF($A163="","",IF(AND($AD163&gt;='01_Settings'!$B$9,$V163&lt;='01_Settings'!$B$10,$W163&lt;='01_Settings'!$B$11),"On track","Off track"))</f>
        <v/>
      </c>
      <c r="AM163" s="42">
        <f>IF($A163="","",IF($AD163&lt;'01_Settings'!$B$9,"Low completion rate; ","")&amp;IF($AE163&gt;'01_Settings'!$B$12,"High overdue rate; ","")&amp;IF($U163&lt;'01_Settings'!$B$13,"Low satisfaction; ","")&amp;IF($AH163&lt;'01_Settings'!$B$14,"Low gross margin; ","")&amp;IF($AJ163&lt;'01_Settings'!$B$15,"Low conversion rate; ","")&amp;IF($AK163&gt;'01_Settings'!$B$16,"High complaint rate; ",""))</f>
        <v/>
      </c>
    </row>
    <row r="164" ht="18" customHeight="1">
      <c r="A164" s="86" t="n">
        <v>46138</v>
      </c>
      <c r="B164" s="26" t="inlineStr">
        <is>
          <t>North Operations Center</t>
        </is>
      </c>
      <c r="C164" s="26" t="inlineStr">
        <is>
          <t>Field Services</t>
        </is>
      </c>
      <c r="D164" s="26" t="inlineStr">
        <is>
          <t>Standard Service</t>
        </is>
      </c>
      <c r="E164" s="26" t="inlineStr">
        <is>
          <t>Phone</t>
        </is>
      </c>
      <c r="F164" s="26" t="inlineStr">
        <is>
          <t>Southwest</t>
        </is>
      </c>
      <c r="G164" s="26" t="inlineStr">
        <is>
          <t>Southwest Team</t>
        </is>
      </c>
      <c r="H164" s="26" t="inlineStr">
        <is>
          <t>Robert Thomas</t>
        </is>
      </c>
      <c r="I164" s="26" t="inlineStr">
        <is>
          <t>High-value customer</t>
        </is>
      </c>
      <c r="J164" s="87" t="n">
        <v>116</v>
      </c>
      <c r="K164" s="87" t="n">
        <v>101</v>
      </c>
      <c r="L164" s="87" t="n">
        <v>13</v>
      </c>
      <c r="M164" s="87" t="n">
        <v>1</v>
      </c>
      <c r="N164" s="88" t="n">
        <v>9838</v>
      </c>
      <c r="O164" s="88" t="n">
        <v>6612</v>
      </c>
      <c r="P164" s="89" t="n">
        <v>8.6</v>
      </c>
      <c r="Q164" s="87" t="n">
        <v>106</v>
      </c>
      <c r="R164" s="87" t="n">
        <v>2566</v>
      </c>
      <c r="S164" s="87" t="n">
        <v>338</v>
      </c>
      <c r="T164" s="87" t="n">
        <v>2</v>
      </c>
      <c r="U164" s="89" t="n">
        <v>4.6</v>
      </c>
      <c r="V164" s="89" t="n">
        <v>1.4</v>
      </c>
      <c r="W164" s="89" t="n">
        <v>25.2</v>
      </c>
      <c r="X164" s="87" t="n">
        <v>167</v>
      </c>
      <c r="Y164" s="87" t="n">
        <v>104</v>
      </c>
      <c r="Z164" s="88" t="n">
        <v>10637</v>
      </c>
      <c r="AA164" s="26" t="n"/>
      <c r="AB164" s="86">
        <f>IF($A164="","",$A164-WEEKDAY($A164,2)+1)</f>
        <v/>
      </c>
      <c r="AC164" s="86">
        <f>IF($A164="","",DATE(YEAR($A164),MONTH($A164),1))</f>
        <v/>
      </c>
      <c r="AD164" s="90">
        <f>IF($A164="","",IFERROR($K164/$J164,0))</f>
        <v/>
      </c>
      <c r="AE164" s="90">
        <f>IF($A164="","",IFERROR($L164/$J164,0))</f>
        <v/>
      </c>
      <c r="AF164" s="90">
        <f>IF($A164="","",IFERROR($M164/$J164,0))</f>
        <v/>
      </c>
      <c r="AG164" s="88">
        <f>IF($A164="","",$N164-$O164)</f>
        <v/>
      </c>
      <c r="AH164" s="90">
        <f>IF($A164="","",IFERROR($AG164/$N164,0))</f>
        <v/>
      </c>
      <c r="AI164" s="89">
        <f>IF($A164="","",IFERROR($K164/$P164,0))</f>
        <v/>
      </c>
      <c r="AJ164" s="90">
        <f>IF($A164="","",IFERROR($S164/$R164,0))</f>
        <v/>
      </c>
      <c r="AK164" s="90">
        <f>IF($A164="","",IFERROR($T164/$J164,0))</f>
        <v/>
      </c>
      <c r="AL164" s="26">
        <f>IF($A164="","",IF(AND($AD164&gt;='01_Settings'!$B$9,$V164&lt;='01_Settings'!$B$10,$W164&lt;='01_Settings'!$B$11),"On track","Off track"))</f>
        <v/>
      </c>
      <c r="AM164" s="42">
        <f>IF($A164="","",IF($AD164&lt;'01_Settings'!$B$9,"Low completion rate; ","")&amp;IF($AE164&gt;'01_Settings'!$B$12,"High overdue rate; ","")&amp;IF($U164&lt;'01_Settings'!$B$13,"Low satisfaction; ","")&amp;IF($AH164&lt;'01_Settings'!$B$14,"Low gross margin; ","")&amp;IF($AJ164&lt;'01_Settings'!$B$15,"Low conversion rate; ","")&amp;IF($AK164&gt;'01_Settings'!$B$16,"High complaint rate; ",""))</f>
        <v/>
      </c>
    </row>
    <row r="165" ht="18" customHeight="1">
      <c r="A165" s="86" t="n">
        <v>46138</v>
      </c>
      <c r="B165" s="26" t="inlineStr">
        <is>
          <t>Digital Business Unit</t>
        </is>
      </c>
      <c r="C165" s="26" t="inlineStr">
        <is>
          <t>Supply Chain / Inventory</t>
        </is>
      </c>
      <c r="D165" s="26" t="inlineStr">
        <is>
          <t>Standard Service</t>
        </is>
      </c>
      <c r="E165" s="26" t="inlineStr">
        <is>
          <t>Marketplace store</t>
        </is>
      </c>
      <c r="F165" s="26" t="inlineStr">
        <is>
          <t>Northeast</t>
        </is>
      </c>
      <c r="G165" s="26" t="inlineStr">
        <is>
          <t>Northeast Team</t>
        </is>
      </c>
      <c r="H165" s="26" t="inlineStr">
        <is>
          <t>David Wilson</t>
        </is>
      </c>
      <c r="I165" s="26" t="inlineStr">
        <is>
          <t>Existing customer</t>
        </is>
      </c>
      <c r="J165" s="87" t="n">
        <v>259</v>
      </c>
      <c r="K165" s="87" t="n">
        <v>234</v>
      </c>
      <c r="L165" s="87" t="n">
        <v>24</v>
      </c>
      <c r="M165" s="87" t="n">
        <v>12</v>
      </c>
      <c r="N165" s="88" t="n">
        <v>81339</v>
      </c>
      <c r="O165" s="88" t="n">
        <v>61358</v>
      </c>
      <c r="P165" s="89" t="n">
        <v>32.8</v>
      </c>
      <c r="Q165" s="87" t="n">
        <v>29</v>
      </c>
      <c r="R165" s="87" t="n">
        <v>145</v>
      </c>
      <c r="S165" s="87" t="n">
        <v>16</v>
      </c>
      <c r="T165" s="87" t="n">
        <v>3</v>
      </c>
      <c r="U165" s="89" t="n">
        <v>4.5</v>
      </c>
      <c r="V165" s="89" t="n">
        <v>2.7</v>
      </c>
      <c r="W165" s="89" t="n">
        <v>11.6</v>
      </c>
      <c r="X165" s="87" t="n">
        <v>103</v>
      </c>
      <c r="Y165" s="87" t="n">
        <v>233</v>
      </c>
      <c r="Z165" s="88" t="n">
        <v>85041</v>
      </c>
      <c r="AA165" s="26" t="n"/>
      <c r="AB165" s="86">
        <f>IF($A165="","",$A165-WEEKDAY($A165,2)+1)</f>
        <v/>
      </c>
      <c r="AC165" s="86">
        <f>IF($A165="","",DATE(YEAR($A165),MONTH($A165),1))</f>
        <v/>
      </c>
      <c r="AD165" s="90">
        <f>IF($A165="","",IFERROR($K165/$J165,0))</f>
        <v/>
      </c>
      <c r="AE165" s="90">
        <f>IF($A165="","",IFERROR($L165/$J165,0))</f>
        <v/>
      </c>
      <c r="AF165" s="90">
        <f>IF($A165="","",IFERROR($M165/$J165,0))</f>
        <v/>
      </c>
      <c r="AG165" s="88">
        <f>IF($A165="","",$N165-$O165)</f>
        <v/>
      </c>
      <c r="AH165" s="90">
        <f>IF($A165="","",IFERROR($AG165/$N165,0))</f>
        <v/>
      </c>
      <c r="AI165" s="89">
        <f>IF($A165="","",IFERROR($K165/$P165,0))</f>
        <v/>
      </c>
      <c r="AJ165" s="90">
        <f>IF($A165="","",IFERROR($S165/$R165,0))</f>
        <v/>
      </c>
      <c r="AK165" s="90">
        <f>IF($A165="","",IFERROR($T165/$J165,0))</f>
        <v/>
      </c>
      <c r="AL165" s="26">
        <f>IF($A165="","",IF(AND($AD165&gt;='01_Settings'!$B$9,$V165&lt;='01_Settings'!$B$10,$W165&lt;='01_Settings'!$B$11),"On track","Off track"))</f>
        <v/>
      </c>
      <c r="AM165" s="42">
        <f>IF($A165="","",IF($AD165&lt;'01_Settings'!$B$9,"Low completion rate; ","")&amp;IF($AE165&gt;'01_Settings'!$B$12,"High overdue rate; ","")&amp;IF($U165&lt;'01_Settings'!$B$13,"Low satisfaction; ","")&amp;IF($AH165&lt;'01_Settings'!$B$14,"Low gross margin; ","")&amp;IF($AJ165&lt;'01_Settings'!$B$15,"Low conversion rate; ","")&amp;IF($AK165&gt;'01_Settings'!$B$16,"High complaint rate; ",""))</f>
        <v/>
      </c>
    </row>
    <row r="166" ht="18" customHeight="1">
      <c r="A166" s="86" t="n">
        <v>46138</v>
      </c>
      <c r="B166" s="26" t="inlineStr">
        <is>
          <t>East Coast Division</t>
        </is>
      </c>
      <c r="C166" s="26" t="inlineStr">
        <is>
          <t>Production / Delivery</t>
        </is>
      </c>
      <c r="D166" s="26" t="inlineStr">
        <is>
          <t>Membership Program</t>
        </is>
      </c>
      <c r="E166" s="26" t="inlineStr">
        <is>
          <t>Team chat</t>
        </is>
      </c>
      <c r="F166" s="26" t="inlineStr">
        <is>
          <t>Southwest</t>
        </is>
      </c>
      <c r="G166" s="26" t="inlineStr">
        <is>
          <t>Southwest Team</t>
        </is>
      </c>
      <c r="H166" s="26" t="inlineStr">
        <is>
          <t>Michael Brown</t>
        </is>
      </c>
      <c r="I166" s="26" t="inlineStr">
        <is>
          <t>Existing customer</t>
        </is>
      </c>
      <c r="J166" s="87" t="n">
        <v>73</v>
      </c>
      <c r="K166" s="87" t="n">
        <v>68</v>
      </c>
      <c r="L166" s="87" t="n">
        <v>5</v>
      </c>
      <c r="M166" s="87" t="n">
        <v>1</v>
      </c>
      <c r="N166" s="88" t="n">
        <v>23555</v>
      </c>
      <c r="O166" s="88" t="n">
        <v>19286</v>
      </c>
      <c r="P166" s="89" t="n">
        <v>7.4</v>
      </c>
      <c r="Q166" s="87" t="n">
        <v>270</v>
      </c>
      <c r="R166" s="87" t="n">
        <v>1841</v>
      </c>
      <c r="S166" s="87" t="n">
        <v>239</v>
      </c>
      <c r="T166" s="87" t="n">
        <v>0</v>
      </c>
      <c r="U166" s="89" t="n">
        <v>4.7</v>
      </c>
      <c r="V166" s="89" t="n">
        <v>5.1</v>
      </c>
      <c r="W166" s="89" t="n">
        <v>8.5</v>
      </c>
      <c r="X166" s="87" t="n">
        <v>62</v>
      </c>
      <c r="Y166" s="87" t="n">
        <v>65</v>
      </c>
      <c r="Z166" s="88" t="n">
        <v>23641</v>
      </c>
      <c r="AA166" s="26" t="n"/>
      <c r="AB166" s="86">
        <f>IF($A166="","",$A166-WEEKDAY($A166,2)+1)</f>
        <v/>
      </c>
      <c r="AC166" s="86">
        <f>IF($A166="","",DATE(YEAR($A166),MONTH($A166),1))</f>
        <v/>
      </c>
      <c r="AD166" s="90">
        <f>IF($A166="","",IFERROR($K166/$J166,0))</f>
        <v/>
      </c>
      <c r="AE166" s="90">
        <f>IF($A166="","",IFERROR($L166/$J166,0))</f>
        <v/>
      </c>
      <c r="AF166" s="90">
        <f>IF($A166="","",IFERROR($M166/$J166,0))</f>
        <v/>
      </c>
      <c r="AG166" s="88">
        <f>IF($A166="","",$N166-$O166)</f>
        <v/>
      </c>
      <c r="AH166" s="90">
        <f>IF($A166="","",IFERROR($AG166/$N166,0))</f>
        <v/>
      </c>
      <c r="AI166" s="89">
        <f>IF($A166="","",IFERROR($K166/$P166,0))</f>
        <v/>
      </c>
      <c r="AJ166" s="90">
        <f>IF($A166="","",IFERROR($S166/$R166,0))</f>
        <v/>
      </c>
      <c r="AK166" s="90">
        <f>IF($A166="","",IFERROR($T166/$J166,0))</f>
        <v/>
      </c>
      <c r="AL166" s="26">
        <f>IF($A166="","",IF(AND($AD166&gt;='01_Settings'!$B$9,$V166&lt;='01_Settings'!$B$10,$W166&lt;='01_Settings'!$B$11),"On track","Off track"))</f>
        <v/>
      </c>
      <c r="AM166" s="42">
        <f>IF($A166="","",IF($AD166&lt;'01_Settings'!$B$9,"Low completion rate; ","")&amp;IF($AE166&gt;'01_Settings'!$B$12,"High overdue rate; ","")&amp;IF($U166&lt;'01_Settings'!$B$13,"Low satisfaction; ","")&amp;IF($AH166&lt;'01_Settings'!$B$14,"Low gross margin; ","")&amp;IF($AJ166&lt;'01_Settings'!$B$15,"Low conversion rate; ","")&amp;IF($AK166&gt;'01_Settings'!$B$16,"High complaint rate; ",""))</f>
        <v/>
      </c>
    </row>
    <row r="167" ht="18" customHeight="1">
      <c r="A167" s="86" t="n">
        <v>46139</v>
      </c>
      <c r="B167" s="26" t="inlineStr">
        <is>
          <t>North Operations Center</t>
        </is>
      </c>
      <c r="C167" s="26" t="inlineStr">
        <is>
          <t>Customer Support Operations</t>
        </is>
      </c>
      <c r="D167" s="26" t="inlineStr">
        <is>
          <t>Enterprise customers</t>
        </is>
      </c>
      <c r="E167" s="26" t="inlineStr">
        <is>
          <t>Online</t>
        </is>
      </c>
      <c r="F167" s="26" t="inlineStr">
        <is>
          <t>Midwest</t>
        </is>
      </c>
      <c r="G167" s="26" t="inlineStr">
        <is>
          <t>Midwest Team</t>
        </is>
      </c>
      <c r="H167" s="26" t="inlineStr">
        <is>
          <t>John Miller</t>
        </is>
      </c>
      <c r="I167" s="26" t="inlineStr">
        <is>
          <t>Enterprise customers</t>
        </is>
      </c>
      <c r="J167" s="87" t="n">
        <v>111</v>
      </c>
      <c r="K167" s="87" t="n">
        <v>104</v>
      </c>
      <c r="L167" s="87" t="n">
        <v>9</v>
      </c>
      <c r="M167" s="87" t="n">
        <v>3</v>
      </c>
      <c r="N167" s="88" t="n">
        <v>9816</v>
      </c>
      <c r="O167" s="88" t="n">
        <v>5685</v>
      </c>
      <c r="P167" s="89" t="n">
        <v>20</v>
      </c>
      <c r="Q167" s="87" t="n">
        <v>44</v>
      </c>
      <c r="R167" s="87" t="n">
        <v>618</v>
      </c>
      <c r="S167" s="87" t="n">
        <v>55</v>
      </c>
      <c r="T167" s="87" t="n">
        <v>2</v>
      </c>
      <c r="U167" s="89" t="n">
        <v>4.3</v>
      </c>
      <c r="V167" s="89" t="n">
        <v>3.4</v>
      </c>
      <c r="W167" s="89" t="n">
        <v>12.3</v>
      </c>
      <c r="X167" s="87" t="n">
        <v>180</v>
      </c>
      <c r="Y167" s="87" t="n">
        <v>99</v>
      </c>
      <c r="Z167" s="88" t="n">
        <v>9812</v>
      </c>
      <c r="AA167" s="26" t="n"/>
      <c r="AB167" s="86">
        <f>IF($A167="","",$A167-WEEKDAY($A167,2)+1)</f>
        <v/>
      </c>
      <c r="AC167" s="86">
        <f>IF($A167="","",DATE(YEAR($A167),MONTH($A167),1))</f>
        <v/>
      </c>
      <c r="AD167" s="90">
        <f>IF($A167="","",IFERROR($K167/$J167,0))</f>
        <v/>
      </c>
      <c r="AE167" s="90">
        <f>IF($A167="","",IFERROR($L167/$J167,0))</f>
        <v/>
      </c>
      <c r="AF167" s="90">
        <f>IF($A167="","",IFERROR($M167/$J167,0))</f>
        <v/>
      </c>
      <c r="AG167" s="88">
        <f>IF($A167="","",$N167-$O167)</f>
        <v/>
      </c>
      <c r="AH167" s="90">
        <f>IF($A167="","",IFERROR($AG167/$N167,0))</f>
        <v/>
      </c>
      <c r="AI167" s="89">
        <f>IF($A167="","",IFERROR($K167/$P167,0))</f>
        <v/>
      </c>
      <c r="AJ167" s="90">
        <f>IF($A167="","",IFERROR($S167/$R167,0))</f>
        <v/>
      </c>
      <c r="AK167" s="90">
        <f>IF($A167="","",IFERROR($T167/$J167,0))</f>
        <v/>
      </c>
      <c r="AL167" s="26">
        <f>IF($A167="","",IF(AND($AD167&gt;='01_Settings'!$B$9,$V167&lt;='01_Settings'!$B$10,$W167&lt;='01_Settings'!$B$11),"On track","Off track"))</f>
        <v/>
      </c>
      <c r="AM167" s="42">
        <f>IF($A167="","",IF($AD167&lt;'01_Settings'!$B$9,"Low completion rate; ","")&amp;IF($AE167&gt;'01_Settings'!$B$12,"High overdue rate; ","")&amp;IF($U167&lt;'01_Settings'!$B$13,"Low satisfaction; ","")&amp;IF($AH167&lt;'01_Settings'!$B$14,"Low gross margin; ","")&amp;IF($AJ167&lt;'01_Settings'!$B$15,"Low conversion rate; ","")&amp;IF($AK167&gt;'01_Settings'!$B$16,"High complaint rate; ",""))</f>
        <v/>
      </c>
    </row>
    <row r="168" ht="18" customHeight="1">
      <c r="A168" s="86" t="n">
        <v>46139</v>
      </c>
      <c r="B168" s="26" t="inlineStr">
        <is>
          <t>East Coast Division</t>
        </is>
      </c>
      <c r="C168" s="26" t="inlineStr">
        <is>
          <t>Production / Delivery</t>
        </is>
      </c>
      <c r="D168" s="26" t="inlineStr">
        <is>
          <t>After-sales Coverage</t>
        </is>
      </c>
      <c r="E168" s="26" t="inlineStr">
        <is>
          <t>Team chat</t>
        </is>
      </c>
      <c r="F168" s="26" t="inlineStr">
        <is>
          <t>International</t>
        </is>
      </c>
      <c r="G168" s="26" t="inlineStr">
        <is>
          <t>International Team</t>
        </is>
      </c>
      <c r="H168" s="26" t="inlineStr">
        <is>
          <t>David Wilson</t>
        </is>
      </c>
      <c r="I168" s="26" t="inlineStr">
        <is>
          <t>Existing customer</t>
        </is>
      </c>
      <c r="J168" s="87" t="n">
        <v>255</v>
      </c>
      <c r="K168" s="87" t="n">
        <v>237</v>
      </c>
      <c r="L168" s="87" t="n">
        <v>15</v>
      </c>
      <c r="M168" s="87" t="n">
        <v>11</v>
      </c>
      <c r="N168" s="88" t="n">
        <v>55334</v>
      </c>
      <c r="O168" s="88" t="n">
        <v>39662</v>
      </c>
      <c r="P168" s="89" t="n">
        <v>23.2</v>
      </c>
      <c r="Q168" s="87" t="n">
        <v>74</v>
      </c>
      <c r="R168" s="87" t="n">
        <v>2212</v>
      </c>
      <c r="S168" s="87" t="n">
        <v>141</v>
      </c>
      <c r="T168" s="87" t="n">
        <v>3</v>
      </c>
      <c r="U168" s="89" t="n">
        <v>4.1</v>
      </c>
      <c r="V168" s="89" t="n">
        <v>3.6</v>
      </c>
      <c r="W168" s="89" t="n">
        <v>13.6</v>
      </c>
      <c r="X168" s="87" t="n">
        <v>109</v>
      </c>
      <c r="Y168" s="87" t="n">
        <v>229</v>
      </c>
      <c r="Z168" s="88" t="n">
        <v>56139</v>
      </c>
      <c r="AA168" s="26" t="n"/>
      <c r="AB168" s="86">
        <f>IF($A168="","",$A168-WEEKDAY($A168,2)+1)</f>
        <v/>
      </c>
      <c r="AC168" s="86">
        <f>IF($A168="","",DATE(YEAR($A168),MONTH($A168),1))</f>
        <v/>
      </c>
      <c r="AD168" s="90">
        <f>IF($A168="","",IFERROR($K168/$J168,0))</f>
        <v/>
      </c>
      <c r="AE168" s="90">
        <f>IF($A168="","",IFERROR($L168/$J168,0))</f>
        <v/>
      </c>
      <c r="AF168" s="90">
        <f>IF($A168="","",IFERROR($M168/$J168,0))</f>
        <v/>
      </c>
      <c r="AG168" s="88">
        <f>IF($A168="","",$N168-$O168)</f>
        <v/>
      </c>
      <c r="AH168" s="90">
        <f>IF($A168="","",IFERROR($AG168/$N168,0))</f>
        <v/>
      </c>
      <c r="AI168" s="89">
        <f>IF($A168="","",IFERROR($K168/$P168,0))</f>
        <v/>
      </c>
      <c r="AJ168" s="90">
        <f>IF($A168="","",IFERROR($S168/$R168,0))</f>
        <v/>
      </c>
      <c r="AK168" s="90">
        <f>IF($A168="","",IFERROR($T168/$J168,0))</f>
        <v/>
      </c>
      <c r="AL168" s="26">
        <f>IF($A168="","",IF(AND($AD168&gt;='01_Settings'!$B$9,$V168&lt;='01_Settings'!$B$10,$W168&lt;='01_Settings'!$B$11),"On track","Off track"))</f>
        <v/>
      </c>
      <c r="AM168" s="42">
        <f>IF($A168="","",IF($AD168&lt;'01_Settings'!$B$9,"Low completion rate; ","")&amp;IF($AE168&gt;'01_Settings'!$B$12,"High overdue rate; ","")&amp;IF($U168&lt;'01_Settings'!$B$13,"Low satisfaction; ","")&amp;IF($AH168&lt;'01_Settings'!$B$14,"Low gross margin; ","")&amp;IF($AJ168&lt;'01_Settings'!$B$15,"Low conversion rate; ","")&amp;IF($AK168&gt;'01_Settings'!$B$16,"High complaint rate; ",""))</f>
        <v/>
      </c>
    </row>
    <row r="169" ht="18" customHeight="1">
      <c r="A169" s="86" t="n">
        <v>46139</v>
      </c>
      <c r="B169" s="26" t="inlineStr">
        <is>
          <t>Digital Business Unit</t>
        </is>
      </c>
      <c r="C169" s="26" t="inlineStr">
        <is>
          <t>Growth Marketing</t>
        </is>
      </c>
      <c r="D169" s="26" t="inlineStr">
        <is>
          <t>Project Delivery</t>
        </is>
      </c>
      <c r="E169" s="26" t="inlineStr">
        <is>
          <t>Email</t>
        </is>
      </c>
      <c r="F169" s="26" t="inlineStr">
        <is>
          <t>Southwest</t>
        </is>
      </c>
      <c r="G169" s="26" t="inlineStr">
        <is>
          <t>Southwest Team</t>
        </is>
      </c>
      <c r="H169" s="26" t="inlineStr">
        <is>
          <t>David Wilson</t>
        </is>
      </c>
      <c r="I169" s="26" t="inlineStr">
        <is>
          <t>Enterprise customers</t>
        </is>
      </c>
      <c r="J169" s="87" t="n">
        <v>60</v>
      </c>
      <c r="K169" s="87" t="n">
        <v>52</v>
      </c>
      <c r="L169" s="87" t="n">
        <v>1</v>
      </c>
      <c r="M169" s="87" t="n">
        <v>2</v>
      </c>
      <c r="N169" s="88" t="n">
        <v>18307</v>
      </c>
      <c r="O169" s="88" t="n">
        <v>14197</v>
      </c>
      <c r="P169" s="89" t="n">
        <v>8.5</v>
      </c>
      <c r="Q169" s="87" t="n">
        <v>96</v>
      </c>
      <c r="R169" s="87" t="n">
        <v>564</v>
      </c>
      <c r="S169" s="87" t="n">
        <v>75</v>
      </c>
      <c r="T169" s="87" t="n">
        <v>0</v>
      </c>
      <c r="U169" s="89" t="n">
        <v>4.5</v>
      </c>
      <c r="V169" s="89" t="n">
        <v>5.5</v>
      </c>
      <c r="W169" s="89" t="n">
        <v>26</v>
      </c>
      <c r="X169" s="87" t="n">
        <v>121</v>
      </c>
      <c r="Y169" s="87" t="n">
        <v>54</v>
      </c>
      <c r="Z169" s="88" t="n">
        <v>19962</v>
      </c>
      <c r="AA169" s="26" t="n"/>
      <c r="AB169" s="86">
        <f>IF($A169="","",$A169-WEEKDAY($A169,2)+1)</f>
        <v/>
      </c>
      <c r="AC169" s="86">
        <f>IF($A169="","",DATE(YEAR($A169),MONTH($A169),1))</f>
        <v/>
      </c>
      <c r="AD169" s="90">
        <f>IF($A169="","",IFERROR($K169/$J169,0))</f>
        <v/>
      </c>
      <c r="AE169" s="90">
        <f>IF($A169="","",IFERROR($L169/$J169,0))</f>
        <v/>
      </c>
      <c r="AF169" s="90">
        <f>IF($A169="","",IFERROR($M169/$J169,0))</f>
        <v/>
      </c>
      <c r="AG169" s="88">
        <f>IF($A169="","",$N169-$O169)</f>
        <v/>
      </c>
      <c r="AH169" s="90">
        <f>IF($A169="","",IFERROR($AG169/$N169,0))</f>
        <v/>
      </c>
      <c r="AI169" s="89">
        <f>IF($A169="","",IFERROR($K169/$P169,0))</f>
        <v/>
      </c>
      <c r="AJ169" s="90">
        <f>IF($A169="","",IFERROR($S169/$R169,0))</f>
        <v/>
      </c>
      <c r="AK169" s="90">
        <f>IF($A169="","",IFERROR($T169/$J169,0))</f>
        <v/>
      </c>
      <c r="AL169" s="26">
        <f>IF($A169="","",IF(AND($AD169&gt;='01_Settings'!$B$9,$V169&lt;='01_Settings'!$B$10,$W169&lt;='01_Settings'!$B$11),"On track","Off track"))</f>
        <v/>
      </c>
      <c r="AM169" s="42">
        <f>IF($A169="","",IF($AD169&lt;'01_Settings'!$B$9,"Low completion rate; ","")&amp;IF($AE169&gt;'01_Settings'!$B$12,"High overdue rate; ","")&amp;IF($U169&lt;'01_Settings'!$B$13,"Low satisfaction; ","")&amp;IF($AH169&lt;'01_Settings'!$B$14,"Low gross margin; ","")&amp;IF($AJ169&lt;'01_Settings'!$B$15,"Low conversion rate; ","")&amp;IF($AK169&gt;'01_Settings'!$B$16,"High complaint rate; ",""))</f>
        <v/>
      </c>
    </row>
    <row r="170" ht="18" customHeight="1">
      <c r="A170" s="86" t="n">
        <v>46140</v>
      </c>
      <c r="B170" s="26" t="inlineStr">
        <is>
          <t>East Coast Division</t>
        </is>
      </c>
      <c r="C170" s="26" t="inlineStr">
        <is>
          <t>Finance / Expenses</t>
        </is>
      </c>
      <c r="D170" s="26" t="inlineStr">
        <is>
          <t>Membership Program</t>
        </is>
      </c>
      <c r="E170" s="26" t="inlineStr">
        <is>
          <t>Team chat</t>
        </is>
      </c>
      <c r="F170" s="26" t="inlineStr">
        <is>
          <t>Midwest</t>
        </is>
      </c>
      <c r="G170" s="26" t="inlineStr">
        <is>
          <t>Midwest Team</t>
        </is>
      </c>
      <c r="H170" s="26" t="inlineStr">
        <is>
          <t>Matthew Anderson</t>
        </is>
      </c>
      <c r="I170" s="26" t="inlineStr">
        <is>
          <t>Existing customer</t>
        </is>
      </c>
      <c r="J170" s="87" t="n">
        <v>129</v>
      </c>
      <c r="K170" s="87" t="n">
        <v>114</v>
      </c>
      <c r="L170" s="87" t="n">
        <v>4</v>
      </c>
      <c r="M170" s="87" t="n">
        <v>5</v>
      </c>
      <c r="N170" s="88" t="n">
        <v>39568</v>
      </c>
      <c r="O170" s="88" t="n">
        <v>21866</v>
      </c>
      <c r="P170" s="89" t="n">
        <v>8.4</v>
      </c>
      <c r="Q170" s="87" t="n">
        <v>351</v>
      </c>
      <c r="R170" s="87" t="n">
        <v>1149</v>
      </c>
      <c r="S170" s="87" t="n">
        <v>91</v>
      </c>
      <c r="T170" s="87" t="n">
        <v>5</v>
      </c>
      <c r="U170" s="89" t="n">
        <v>4.8</v>
      </c>
      <c r="V170" s="89" t="n">
        <v>2.3</v>
      </c>
      <c r="W170" s="89" t="n">
        <v>28.5</v>
      </c>
      <c r="X170" s="87" t="n">
        <v>100</v>
      </c>
      <c r="Y170" s="87" t="n">
        <v>116</v>
      </c>
      <c r="Z170" s="88" t="n">
        <v>42275</v>
      </c>
      <c r="AA170" s="26" t="n"/>
      <c r="AB170" s="86">
        <f>IF($A170="","",$A170-WEEKDAY($A170,2)+1)</f>
        <v/>
      </c>
      <c r="AC170" s="86">
        <f>IF($A170="","",DATE(YEAR($A170),MONTH($A170),1))</f>
        <v/>
      </c>
      <c r="AD170" s="90">
        <f>IF($A170="","",IFERROR($K170/$J170,0))</f>
        <v/>
      </c>
      <c r="AE170" s="90">
        <f>IF($A170="","",IFERROR($L170/$J170,0))</f>
        <v/>
      </c>
      <c r="AF170" s="90">
        <f>IF($A170="","",IFERROR($M170/$J170,0))</f>
        <v/>
      </c>
      <c r="AG170" s="88">
        <f>IF($A170="","",$N170-$O170)</f>
        <v/>
      </c>
      <c r="AH170" s="90">
        <f>IF($A170="","",IFERROR($AG170/$N170,0))</f>
        <v/>
      </c>
      <c r="AI170" s="89">
        <f>IF($A170="","",IFERROR($K170/$P170,0))</f>
        <v/>
      </c>
      <c r="AJ170" s="90">
        <f>IF($A170="","",IFERROR($S170/$R170,0))</f>
        <v/>
      </c>
      <c r="AK170" s="90">
        <f>IF($A170="","",IFERROR($T170/$J170,0))</f>
        <v/>
      </c>
      <c r="AL170" s="26">
        <f>IF($A170="","",IF(AND($AD170&gt;='01_Settings'!$B$9,$V170&lt;='01_Settings'!$B$10,$W170&lt;='01_Settings'!$B$11),"On track","Off track"))</f>
        <v/>
      </c>
      <c r="AM170" s="42">
        <f>IF($A170="","",IF($AD170&lt;'01_Settings'!$B$9,"Low completion rate; ","")&amp;IF($AE170&gt;'01_Settings'!$B$12,"High overdue rate; ","")&amp;IF($U170&lt;'01_Settings'!$B$13,"Low satisfaction; ","")&amp;IF($AH170&lt;'01_Settings'!$B$14,"Low gross margin; ","")&amp;IF($AJ170&lt;'01_Settings'!$B$15,"Low conversion rate; ","")&amp;IF($AK170&gt;'01_Settings'!$B$16,"High complaint rate; ",""))</f>
        <v/>
      </c>
    </row>
    <row r="171" ht="18" customHeight="1">
      <c r="A171" s="86" t="n">
        <v>46140</v>
      </c>
      <c r="B171" s="26" t="inlineStr">
        <is>
          <t>Digital Business Unit</t>
        </is>
      </c>
      <c r="C171" s="26" t="inlineStr">
        <is>
          <t>Customer Support Operations</t>
        </is>
      </c>
      <c r="D171" s="26" t="inlineStr">
        <is>
          <t>Membership Program</t>
        </is>
      </c>
      <c r="E171" s="26" t="inlineStr">
        <is>
          <t>Distributor</t>
        </is>
      </c>
      <c r="F171" s="26" t="inlineStr">
        <is>
          <t>Southwest</t>
        </is>
      </c>
      <c r="G171" s="26" t="inlineStr">
        <is>
          <t>Southwest Team</t>
        </is>
      </c>
      <c r="H171" s="26" t="inlineStr">
        <is>
          <t>Jessica Taylor</t>
        </is>
      </c>
      <c r="I171" s="26" t="inlineStr">
        <is>
          <t>Existing customer</t>
        </is>
      </c>
      <c r="J171" s="87" t="n">
        <v>182</v>
      </c>
      <c r="K171" s="87" t="n">
        <v>169</v>
      </c>
      <c r="L171" s="87" t="n">
        <v>12</v>
      </c>
      <c r="M171" s="87" t="n">
        <v>3</v>
      </c>
      <c r="N171" s="88" t="n">
        <v>58446</v>
      </c>
      <c r="O171" s="88" t="n">
        <v>34777</v>
      </c>
      <c r="P171" s="89" t="n">
        <v>12.3</v>
      </c>
      <c r="Q171" s="87" t="n">
        <v>391</v>
      </c>
      <c r="R171" s="87" t="n">
        <v>731</v>
      </c>
      <c r="S171" s="87" t="n">
        <v>115</v>
      </c>
      <c r="T171" s="87" t="n">
        <v>7</v>
      </c>
      <c r="U171" s="89" t="n">
        <v>3.9</v>
      </c>
      <c r="V171" s="89" t="n">
        <v>5.6</v>
      </c>
      <c r="W171" s="89" t="n">
        <v>21.5</v>
      </c>
      <c r="X171" s="87" t="n">
        <v>150</v>
      </c>
      <c r="Y171" s="87" t="n">
        <v>163</v>
      </c>
      <c r="Z171" s="88" t="n">
        <v>59190</v>
      </c>
      <c r="AA171" s="26" t="n"/>
      <c r="AB171" s="86">
        <f>IF($A171="","",$A171-WEEKDAY($A171,2)+1)</f>
        <v/>
      </c>
      <c r="AC171" s="86">
        <f>IF($A171="","",DATE(YEAR($A171),MONTH($A171),1))</f>
        <v/>
      </c>
      <c r="AD171" s="90">
        <f>IF($A171="","",IFERROR($K171/$J171,0))</f>
        <v/>
      </c>
      <c r="AE171" s="90">
        <f>IF($A171="","",IFERROR($L171/$J171,0))</f>
        <v/>
      </c>
      <c r="AF171" s="90">
        <f>IF($A171="","",IFERROR($M171/$J171,0))</f>
        <v/>
      </c>
      <c r="AG171" s="88">
        <f>IF($A171="","",$N171-$O171)</f>
        <v/>
      </c>
      <c r="AH171" s="90">
        <f>IF($A171="","",IFERROR($AG171/$N171,0))</f>
        <v/>
      </c>
      <c r="AI171" s="89">
        <f>IF($A171="","",IFERROR($K171/$P171,0))</f>
        <v/>
      </c>
      <c r="AJ171" s="90">
        <f>IF($A171="","",IFERROR($S171/$R171,0))</f>
        <v/>
      </c>
      <c r="AK171" s="90">
        <f>IF($A171="","",IFERROR($T171/$J171,0))</f>
        <v/>
      </c>
      <c r="AL171" s="26">
        <f>IF($A171="","",IF(AND($AD171&gt;='01_Settings'!$B$9,$V171&lt;='01_Settings'!$B$10,$W171&lt;='01_Settings'!$B$11),"On track","Off track"))</f>
        <v/>
      </c>
      <c r="AM171" s="42">
        <f>IF($A171="","",IF($AD171&lt;'01_Settings'!$B$9,"Low completion rate; ","")&amp;IF($AE171&gt;'01_Settings'!$B$12,"High overdue rate; ","")&amp;IF($U171&lt;'01_Settings'!$B$13,"Low satisfaction; ","")&amp;IF($AH171&lt;'01_Settings'!$B$14,"Low gross margin; ","")&amp;IF($AJ171&lt;'01_Settings'!$B$15,"Low conversion rate; ","")&amp;IF($AK171&gt;'01_Settings'!$B$16,"High complaint rate; ",""))</f>
        <v/>
      </c>
    </row>
    <row r="172" ht="18" customHeight="1">
      <c r="A172" s="86" t="n">
        <v>46140</v>
      </c>
      <c r="B172" s="26" t="inlineStr">
        <is>
          <t>North Operations Center</t>
        </is>
      </c>
      <c r="C172" s="26" t="inlineStr">
        <is>
          <t>Growth Marketing</t>
        </is>
      </c>
      <c r="D172" s="26" t="inlineStr">
        <is>
          <t>Project Delivery</t>
        </is>
      </c>
      <c r="E172" s="26" t="inlineStr">
        <is>
          <t>Online</t>
        </is>
      </c>
      <c r="F172" s="26" t="inlineStr">
        <is>
          <t>Southeast</t>
        </is>
      </c>
      <c r="G172" s="26" t="inlineStr">
        <is>
          <t>Southeast Team</t>
        </is>
      </c>
      <c r="H172" s="26" t="inlineStr">
        <is>
          <t>Emily Davis</t>
        </is>
      </c>
      <c r="I172" s="26" t="inlineStr">
        <is>
          <t>High-value customer</t>
        </is>
      </c>
      <c r="J172" s="87" t="n">
        <v>234</v>
      </c>
      <c r="K172" s="87" t="n">
        <v>209</v>
      </c>
      <c r="L172" s="87" t="n">
        <v>16</v>
      </c>
      <c r="M172" s="87" t="n">
        <v>10</v>
      </c>
      <c r="N172" s="88" t="n">
        <v>44351</v>
      </c>
      <c r="O172" s="88" t="n">
        <v>25151</v>
      </c>
      <c r="P172" s="89" t="n">
        <v>33.7</v>
      </c>
      <c r="Q172" s="87" t="n">
        <v>26</v>
      </c>
      <c r="R172" s="87" t="n">
        <v>2275</v>
      </c>
      <c r="S172" s="87" t="n">
        <v>300</v>
      </c>
      <c r="T172" s="87" t="n">
        <v>6</v>
      </c>
      <c r="U172" s="89" t="n">
        <v>4.4</v>
      </c>
      <c r="V172" s="89" t="n">
        <v>5.9</v>
      </c>
      <c r="W172" s="89" t="n">
        <v>26.8</v>
      </c>
      <c r="X172" s="87" t="n">
        <v>91</v>
      </c>
      <c r="Y172" s="87" t="n">
        <v>210</v>
      </c>
      <c r="Z172" s="88" t="n">
        <v>46792</v>
      </c>
      <c r="AA172" s="26" t="n"/>
      <c r="AB172" s="86">
        <f>IF($A172="","",$A172-WEEKDAY($A172,2)+1)</f>
        <v/>
      </c>
      <c r="AC172" s="86">
        <f>IF($A172="","",DATE(YEAR($A172),MONTH($A172),1))</f>
        <v/>
      </c>
      <c r="AD172" s="90">
        <f>IF($A172="","",IFERROR($K172/$J172,0))</f>
        <v/>
      </c>
      <c r="AE172" s="90">
        <f>IF($A172="","",IFERROR($L172/$J172,0))</f>
        <v/>
      </c>
      <c r="AF172" s="90">
        <f>IF($A172="","",IFERROR($M172/$J172,0))</f>
        <v/>
      </c>
      <c r="AG172" s="88">
        <f>IF($A172="","",$N172-$O172)</f>
        <v/>
      </c>
      <c r="AH172" s="90">
        <f>IF($A172="","",IFERROR($AG172/$N172,0))</f>
        <v/>
      </c>
      <c r="AI172" s="89">
        <f>IF($A172="","",IFERROR($K172/$P172,0))</f>
        <v/>
      </c>
      <c r="AJ172" s="90">
        <f>IF($A172="","",IFERROR($S172/$R172,0))</f>
        <v/>
      </c>
      <c r="AK172" s="90">
        <f>IF($A172="","",IFERROR($T172/$J172,0))</f>
        <v/>
      </c>
      <c r="AL172" s="26">
        <f>IF($A172="","",IF(AND($AD172&gt;='01_Settings'!$B$9,$V172&lt;='01_Settings'!$B$10,$W172&lt;='01_Settings'!$B$11),"On track","Off track"))</f>
        <v/>
      </c>
      <c r="AM172" s="42">
        <f>IF($A172="","",IF($AD172&lt;'01_Settings'!$B$9,"Low completion rate; ","")&amp;IF($AE172&gt;'01_Settings'!$B$12,"High overdue rate; ","")&amp;IF($U172&lt;'01_Settings'!$B$13,"Low satisfaction; ","")&amp;IF($AH172&lt;'01_Settings'!$B$14,"Low gross margin; ","")&amp;IF($AJ172&lt;'01_Settings'!$B$15,"Low conversion rate; ","")&amp;IF($AK172&gt;'01_Settings'!$B$16,"High complaint rate; ",""))</f>
        <v/>
      </c>
    </row>
    <row r="173" ht="18" customHeight="1">
      <c r="A173" s="86" t="n">
        <v>46141</v>
      </c>
      <c r="B173" s="26" t="inlineStr">
        <is>
          <t>Southeast Division</t>
        </is>
      </c>
      <c r="C173" s="26" t="inlineStr">
        <is>
          <t>Supply Chain / Inventory</t>
        </is>
      </c>
      <c r="D173" s="26" t="inlineStr">
        <is>
          <t>Standard Service</t>
        </is>
      </c>
      <c r="E173" s="26" t="inlineStr">
        <is>
          <t>Online</t>
        </is>
      </c>
      <c r="F173" s="26" t="inlineStr">
        <is>
          <t>Southeast</t>
        </is>
      </c>
      <c r="G173" s="26" t="inlineStr">
        <is>
          <t>Southeast Team</t>
        </is>
      </c>
      <c r="H173" s="26" t="inlineStr">
        <is>
          <t>Jessica Taylor</t>
        </is>
      </c>
      <c r="I173" s="26" t="inlineStr">
        <is>
          <t>Standard customer</t>
        </is>
      </c>
      <c r="J173" s="87" t="n">
        <v>237</v>
      </c>
      <c r="K173" s="87" t="n">
        <v>213</v>
      </c>
      <c r="L173" s="87" t="n">
        <v>15</v>
      </c>
      <c r="M173" s="87" t="n">
        <v>5</v>
      </c>
      <c r="N173" s="88" t="n">
        <v>27609</v>
      </c>
      <c r="O173" s="88" t="n">
        <v>20786</v>
      </c>
      <c r="P173" s="89" t="n">
        <v>22.3</v>
      </c>
      <c r="Q173" s="87" t="n">
        <v>189</v>
      </c>
      <c r="R173" s="87" t="n">
        <v>1428</v>
      </c>
      <c r="S173" s="87" t="n">
        <v>65</v>
      </c>
      <c r="T173" s="87" t="n">
        <v>3</v>
      </c>
      <c r="U173" s="89" t="n">
        <v>4.4</v>
      </c>
      <c r="V173" s="89" t="n">
        <v>3</v>
      </c>
      <c r="W173" s="89" t="n">
        <v>14.6</v>
      </c>
      <c r="X173" s="87" t="n">
        <v>122</v>
      </c>
      <c r="Y173" s="87" t="n">
        <v>213</v>
      </c>
      <c r="Z173" s="88" t="n">
        <v>28990</v>
      </c>
      <c r="AA173" s="26" t="n"/>
      <c r="AB173" s="86">
        <f>IF($A173="","",$A173-WEEKDAY($A173,2)+1)</f>
        <v/>
      </c>
      <c r="AC173" s="86">
        <f>IF($A173="","",DATE(YEAR($A173),MONTH($A173),1))</f>
        <v/>
      </c>
      <c r="AD173" s="90">
        <f>IF($A173="","",IFERROR($K173/$J173,0))</f>
        <v/>
      </c>
      <c r="AE173" s="90">
        <f>IF($A173="","",IFERROR($L173/$J173,0))</f>
        <v/>
      </c>
      <c r="AF173" s="90">
        <f>IF($A173="","",IFERROR($M173/$J173,0))</f>
        <v/>
      </c>
      <c r="AG173" s="88">
        <f>IF($A173="","",$N173-$O173)</f>
        <v/>
      </c>
      <c r="AH173" s="90">
        <f>IF($A173="","",IFERROR($AG173/$N173,0))</f>
        <v/>
      </c>
      <c r="AI173" s="89">
        <f>IF($A173="","",IFERROR($K173/$P173,0))</f>
        <v/>
      </c>
      <c r="AJ173" s="90">
        <f>IF($A173="","",IFERROR($S173/$R173,0))</f>
        <v/>
      </c>
      <c r="AK173" s="90">
        <f>IF($A173="","",IFERROR($T173/$J173,0))</f>
        <v/>
      </c>
      <c r="AL173" s="26">
        <f>IF($A173="","",IF(AND($AD173&gt;='01_Settings'!$B$9,$V173&lt;='01_Settings'!$B$10,$W173&lt;='01_Settings'!$B$11),"On track","Off track"))</f>
        <v/>
      </c>
      <c r="AM173" s="42">
        <f>IF($A173="","",IF($AD173&lt;'01_Settings'!$B$9,"Low completion rate; ","")&amp;IF($AE173&gt;'01_Settings'!$B$12,"High overdue rate; ","")&amp;IF($U173&lt;'01_Settings'!$B$13,"Low satisfaction; ","")&amp;IF($AH173&lt;'01_Settings'!$B$14,"Low gross margin; ","")&amp;IF($AJ173&lt;'01_Settings'!$B$15,"Low conversion rate; ","")&amp;IF($AK173&gt;'01_Settings'!$B$16,"High complaint rate; ",""))</f>
        <v/>
      </c>
    </row>
    <row r="174" ht="18" customHeight="1">
      <c r="A174" s="86" t="n">
        <v>46141</v>
      </c>
      <c r="B174" s="26" t="inlineStr">
        <is>
          <t>East Coast Division</t>
        </is>
      </c>
      <c r="C174" s="26" t="inlineStr">
        <is>
          <t>Finance / Expenses</t>
        </is>
      </c>
      <c r="D174" s="26" t="inlineStr">
        <is>
          <t>Enterprise customers</t>
        </is>
      </c>
      <c r="E174" s="26" t="inlineStr">
        <is>
          <t>Distributor</t>
        </is>
      </c>
      <c r="F174" s="26" t="inlineStr">
        <is>
          <t>Midwest</t>
        </is>
      </c>
      <c r="G174" s="26" t="inlineStr">
        <is>
          <t>Midwest Team</t>
        </is>
      </c>
      <c r="H174" s="26" t="inlineStr">
        <is>
          <t>Jessica Taylor</t>
        </is>
      </c>
      <c r="I174" s="26" t="inlineStr">
        <is>
          <t>Enterprise customers</t>
        </is>
      </c>
      <c r="J174" s="87" t="n">
        <v>269</v>
      </c>
      <c r="K174" s="87" t="n">
        <v>225</v>
      </c>
      <c r="L174" s="87" t="n">
        <v>18</v>
      </c>
      <c r="M174" s="87" t="n">
        <v>8</v>
      </c>
      <c r="N174" s="88" t="n">
        <v>24928</v>
      </c>
      <c r="O174" s="88" t="n">
        <v>16486</v>
      </c>
      <c r="P174" s="89" t="n">
        <v>32.6</v>
      </c>
      <c r="Q174" s="87" t="n">
        <v>20</v>
      </c>
      <c r="R174" s="87" t="n">
        <v>492</v>
      </c>
      <c r="S174" s="87" t="n">
        <v>66</v>
      </c>
      <c r="T174" s="87" t="n">
        <v>11</v>
      </c>
      <c r="U174" s="89" t="n">
        <v>4.4</v>
      </c>
      <c r="V174" s="89" t="n">
        <v>5.5</v>
      </c>
      <c r="W174" s="89" t="n">
        <v>23.7</v>
      </c>
      <c r="X174" s="87" t="n">
        <v>172</v>
      </c>
      <c r="Y174" s="87" t="n">
        <v>242</v>
      </c>
      <c r="Z174" s="88" t="n">
        <v>28153</v>
      </c>
      <c r="AA174" s="26" t="n"/>
      <c r="AB174" s="86">
        <f>IF($A174="","",$A174-WEEKDAY($A174,2)+1)</f>
        <v/>
      </c>
      <c r="AC174" s="86">
        <f>IF($A174="","",DATE(YEAR($A174),MONTH($A174),1))</f>
        <v/>
      </c>
      <c r="AD174" s="90">
        <f>IF($A174="","",IFERROR($K174/$J174,0))</f>
        <v/>
      </c>
      <c r="AE174" s="90">
        <f>IF($A174="","",IFERROR($L174/$J174,0))</f>
        <v/>
      </c>
      <c r="AF174" s="90">
        <f>IF($A174="","",IFERROR($M174/$J174,0))</f>
        <v/>
      </c>
      <c r="AG174" s="88">
        <f>IF($A174="","",$N174-$O174)</f>
        <v/>
      </c>
      <c r="AH174" s="90">
        <f>IF($A174="","",IFERROR($AG174/$N174,0))</f>
        <v/>
      </c>
      <c r="AI174" s="89">
        <f>IF($A174="","",IFERROR($K174/$P174,0))</f>
        <v/>
      </c>
      <c r="AJ174" s="90">
        <f>IF($A174="","",IFERROR($S174/$R174,0))</f>
        <v/>
      </c>
      <c r="AK174" s="90">
        <f>IF($A174="","",IFERROR($T174/$J174,0))</f>
        <v/>
      </c>
      <c r="AL174" s="26">
        <f>IF($A174="","",IF(AND($AD174&gt;='01_Settings'!$B$9,$V174&lt;='01_Settings'!$B$10,$W174&lt;='01_Settings'!$B$11),"On track","Off track"))</f>
        <v/>
      </c>
      <c r="AM174" s="42">
        <f>IF($A174="","",IF($AD174&lt;'01_Settings'!$B$9,"Low completion rate; ","")&amp;IF($AE174&gt;'01_Settings'!$B$12,"High overdue rate; ","")&amp;IF($U174&lt;'01_Settings'!$B$13,"Low satisfaction; ","")&amp;IF($AH174&lt;'01_Settings'!$B$14,"Low gross margin; ","")&amp;IF($AJ174&lt;'01_Settings'!$B$15,"Low conversion rate; ","")&amp;IF($AK174&gt;'01_Settings'!$B$16,"High complaint rate; ",""))</f>
        <v/>
      </c>
    </row>
    <row r="175" ht="18" customHeight="1">
      <c r="A175" s="86" t="n">
        <v>46141</v>
      </c>
      <c r="B175" s="26" t="inlineStr">
        <is>
          <t>East Coast Division</t>
        </is>
      </c>
      <c r="C175" s="26" t="inlineStr">
        <is>
          <t>E-commerce Operations</t>
        </is>
      </c>
      <c r="D175" s="26" t="inlineStr">
        <is>
          <t>Enterprise customers</t>
        </is>
      </c>
      <c r="E175" s="26" t="inlineStr">
        <is>
          <t>Email</t>
        </is>
      </c>
      <c r="F175" s="26" t="inlineStr">
        <is>
          <t>Midwest</t>
        </is>
      </c>
      <c r="G175" s="26" t="inlineStr">
        <is>
          <t>Midwest Team</t>
        </is>
      </c>
      <c r="H175" s="26" t="inlineStr">
        <is>
          <t>Emily Davis</t>
        </is>
      </c>
      <c r="I175" s="26" t="inlineStr">
        <is>
          <t>New customer</t>
        </is>
      </c>
      <c r="J175" s="87" t="n">
        <v>226</v>
      </c>
      <c r="K175" s="87" t="n">
        <v>205</v>
      </c>
      <c r="L175" s="87" t="n">
        <v>18</v>
      </c>
      <c r="M175" s="87" t="n">
        <v>5</v>
      </c>
      <c r="N175" s="88" t="n">
        <v>56816</v>
      </c>
      <c r="O175" s="88" t="n">
        <v>42231</v>
      </c>
      <c r="P175" s="89" t="n">
        <v>14.2</v>
      </c>
      <c r="Q175" s="87" t="n">
        <v>357</v>
      </c>
      <c r="R175" s="87" t="n">
        <v>1365</v>
      </c>
      <c r="S175" s="87" t="n">
        <v>54</v>
      </c>
      <c r="T175" s="87" t="n">
        <v>4</v>
      </c>
      <c r="U175" s="89" t="n">
        <v>4.4</v>
      </c>
      <c r="V175" s="89" t="n">
        <v>5</v>
      </c>
      <c r="W175" s="89" t="n">
        <v>23.3</v>
      </c>
      <c r="X175" s="87" t="n">
        <v>100</v>
      </c>
      <c r="Y175" s="87" t="n">
        <v>203</v>
      </c>
      <c r="Z175" s="88" t="n">
        <v>59075</v>
      </c>
      <c r="AA175" s="26" t="n"/>
      <c r="AB175" s="86">
        <f>IF($A175="","",$A175-WEEKDAY($A175,2)+1)</f>
        <v/>
      </c>
      <c r="AC175" s="86">
        <f>IF($A175="","",DATE(YEAR($A175),MONTH($A175),1))</f>
        <v/>
      </c>
      <c r="AD175" s="90">
        <f>IF($A175="","",IFERROR($K175/$J175,0))</f>
        <v/>
      </c>
      <c r="AE175" s="90">
        <f>IF($A175="","",IFERROR($L175/$J175,0))</f>
        <v/>
      </c>
      <c r="AF175" s="90">
        <f>IF($A175="","",IFERROR($M175/$J175,0))</f>
        <v/>
      </c>
      <c r="AG175" s="88">
        <f>IF($A175="","",$N175-$O175)</f>
        <v/>
      </c>
      <c r="AH175" s="90">
        <f>IF($A175="","",IFERROR($AG175/$N175,0))</f>
        <v/>
      </c>
      <c r="AI175" s="89">
        <f>IF($A175="","",IFERROR($K175/$P175,0))</f>
        <v/>
      </c>
      <c r="AJ175" s="90">
        <f>IF($A175="","",IFERROR($S175/$R175,0))</f>
        <v/>
      </c>
      <c r="AK175" s="90">
        <f>IF($A175="","",IFERROR($T175/$J175,0))</f>
        <v/>
      </c>
      <c r="AL175" s="26">
        <f>IF($A175="","",IF(AND($AD175&gt;='01_Settings'!$B$9,$V175&lt;='01_Settings'!$B$10,$W175&lt;='01_Settings'!$B$11),"On track","Off track"))</f>
        <v/>
      </c>
      <c r="AM175" s="42">
        <f>IF($A175="","",IF($AD175&lt;'01_Settings'!$B$9,"Low completion rate; ","")&amp;IF($AE175&gt;'01_Settings'!$B$12,"High overdue rate; ","")&amp;IF($U175&lt;'01_Settings'!$B$13,"Low satisfaction; ","")&amp;IF($AH175&lt;'01_Settings'!$B$14,"Low gross margin; ","")&amp;IF($AJ175&lt;'01_Settings'!$B$15,"Low conversion rate; ","")&amp;IF($AK175&gt;'01_Settings'!$B$16,"High complaint rate; ",""))</f>
        <v/>
      </c>
    </row>
    <row r="176" ht="18" customHeight="1">
      <c r="A176" s="86" t="n">
        <v>46142</v>
      </c>
      <c r="B176" s="26" t="inlineStr">
        <is>
          <t>East Coast Division</t>
        </is>
      </c>
      <c r="C176" s="26" t="inlineStr">
        <is>
          <t>E-commerce Operations</t>
        </is>
      </c>
      <c r="D176" s="26" t="inlineStr">
        <is>
          <t>After-sales Coverage</t>
        </is>
      </c>
      <c r="E176" s="26" t="inlineStr">
        <is>
          <t>Team chat</t>
        </is>
      </c>
      <c r="F176" s="26" t="inlineStr">
        <is>
          <t>Southeast</t>
        </is>
      </c>
      <c r="G176" s="26" t="inlineStr">
        <is>
          <t>Southeast Team</t>
        </is>
      </c>
      <c r="H176" s="26" t="inlineStr">
        <is>
          <t>Michael Brown</t>
        </is>
      </c>
      <c r="I176" s="26" t="inlineStr">
        <is>
          <t>High-value customer</t>
        </is>
      </c>
      <c r="J176" s="87" t="n">
        <v>249</v>
      </c>
      <c r="K176" s="87" t="n">
        <v>211</v>
      </c>
      <c r="L176" s="87" t="n">
        <v>28</v>
      </c>
      <c r="M176" s="87" t="n">
        <v>4</v>
      </c>
      <c r="N176" s="88" t="n">
        <v>45811</v>
      </c>
      <c r="O176" s="88" t="n">
        <v>34861</v>
      </c>
      <c r="P176" s="89" t="n">
        <v>36.3</v>
      </c>
      <c r="Q176" s="87" t="n">
        <v>75</v>
      </c>
      <c r="R176" s="87" t="n">
        <v>1872</v>
      </c>
      <c r="S176" s="87" t="n">
        <v>85</v>
      </c>
      <c r="T176" s="87" t="n">
        <v>7</v>
      </c>
      <c r="U176" s="89" t="n">
        <v>4.5</v>
      </c>
      <c r="V176" s="89" t="n">
        <v>1.6</v>
      </c>
      <c r="W176" s="89" t="n">
        <v>33</v>
      </c>
      <c r="X176" s="87" t="n">
        <v>122</v>
      </c>
      <c r="Y176" s="87" t="n">
        <v>224</v>
      </c>
      <c r="Z176" s="88" t="n">
        <v>51065</v>
      </c>
      <c r="AA176" s="26" t="n"/>
      <c r="AB176" s="86">
        <f>IF($A176="","",$A176-WEEKDAY($A176,2)+1)</f>
        <v/>
      </c>
      <c r="AC176" s="86">
        <f>IF($A176="","",DATE(YEAR($A176),MONTH($A176),1))</f>
        <v/>
      </c>
      <c r="AD176" s="90">
        <f>IF($A176="","",IFERROR($K176/$J176,0))</f>
        <v/>
      </c>
      <c r="AE176" s="90">
        <f>IF($A176="","",IFERROR($L176/$J176,0))</f>
        <v/>
      </c>
      <c r="AF176" s="90">
        <f>IF($A176="","",IFERROR($M176/$J176,0))</f>
        <v/>
      </c>
      <c r="AG176" s="88">
        <f>IF($A176="","",$N176-$O176)</f>
        <v/>
      </c>
      <c r="AH176" s="90">
        <f>IF($A176="","",IFERROR($AG176/$N176,0))</f>
        <v/>
      </c>
      <c r="AI176" s="89">
        <f>IF($A176="","",IFERROR($K176/$P176,0))</f>
        <v/>
      </c>
      <c r="AJ176" s="90">
        <f>IF($A176="","",IFERROR($S176/$R176,0))</f>
        <v/>
      </c>
      <c r="AK176" s="90">
        <f>IF($A176="","",IFERROR($T176/$J176,0))</f>
        <v/>
      </c>
      <c r="AL176" s="26">
        <f>IF($A176="","",IF(AND($AD176&gt;='01_Settings'!$B$9,$V176&lt;='01_Settings'!$B$10,$W176&lt;='01_Settings'!$B$11),"On track","Off track"))</f>
        <v/>
      </c>
      <c r="AM176" s="42">
        <f>IF($A176="","",IF($AD176&lt;'01_Settings'!$B$9,"Low completion rate; ","")&amp;IF($AE176&gt;'01_Settings'!$B$12,"High overdue rate; ","")&amp;IF($U176&lt;'01_Settings'!$B$13,"Low satisfaction; ","")&amp;IF($AH176&lt;'01_Settings'!$B$14,"Low gross margin; ","")&amp;IF($AJ176&lt;'01_Settings'!$B$15,"Low conversion rate; ","")&amp;IF($AK176&gt;'01_Settings'!$B$16,"High complaint rate; ",""))</f>
        <v/>
      </c>
    </row>
    <row r="177" ht="18" customHeight="1">
      <c r="A177" s="86" t="n">
        <v>46142</v>
      </c>
      <c r="B177" s="26" t="inlineStr">
        <is>
          <t>East Coast Division</t>
        </is>
      </c>
      <c r="C177" s="26" t="inlineStr">
        <is>
          <t>Supply Chain / Inventory</t>
        </is>
      </c>
      <c r="D177" s="26" t="inlineStr">
        <is>
          <t>After-sales Coverage</t>
        </is>
      </c>
      <c r="E177" s="26" t="inlineStr">
        <is>
          <t>Marketplace store</t>
        </is>
      </c>
      <c r="F177" s="26" t="inlineStr">
        <is>
          <t>Southwest</t>
        </is>
      </c>
      <c r="G177" s="26" t="inlineStr">
        <is>
          <t>Southwest Team</t>
        </is>
      </c>
      <c r="H177" s="26" t="inlineStr">
        <is>
          <t>Sarah Johnson</t>
        </is>
      </c>
      <c r="I177" s="26" t="inlineStr">
        <is>
          <t>Enterprise customers</t>
        </is>
      </c>
      <c r="J177" s="87" t="n">
        <v>42</v>
      </c>
      <c r="K177" s="87" t="n">
        <v>40</v>
      </c>
      <c r="L177" s="87" t="n">
        <v>4</v>
      </c>
      <c r="M177" s="87" t="n">
        <v>1</v>
      </c>
      <c r="N177" s="88" t="n">
        <v>11502</v>
      </c>
      <c r="O177" s="88" t="n">
        <v>6865</v>
      </c>
      <c r="P177" s="89" t="n">
        <v>7.5</v>
      </c>
      <c r="Q177" s="87" t="n">
        <v>73</v>
      </c>
      <c r="R177" s="87" t="n">
        <v>1759</v>
      </c>
      <c r="S177" s="87" t="n">
        <v>209</v>
      </c>
      <c r="T177" s="87" t="n">
        <v>1</v>
      </c>
      <c r="U177" s="89" t="n">
        <v>4.1</v>
      </c>
      <c r="V177" s="89" t="n">
        <v>5.4</v>
      </c>
      <c r="W177" s="89" t="n">
        <v>19.7</v>
      </c>
      <c r="X177" s="87" t="n">
        <v>160</v>
      </c>
      <c r="Y177" s="87" t="n">
        <v>37</v>
      </c>
      <c r="Z177" s="88" t="n">
        <v>11171</v>
      </c>
      <c r="AA177" s="26" t="n"/>
      <c r="AB177" s="86">
        <f>IF($A177="","",$A177-WEEKDAY($A177,2)+1)</f>
        <v/>
      </c>
      <c r="AC177" s="86">
        <f>IF($A177="","",DATE(YEAR($A177),MONTH($A177),1))</f>
        <v/>
      </c>
      <c r="AD177" s="90">
        <f>IF($A177="","",IFERROR($K177/$J177,0))</f>
        <v/>
      </c>
      <c r="AE177" s="90">
        <f>IF($A177="","",IFERROR($L177/$J177,0))</f>
        <v/>
      </c>
      <c r="AF177" s="90">
        <f>IF($A177="","",IFERROR($M177/$J177,0))</f>
        <v/>
      </c>
      <c r="AG177" s="88">
        <f>IF($A177="","",$N177-$O177)</f>
        <v/>
      </c>
      <c r="AH177" s="90">
        <f>IF($A177="","",IFERROR($AG177/$N177,0))</f>
        <v/>
      </c>
      <c r="AI177" s="89">
        <f>IF($A177="","",IFERROR($K177/$P177,0))</f>
        <v/>
      </c>
      <c r="AJ177" s="90">
        <f>IF($A177="","",IFERROR($S177/$R177,0))</f>
        <v/>
      </c>
      <c r="AK177" s="90">
        <f>IF($A177="","",IFERROR($T177/$J177,0))</f>
        <v/>
      </c>
      <c r="AL177" s="26">
        <f>IF($A177="","",IF(AND($AD177&gt;='01_Settings'!$B$9,$V177&lt;='01_Settings'!$B$10,$W177&lt;='01_Settings'!$B$11),"On track","Off track"))</f>
        <v/>
      </c>
      <c r="AM177" s="42">
        <f>IF($A177="","",IF($AD177&lt;'01_Settings'!$B$9,"Low completion rate; ","")&amp;IF($AE177&gt;'01_Settings'!$B$12,"High overdue rate; ","")&amp;IF($U177&lt;'01_Settings'!$B$13,"Low satisfaction; ","")&amp;IF($AH177&lt;'01_Settings'!$B$14,"Low gross margin; ","")&amp;IF($AJ177&lt;'01_Settings'!$B$15,"Low conversion rate; ","")&amp;IF($AK177&gt;'01_Settings'!$B$16,"High complaint rate; ",""))</f>
        <v/>
      </c>
    </row>
    <row r="178" ht="18" customHeight="1">
      <c r="A178" s="86" t="n">
        <v>46142</v>
      </c>
      <c r="B178" s="26" t="inlineStr">
        <is>
          <t>North Operations Center</t>
        </is>
      </c>
      <c r="C178" s="26" t="inlineStr">
        <is>
          <t>Sales Operations</t>
        </is>
      </c>
      <c r="D178" s="26" t="inlineStr">
        <is>
          <t>Enterprise customers</t>
        </is>
      </c>
      <c r="E178" s="26" t="inlineStr">
        <is>
          <t>Team chat</t>
        </is>
      </c>
      <c r="F178" s="26" t="inlineStr">
        <is>
          <t>Southeast</t>
        </is>
      </c>
      <c r="G178" s="26" t="inlineStr">
        <is>
          <t>Southeast Team</t>
        </is>
      </c>
      <c r="H178" s="26" t="inlineStr">
        <is>
          <t>Michael Brown</t>
        </is>
      </c>
      <c r="I178" s="26" t="inlineStr">
        <is>
          <t>Existing customer</t>
        </is>
      </c>
      <c r="J178" s="87" t="n">
        <v>243</v>
      </c>
      <c r="K178" s="87" t="n">
        <v>204</v>
      </c>
      <c r="L178" s="87" t="n">
        <v>19</v>
      </c>
      <c r="M178" s="87" t="n">
        <v>10</v>
      </c>
      <c r="N178" s="88" t="n">
        <v>47672</v>
      </c>
      <c r="O178" s="88" t="n">
        <v>37071</v>
      </c>
      <c r="P178" s="89" t="n">
        <v>29.2</v>
      </c>
      <c r="Q178" s="87" t="n">
        <v>180</v>
      </c>
      <c r="R178" s="87" t="n">
        <v>2547</v>
      </c>
      <c r="S178" s="87" t="n">
        <v>295</v>
      </c>
      <c r="T178" s="87" t="n">
        <v>3</v>
      </c>
      <c r="U178" s="89" t="n">
        <v>4.4</v>
      </c>
      <c r="V178" s="89" t="n">
        <v>2.5</v>
      </c>
      <c r="W178" s="89" t="n">
        <v>17.7</v>
      </c>
      <c r="X178" s="87" t="n">
        <v>177</v>
      </c>
      <c r="Y178" s="87" t="n">
        <v>218</v>
      </c>
      <c r="Z178" s="88" t="n">
        <v>53491</v>
      </c>
      <c r="AA178" s="26" t="n"/>
      <c r="AB178" s="86">
        <f>IF($A178="","",$A178-WEEKDAY($A178,2)+1)</f>
        <v/>
      </c>
      <c r="AC178" s="86">
        <f>IF($A178="","",DATE(YEAR($A178),MONTH($A178),1))</f>
        <v/>
      </c>
      <c r="AD178" s="90">
        <f>IF($A178="","",IFERROR($K178/$J178,0))</f>
        <v/>
      </c>
      <c r="AE178" s="90">
        <f>IF($A178="","",IFERROR($L178/$J178,0))</f>
        <v/>
      </c>
      <c r="AF178" s="90">
        <f>IF($A178="","",IFERROR($M178/$J178,0))</f>
        <v/>
      </c>
      <c r="AG178" s="88">
        <f>IF($A178="","",$N178-$O178)</f>
        <v/>
      </c>
      <c r="AH178" s="90">
        <f>IF($A178="","",IFERROR($AG178/$N178,0))</f>
        <v/>
      </c>
      <c r="AI178" s="89">
        <f>IF($A178="","",IFERROR($K178/$P178,0))</f>
        <v/>
      </c>
      <c r="AJ178" s="90">
        <f>IF($A178="","",IFERROR($S178/$R178,0))</f>
        <v/>
      </c>
      <c r="AK178" s="90">
        <f>IF($A178="","",IFERROR($T178/$J178,0))</f>
        <v/>
      </c>
      <c r="AL178" s="26">
        <f>IF($A178="","",IF(AND($AD178&gt;='01_Settings'!$B$9,$V178&lt;='01_Settings'!$B$10,$W178&lt;='01_Settings'!$B$11),"On track","Off track"))</f>
        <v/>
      </c>
      <c r="AM178" s="42">
        <f>IF($A178="","",IF($AD178&lt;'01_Settings'!$B$9,"Low completion rate; ","")&amp;IF($AE178&gt;'01_Settings'!$B$12,"High overdue rate; ","")&amp;IF($U178&lt;'01_Settings'!$B$13,"Low satisfaction; ","")&amp;IF($AH178&lt;'01_Settings'!$B$14,"Low gross margin; ","")&amp;IF($AJ178&lt;'01_Settings'!$B$15,"Low conversion rate; ","")&amp;IF($AK178&gt;'01_Settings'!$B$16,"High complaint rate; ",""))</f>
        <v/>
      </c>
    </row>
    <row r="179" ht="18" customHeight="1">
      <c r="A179" s="86" t="n">
        <v>46143</v>
      </c>
      <c r="B179" s="26" t="inlineStr">
        <is>
          <t>Digital Business Unit</t>
        </is>
      </c>
      <c r="C179" s="26" t="inlineStr">
        <is>
          <t>Field Services</t>
        </is>
      </c>
      <c r="D179" s="26" t="inlineStr">
        <is>
          <t>Project Delivery</t>
        </is>
      </c>
      <c r="E179" s="26" t="inlineStr">
        <is>
          <t>Marketplace store</t>
        </is>
      </c>
      <c r="F179" s="26" t="inlineStr">
        <is>
          <t>International</t>
        </is>
      </c>
      <c r="G179" s="26" t="inlineStr">
        <is>
          <t>International Team</t>
        </is>
      </c>
      <c r="H179" s="26" t="inlineStr">
        <is>
          <t>David Wilson</t>
        </is>
      </c>
      <c r="I179" s="26" t="inlineStr">
        <is>
          <t>Existing customer</t>
        </is>
      </c>
      <c r="J179" s="87" t="n">
        <v>223</v>
      </c>
      <c r="K179" s="87" t="n">
        <v>193</v>
      </c>
      <c r="L179" s="87" t="n">
        <v>23</v>
      </c>
      <c r="M179" s="87" t="n">
        <v>9</v>
      </c>
      <c r="N179" s="88" t="n">
        <v>45706</v>
      </c>
      <c r="O179" s="88" t="n">
        <v>25450</v>
      </c>
      <c r="P179" s="89" t="n">
        <v>14.4</v>
      </c>
      <c r="Q179" s="87" t="n">
        <v>363</v>
      </c>
      <c r="R179" s="87" t="n">
        <v>694</v>
      </c>
      <c r="S179" s="87" t="n">
        <v>44</v>
      </c>
      <c r="T179" s="87" t="n">
        <v>7</v>
      </c>
      <c r="U179" s="89" t="n">
        <v>4</v>
      </c>
      <c r="V179" s="89" t="n">
        <v>2.4</v>
      </c>
      <c r="W179" s="89" t="n">
        <v>15</v>
      </c>
      <c r="X179" s="87" t="n">
        <v>20</v>
      </c>
      <c r="Y179" s="87" t="n">
        <v>200</v>
      </c>
      <c r="Z179" s="88" t="n">
        <v>49732</v>
      </c>
      <c r="AA179" s="26" t="n"/>
      <c r="AB179" s="86">
        <f>IF($A179="","",$A179-WEEKDAY($A179,2)+1)</f>
        <v/>
      </c>
      <c r="AC179" s="86">
        <f>IF($A179="","",DATE(YEAR($A179),MONTH($A179),1))</f>
        <v/>
      </c>
      <c r="AD179" s="90">
        <f>IF($A179="","",IFERROR($K179/$J179,0))</f>
        <v/>
      </c>
      <c r="AE179" s="90">
        <f>IF($A179="","",IFERROR($L179/$J179,0))</f>
        <v/>
      </c>
      <c r="AF179" s="90">
        <f>IF($A179="","",IFERROR($M179/$J179,0))</f>
        <v/>
      </c>
      <c r="AG179" s="88">
        <f>IF($A179="","",$N179-$O179)</f>
        <v/>
      </c>
      <c r="AH179" s="90">
        <f>IF($A179="","",IFERROR($AG179/$N179,0))</f>
        <v/>
      </c>
      <c r="AI179" s="89">
        <f>IF($A179="","",IFERROR($K179/$P179,0))</f>
        <v/>
      </c>
      <c r="AJ179" s="90">
        <f>IF($A179="","",IFERROR($S179/$R179,0))</f>
        <v/>
      </c>
      <c r="AK179" s="90">
        <f>IF($A179="","",IFERROR($T179/$J179,0))</f>
        <v/>
      </c>
      <c r="AL179" s="26">
        <f>IF($A179="","",IF(AND($AD179&gt;='01_Settings'!$B$9,$V179&lt;='01_Settings'!$B$10,$W179&lt;='01_Settings'!$B$11),"On track","Off track"))</f>
        <v/>
      </c>
      <c r="AM179" s="42">
        <f>IF($A179="","",IF($AD179&lt;'01_Settings'!$B$9,"Low completion rate; ","")&amp;IF($AE179&gt;'01_Settings'!$B$12,"High overdue rate; ","")&amp;IF($U179&lt;'01_Settings'!$B$13,"Low satisfaction; ","")&amp;IF($AH179&lt;'01_Settings'!$B$14,"Low gross margin; ","")&amp;IF($AJ179&lt;'01_Settings'!$B$15,"Low conversion rate; ","")&amp;IF($AK179&gt;'01_Settings'!$B$16,"High complaint rate; ",""))</f>
        <v/>
      </c>
    </row>
    <row r="180" ht="18" customHeight="1">
      <c r="A180" s="86" t="n">
        <v>46143</v>
      </c>
      <c r="B180" s="26" t="inlineStr">
        <is>
          <t>North Operations Center</t>
        </is>
      </c>
      <c r="C180" s="26" t="inlineStr">
        <is>
          <t>Finance / Expenses</t>
        </is>
      </c>
      <c r="D180" s="26" t="inlineStr">
        <is>
          <t>Standard Service</t>
        </is>
      </c>
      <c r="E180" s="26" t="inlineStr">
        <is>
          <t>Distributor</t>
        </is>
      </c>
      <c r="F180" s="26" t="inlineStr">
        <is>
          <t>International</t>
        </is>
      </c>
      <c r="G180" s="26" t="inlineStr">
        <is>
          <t>International Team</t>
        </is>
      </c>
      <c r="H180" s="26" t="inlineStr">
        <is>
          <t>Matthew Anderson</t>
        </is>
      </c>
      <c r="I180" s="26" t="inlineStr">
        <is>
          <t>Standard customer</t>
        </is>
      </c>
      <c r="J180" s="87" t="n">
        <v>56</v>
      </c>
      <c r="K180" s="87" t="n">
        <v>53</v>
      </c>
      <c r="L180" s="87" t="n">
        <v>5</v>
      </c>
      <c r="M180" s="87" t="n">
        <v>2</v>
      </c>
      <c r="N180" s="88" t="n">
        <v>16044</v>
      </c>
      <c r="O180" s="88" t="n">
        <v>11256</v>
      </c>
      <c r="P180" s="89" t="n">
        <v>4.8</v>
      </c>
      <c r="Q180" s="87" t="n">
        <v>376</v>
      </c>
      <c r="R180" s="87" t="n">
        <v>1654</v>
      </c>
      <c r="S180" s="87" t="n">
        <v>203</v>
      </c>
      <c r="T180" s="87" t="n">
        <v>0</v>
      </c>
      <c r="U180" s="89" t="n">
        <v>4.2</v>
      </c>
      <c r="V180" s="89" t="n">
        <v>3.1</v>
      </c>
      <c r="W180" s="89" t="n">
        <v>30.1</v>
      </c>
      <c r="X180" s="87" t="n">
        <v>180</v>
      </c>
      <c r="Y180" s="87" t="n">
        <v>50</v>
      </c>
      <c r="Z180" s="88" t="n">
        <v>15893</v>
      </c>
      <c r="AA180" s="26" t="n"/>
      <c r="AB180" s="86">
        <f>IF($A180="","",$A180-WEEKDAY($A180,2)+1)</f>
        <v/>
      </c>
      <c r="AC180" s="86">
        <f>IF($A180="","",DATE(YEAR($A180),MONTH($A180),1))</f>
        <v/>
      </c>
      <c r="AD180" s="90">
        <f>IF($A180="","",IFERROR($K180/$J180,0))</f>
        <v/>
      </c>
      <c r="AE180" s="90">
        <f>IF($A180="","",IFERROR($L180/$J180,0))</f>
        <v/>
      </c>
      <c r="AF180" s="90">
        <f>IF($A180="","",IFERROR($M180/$J180,0))</f>
        <v/>
      </c>
      <c r="AG180" s="88">
        <f>IF($A180="","",$N180-$O180)</f>
        <v/>
      </c>
      <c r="AH180" s="90">
        <f>IF($A180="","",IFERROR($AG180/$N180,0))</f>
        <v/>
      </c>
      <c r="AI180" s="89">
        <f>IF($A180="","",IFERROR($K180/$P180,0))</f>
        <v/>
      </c>
      <c r="AJ180" s="90">
        <f>IF($A180="","",IFERROR($S180/$R180,0))</f>
        <v/>
      </c>
      <c r="AK180" s="90">
        <f>IF($A180="","",IFERROR($T180/$J180,0))</f>
        <v/>
      </c>
      <c r="AL180" s="26">
        <f>IF($A180="","",IF(AND($AD180&gt;='01_Settings'!$B$9,$V180&lt;='01_Settings'!$B$10,$W180&lt;='01_Settings'!$B$11),"On track","Off track"))</f>
        <v/>
      </c>
      <c r="AM180" s="42">
        <f>IF($A180="","",IF($AD180&lt;'01_Settings'!$B$9,"Low completion rate; ","")&amp;IF($AE180&gt;'01_Settings'!$B$12,"High overdue rate; ","")&amp;IF($U180&lt;'01_Settings'!$B$13,"Low satisfaction; ","")&amp;IF($AH180&lt;'01_Settings'!$B$14,"Low gross margin; ","")&amp;IF($AJ180&lt;'01_Settings'!$B$15,"Low conversion rate; ","")&amp;IF($AK180&gt;'01_Settings'!$B$16,"High complaint rate; ",""))</f>
        <v/>
      </c>
    </row>
    <row r="181" ht="18" customHeight="1">
      <c r="A181" s="86" t="n">
        <v>46143</v>
      </c>
      <c r="B181" s="26" t="inlineStr">
        <is>
          <t>North Operations Center</t>
        </is>
      </c>
      <c r="C181" s="26" t="inlineStr">
        <is>
          <t>Customer Support Operations</t>
        </is>
      </c>
      <c r="D181" s="26" t="inlineStr">
        <is>
          <t>After-sales Coverage</t>
        </is>
      </c>
      <c r="E181" s="26" t="inlineStr">
        <is>
          <t>Email</t>
        </is>
      </c>
      <c r="F181" s="26" t="inlineStr">
        <is>
          <t>Southwest</t>
        </is>
      </c>
      <c r="G181" s="26" t="inlineStr">
        <is>
          <t>Southwest Team</t>
        </is>
      </c>
      <c r="H181" s="26" t="inlineStr">
        <is>
          <t>Michael Brown</t>
        </is>
      </c>
      <c r="I181" s="26" t="inlineStr">
        <is>
          <t>Standard customer</t>
        </is>
      </c>
      <c r="J181" s="87" t="n">
        <v>83</v>
      </c>
      <c r="K181" s="87" t="n">
        <v>79</v>
      </c>
      <c r="L181" s="87" t="n">
        <v>9</v>
      </c>
      <c r="M181" s="87" t="n">
        <v>2</v>
      </c>
      <c r="N181" s="88" t="n">
        <v>21669</v>
      </c>
      <c r="O181" s="88" t="n">
        <v>16336</v>
      </c>
      <c r="P181" s="89" t="n">
        <v>11.3</v>
      </c>
      <c r="Q181" s="87" t="n">
        <v>328</v>
      </c>
      <c r="R181" s="87" t="n">
        <v>1232</v>
      </c>
      <c r="S181" s="87" t="n">
        <v>164</v>
      </c>
      <c r="T181" s="87" t="n">
        <v>3</v>
      </c>
      <c r="U181" s="89" t="n">
        <v>4.1</v>
      </c>
      <c r="V181" s="89" t="n">
        <v>1.9</v>
      </c>
      <c r="W181" s="89" t="n">
        <v>27.1</v>
      </c>
      <c r="X181" s="87" t="n">
        <v>52</v>
      </c>
      <c r="Y181" s="87" t="n">
        <v>74</v>
      </c>
      <c r="Z181" s="88" t="n">
        <v>21312</v>
      </c>
      <c r="AA181" s="26" t="n"/>
      <c r="AB181" s="86">
        <f>IF($A181="","",$A181-WEEKDAY($A181,2)+1)</f>
        <v/>
      </c>
      <c r="AC181" s="86">
        <f>IF($A181="","",DATE(YEAR($A181),MONTH($A181),1))</f>
        <v/>
      </c>
      <c r="AD181" s="90">
        <f>IF($A181="","",IFERROR($K181/$J181,0))</f>
        <v/>
      </c>
      <c r="AE181" s="90">
        <f>IF($A181="","",IFERROR($L181/$J181,0))</f>
        <v/>
      </c>
      <c r="AF181" s="90">
        <f>IF($A181="","",IFERROR($M181/$J181,0))</f>
        <v/>
      </c>
      <c r="AG181" s="88">
        <f>IF($A181="","",$N181-$O181)</f>
        <v/>
      </c>
      <c r="AH181" s="90">
        <f>IF($A181="","",IFERROR($AG181/$N181,0))</f>
        <v/>
      </c>
      <c r="AI181" s="89">
        <f>IF($A181="","",IFERROR($K181/$P181,0))</f>
        <v/>
      </c>
      <c r="AJ181" s="90">
        <f>IF($A181="","",IFERROR($S181/$R181,0))</f>
        <v/>
      </c>
      <c r="AK181" s="90">
        <f>IF($A181="","",IFERROR($T181/$J181,0))</f>
        <v/>
      </c>
      <c r="AL181" s="26">
        <f>IF($A181="","",IF(AND($AD181&gt;='01_Settings'!$B$9,$V181&lt;='01_Settings'!$B$10,$W181&lt;='01_Settings'!$B$11),"On track","Off track"))</f>
        <v/>
      </c>
      <c r="AM181" s="42">
        <f>IF($A181="","",IF($AD181&lt;'01_Settings'!$B$9,"Low completion rate; ","")&amp;IF($AE181&gt;'01_Settings'!$B$12,"High overdue rate; ","")&amp;IF($U181&lt;'01_Settings'!$B$13,"Low satisfaction; ","")&amp;IF($AH181&lt;'01_Settings'!$B$14,"Low gross margin; ","")&amp;IF($AJ181&lt;'01_Settings'!$B$15,"Low conversion rate; ","")&amp;IF($AK181&gt;'01_Settings'!$B$16,"High complaint rate; ",""))</f>
        <v/>
      </c>
    </row>
    <row r="182" ht="18" customHeight="1">
      <c r="A182" s="86" t="n"/>
      <c r="B182" s="26" t="n"/>
      <c r="C182" s="26" t="n"/>
      <c r="D182" s="26" t="n"/>
      <c r="E182" s="26" t="n"/>
      <c r="F182" s="26" t="n"/>
      <c r="G182" s="26" t="n"/>
      <c r="H182" s="26" t="n"/>
      <c r="I182" s="26" t="n"/>
      <c r="J182" s="87" t="n"/>
      <c r="K182" s="87" t="n"/>
      <c r="L182" s="87" t="n"/>
      <c r="M182" s="87" t="n"/>
      <c r="N182" s="88" t="n"/>
      <c r="O182" s="88" t="n"/>
      <c r="P182" s="89" t="n"/>
      <c r="Q182" s="87" t="n"/>
      <c r="R182" s="87" t="n"/>
      <c r="S182" s="87" t="n"/>
      <c r="T182" s="87" t="n"/>
      <c r="U182" s="89" t="n"/>
      <c r="V182" s="89" t="n"/>
      <c r="W182" s="89" t="n"/>
      <c r="X182" s="87" t="n"/>
      <c r="Y182" s="87" t="n"/>
      <c r="Z182" s="88" t="n"/>
      <c r="AA182" s="26" t="n"/>
      <c r="AB182" s="86">
        <f>IF($A182="","",$A182-WEEKDAY($A182,2)+1)</f>
        <v/>
      </c>
      <c r="AC182" s="86">
        <f>IF($A182="","",DATE(YEAR($A182),MONTH($A182),1))</f>
        <v/>
      </c>
      <c r="AD182" s="90">
        <f>IF($A182="","",IFERROR($K182/$J182,0))</f>
        <v/>
      </c>
      <c r="AE182" s="90">
        <f>IF($A182="","",IFERROR($L182/$J182,0))</f>
        <v/>
      </c>
      <c r="AF182" s="90">
        <f>IF($A182="","",IFERROR($M182/$J182,0))</f>
        <v/>
      </c>
      <c r="AG182" s="88">
        <f>IF($A182="","",$N182-$O182)</f>
        <v/>
      </c>
      <c r="AH182" s="90">
        <f>IF($A182="","",IFERROR($AG182/$N182,0))</f>
        <v/>
      </c>
      <c r="AI182" s="89">
        <f>IF($A182="","",IFERROR($K182/$P182,0))</f>
        <v/>
      </c>
      <c r="AJ182" s="90">
        <f>IF($A182="","",IFERROR($S182/$R182,0))</f>
        <v/>
      </c>
      <c r="AK182" s="90">
        <f>IF($A182="","",IFERROR($T182/$J182,0))</f>
        <v/>
      </c>
      <c r="AL182" s="26">
        <f>IF($A182="","",IF(AND($AD182&gt;='01_Settings'!$B$9,$V182&lt;='01_Settings'!$B$10,$W182&lt;='01_Settings'!$B$11),"On track","Off track"))</f>
        <v/>
      </c>
      <c r="AM182" s="42">
        <f>IF($A182="","",IF($AD182&lt;'01_Settings'!$B$9,"Low completion rate; ","")&amp;IF($AE182&gt;'01_Settings'!$B$12,"High overdue rate; ","")&amp;IF($U182&lt;'01_Settings'!$B$13,"Low satisfaction; ","")&amp;IF($AH182&lt;'01_Settings'!$B$14,"Low gross margin; ","")&amp;IF($AJ182&lt;'01_Settings'!$B$15,"Low conversion rate; ","")&amp;IF($AK182&gt;'01_Settings'!$B$16,"High complaint rate; ",""))</f>
        <v/>
      </c>
    </row>
    <row r="183" ht="18" customHeight="1">
      <c r="A183" s="86" t="n"/>
      <c r="B183" s="26" t="n"/>
      <c r="C183" s="26" t="n"/>
      <c r="D183" s="26" t="n"/>
      <c r="E183" s="26" t="n"/>
      <c r="F183" s="26" t="n"/>
      <c r="G183" s="26" t="n"/>
      <c r="H183" s="26" t="n"/>
      <c r="I183" s="26" t="n"/>
      <c r="J183" s="87" t="n"/>
      <c r="K183" s="87" t="n"/>
      <c r="L183" s="87" t="n"/>
      <c r="M183" s="87" t="n"/>
      <c r="N183" s="88" t="n"/>
      <c r="O183" s="88" t="n"/>
      <c r="P183" s="89" t="n"/>
      <c r="Q183" s="87" t="n"/>
      <c r="R183" s="87" t="n"/>
      <c r="S183" s="87" t="n"/>
      <c r="T183" s="87" t="n"/>
      <c r="U183" s="89" t="n"/>
      <c r="V183" s="89" t="n"/>
      <c r="W183" s="89" t="n"/>
      <c r="X183" s="87" t="n"/>
      <c r="Y183" s="87" t="n"/>
      <c r="Z183" s="88" t="n"/>
      <c r="AA183" s="26" t="n"/>
      <c r="AB183" s="86">
        <f>IF($A183="","",$A183-WEEKDAY($A183,2)+1)</f>
        <v/>
      </c>
      <c r="AC183" s="86">
        <f>IF($A183="","",DATE(YEAR($A183),MONTH($A183),1))</f>
        <v/>
      </c>
      <c r="AD183" s="90">
        <f>IF($A183="","",IFERROR($K183/$J183,0))</f>
        <v/>
      </c>
      <c r="AE183" s="90">
        <f>IF($A183="","",IFERROR($L183/$J183,0))</f>
        <v/>
      </c>
      <c r="AF183" s="90">
        <f>IF($A183="","",IFERROR($M183/$J183,0))</f>
        <v/>
      </c>
      <c r="AG183" s="88">
        <f>IF($A183="","",$N183-$O183)</f>
        <v/>
      </c>
      <c r="AH183" s="90">
        <f>IF($A183="","",IFERROR($AG183/$N183,0))</f>
        <v/>
      </c>
      <c r="AI183" s="89">
        <f>IF($A183="","",IFERROR($K183/$P183,0))</f>
        <v/>
      </c>
      <c r="AJ183" s="90">
        <f>IF($A183="","",IFERROR($S183/$R183,0))</f>
        <v/>
      </c>
      <c r="AK183" s="90">
        <f>IF($A183="","",IFERROR($T183/$J183,0))</f>
        <v/>
      </c>
      <c r="AL183" s="26">
        <f>IF($A183="","",IF(AND($AD183&gt;='01_Settings'!$B$9,$V183&lt;='01_Settings'!$B$10,$W183&lt;='01_Settings'!$B$11),"On track","Off track"))</f>
        <v/>
      </c>
      <c r="AM183" s="42">
        <f>IF($A183="","",IF($AD183&lt;'01_Settings'!$B$9,"Low completion rate; ","")&amp;IF($AE183&gt;'01_Settings'!$B$12,"High overdue rate; ","")&amp;IF($U183&lt;'01_Settings'!$B$13,"Low satisfaction; ","")&amp;IF($AH183&lt;'01_Settings'!$B$14,"Low gross margin; ","")&amp;IF($AJ183&lt;'01_Settings'!$B$15,"Low conversion rate; ","")&amp;IF($AK183&gt;'01_Settings'!$B$16,"High complaint rate; ",""))</f>
        <v/>
      </c>
    </row>
    <row r="184" ht="18" customHeight="1">
      <c r="A184" s="86" t="n"/>
      <c r="B184" s="26" t="n"/>
      <c r="C184" s="26" t="n"/>
      <c r="D184" s="26" t="n"/>
      <c r="E184" s="26" t="n"/>
      <c r="F184" s="26" t="n"/>
      <c r="G184" s="26" t="n"/>
      <c r="H184" s="26" t="n"/>
      <c r="I184" s="26" t="n"/>
      <c r="J184" s="87" t="n"/>
      <c r="K184" s="87" t="n"/>
      <c r="L184" s="87" t="n"/>
      <c r="M184" s="87" t="n"/>
      <c r="N184" s="88" t="n"/>
      <c r="O184" s="88" t="n"/>
      <c r="P184" s="89" t="n"/>
      <c r="Q184" s="87" t="n"/>
      <c r="R184" s="87" t="n"/>
      <c r="S184" s="87" t="n"/>
      <c r="T184" s="87" t="n"/>
      <c r="U184" s="89" t="n"/>
      <c r="V184" s="89" t="n"/>
      <c r="W184" s="89" t="n"/>
      <c r="X184" s="87" t="n"/>
      <c r="Y184" s="87" t="n"/>
      <c r="Z184" s="88" t="n"/>
      <c r="AA184" s="26" t="n"/>
      <c r="AB184" s="86">
        <f>IF($A184="","",$A184-WEEKDAY($A184,2)+1)</f>
        <v/>
      </c>
      <c r="AC184" s="86">
        <f>IF($A184="","",DATE(YEAR($A184),MONTH($A184),1))</f>
        <v/>
      </c>
      <c r="AD184" s="90">
        <f>IF($A184="","",IFERROR($K184/$J184,0))</f>
        <v/>
      </c>
      <c r="AE184" s="90">
        <f>IF($A184="","",IFERROR($L184/$J184,0))</f>
        <v/>
      </c>
      <c r="AF184" s="90">
        <f>IF($A184="","",IFERROR($M184/$J184,0))</f>
        <v/>
      </c>
      <c r="AG184" s="88">
        <f>IF($A184="","",$N184-$O184)</f>
        <v/>
      </c>
      <c r="AH184" s="90">
        <f>IF($A184="","",IFERROR($AG184/$N184,0))</f>
        <v/>
      </c>
      <c r="AI184" s="89">
        <f>IF($A184="","",IFERROR($K184/$P184,0))</f>
        <v/>
      </c>
      <c r="AJ184" s="90">
        <f>IF($A184="","",IFERROR($S184/$R184,0))</f>
        <v/>
      </c>
      <c r="AK184" s="90">
        <f>IF($A184="","",IFERROR($T184/$J184,0))</f>
        <v/>
      </c>
      <c r="AL184" s="26">
        <f>IF($A184="","",IF(AND($AD184&gt;='01_Settings'!$B$9,$V184&lt;='01_Settings'!$B$10,$W184&lt;='01_Settings'!$B$11),"On track","Off track"))</f>
        <v/>
      </c>
      <c r="AM184" s="42">
        <f>IF($A184="","",IF($AD184&lt;'01_Settings'!$B$9,"Low completion rate; ","")&amp;IF($AE184&gt;'01_Settings'!$B$12,"High overdue rate; ","")&amp;IF($U184&lt;'01_Settings'!$B$13,"Low satisfaction; ","")&amp;IF($AH184&lt;'01_Settings'!$B$14,"Low gross margin; ","")&amp;IF($AJ184&lt;'01_Settings'!$B$15,"Low conversion rate; ","")&amp;IF($AK184&gt;'01_Settings'!$B$16,"High complaint rate; ",""))</f>
        <v/>
      </c>
    </row>
    <row r="185" ht="18" customHeight="1">
      <c r="A185" s="86" t="n"/>
      <c r="B185" s="26" t="n"/>
      <c r="C185" s="26" t="n"/>
      <c r="D185" s="26" t="n"/>
      <c r="E185" s="26" t="n"/>
      <c r="F185" s="26" t="n"/>
      <c r="G185" s="26" t="n"/>
      <c r="H185" s="26" t="n"/>
      <c r="I185" s="26" t="n"/>
      <c r="J185" s="87" t="n"/>
      <c r="K185" s="87" t="n"/>
      <c r="L185" s="87" t="n"/>
      <c r="M185" s="87" t="n"/>
      <c r="N185" s="88" t="n"/>
      <c r="O185" s="88" t="n"/>
      <c r="P185" s="89" t="n"/>
      <c r="Q185" s="87" t="n"/>
      <c r="R185" s="87" t="n"/>
      <c r="S185" s="87" t="n"/>
      <c r="T185" s="87" t="n"/>
      <c r="U185" s="89" t="n"/>
      <c r="V185" s="89" t="n"/>
      <c r="W185" s="89" t="n"/>
      <c r="X185" s="87" t="n"/>
      <c r="Y185" s="87" t="n"/>
      <c r="Z185" s="88" t="n"/>
      <c r="AA185" s="26" t="n"/>
      <c r="AB185" s="86">
        <f>IF($A185="","",$A185-WEEKDAY($A185,2)+1)</f>
        <v/>
      </c>
      <c r="AC185" s="86">
        <f>IF($A185="","",DATE(YEAR($A185),MONTH($A185),1))</f>
        <v/>
      </c>
      <c r="AD185" s="90">
        <f>IF($A185="","",IFERROR($K185/$J185,0))</f>
        <v/>
      </c>
      <c r="AE185" s="90">
        <f>IF($A185="","",IFERROR($L185/$J185,0))</f>
        <v/>
      </c>
      <c r="AF185" s="90">
        <f>IF($A185="","",IFERROR($M185/$J185,0))</f>
        <v/>
      </c>
      <c r="AG185" s="88">
        <f>IF($A185="","",$N185-$O185)</f>
        <v/>
      </c>
      <c r="AH185" s="90">
        <f>IF($A185="","",IFERROR($AG185/$N185,0))</f>
        <v/>
      </c>
      <c r="AI185" s="89">
        <f>IF($A185="","",IFERROR($K185/$P185,0))</f>
        <v/>
      </c>
      <c r="AJ185" s="90">
        <f>IF($A185="","",IFERROR($S185/$R185,0))</f>
        <v/>
      </c>
      <c r="AK185" s="90">
        <f>IF($A185="","",IFERROR($T185/$J185,0))</f>
        <v/>
      </c>
      <c r="AL185" s="26">
        <f>IF($A185="","",IF(AND($AD185&gt;='01_Settings'!$B$9,$V185&lt;='01_Settings'!$B$10,$W185&lt;='01_Settings'!$B$11),"On track","Off track"))</f>
        <v/>
      </c>
      <c r="AM185" s="42">
        <f>IF($A185="","",IF($AD185&lt;'01_Settings'!$B$9,"Low completion rate; ","")&amp;IF($AE185&gt;'01_Settings'!$B$12,"High overdue rate; ","")&amp;IF($U185&lt;'01_Settings'!$B$13,"Low satisfaction; ","")&amp;IF($AH185&lt;'01_Settings'!$B$14,"Low gross margin; ","")&amp;IF($AJ185&lt;'01_Settings'!$B$15,"Low conversion rate; ","")&amp;IF($AK185&gt;'01_Settings'!$B$16,"High complaint rate; ",""))</f>
        <v/>
      </c>
    </row>
    <row r="186" ht="18" customHeight="1">
      <c r="A186" s="86" t="n"/>
      <c r="B186" s="26" t="n"/>
      <c r="C186" s="26" t="n"/>
      <c r="D186" s="26" t="n"/>
      <c r="E186" s="26" t="n"/>
      <c r="F186" s="26" t="n"/>
      <c r="G186" s="26" t="n"/>
      <c r="H186" s="26" t="n"/>
      <c r="I186" s="26" t="n"/>
      <c r="J186" s="87" t="n"/>
      <c r="K186" s="87" t="n"/>
      <c r="L186" s="87" t="n"/>
      <c r="M186" s="87" t="n"/>
      <c r="N186" s="88" t="n"/>
      <c r="O186" s="88" t="n"/>
      <c r="P186" s="89" t="n"/>
      <c r="Q186" s="87" t="n"/>
      <c r="R186" s="87" t="n"/>
      <c r="S186" s="87" t="n"/>
      <c r="T186" s="87" t="n"/>
      <c r="U186" s="89" t="n"/>
      <c r="V186" s="89" t="n"/>
      <c r="W186" s="89" t="n"/>
      <c r="X186" s="87" t="n"/>
      <c r="Y186" s="87" t="n"/>
      <c r="Z186" s="88" t="n"/>
      <c r="AA186" s="26" t="n"/>
      <c r="AB186" s="86">
        <f>IF($A186="","",$A186-WEEKDAY($A186,2)+1)</f>
        <v/>
      </c>
      <c r="AC186" s="86">
        <f>IF($A186="","",DATE(YEAR($A186),MONTH($A186),1))</f>
        <v/>
      </c>
      <c r="AD186" s="90">
        <f>IF($A186="","",IFERROR($K186/$J186,0))</f>
        <v/>
      </c>
      <c r="AE186" s="90">
        <f>IF($A186="","",IFERROR($L186/$J186,0))</f>
        <v/>
      </c>
      <c r="AF186" s="90">
        <f>IF($A186="","",IFERROR($M186/$J186,0))</f>
        <v/>
      </c>
      <c r="AG186" s="88">
        <f>IF($A186="","",$N186-$O186)</f>
        <v/>
      </c>
      <c r="AH186" s="90">
        <f>IF($A186="","",IFERROR($AG186/$N186,0))</f>
        <v/>
      </c>
      <c r="AI186" s="89">
        <f>IF($A186="","",IFERROR($K186/$P186,0))</f>
        <v/>
      </c>
      <c r="AJ186" s="90">
        <f>IF($A186="","",IFERROR($S186/$R186,0))</f>
        <v/>
      </c>
      <c r="AK186" s="90">
        <f>IF($A186="","",IFERROR($T186/$J186,0))</f>
        <v/>
      </c>
      <c r="AL186" s="26">
        <f>IF($A186="","",IF(AND($AD186&gt;='01_Settings'!$B$9,$V186&lt;='01_Settings'!$B$10,$W186&lt;='01_Settings'!$B$11),"On track","Off track"))</f>
        <v/>
      </c>
      <c r="AM186" s="42">
        <f>IF($A186="","",IF($AD186&lt;'01_Settings'!$B$9,"Low completion rate; ","")&amp;IF($AE186&gt;'01_Settings'!$B$12,"High overdue rate; ","")&amp;IF($U186&lt;'01_Settings'!$B$13,"Low satisfaction; ","")&amp;IF($AH186&lt;'01_Settings'!$B$14,"Low gross margin; ","")&amp;IF($AJ186&lt;'01_Settings'!$B$15,"Low conversion rate; ","")&amp;IF($AK186&gt;'01_Settings'!$B$16,"High complaint rate; ",""))</f>
        <v/>
      </c>
    </row>
    <row r="187" ht="18" customHeight="1">
      <c r="A187" s="86" t="n"/>
      <c r="B187" s="26" t="n"/>
      <c r="C187" s="26" t="n"/>
      <c r="D187" s="26" t="n"/>
      <c r="E187" s="26" t="n"/>
      <c r="F187" s="26" t="n"/>
      <c r="G187" s="26" t="n"/>
      <c r="H187" s="26" t="n"/>
      <c r="I187" s="26" t="n"/>
      <c r="J187" s="87" t="n"/>
      <c r="K187" s="87" t="n"/>
      <c r="L187" s="87" t="n"/>
      <c r="M187" s="87" t="n"/>
      <c r="N187" s="88" t="n"/>
      <c r="O187" s="88" t="n"/>
      <c r="P187" s="89" t="n"/>
      <c r="Q187" s="87" t="n"/>
      <c r="R187" s="87" t="n"/>
      <c r="S187" s="87" t="n"/>
      <c r="T187" s="87" t="n"/>
      <c r="U187" s="89" t="n"/>
      <c r="V187" s="89" t="n"/>
      <c r="W187" s="89" t="n"/>
      <c r="X187" s="87" t="n"/>
      <c r="Y187" s="87" t="n"/>
      <c r="Z187" s="88" t="n"/>
      <c r="AA187" s="26" t="n"/>
      <c r="AB187" s="86">
        <f>IF($A187="","",$A187-WEEKDAY($A187,2)+1)</f>
        <v/>
      </c>
      <c r="AC187" s="86">
        <f>IF($A187="","",DATE(YEAR($A187),MONTH($A187),1))</f>
        <v/>
      </c>
      <c r="AD187" s="90">
        <f>IF($A187="","",IFERROR($K187/$J187,0))</f>
        <v/>
      </c>
      <c r="AE187" s="90">
        <f>IF($A187="","",IFERROR($L187/$J187,0))</f>
        <v/>
      </c>
      <c r="AF187" s="90">
        <f>IF($A187="","",IFERROR($M187/$J187,0))</f>
        <v/>
      </c>
      <c r="AG187" s="88">
        <f>IF($A187="","",$N187-$O187)</f>
        <v/>
      </c>
      <c r="AH187" s="90">
        <f>IF($A187="","",IFERROR($AG187/$N187,0))</f>
        <v/>
      </c>
      <c r="AI187" s="89">
        <f>IF($A187="","",IFERROR($K187/$P187,0))</f>
        <v/>
      </c>
      <c r="AJ187" s="90">
        <f>IF($A187="","",IFERROR($S187/$R187,0))</f>
        <v/>
      </c>
      <c r="AK187" s="90">
        <f>IF($A187="","",IFERROR($T187/$J187,0))</f>
        <v/>
      </c>
      <c r="AL187" s="26">
        <f>IF($A187="","",IF(AND($AD187&gt;='01_Settings'!$B$9,$V187&lt;='01_Settings'!$B$10,$W187&lt;='01_Settings'!$B$11),"On track","Off track"))</f>
        <v/>
      </c>
      <c r="AM187" s="42">
        <f>IF($A187="","",IF($AD187&lt;'01_Settings'!$B$9,"Low completion rate; ","")&amp;IF($AE187&gt;'01_Settings'!$B$12,"High overdue rate; ","")&amp;IF($U187&lt;'01_Settings'!$B$13,"Low satisfaction; ","")&amp;IF($AH187&lt;'01_Settings'!$B$14,"Low gross margin; ","")&amp;IF($AJ187&lt;'01_Settings'!$B$15,"Low conversion rate; ","")&amp;IF($AK187&gt;'01_Settings'!$B$16,"High complaint rate; ",""))</f>
        <v/>
      </c>
    </row>
    <row r="188" ht="18" customHeight="1">
      <c r="A188" s="86" t="n"/>
      <c r="B188" s="26" t="n"/>
      <c r="C188" s="26" t="n"/>
      <c r="D188" s="26" t="n"/>
      <c r="E188" s="26" t="n"/>
      <c r="F188" s="26" t="n"/>
      <c r="G188" s="26" t="n"/>
      <c r="H188" s="26" t="n"/>
      <c r="I188" s="26" t="n"/>
      <c r="J188" s="87" t="n"/>
      <c r="K188" s="87" t="n"/>
      <c r="L188" s="87" t="n"/>
      <c r="M188" s="87" t="n"/>
      <c r="N188" s="88" t="n"/>
      <c r="O188" s="88" t="n"/>
      <c r="P188" s="89" t="n"/>
      <c r="Q188" s="87" t="n"/>
      <c r="R188" s="87" t="n"/>
      <c r="S188" s="87" t="n"/>
      <c r="T188" s="87" t="n"/>
      <c r="U188" s="89" t="n"/>
      <c r="V188" s="89" t="n"/>
      <c r="W188" s="89" t="n"/>
      <c r="X188" s="87" t="n"/>
      <c r="Y188" s="87" t="n"/>
      <c r="Z188" s="88" t="n"/>
      <c r="AA188" s="26" t="n"/>
      <c r="AB188" s="86">
        <f>IF($A188="","",$A188-WEEKDAY($A188,2)+1)</f>
        <v/>
      </c>
      <c r="AC188" s="86">
        <f>IF($A188="","",DATE(YEAR($A188),MONTH($A188),1))</f>
        <v/>
      </c>
      <c r="AD188" s="90">
        <f>IF($A188="","",IFERROR($K188/$J188,0))</f>
        <v/>
      </c>
      <c r="AE188" s="90">
        <f>IF($A188="","",IFERROR($L188/$J188,0))</f>
        <v/>
      </c>
      <c r="AF188" s="90">
        <f>IF($A188="","",IFERROR($M188/$J188,0))</f>
        <v/>
      </c>
      <c r="AG188" s="88">
        <f>IF($A188="","",$N188-$O188)</f>
        <v/>
      </c>
      <c r="AH188" s="90">
        <f>IF($A188="","",IFERROR($AG188/$N188,0))</f>
        <v/>
      </c>
      <c r="AI188" s="89">
        <f>IF($A188="","",IFERROR($K188/$P188,0))</f>
        <v/>
      </c>
      <c r="AJ188" s="90">
        <f>IF($A188="","",IFERROR($S188/$R188,0))</f>
        <v/>
      </c>
      <c r="AK188" s="90">
        <f>IF($A188="","",IFERROR($T188/$J188,0))</f>
        <v/>
      </c>
      <c r="AL188" s="26">
        <f>IF($A188="","",IF(AND($AD188&gt;='01_Settings'!$B$9,$V188&lt;='01_Settings'!$B$10,$W188&lt;='01_Settings'!$B$11),"On track","Off track"))</f>
        <v/>
      </c>
      <c r="AM188" s="42">
        <f>IF($A188="","",IF($AD188&lt;'01_Settings'!$B$9,"Low completion rate; ","")&amp;IF($AE188&gt;'01_Settings'!$B$12,"High overdue rate; ","")&amp;IF($U188&lt;'01_Settings'!$B$13,"Low satisfaction; ","")&amp;IF($AH188&lt;'01_Settings'!$B$14,"Low gross margin; ","")&amp;IF($AJ188&lt;'01_Settings'!$B$15,"Low conversion rate; ","")&amp;IF($AK188&gt;'01_Settings'!$B$16,"High complaint rate; ",""))</f>
        <v/>
      </c>
    </row>
    <row r="189" ht="18" customHeight="1">
      <c r="A189" s="86" t="n"/>
      <c r="B189" s="26" t="n"/>
      <c r="C189" s="26" t="n"/>
      <c r="D189" s="26" t="n"/>
      <c r="E189" s="26" t="n"/>
      <c r="F189" s="26" t="n"/>
      <c r="G189" s="26" t="n"/>
      <c r="H189" s="26" t="n"/>
      <c r="I189" s="26" t="n"/>
      <c r="J189" s="87" t="n"/>
      <c r="K189" s="87" t="n"/>
      <c r="L189" s="87" t="n"/>
      <c r="M189" s="87" t="n"/>
      <c r="N189" s="88" t="n"/>
      <c r="O189" s="88" t="n"/>
      <c r="P189" s="89" t="n"/>
      <c r="Q189" s="87" t="n"/>
      <c r="R189" s="87" t="n"/>
      <c r="S189" s="87" t="n"/>
      <c r="T189" s="87" t="n"/>
      <c r="U189" s="89" t="n"/>
      <c r="V189" s="89" t="n"/>
      <c r="W189" s="89" t="n"/>
      <c r="X189" s="87" t="n"/>
      <c r="Y189" s="87" t="n"/>
      <c r="Z189" s="88" t="n"/>
      <c r="AA189" s="26" t="n"/>
      <c r="AB189" s="86">
        <f>IF($A189="","",$A189-WEEKDAY($A189,2)+1)</f>
        <v/>
      </c>
      <c r="AC189" s="86">
        <f>IF($A189="","",DATE(YEAR($A189),MONTH($A189),1))</f>
        <v/>
      </c>
      <c r="AD189" s="90">
        <f>IF($A189="","",IFERROR($K189/$J189,0))</f>
        <v/>
      </c>
      <c r="AE189" s="90">
        <f>IF($A189="","",IFERROR($L189/$J189,0))</f>
        <v/>
      </c>
      <c r="AF189" s="90">
        <f>IF($A189="","",IFERROR($M189/$J189,0))</f>
        <v/>
      </c>
      <c r="AG189" s="88">
        <f>IF($A189="","",$N189-$O189)</f>
        <v/>
      </c>
      <c r="AH189" s="90">
        <f>IF($A189="","",IFERROR($AG189/$N189,0))</f>
        <v/>
      </c>
      <c r="AI189" s="89">
        <f>IF($A189="","",IFERROR($K189/$P189,0))</f>
        <v/>
      </c>
      <c r="AJ189" s="90">
        <f>IF($A189="","",IFERROR($S189/$R189,0))</f>
        <v/>
      </c>
      <c r="AK189" s="90">
        <f>IF($A189="","",IFERROR($T189/$J189,0))</f>
        <v/>
      </c>
      <c r="AL189" s="26">
        <f>IF($A189="","",IF(AND($AD189&gt;='01_Settings'!$B$9,$V189&lt;='01_Settings'!$B$10,$W189&lt;='01_Settings'!$B$11),"On track","Off track"))</f>
        <v/>
      </c>
      <c r="AM189" s="42">
        <f>IF($A189="","",IF($AD189&lt;'01_Settings'!$B$9,"Low completion rate; ","")&amp;IF($AE189&gt;'01_Settings'!$B$12,"High overdue rate; ","")&amp;IF($U189&lt;'01_Settings'!$B$13,"Low satisfaction; ","")&amp;IF($AH189&lt;'01_Settings'!$B$14,"Low gross margin; ","")&amp;IF($AJ189&lt;'01_Settings'!$B$15,"Low conversion rate; ","")&amp;IF($AK189&gt;'01_Settings'!$B$16,"High complaint rate; ",""))</f>
        <v/>
      </c>
    </row>
    <row r="190" ht="18" customHeight="1">
      <c r="A190" s="86" t="n"/>
      <c r="B190" s="26" t="n"/>
      <c r="C190" s="26" t="n"/>
      <c r="D190" s="26" t="n"/>
      <c r="E190" s="26" t="n"/>
      <c r="F190" s="26" t="n"/>
      <c r="G190" s="26" t="n"/>
      <c r="H190" s="26" t="n"/>
      <c r="I190" s="26" t="n"/>
      <c r="J190" s="87" t="n"/>
      <c r="K190" s="87" t="n"/>
      <c r="L190" s="87" t="n"/>
      <c r="M190" s="87" t="n"/>
      <c r="N190" s="88" t="n"/>
      <c r="O190" s="88" t="n"/>
      <c r="P190" s="89" t="n"/>
      <c r="Q190" s="87" t="n"/>
      <c r="R190" s="87" t="n"/>
      <c r="S190" s="87" t="n"/>
      <c r="T190" s="87" t="n"/>
      <c r="U190" s="89" t="n"/>
      <c r="V190" s="89" t="n"/>
      <c r="W190" s="89" t="n"/>
      <c r="X190" s="87" t="n"/>
      <c r="Y190" s="87" t="n"/>
      <c r="Z190" s="88" t="n"/>
      <c r="AA190" s="26" t="n"/>
      <c r="AB190" s="86">
        <f>IF($A190="","",$A190-WEEKDAY($A190,2)+1)</f>
        <v/>
      </c>
      <c r="AC190" s="86">
        <f>IF($A190="","",DATE(YEAR($A190),MONTH($A190),1))</f>
        <v/>
      </c>
      <c r="AD190" s="90">
        <f>IF($A190="","",IFERROR($K190/$J190,0))</f>
        <v/>
      </c>
      <c r="AE190" s="90">
        <f>IF($A190="","",IFERROR($L190/$J190,0))</f>
        <v/>
      </c>
      <c r="AF190" s="90">
        <f>IF($A190="","",IFERROR($M190/$J190,0))</f>
        <v/>
      </c>
      <c r="AG190" s="88">
        <f>IF($A190="","",$N190-$O190)</f>
        <v/>
      </c>
      <c r="AH190" s="90">
        <f>IF($A190="","",IFERROR($AG190/$N190,0))</f>
        <v/>
      </c>
      <c r="AI190" s="89">
        <f>IF($A190="","",IFERROR($K190/$P190,0))</f>
        <v/>
      </c>
      <c r="AJ190" s="90">
        <f>IF($A190="","",IFERROR($S190/$R190,0))</f>
        <v/>
      </c>
      <c r="AK190" s="90">
        <f>IF($A190="","",IFERROR($T190/$J190,0))</f>
        <v/>
      </c>
      <c r="AL190" s="26">
        <f>IF($A190="","",IF(AND($AD190&gt;='01_Settings'!$B$9,$V190&lt;='01_Settings'!$B$10,$W190&lt;='01_Settings'!$B$11),"On track","Off track"))</f>
        <v/>
      </c>
      <c r="AM190" s="42">
        <f>IF($A190="","",IF($AD190&lt;'01_Settings'!$B$9,"Low completion rate; ","")&amp;IF($AE190&gt;'01_Settings'!$B$12,"High overdue rate; ","")&amp;IF($U190&lt;'01_Settings'!$B$13,"Low satisfaction; ","")&amp;IF($AH190&lt;'01_Settings'!$B$14,"Low gross margin; ","")&amp;IF($AJ190&lt;'01_Settings'!$B$15,"Low conversion rate; ","")&amp;IF($AK190&gt;'01_Settings'!$B$16,"High complaint rate; ",""))</f>
        <v/>
      </c>
    </row>
    <row r="191" ht="18" customHeight="1">
      <c r="A191" s="86" t="n"/>
      <c r="B191" s="26" t="n"/>
      <c r="C191" s="26" t="n"/>
      <c r="D191" s="26" t="n"/>
      <c r="E191" s="26" t="n"/>
      <c r="F191" s="26" t="n"/>
      <c r="G191" s="26" t="n"/>
      <c r="H191" s="26" t="n"/>
      <c r="I191" s="26" t="n"/>
      <c r="J191" s="87" t="n"/>
      <c r="K191" s="87" t="n"/>
      <c r="L191" s="87" t="n"/>
      <c r="M191" s="87" t="n"/>
      <c r="N191" s="88" t="n"/>
      <c r="O191" s="88" t="n"/>
      <c r="P191" s="89" t="n"/>
      <c r="Q191" s="87" t="n"/>
      <c r="R191" s="87" t="n"/>
      <c r="S191" s="87" t="n"/>
      <c r="T191" s="87" t="n"/>
      <c r="U191" s="89" t="n"/>
      <c r="V191" s="89" t="n"/>
      <c r="W191" s="89" t="n"/>
      <c r="X191" s="87" t="n"/>
      <c r="Y191" s="87" t="n"/>
      <c r="Z191" s="88" t="n"/>
      <c r="AA191" s="26" t="n"/>
      <c r="AB191" s="86">
        <f>IF($A191="","",$A191-WEEKDAY($A191,2)+1)</f>
        <v/>
      </c>
      <c r="AC191" s="86">
        <f>IF($A191="","",DATE(YEAR($A191),MONTH($A191),1))</f>
        <v/>
      </c>
      <c r="AD191" s="90">
        <f>IF($A191="","",IFERROR($K191/$J191,0))</f>
        <v/>
      </c>
      <c r="AE191" s="90">
        <f>IF($A191="","",IFERROR($L191/$J191,0))</f>
        <v/>
      </c>
      <c r="AF191" s="90">
        <f>IF($A191="","",IFERROR($M191/$J191,0))</f>
        <v/>
      </c>
      <c r="AG191" s="88">
        <f>IF($A191="","",$N191-$O191)</f>
        <v/>
      </c>
      <c r="AH191" s="90">
        <f>IF($A191="","",IFERROR($AG191/$N191,0))</f>
        <v/>
      </c>
      <c r="AI191" s="89">
        <f>IF($A191="","",IFERROR($K191/$P191,0))</f>
        <v/>
      </c>
      <c r="AJ191" s="90">
        <f>IF($A191="","",IFERROR($S191/$R191,0))</f>
        <v/>
      </c>
      <c r="AK191" s="90">
        <f>IF($A191="","",IFERROR($T191/$J191,0))</f>
        <v/>
      </c>
      <c r="AL191" s="26">
        <f>IF($A191="","",IF(AND($AD191&gt;='01_Settings'!$B$9,$V191&lt;='01_Settings'!$B$10,$W191&lt;='01_Settings'!$B$11),"On track","Off track"))</f>
        <v/>
      </c>
      <c r="AM191" s="42">
        <f>IF($A191="","",IF($AD191&lt;'01_Settings'!$B$9,"Low completion rate; ","")&amp;IF($AE191&gt;'01_Settings'!$B$12,"High overdue rate; ","")&amp;IF($U191&lt;'01_Settings'!$B$13,"Low satisfaction; ","")&amp;IF($AH191&lt;'01_Settings'!$B$14,"Low gross margin; ","")&amp;IF($AJ191&lt;'01_Settings'!$B$15,"Low conversion rate; ","")&amp;IF($AK191&gt;'01_Settings'!$B$16,"High complaint rate; ",""))</f>
        <v/>
      </c>
    </row>
    <row r="192" ht="18" customHeight="1">
      <c r="A192" s="86" t="n"/>
      <c r="B192" s="26" t="n"/>
      <c r="C192" s="26" t="n"/>
      <c r="D192" s="26" t="n"/>
      <c r="E192" s="26" t="n"/>
      <c r="F192" s="26" t="n"/>
      <c r="G192" s="26" t="n"/>
      <c r="H192" s="26" t="n"/>
      <c r="I192" s="26" t="n"/>
      <c r="J192" s="87" t="n"/>
      <c r="K192" s="87" t="n"/>
      <c r="L192" s="87" t="n"/>
      <c r="M192" s="87" t="n"/>
      <c r="N192" s="88" t="n"/>
      <c r="O192" s="88" t="n"/>
      <c r="P192" s="89" t="n"/>
      <c r="Q192" s="87" t="n"/>
      <c r="R192" s="87" t="n"/>
      <c r="S192" s="87" t="n"/>
      <c r="T192" s="87" t="n"/>
      <c r="U192" s="89" t="n"/>
      <c r="V192" s="89" t="n"/>
      <c r="W192" s="89" t="n"/>
      <c r="X192" s="87" t="n"/>
      <c r="Y192" s="87" t="n"/>
      <c r="Z192" s="88" t="n"/>
      <c r="AA192" s="26" t="n"/>
      <c r="AB192" s="86">
        <f>IF($A192="","",$A192-WEEKDAY($A192,2)+1)</f>
        <v/>
      </c>
      <c r="AC192" s="86">
        <f>IF($A192="","",DATE(YEAR($A192),MONTH($A192),1))</f>
        <v/>
      </c>
      <c r="AD192" s="90">
        <f>IF($A192="","",IFERROR($K192/$J192,0))</f>
        <v/>
      </c>
      <c r="AE192" s="90">
        <f>IF($A192="","",IFERROR($L192/$J192,0))</f>
        <v/>
      </c>
      <c r="AF192" s="90">
        <f>IF($A192="","",IFERROR($M192/$J192,0))</f>
        <v/>
      </c>
      <c r="AG192" s="88">
        <f>IF($A192="","",$N192-$O192)</f>
        <v/>
      </c>
      <c r="AH192" s="90">
        <f>IF($A192="","",IFERROR($AG192/$N192,0))</f>
        <v/>
      </c>
      <c r="AI192" s="89">
        <f>IF($A192="","",IFERROR($K192/$P192,0))</f>
        <v/>
      </c>
      <c r="AJ192" s="90">
        <f>IF($A192="","",IFERROR($S192/$R192,0))</f>
        <v/>
      </c>
      <c r="AK192" s="90">
        <f>IF($A192="","",IFERROR($T192/$J192,0))</f>
        <v/>
      </c>
      <c r="AL192" s="26">
        <f>IF($A192="","",IF(AND($AD192&gt;='01_Settings'!$B$9,$V192&lt;='01_Settings'!$B$10,$W192&lt;='01_Settings'!$B$11),"On track","Off track"))</f>
        <v/>
      </c>
      <c r="AM192" s="42">
        <f>IF($A192="","",IF($AD192&lt;'01_Settings'!$B$9,"Low completion rate; ","")&amp;IF($AE192&gt;'01_Settings'!$B$12,"High overdue rate; ","")&amp;IF($U192&lt;'01_Settings'!$B$13,"Low satisfaction; ","")&amp;IF($AH192&lt;'01_Settings'!$B$14,"Low gross margin; ","")&amp;IF($AJ192&lt;'01_Settings'!$B$15,"Low conversion rate; ","")&amp;IF($AK192&gt;'01_Settings'!$B$16,"High complaint rate; ",""))</f>
        <v/>
      </c>
    </row>
    <row r="193" ht="18" customHeight="1">
      <c r="A193" s="86" t="n"/>
      <c r="B193" s="26" t="n"/>
      <c r="C193" s="26" t="n"/>
      <c r="D193" s="26" t="n"/>
      <c r="E193" s="26" t="n"/>
      <c r="F193" s="26" t="n"/>
      <c r="G193" s="26" t="n"/>
      <c r="H193" s="26" t="n"/>
      <c r="I193" s="26" t="n"/>
      <c r="J193" s="87" t="n"/>
      <c r="K193" s="87" t="n"/>
      <c r="L193" s="87" t="n"/>
      <c r="M193" s="87" t="n"/>
      <c r="N193" s="88" t="n"/>
      <c r="O193" s="88" t="n"/>
      <c r="P193" s="89" t="n"/>
      <c r="Q193" s="87" t="n"/>
      <c r="R193" s="87" t="n"/>
      <c r="S193" s="87" t="n"/>
      <c r="T193" s="87" t="n"/>
      <c r="U193" s="89" t="n"/>
      <c r="V193" s="89" t="n"/>
      <c r="W193" s="89" t="n"/>
      <c r="X193" s="87" t="n"/>
      <c r="Y193" s="87" t="n"/>
      <c r="Z193" s="88" t="n"/>
      <c r="AA193" s="26" t="n"/>
      <c r="AB193" s="86">
        <f>IF($A193="","",$A193-WEEKDAY($A193,2)+1)</f>
        <v/>
      </c>
      <c r="AC193" s="86">
        <f>IF($A193="","",DATE(YEAR($A193),MONTH($A193),1))</f>
        <v/>
      </c>
      <c r="AD193" s="90">
        <f>IF($A193="","",IFERROR($K193/$J193,0))</f>
        <v/>
      </c>
      <c r="AE193" s="90">
        <f>IF($A193="","",IFERROR($L193/$J193,0))</f>
        <v/>
      </c>
      <c r="AF193" s="90">
        <f>IF($A193="","",IFERROR($M193/$J193,0))</f>
        <v/>
      </c>
      <c r="AG193" s="88">
        <f>IF($A193="","",$N193-$O193)</f>
        <v/>
      </c>
      <c r="AH193" s="90">
        <f>IF($A193="","",IFERROR($AG193/$N193,0))</f>
        <v/>
      </c>
      <c r="AI193" s="89">
        <f>IF($A193="","",IFERROR($K193/$P193,0))</f>
        <v/>
      </c>
      <c r="AJ193" s="90">
        <f>IF($A193="","",IFERROR($S193/$R193,0))</f>
        <v/>
      </c>
      <c r="AK193" s="90">
        <f>IF($A193="","",IFERROR($T193/$J193,0))</f>
        <v/>
      </c>
      <c r="AL193" s="26">
        <f>IF($A193="","",IF(AND($AD193&gt;='01_Settings'!$B$9,$V193&lt;='01_Settings'!$B$10,$W193&lt;='01_Settings'!$B$11),"On track","Off track"))</f>
        <v/>
      </c>
      <c r="AM193" s="42">
        <f>IF($A193="","",IF($AD193&lt;'01_Settings'!$B$9,"Low completion rate; ","")&amp;IF($AE193&gt;'01_Settings'!$B$12,"High overdue rate; ","")&amp;IF($U193&lt;'01_Settings'!$B$13,"Low satisfaction; ","")&amp;IF($AH193&lt;'01_Settings'!$B$14,"Low gross margin; ","")&amp;IF($AJ193&lt;'01_Settings'!$B$15,"Low conversion rate; ","")&amp;IF($AK193&gt;'01_Settings'!$B$16,"High complaint rate; ",""))</f>
        <v/>
      </c>
    </row>
    <row r="194" ht="18" customHeight="1">
      <c r="A194" s="86" t="n"/>
      <c r="B194" s="26" t="n"/>
      <c r="C194" s="26" t="n"/>
      <c r="D194" s="26" t="n"/>
      <c r="E194" s="26" t="n"/>
      <c r="F194" s="26" t="n"/>
      <c r="G194" s="26" t="n"/>
      <c r="H194" s="26" t="n"/>
      <c r="I194" s="26" t="n"/>
      <c r="J194" s="87" t="n"/>
      <c r="K194" s="87" t="n"/>
      <c r="L194" s="87" t="n"/>
      <c r="M194" s="87" t="n"/>
      <c r="N194" s="88" t="n"/>
      <c r="O194" s="88" t="n"/>
      <c r="P194" s="89" t="n"/>
      <c r="Q194" s="87" t="n"/>
      <c r="R194" s="87" t="n"/>
      <c r="S194" s="87" t="n"/>
      <c r="T194" s="87" t="n"/>
      <c r="U194" s="89" t="n"/>
      <c r="V194" s="89" t="n"/>
      <c r="W194" s="89" t="n"/>
      <c r="X194" s="87" t="n"/>
      <c r="Y194" s="87" t="n"/>
      <c r="Z194" s="88" t="n"/>
      <c r="AA194" s="26" t="n"/>
      <c r="AB194" s="86">
        <f>IF($A194="","",$A194-WEEKDAY($A194,2)+1)</f>
        <v/>
      </c>
      <c r="AC194" s="86">
        <f>IF($A194="","",DATE(YEAR($A194),MONTH($A194),1))</f>
        <v/>
      </c>
      <c r="AD194" s="90">
        <f>IF($A194="","",IFERROR($K194/$J194,0))</f>
        <v/>
      </c>
      <c r="AE194" s="90">
        <f>IF($A194="","",IFERROR($L194/$J194,0))</f>
        <v/>
      </c>
      <c r="AF194" s="90">
        <f>IF($A194="","",IFERROR($M194/$J194,0))</f>
        <v/>
      </c>
      <c r="AG194" s="88">
        <f>IF($A194="","",$N194-$O194)</f>
        <v/>
      </c>
      <c r="AH194" s="90">
        <f>IF($A194="","",IFERROR($AG194/$N194,0))</f>
        <v/>
      </c>
      <c r="AI194" s="89">
        <f>IF($A194="","",IFERROR($K194/$P194,0))</f>
        <v/>
      </c>
      <c r="AJ194" s="90">
        <f>IF($A194="","",IFERROR($S194/$R194,0))</f>
        <v/>
      </c>
      <c r="AK194" s="90">
        <f>IF($A194="","",IFERROR($T194/$J194,0))</f>
        <v/>
      </c>
      <c r="AL194" s="26">
        <f>IF($A194="","",IF(AND($AD194&gt;='01_Settings'!$B$9,$V194&lt;='01_Settings'!$B$10,$W194&lt;='01_Settings'!$B$11),"On track","Off track"))</f>
        <v/>
      </c>
      <c r="AM194" s="42">
        <f>IF($A194="","",IF($AD194&lt;'01_Settings'!$B$9,"Low completion rate; ","")&amp;IF($AE194&gt;'01_Settings'!$B$12,"High overdue rate; ","")&amp;IF($U194&lt;'01_Settings'!$B$13,"Low satisfaction; ","")&amp;IF($AH194&lt;'01_Settings'!$B$14,"Low gross margin; ","")&amp;IF($AJ194&lt;'01_Settings'!$B$15,"Low conversion rate; ","")&amp;IF($AK194&gt;'01_Settings'!$B$16,"High complaint rate; ",""))</f>
        <v/>
      </c>
    </row>
    <row r="195" ht="18" customHeight="1">
      <c r="A195" s="86" t="n"/>
      <c r="B195" s="26" t="n"/>
      <c r="C195" s="26" t="n"/>
      <c r="D195" s="26" t="n"/>
      <c r="E195" s="26" t="n"/>
      <c r="F195" s="26" t="n"/>
      <c r="G195" s="26" t="n"/>
      <c r="H195" s="26" t="n"/>
      <c r="I195" s="26" t="n"/>
      <c r="J195" s="87" t="n"/>
      <c r="K195" s="87" t="n"/>
      <c r="L195" s="87" t="n"/>
      <c r="M195" s="87" t="n"/>
      <c r="N195" s="88" t="n"/>
      <c r="O195" s="88" t="n"/>
      <c r="P195" s="89" t="n"/>
      <c r="Q195" s="87" t="n"/>
      <c r="R195" s="87" t="n"/>
      <c r="S195" s="87" t="n"/>
      <c r="T195" s="87" t="n"/>
      <c r="U195" s="89" t="n"/>
      <c r="V195" s="89" t="n"/>
      <c r="W195" s="89" t="n"/>
      <c r="X195" s="87" t="n"/>
      <c r="Y195" s="87" t="n"/>
      <c r="Z195" s="88" t="n"/>
      <c r="AA195" s="26" t="n"/>
      <c r="AB195" s="86">
        <f>IF($A195="","",$A195-WEEKDAY($A195,2)+1)</f>
        <v/>
      </c>
      <c r="AC195" s="86">
        <f>IF($A195="","",DATE(YEAR($A195),MONTH($A195),1))</f>
        <v/>
      </c>
      <c r="AD195" s="90">
        <f>IF($A195="","",IFERROR($K195/$J195,0))</f>
        <v/>
      </c>
      <c r="AE195" s="90">
        <f>IF($A195="","",IFERROR($L195/$J195,0))</f>
        <v/>
      </c>
      <c r="AF195" s="90">
        <f>IF($A195="","",IFERROR($M195/$J195,0))</f>
        <v/>
      </c>
      <c r="AG195" s="88">
        <f>IF($A195="","",$N195-$O195)</f>
        <v/>
      </c>
      <c r="AH195" s="90">
        <f>IF($A195="","",IFERROR($AG195/$N195,0))</f>
        <v/>
      </c>
      <c r="AI195" s="89">
        <f>IF($A195="","",IFERROR($K195/$P195,0))</f>
        <v/>
      </c>
      <c r="AJ195" s="90">
        <f>IF($A195="","",IFERROR($S195/$R195,0))</f>
        <v/>
      </c>
      <c r="AK195" s="90">
        <f>IF($A195="","",IFERROR($T195/$J195,0))</f>
        <v/>
      </c>
      <c r="AL195" s="26">
        <f>IF($A195="","",IF(AND($AD195&gt;='01_Settings'!$B$9,$V195&lt;='01_Settings'!$B$10,$W195&lt;='01_Settings'!$B$11),"On track","Off track"))</f>
        <v/>
      </c>
      <c r="AM195" s="42">
        <f>IF($A195="","",IF($AD195&lt;'01_Settings'!$B$9,"Low completion rate; ","")&amp;IF($AE195&gt;'01_Settings'!$B$12,"High overdue rate; ","")&amp;IF($U195&lt;'01_Settings'!$B$13,"Low satisfaction; ","")&amp;IF($AH195&lt;'01_Settings'!$B$14,"Low gross margin; ","")&amp;IF($AJ195&lt;'01_Settings'!$B$15,"Low conversion rate; ","")&amp;IF($AK195&gt;'01_Settings'!$B$16,"High complaint rate; ",""))</f>
        <v/>
      </c>
    </row>
    <row r="196" ht="18" customHeight="1">
      <c r="A196" s="86" t="n"/>
      <c r="B196" s="26" t="n"/>
      <c r="C196" s="26" t="n"/>
      <c r="D196" s="26" t="n"/>
      <c r="E196" s="26" t="n"/>
      <c r="F196" s="26" t="n"/>
      <c r="G196" s="26" t="n"/>
      <c r="H196" s="26" t="n"/>
      <c r="I196" s="26" t="n"/>
      <c r="J196" s="87" t="n"/>
      <c r="K196" s="87" t="n"/>
      <c r="L196" s="87" t="n"/>
      <c r="M196" s="87" t="n"/>
      <c r="N196" s="88" t="n"/>
      <c r="O196" s="88" t="n"/>
      <c r="P196" s="89" t="n"/>
      <c r="Q196" s="87" t="n"/>
      <c r="R196" s="87" t="n"/>
      <c r="S196" s="87" t="n"/>
      <c r="T196" s="87" t="n"/>
      <c r="U196" s="89" t="n"/>
      <c r="V196" s="89" t="n"/>
      <c r="W196" s="89" t="n"/>
      <c r="X196" s="87" t="n"/>
      <c r="Y196" s="87" t="n"/>
      <c r="Z196" s="88" t="n"/>
      <c r="AA196" s="26" t="n"/>
      <c r="AB196" s="86">
        <f>IF($A196="","",$A196-WEEKDAY($A196,2)+1)</f>
        <v/>
      </c>
      <c r="AC196" s="86">
        <f>IF($A196="","",DATE(YEAR($A196),MONTH($A196),1))</f>
        <v/>
      </c>
      <c r="AD196" s="90">
        <f>IF($A196="","",IFERROR($K196/$J196,0))</f>
        <v/>
      </c>
      <c r="AE196" s="90">
        <f>IF($A196="","",IFERROR($L196/$J196,0))</f>
        <v/>
      </c>
      <c r="AF196" s="90">
        <f>IF($A196="","",IFERROR($M196/$J196,0))</f>
        <v/>
      </c>
      <c r="AG196" s="88">
        <f>IF($A196="","",$N196-$O196)</f>
        <v/>
      </c>
      <c r="AH196" s="90">
        <f>IF($A196="","",IFERROR($AG196/$N196,0))</f>
        <v/>
      </c>
      <c r="AI196" s="89">
        <f>IF($A196="","",IFERROR($K196/$P196,0))</f>
        <v/>
      </c>
      <c r="AJ196" s="90">
        <f>IF($A196="","",IFERROR($S196/$R196,0))</f>
        <v/>
      </c>
      <c r="AK196" s="90">
        <f>IF($A196="","",IFERROR($T196/$J196,0))</f>
        <v/>
      </c>
      <c r="AL196" s="26">
        <f>IF($A196="","",IF(AND($AD196&gt;='01_Settings'!$B$9,$V196&lt;='01_Settings'!$B$10,$W196&lt;='01_Settings'!$B$11),"On track","Off track"))</f>
        <v/>
      </c>
      <c r="AM196" s="42">
        <f>IF($A196="","",IF($AD196&lt;'01_Settings'!$B$9,"Low completion rate; ","")&amp;IF($AE196&gt;'01_Settings'!$B$12,"High overdue rate; ","")&amp;IF($U196&lt;'01_Settings'!$B$13,"Low satisfaction; ","")&amp;IF($AH196&lt;'01_Settings'!$B$14,"Low gross margin; ","")&amp;IF($AJ196&lt;'01_Settings'!$B$15,"Low conversion rate; ","")&amp;IF($AK196&gt;'01_Settings'!$B$16,"High complaint rate; ",""))</f>
        <v/>
      </c>
    </row>
    <row r="197" ht="18" customHeight="1">
      <c r="A197" s="86" t="n"/>
      <c r="B197" s="26" t="n"/>
      <c r="C197" s="26" t="n"/>
      <c r="D197" s="26" t="n"/>
      <c r="E197" s="26" t="n"/>
      <c r="F197" s="26" t="n"/>
      <c r="G197" s="26" t="n"/>
      <c r="H197" s="26" t="n"/>
      <c r="I197" s="26" t="n"/>
      <c r="J197" s="87" t="n"/>
      <c r="K197" s="87" t="n"/>
      <c r="L197" s="87" t="n"/>
      <c r="M197" s="87" t="n"/>
      <c r="N197" s="88" t="n"/>
      <c r="O197" s="88" t="n"/>
      <c r="P197" s="89" t="n"/>
      <c r="Q197" s="87" t="n"/>
      <c r="R197" s="87" t="n"/>
      <c r="S197" s="87" t="n"/>
      <c r="T197" s="87" t="n"/>
      <c r="U197" s="89" t="n"/>
      <c r="V197" s="89" t="n"/>
      <c r="W197" s="89" t="n"/>
      <c r="X197" s="87" t="n"/>
      <c r="Y197" s="87" t="n"/>
      <c r="Z197" s="88" t="n"/>
      <c r="AA197" s="26" t="n"/>
      <c r="AB197" s="86">
        <f>IF($A197="","",$A197-WEEKDAY($A197,2)+1)</f>
        <v/>
      </c>
      <c r="AC197" s="86">
        <f>IF($A197="","",DATE(YEAR($A197),MONTH($A197),1))</f>
        <v/>
      </c>
      <c r="AD197" s="90">
        <f>IF($A197="","",IFERROR($K197/$J197,0))</f>
        <v/>
      </c>
      <c r="AE197" s="90">
        <f>IF($A197="","",IFERROR($L197/$J197,0))</f>
        <v/>
      </c>
      <c r="AF197" s="90">
        <f>IF($A197="","",IFERROR($M197/$J197,0))</f>
        <v/>
      </c>
      <c r="AG197" s="88">
        <f>IF($A197="","",$N197-$O197)</f>
        <v/>
      </c>
      <c r="AH197" s="90">
        <f>IF($A197="","",IFERROR($AG197/$N197,0))</f>
        <v/>
      </c>
      <c r="AI197" s="89">
        <f>IF($A197="","",IFERROR($K197/$P197,0))</f>
        <v/>
      </c>
      <c r="AJ197" s="90">
        <f>IF($A197="","",IFERROR($S197/$R197,0))</f>
        <v/>
      </c>
      <c r="AK197" s="90">
        <f>IF($A197="","",IFERROR($T197/$J197,0))</f>
        <v/>
      </c>
      <c r="AL197" s="26">
        <f>IF($A197="","",IF(AND($AD197&gt;='01_Settings'!$B$9,$V197&lt;='01_Settings'!$B$10,$W197&lt;='01_Settings'!$B$11),"On track","Off track"))</f>
        <v/>
      </c>
      <c r="AM197" s="42">
        <f>IF($A197="","",IF($AD197&lt;'01_Settings'!$B$9,"Low completion rate; ","")&amp;IF($AE197&gt;'01_Settings'!$B$12,"High overdue rate; ","")&amp;IF($U197&lt;'01_Settings'!$B$13,"Low satisfaction; ","")&amp;IF($AH197&lt;'01_Settings'!$B$14,"Low gross margin; ","")&amp;IF($AJ197&lt;'01_Settings'!$B$15,"Low conversion rate; ","")&amp;IF($AK197&gt;'01_Settings'!$B$16,"High complaint rate; ",""))</f>
        <v/>
      </c>
    </row>
    <row r="198" ht="18" customHeight="1">
      <c r="A198" s="86" t="n"/>
      <c r="B198" s="26" t="n"/>
      <c r="C198" s="26" t="n"/>
      <c r="D198" s="26" t="n"/>
      <c r="E198" s="26" t="n"/>
      <c r="F198" s="26" t="n"/>
      <c r="G198" s="26" t="n"/>
      <c r="H198" s="26" t="n"/>
      <c r="I198" s="26" t="n"/>
      <c r="J198" s="87" t="n"/>
      <c r="K198" s="87" t="n"/>
      <c r="L198" s="87" t="n"/>
      <c r="M198" s="87" t="n"/>
      <c r="N198" s="88" t="n"/>
      <c r="O198" s="88" t="n"/>
      <c r="P198" s="89" t="n"/>
      <c r="Q198" s="87" t="n"/>
      <c r="R198" s="87" t="n"/>
      <c r="S198" s="87" t="n"/>
      <c r="T198" s="87" t="n"/>
      <c r="U198" s="89" t="n"/>
      <c r="V198" s="89" t="n"/>
      <c r="W198" s="89" t="n"/>
      <c r="X198" s="87" t="n"/>
      <c r="Y198" s="87" t="n"/>
      <c r="Z198" s="88" t="n"/>
      <c r="AA198" s="26" t="n"/>
      <c r="AB198" s="86">
        <f>IF($A198="","",$A198-WEEKDAY($A198,2)+1)</f>
        <v/>
      </c>
      <c r="AC198" s="86">
        <f>IF($A198="","",DATE(YEAR($A198),MONTH($A198),1))</f>
        <v/>
      </c>
      <c r="AD198" s="90">
        <f>IF($A198="","",IFERROR($K198/$J198,0))</f>
        <v/>
      </c>
      <c r="AE198" s="90">
        <f>IF($A198="","",IFERROR($L198/$J198,0))</f>
        <v/>
      </c>
      <c r="AF198" s="90">
        <f>IF($A198="","",IFERROR($M198/$J198,0))</f>
        <v/>
      </c>
      <c r="AG198" s="88">
        <f>IF($A198="","",$N198-$O198)</f>
        <v/>
      </c>
      <c r="AH198" s="90">
        <f>IF($A198="","",IFERROR($AG198/$N198,0))</f>
        <v/>
      </c>
      <c r="AI198" s="89">
        <f>IF($A198="","",IFERROR($K198/$P198,0))</f>
        <v/>
      </c>
      <c r="AJ198" s="90">
        <f>IF($A198="","",IFERROR($S198/$R198,0))</f>
        <v/>
      </c>
      <c r="AK198" s="90">
        <f>IF($A198="","",IFERROR($T198/$J198,0))</f>
        <v/>
      </c>
      <c r="AL198" s="26">
        <f>IF($A198="","",IF(AND($AD198&gt;='01_Settings'!$B$9,$V198&lt;='01_Settings'!$B$10,$W198&lt;='01_Settings'!$B$11),"On track","Off track"))</f>
        <v/>
      </c>
      <c r="AM198" s="42">
        <f>IF($A198="","",IF($AD198&lt;'01_Settings'!$B$9,"Low completion rate; ","")&amp;IF($AE198&gt;'01_Settings'!$B$12,"High overdue rate; ","")&amp;IF($U198&lt;'01_Settings'!$B$13,"Low satisfaction; ","")&amp;IF($AH198&lt;'01_Settings'!$B$14,"Low gross margin; ","")&amp;IF($AJ198&lt;'01_Settings'!$B$15,"Low conversion rate; ","")&amp;IF($AK198&gt;'01_Settings'!$B$16,"High complaint rate; ",""))</f>
        <v/>
      </c>
    </row>
    <row r="199" ht="18" customHeight="1">
      <c r="A199" s="86" t="n"/>
      <c r="B199" s="26" t="n"/>
      <c r="C199" s="26" t="n"/>
      <c r="D199" s="26" t="n"/>
      <c r="E199" s="26" t="n"/>
      <c r="F199" s="26" t="n"/>
      <c r="G199" s="26" t="n"/>
      <c r="H199" s="26" t="n"/>
      <c r="I199" s="26" t="n"/>
      <c r="J199" s="87" t="n"/>
      <c r="K199" s="87" t="n"/>
      <c r="L199" s="87" t="n"/>
      <c r="M199" s="87" t="n"/>
      <c r="N199" s="88" t="n"/>
      <c r="O199" s="88" t="n"/>
      <c r="P199" s="89" t="n"/>
      <c r="Q199" s="87" t="n"/>
      <c r="R199" s="87" t="n"/>
      <c r="S199" s="87" t="n"/>
      <c r="T199" s="87" t="n"/>
      <c r="U199" s="89" t="n"/>
      <c r="V199" s="89" t="n"/>
      <c r="W199" s="89" t="n"/>
      <c r="X199" s="87" t="n"/>
      <c r="Y199" s="87" t="n"/>
      <c r="Z199" s="88" t="n"/>
      <c r="AA199" s="26" t="n"/>
      <c r="AB199" s="86">
        <f>IF($A199="","",$A199-WEEKDAY($A199,2)+1)</f>
        <v/>
      </c>
      <c r="AC199" s="86">
        <f>IF($A199="","",DATE(YEAR($A199),MONTH($A199),1))</f>
        <v/>
      </c>
      <c r="AD199" s="90">
        <f>IF($A199="","",IFERROR($K199/$J199,0))</f>
        <v/>
      </c>
      <c r="AE199" s="90">
        <f>IF($A199="","",IFERROR($L199/$J199,0))</f>
        <v/>
      </c>
      <c r="AF199" s="90">
        <f>IF($A199="","",IFERROR($M199/$J199,0))</f>
        <v/>
      </c>
      <c r="AG199" s="88">
        <f>IF($A199="","",$N199-$O199)</f>
        <v/>
      </c>
      <c r="AH199" s="90">
        <f>IF($A199="","",IFERROR($AG199/$N199,0))</f>
        <v/>
      </c>
      <c r="AI199" s="89">
        <f>IF($A199="","",IFERROR($K199/$P199,0))</f>
        <v/>
      </c>
      <c r="AJ199" s="90">
        <f>IF($A199="","",IFERROR($S199/$R199,0))</f>
        <v/>
      </c>
      <c r="AK199" s="90">
        <f>IF($A199="","",IFERROR($T199/$J199,0))</f>
        <v/>
      </c>
      <c r="AL199" s="26">
        <f>IF($A199="","",IF(AND($AD199&gt;='01_Settings'!$B$9,$V199&lt;='01_Settings'!$B$10,$W199&lt;='01_Settings'!$B$11),"On track","Off track"))</f>
        <v/>
      </c>
      <c r="AM199" s="42">
        <f>IF($A199="","",IF($AD199&lt;'01_Settings'!$B$9,"Low completion rate; ","")&amp;IF($AE199&gt;'01_Settings'!$B$12,"High overdue rate; ","")&amp;IF($U199&lt;'01_Settings'!$B$13,"Low satisfaction; ","")&amp;IF($AH199&lt;'01_Settings'!$B$14,"Low gross margin; ","")&amp;IF($AJ199&lt;'01_Settings'!$B$15,"Low conversion rate; ","")&amp;IF($AK199&gt;'01_Settings'!$B$16,"High complaint rate; ",""))</f>
        <v/>
      </c>
    </row>
    <row r="200" ht="18" customHeight="1">
      <c r="A200" s="86" t="n"/>
      <c r="B200" s="26" t="n"/>
      <c r="C200" s="26" t="n"/>
      <c r="D200" s="26" t="n"/>
      <c r="E200" s="26" t="n"/>
      <c r="F200" s="26" t="n"/>
      <c r="G200" s="26" t="n"/>
      <c r="H200" s="26" t="n"/>
      <c r="I200" s="26" t="n"/>
      <c r="J200" s="87" t="n"/>
      <c r="K200" s="87" t="n"/>
      <c r="L200" s="87" t="n"/>
      <c r="M200" s="87" t="n"/>
      <c r="N200" s="88" t="n"/>
      <c r="O200" s="88" t="n"/>
      <c r="P200" s="89" t="n"/>
      <c r="Q200" s="87" t="n"/>
      <c r="R200" s="87" t="n"/>
      <c r="S200" s="87" t="n"/>
      <c r="T200" s="87" t="n"/>
      <c r="U200" s="89" t="n"/>
      <c r="V200" s="89" t="n"/>
      <c r="W200" s="89" t="n"/>
      <c r="X200" s="87" t="n"/>
      <c r="Y200" s="87" t="n"/>
      <c r="Z200" s="88" t="n"/>
      <c r="AA200" s="26" t="n"/>
      <c r="AB200" s="86">
        <f>IF($A200="","",$A200-WEEKDAY($A200,2)+1)</f>
        <v/>
      </c>
      <c r="AC200" s="86">
        <f>IF($A200="","",DATE(YEAR($A200),MONTH($A200),1))</f>
        <v/>
      </c>
      <c r="AD200" s="90">
        <f>IF($A200="","",IFERROR($K200/$J200,0))</f>
        <v/>
      </c>
      <c r="AE200" s="90">
        <f>IF($A200="","",IFERROR($L200/$J200,0))</f>
        <v/>
      </c>
      <c r="AF200" s="90">
        <f>IF($A200="","",IFERROR($M200/$J200,0))</f>
        <v/>
      </c>
      <c r="AG200" s="88">
        <f>IF($A200="","",$N200-$O200)</f>
        <v/>
      </c>
      <c r="AH200" s="90">
        <f>IF($A200="","",IFERROR($AG200/$N200,0))</f>
        <v/>
      </c>
      <c r="AI200" s="89">
        <f>IF($A200="","",IFERROR($K200/$P200,0))</f>
        <v/>
      </c>
      <c r="AJ200" s="90">
        <f>IF($A200="","",IFERROR($S200/$R200,0))</f>
        <v/>
      </c>
      <c r="AK200" s="90">
        <f>IF($A200="","",IFERROR($T200/$J200,0))</f>
        <v/>
      </c>
      <c r="AL200" s="26">
        <f>IF($A200="","",IF(AND($AD200&gt;='01_Settings'!$B$9,$V200&lt;='01_Settings'!$B$10,$W200&lt;='01_Settings'!$B$11),"On track","Off track"))</f>
        <v/>
      </c>
      <c r="AM200" s="42">
        <f>IF($A200="","",IF($AD200&lt;'01_Settings'!$B$9,"Low completion rate; ","")&amp;IF($AE200&gt;'01_Settings'!$B$12,"High overdue rate; ","")&amp;IF($U200&lt;'01_Settings'!$B$13,"Low satisfaction; ","")&amp;IF($AH200&lt;'01_Settings'!$B$14,"Low gross margin; ","")&amp;IF($AJ200&lt;'01_Settings'!$B$15,"Low conversion rate; ","")&amp;IF($AK200&gt;'01_Settings'!$B$16,"High complaint rate; ",""))</f>
        <v/>
      </c>
    </row>
    <row r="201" ht="18" customHeight="1">
      <c r="A201" s="86" t="n"/>
      <c r="B201" s="26" t="n"/>
      <c r="C201" s="26" t="n"/>
      <c r="D201" s="26" t="n"/>
      <c r="E201" s="26" t="n"/>
      <c r="F201" s="26" t="n"/>
      <c r="G201" s="26" t="n"/>
      <c r="H201" s="26" t="n"/>
      <c r="I201" s="26" t="n"/>
      <c r="J201" s="87" t="n"/>
      <c r="K201" s="87" t="n"/>
      <c r="L201" s="87" t="n"/>
      <c r="M201" s="87" t="n"/>
      <c r="N201" s="88" t="n"/>
      <c r="O201" s="88" t="n"/>
      <c r="P201" s="89" t="n"/>
      <c r="Q201" s="87" t="n"/>
      <c r="R201" s="87" t="n"/>
      <c r="S201" s="87" t="n"/>
      <c r="T201" s="87" t="n"/>
      <c r="U201" s="89" t="n"/>
      <c r="V201" s="89" t="n"/>
      <c r="W201" s="89" t="n"/>
      <c r="X201" s="87" t="n"/>
      <c r="Y201" s="87" t="n"/>
      <c r="Z201" s="88" t="n"/>
      <c r="AA201" s="26" t="n"/>
      <c r="AB201" s="86">
        <f>IF($A201="","",$A201-WEEKDAY($A201,2)+1)</f>
        <v/>
      </c>
      <c r="AC201" s="86">
        <f>IF($A201="","",DATE(YEAR($A201),MONTH($A201),1))</f>
        <v/>
      </c>
      <c r="AD201" s="90">
        <f>IF($A201="","",IFERROR($K201/$J201,0))</f>
        <v/>
      </c>
      <c r="AE201" s="90">
        <f>IF($A201="","",IFERROR($L201/$J201,0))</f>
        <v/>
      </c>
      <c r="AF201" s="90">
        <f>IF($A201="","",IFERROR($M201/$J201,0))</f>
        <v/>
      </c>
      <c r="AG201" s="88">
        <f>IF($A201="","",$N201-$O201)</f>
        <v/>
      </c>
      <c r="AH201" s="90">
        <f>IF($A201="","",IFERROR($AG201/$N201,0))</f>
        <v/>
      </c>
      <c r="AI201" s="89">
        <f>IF($A201="","",IFERROR($K201/$P201,0))</f>
        <v/>
      </c>
      <c r="AJ201" s="90">
        <f>IF($A201="","",IFERROR($S201/$R201,0))</f>
        <v/>
      </c>
      <c r="AK201" s="90">
        <f>IF($A201="","",IFERROR($T201/$J201,0))</f>
        <v/>
      </c>
      <c r="AL201" s="26">
        <f>IF($A201="","",IF(AND($AD201&gt;='01_Settings'!$B$9,$V201&lt;='01_Settings'!$B$10,$W201&lt;='01_Settings'!$B$11),"On track","Off track"))</f>
        <v/>
      </c>
      <c r="AM201" s="42">
        <f>IF($A201="","",IF($AD201&lt;'01_Settings'!$B$9,"Low completion rate; ","")&amp;IF($AE201&gt;'01_Settings'!$B$12,"High overdue rate; ","")&amp;IF($U201&lt;'01_Settings'!$B$13,"Low satisfaction; ","")&amp;IF($AH201&lt;'01_Settings'!$B$14,"Low gross margin; ","")&amp;IF($AJ201&lt;'01_Settings'!$B$15,"Low conversion rate; ","")&amp;IF($AK201&gt;'01_Settings'!$B$16,"High complaint rate; ",""))</f>
        <v/>
      </c>
    </row>
    <row r="202" ht="18" customHeight="1">
      <c r="A202" s="86" t="n"/>
      <c r="B202" s="26" t="n"/>
      <c r="C202" s="26" t="n"/>
      <c r="D202" s="26" t="n"/>
      <c r="E202" s="26" t="n"/>
      <c r="F202" s="26" t="n"/>
      <c r="G202" s="26" t="n"/>
      <c r="H202" s="26" t="n"/>
      <c r="I202" s="26" t="n"/>
      <c r="J202" s="87" t="n"/>
      <c r="K202" s="87" t="n"/>
      <c r="L202" s="87" t="n"/>
      <c r="M202" s="87" t="n"/>
      <c r="N202" s="88" t="n"/>
      <c r="O202" s="88" t="n"/>
      <c r="P202" s="89" t="n"/>
      <c r="Q202" s="87" t="n"/>
      <c r="R202" s="87" t="n"/>
      <c r="S202" s="87" t="n"/>
      <c r="T202" s="87" t="n"/>
      <c r="U202" s="89" t="n"/>
      <c r="V202" s="89" t="n"/>
      <c r="W202" s="89" t="n"/>
      <c r="X202" s="87" t="n"/>
      <c r="Y202" s="87" t="n"/>
      <c r="Z202" s="88" t="n"/>
      <c r="AA202" s="26" t="n"/>
      <c r="AB202" s="86">
        <f>IF($A202="","",$A202-WEEKDAY($A202,2)+1)</f>
        <v/>
      </c>
      <c r="AC202" s="86">
        <f>IF($A202="","",DATE(YEAR($A202),MONTH($A202),1))</f>
        <v/>
      </c>
      <c r="AD202" s="90">
        <f>IF($A202="","",IFERROR($K202/$J202,0))</f>
        <v/>
      </c>
      <c r="AE202" s="90">
        <f>IF($A202="","",IFERROR($L202/$J202,0))</f>
        <v/>
      </c>
      <c r="AF202" s="90">
        <f>IF($A202="","",IFERROR($M202/$J202,0))</f>
        <v/>
      </c>
      <c r="AG202" s="88">
        <f>IF($A202="","",$N202-$O202)</f>
        <v/>
      </c>
      <c r="AH202" s="90">
        <f>IF($A202="","",IFERROR($AG202/$N202,0))</f>
        <v/>
      </c>
      <c r="AI202" s="89">
        <f>IF($A202="","",IFERROR($K202/$P202,0))</f>
        <v/>
      </c>
      <c r="AJ202" s="90">
        <f>IF($A202="","",IFERROR($S202/$R202,0))</f>
        <v/>
      </c>
      <c r="AK202" s="90">
        <f>IF($A202="","",IFERROR($T202/$J202,0))</f>
        <v/>
      </c>
      <c r="AL202" s="26">
        <f>IF($A202="","",IF(AND($AD202&gt;='01_Settings'!$B$9,$V202&lt;='01_Settings'!$B$10,$W202&lt;='01_Settings'!$B$11),"On track","Off track"))</f>
        <v/>
      </c>
      <c r="AM202" s="42">
        <f>IF($A202="","",IF($AD202&lt;'01_Settings'!$B$9,"Low completion rate; ","")&amp;IF($AE202&gt;'01_Settings'!$B$12,"High overdue rate; ","")&amp;IF($U202&lt;'01_Settings'!$B$13,"Low satisfaction; ","")&amp;IF($AH202&lt;'01_Settings'!$B$14,"Low gross margin; ","")&amp;IF($AJ202&lt;'01_Settings'!$B$15,"Low conversion rate; ","")&amp;IF($AK202&gt;'01_Settings'!$B$16,"High complaint rate; ",""))</f>
        <v/>
      </c>
    </row>
    <row r="203" ht="18" customHeight="1">
      <c r="A203" s="86" t="n"/>
      <c r="B203" s="26" t="n"/>
      <c r="C203" s="26" t="n"/>
      <c r="D203" s="26" t="n"/>
      <c r="E203" s="26" t="n"/>
      <c r="F203" s="26" t="n"/>
      <c r="G203" s="26" t="n"/>
      <c r="H203" s="26" t="n"/>
      <c r="I203" s="26" t="n"/>
      <c r="J203" s="87" t="n"/>
      <c r="K203" s="87" t="n"/>
      <c r="L203" s="87" t="n"/>
      <c r="M203" s="87" t="n"/>
      <c r="N203" s="88" t="n"/>
      <c r="O203" s="88" t="n"/>
      <c r="P203" s="89" t="n"/>
      <c r="Q203" s="87" t="n"/>
      <c r="R203" s="87" t="n"/>
      <c r="S203" s="87" t="n"/>
      <c r="T203" s="87" t="n"/>
      <c r="U203" s="89" t="n"/>
      <c r="V203" s="89" t="n"/>
      <c r="W203" s="89" t="n"/>
      <c r="X203" s="87" t="n"/>
      <c r="Y203" s="87" t="n"/>
      <c r="Z203" s="88" t="n"/>
      <c r="AA203" s="26" t="n"/>
      <c r="AB203" s="86">
        <f>IF($A203="","",$A203-WEEKDAY($A203,2)+1)</f>
        <v/>
      </c>
      <c r="AC203" s="86">
        <f>IF($A203="","",DATE(YEAR($A203),MONTH($A203),1))</f>
        <v/>
      </c>
      <c r="AD203" s="90">
        <f>IF($A203="","",IFERROR($K203/$J203,0))</f>
        <v/>
      </c>
      <c r="AE203" s="90">
        <f>IF($A203="","",IFERROR($L203/$J203,0))</f>
        <v/>
      </c>
      <c r="AF203" s="90">
        <f>IF($A203="","",IFERROR($M203/$J203,0))</f>
        <v/>
      </c>
      <c r="AG203" s="88">
        <f>IF($A203="","",$N203-$O203)</f>
        <v/>
      </c>
      <c r="AH203" s="90">
        <f>IF($A203="","",IFERROR($AG203/$N203,0))</f>
        <v/>
      </c>
      <c r="AI203" s="89">
        <f>IF($A203="","",IFERROR($K203/$P203,0))</f>
        <v/>
      </c>
      <c r="AJ203" s="90">
        <f>IF($A203="","",IFERROR($S203/$R203,0))</f>
        <v/>
      </c>
      <c r="AK203" s="90">
        <f>IF($A203="","",IFERROR($T203/$J203,0))</f>
        <v/>
      </c>
      <c r="AL203" s="26">
        <f>IF($A203="","",IF(AND($AD203&gt;='01_Settings'!$B$9,$V203&lt;='01_Settings'!$B$10,$W203&lt;='01_Settings'!$B$11),"On track","Off track"))</f>
        <v/>
      </c>
      <c r="AM203" s="42">
        <f>IF($A203="","",IF($AD203&lt;'01_Settings'!$B$9,"Low completion rate; ","")&amp;IF($AE203&gt;'01_Settings'!$B$12,"High overdue rate; ","")&amp;IF($U203&lt;'01_Settings'!$B$13,"Low satisfaction; ","")&amp;IF($AH203&lt;'01_Settings'!$B$14,"Low gross margin; ","")&amp;IF($AJ203&lt;'01_Settings'!$B$15,"Low conversion rate; ","")&amp;IF($AK203&gt;'01_Settings'!$B$16,"High complaint rate; ",""))</f>
        <v/>
      </c>
    </row>
    <row r="204" ht="18" customHeight="1">
      <c r="A204" s="86" t="n"/>
      <c r="B204" s="26" t="n"/>
      <c r="C204" s="26" t="n"/>
      <c r="D204" s="26" t="n"/>
      <c r="E204" s="26" t="n"/>
      <c r="F204" s="26" t="n"/>
      <c r="G204" s="26" t="n"/>
      <c r="H204" s="26" t="n"/>
      <c r="I204" s="26" t="n"/>
      <c r="J204" s="87" t="n"/>
      <c r="K204" s="87" t="n"/>
      <c r="L204" s="87" t="n"/>
      <c r="M204" s="87" t="n"/>
      <c r="N204" s="88" t="n"/>
      <c r="O204" s="88" t="n"/>
      <c r="P204" s="89" t="n"/>
      <c r="Q204" s="87" t="n"/>
      <c r="R204" s="87" t="n"/>
      <c r="S204" s="87" t="n"/>
      <c r="T204" s="87" t="n"/>
      <c r="U204" s="89" t="n"/>
      <c r="V204" s="89" t="n"/>
      <c r="W204" s="89" t="n"/>
      <c r="X204" s="87" t="n"/>
      <c r="Y204" s="87" t="n"/>
      <c r="Z204" s="88" t="n"/>
      <c r="AA204" s="26" t="n"/>
      <c r="AB204" s="86">
        <f>IF($A204="","",$A204-WEEKDAY($A204,2)+1)</f>
        <v/>
      </c>
      <c r="AC204" s="86">
        <f>IF($A204="","",DATE(YEAR($A204),MONTH($A204),1))</f>
        <v/>
      </c>
      <c r="AD204" s="90">
        <f>IF($A204="","",IFERROR($K204/$J204,0))</f>
        <v/>
      </c>
      <c r="AE204" s="90">
        <f>IF($A204="","",IFERROR($L204/$J204,0))</f>
        <v/>
      </c>
      <c r="AF204" s="90">
        <f>IF($A204="","",IFERROR($M204/$J204,0))</f>
        <v/>
      </c>
      <c r="AG204" s="88">
        <f>IF($A204="","",$N204-$O204)</f>
        <v/>
      </c>
      <c r="AH204" s="90">
        <f>IF($A204="","",IFERROR($AG204/$N204,0))</f>
        <v/>
      </c>
      <c r="AI204" s="89">
        <f>IF($A204="","",IFERROR($K204/$P204,0))</f>
        <v/>
      </c>
      <c r="AJ204" s="90">
        <f>IF($A204="","",IFERROR($S204/$R204,0))</f>
        <v/>
      </c>
      <c r="AK204" s="90">
        <f>IF($A204="","",IFERROR($T204/$J204,0))</f>
        <v/>
      </c>
      <c r="AL204" s="26">
        <f>IF($A204="","",IF(AND($AD204&gt;='01_Settings'!$B$9,$V204&lt;='01_Settings'!$B$10,$W204&lt;='01_Settings'!$B$11),"On track","Off track"))</f>
        <v/>
      </c>
      <c r="AM204" s="42">
        <f>IF($A204="","",IF($AD204&lt;'01_Settings'!$B$9,"Low completion rate; ","")&amp;IF($AE204&gt;'01_Settings'!$B$12,"High overdue rate; ","")&amp;IF($U204&lt;'01_Settings'!$B$13,"Low satisfaction; ","")&amp;IF($AH204&lt;'01_Settings'!$B$14,"Low gross margin; ","")&amp;IF($AJ204&lt;'01_Settings'!$B$15,"Low conversion rate; ","")&amp;IF($AK204&gt;'01_Settings'!$B$16,"High complaint rate; ",""))</f>
        <v/>
      </c>
    </row>
    <row r="205" ht="18" customHeight="1">
      <c r="A205" s="86" t="n"/>
      <c r="B205" s="26" t="n"/>
      <c r="C205" s="26" t="n"/>
      <c r="D205" s="26" t="n"/>
      <c r="E205" s="26" t="n"/>
      <c r="F205" s="26" t="n"/>
      <c r="G205" s="26" t="n"/>
      <c r="H205" s="26" t="n"/>
      <c r="I205" s="26" t="n"/>
      <c r="J205" s="87" t="n"/>
      <c r="K205" s="87" t="n"/>
      <c r="L205" s="87" t="n"/>
      <c r="M205" s="87" t="n"/>
      <c r="N205" s="88" t="n"/>
      <c r="O205" s="88" t="n"/>
      <c r="P205" s="89" t="n"/>
      <c r="Q205" s="87" t="n"/>
      <c r="R205" s="87" t="n"/>
      <c r="S205" s="87" t="n"/>
      <c r="T205" s="87" t="n"/>
      <c r="U205" s="89" t="n"/>
      <c r="V205" s="89" t="n"/>
      <c r="W205" s="89" t="n"/>
      <c r="X205" s="87" t="n"/>
      <c r="Y205" s="87" t="n"/>
      <c r="Z205" s="88" t="n"/>
      <c r="AA205" s="26" t="n"/>
      <c r="AB205" s="86">
        <f>IF($A205="","",$A205-WEEKDAY($A205,2)+1)</f>
        <v/>
      </c>
      <c r="AC205" s="86">
        <f>IF($A205="","",DATE(YEAR($A205),MONTH($A205),1))</f>
        <v/>
      </c>
      <c r="AD205" s="90">
        <f>IF($A205="","",IFERROR($K205/$J205,0))</f>
        <v/>
      </c>
      <c r="AE205" s="90">
        <f>IF($A205="","",IFERROR($L205/$J205,0))</f>
        <v/>
      </c>
      <c r="AF205" s="90">
        <f>IF($A205="","",IFERROR($M205/$J205,0))</f>
        <v/>
      </c>
      <c r="AG205" s="88">
        <f>IF($A205="","",$N205-$O205)</f>
        <v/>
      </c>
      <c r="AH205" s="90">
        <f>IF($A205="","",IFERROR($AG205/$N205,0))</f>
        <v/>
      </c>
      <c r="AI205" s="89">
        <f>IF($A205="","",IFERROR($K205/$P205,0))</f>
        <v/>
      </c>
      <c r="AJ205" s="90">
        <f>IF($A205="","",IFERROR($S205/$R205,0))</f>
        <v/>
      </c>
      <c r="AK205" s="90">
        <f>IF($A205="","",IFERROR($T205/$J205,0))</f>
        <v/>
      </c>
      <c r="AL205" s="26">
        <f>IF($A205="","",IF(AND($AD205&gt;='01_Settings'!$B$9,$V205&lt;='01_Settings'!$B$10,$W205&lt;='01_Settings'!$B$11),"On track","Off track"))</f>
        <v/>
      </c>
      <c r="AM205" s="42">
        <f>IF($A205="","",IF($AD205&lt;'01_Settings'!$B$9,"Low completion rate; ","")&amp;IF($AE205&gt;'01_Settings'!$B$12,"High overdue rate; ","")&amp;IF($U205&lt;'01_Settings'!$B$13,"Low satisfaction; ","")&amp;IF($AH205&lt;'01_Settings'!$B$14,"Low gross margin; ","")&amp;IF($AJ205&lt;'01_Settings'!$B$15,"Low conversion rate; ","")&amp;IF($AK205&gt;'01_Settings'!$B$16,"High complaint rate; ",""))</f>
        <v/>
      </c>
    </row>
    <row r="206" ht="18" customHeight="1">
      <c r="A206" s="86" t="n"/>
      <c r="B206" s="26" t="n"/>
      <c r="C206" s="26" t="n"/>
      <c r="D206" s="26" t="n"/>
      <c r="E206" s="26" t="n"/>
      <c r="F206" s="26" t="n"/>
      <c r="G206" s="26" t="n"/>
      <c r="H206" s="26" t="n"/>
      <c r="I206" s="26" t="n"/>
      <c r="J206" s="87" t="n"/>
      <c r="K206" s="87" t="n"/>
      <c r="L206" s="87" t="n"/>
      <c r="M206" s="87" t="n"/>
      <c r="N206" s="88" t="n"/>
      <c r="O206" s="88" t="n"/>
      <c r="P206" s="89" t="n"/>
      <c r="Q206" s="87" t="n"/>
      <c r="R206" s="87" t="n"/>
      <c r="S206" s="87" t="n"/>
      <c r="T206" s="87" t="n"/>
      <c r="U206" s="89" t="n"/>
      <c r="V206" s="89" t="n"/>
      <c r="W206" s="89" t="n"/>
      <c r="X206" s="87" t="n"/>
      <c r="Y206" s="87" t="n"/>
      <c r="Z206" s="88" t="n"/>
      <c r="AA206" s="26" t="n"/>
      <c r="AB206" s="86">
        <f>IF($A206="","",$A206-WEEKDAY($A206,2)+1)</f>
        <v/>
      </c>
      <c r="AC206" s="86">
        <f>IF($A206="","",DATE(YEAR($A206),MONTH($A206),1))</f>
        <v/>
      </c>
      <c r="AD206" s="90">
        <f>IF($A206="","",IFERROR($K206/$J206,0))</f>
        <v/>
      </c>
      <c r="AE206" s="90">
        <f>IF($A206="","",IFERROR($L206/$J206,0))</f>
        <v/>
      </c>
      <c r="AF206" s="90">
        <f>IF($A206="","",IFERROR($M206/$J206,0))</f>
        <v/>
      </c>
      <c r="AG206" s="88">
        <f>IF($A206="","",$N206-$O206)</f>
        <v/>
      </c>
      <c r="AH206" s="90">
        <f>IF($A206="","",IFERROR($AG206/$N206,0))</f>
        <v/>
      </c>
      <c r="AI206" s="89">
        <f>IF($A206="","",IFERROR($K206/$P206,0))</f>
        <v/>
      </c>
      <c r="AJ206" s="90">
        <f>IF($A206="","",IFERROR($S206/$R206,0))</f>
        <v/>
      </c>
      <c r="AK206" s="90">
        <f>IF($A206="","",IFERROR($T206/$J206,0))</f>
        <v/>
      </c>
      <c r="AL206" s="26">
        <f>IF($A206="","",IF(AND($AD206&gt;='01_Settings'!$B$9,$V206&lt;='01_Settings'!$B$10,$W206&lt;='01_Settings'!$B$11),"On track","Off track"))</f>
        <v/>
      </c>
      <c r="AM206" s="42">
        <f>IF($A206="","",IF($AD206&lt;'01_Settings'!$B$9,"Low completion rate; ","")&amp;IF($AE206&gt;'01_Settings'!$B$12,"High overdue rate; ","")&amp;IF($U206&lt;'01_Settings'!$B$13,"Low satisfaction; ","")&amp;IF($AH206&lt;'01_Settings'!$B$14,"Low gross margin; ","")&amp;IF($AJ206&lt;'01_Settings'!$B$15,"Low conversion rate; ","")&amp;IF($AK206&gt;'01_Settings'!$B$16,"High complaint rate; ",""))</f>
        <v/>
      </c>
    </row>
    <row r="207" ht="18" customHeight="1">
      <c r="A207" s="86" t="n"/>
      <c r="B207" s="26" t="n"/>
      <c r="C207" s="26" t="n"/>
      <c r="D207" s="26" t="n"/>
      <c r="E207" s="26" t="n"/>
      <c r="F207" s="26" t="n"/>
      <c r="G207" s="26" t="n"/>
      <c r="H207" s="26" t="n"/>
      <c r="I207" s="26" t="n"/>
      <c r="J207" s="87" t="n"/>
      <c r="K207" s="87" t="n"/>
      <c r="L207" s="87" t="n"/>
      <c r="M207" s="87" t="n"/>
      <c r="N207" s="88" t="n"/>
      <c r="O207" s="88" t="n"/>
      <c r="P207" s="89" t="n"/>
      <c r="Q207" s="87" t="n"/>
      <c r="R207" s="87" t="n"/>
      <c r="S207" s="87" t="n"/>
      <c r="T207" s="87" t="n"/>
      <c r="U207" s="89" t="n"/>
      <c r="V207" s="89" t="n"/>
      <c r="W207" s="89" t="n"/>
      <c r="X207" s="87" t="n"/>
      <c r="Y207" s="87" t="n"/>
      <c r="Z207" s="88" t="n"/>
      <c r="AA207" s="26" t="n"/>
      <c r="AB207" s="86">
        <f>IF($A207="","",$A207-WEEKDAY($A207,2)+1)</f>
        <v/>
      </c>
      <c r="AC207" s="86">
        <f>IF($A207="","",DATE(YEAR($A207),MONTH($A207),1))</f>
        <v/>
      </c>
      <c r="AD207" s="90">
        <f>IF($A207="","",IFERROR($K207/$J207,0))</f>
        <v/>
      </c>
      <c r="AE207" s="90">
        <f>IF($A207="","",IFERROR($L207/$J207,0))</f>
        <v/>
      </c>
      <c r="AF207" s="90">
        <f>IF($A207="","",IFERROR($M207/$J207,0))</f>
        <v/>
      </c>
      <c r="AG207" s="88">
        <f>IF($A207="","",$N207-$O207)</f>
        <v/>
      </c>
      <c r="AH207" s="90">
        <f>IF($A207="","",IFERROR($AG207/$N207,0))</f>
        <v/>
      </c>
      <c r="AI207" s="89">
        <f>IF($A207="","",IFERROR($K207/$P207,0))</f>
        <v/>
      </c>
      <c r="AJ207" s="90">
        <f>IF($A207="","",IFERROR($S207/$R207,0))</f>
        <v/>
      </c>
      <c r="AK207" s="90">
        <f>IF($A207="","",IFERROR($T207/$J207,0))</f>
        <v/>
      </c>
      <c r="AL207" s="26">
        <f>IF($A207="","",IF(AND($AD207&gt;='01_Settings'!$B$9,$V207&lt;='01_Settings'!$B$10,$W207&lt;='01_Settings'!$B$11),"On track","Off track"))</f>
        <v/>
      </c>
      <c r="AM207" s="42">
        <f>IF($A207="","",IF($AD207&lt;'01_Settings'!$B$9,"Low completion rate; ","")&amp;IF($AE207&gt;'01_Settings'!$B$12,"High overdue rate; ","")&amp;IF($U207&lt;'01_Settings'!$B$13,"Low satisfaction; ","")&amp;IF($AH207&lt;'01_Settings'!$B$14,"Low gross margin; ","")&amp;IF($AJ207&lt;'01_Settings'!$B$15,"Low conversion rate; ","")&amp;IF($AK207&gt;'01_Settings'!$B$16,"High complaint rate; ",""))</f>
        <v/>
      </c>
    </row>
    <row r="208" ht="18" customHeight="1">
      <c r="A208" s="86" t="n"/>
      <c r="B208" s="26" t="n"/>
      <c r="C208" s="26" t="n"/>
      <c r="D208" s="26" t="n"/>
      <c r="E208" s="26" t="n"/>
      <c r="F208" s="26" t="n"/>
      <c r="G208" s="26" t="n"/>
      <c r="H208" s="26" t="n"/>
      <c r="I208" s="26" t="n"/>
      <c r="J208" s="87" t="n"/>
      <c r="K208" s="87" t="n"/>
      <c r="L208" s="87" t="n"/>
      <c r="M208" s="87" t="n"/>
      <c r="N208" s="88" t="n"/>
      <c r="O208" s="88" t="n"/>
      <c r="P208" s="89" t="n"/>
      <c r="Q208" s="87" t="n"/>
      <c r="R208" s="87" t="n"/>
      <c r="S208" s="87" t="n"/>
      <c r="T208" s="87" t="n"/>
      <c r="U208" s="89" t="n"/>
      <c r="V208" s="89" t="n"/>
      <c r="W208" s="89" t="n"/>
      <c r="X208" s="87" t="n"/>
      <c r="Y208" s="87" t="n"/>
      <c r="Z208" s="88" t="n"/>
      <c r="AA208" s="26" t="n"/>
      <c r="AB208" s="86">
        <f>IF($A208="","",$A208-WEEKDAY($A208,2)+1)</f>
        <v/>
      </c>
      <c r="AC208" s="86">
        <f>IF($A208="","",DATE(YEAR($A208),MONTH($A208),1))</f>
        <v/>
      </c>
      <c r="AD208" s="90">
        <f>IF($A208="","",IFERROR($K208/$J208,0))</f>
        <v/>
      </c>
      <c r="AE208" s="90">
        <f>IF($A208="","",IFERROR($L208/$J208,0))</f>
        <v/>
      </c>
      <c r="AF208" s="90">
        <f>IF($A208="","",IFERROR($M208/$J208,0))</f>
        <v/>
      </c>
      <c r="AG208" s="88">
        <f>IF($A208="","",$N208-$O208)</f>
        <v/>
      </c>
      <c r="AH208" s="90">
        <f>IF($A208="","",IFERROR($AG208/$N208,0))</f>
        <v/>
      </c>
      <c r="AI208" s="89">
        <f>IF($A208="","",IFERROR($K208/$P208,0))</f>
        <v/>
      </c>
      <c r="AJ208" s="90">
        <f>IF($A208="","",IFERROR($S208/$R208,0))</f>
        <v/>
      </c>
      <c r="AK208" s="90">
        <f>IF($A208="","",IFERROR($T208/$J208,0))</f>
        <v/>
      </c>
      <c r="AL208" s="26">
        <f>IF($A208="","",IF(AND($AD208&gt;='01_Settings'!$B$9,$V208&lt;='01_Settings'!$B$10,$W208&lt;='01_Settings'!$B$11),"On track","Off track"))</f>
        <v/>
      </c>
      <c r="AM208" s="42">
        <f>IF($A208="","",IF($AD208&lt;'01_Settings'!$B$9,"Low completion rate; ","")&amp;IF($AE208&gt;'01_Settings'!$B$12,"High overdue rate; ","")&amp;IF($U208&lt;'01_Settings'!$B$13,"Low satisfaction; ","")&amp;IF($AH208&lt;'01_Settings'!$B$14,"Low gross margin; ","")&amp;IF($AJ208&lt;'01_Settings'!$B$15,"Low conversion rate; ","")&amp;IF($AK208&gt;'01_Settings'!$B$16,"High complaint rate; ",""))</f>
        <v/>
      </c>
    </row>
    <row r="209" ht="18" customHeight="1">
      <c r="A209" s="86" t="n"/>
      <c r="B209" s="26" t="n"/>
      <c r="C209" s="26" t="n"/>
      <c r="D209" s="26" t="n"/>
      <c r="E209" s="26" t="n"/>
      <c r="F209" s="26" t="n"/>
      <c r="G209" s="26" t="n"/>
      <c r="H209" s="26" t="n"/>
      <c r="I209" s="26" t="n"/>
      <c r="J209" s="87" t="n"/>
      <c r="K209" s="87" t="n"/>
      <c r="L209" s="87" t="n"/>
      <c r="M209" s="87" t="n"/>
      <c r="N209" s="88" t="n"/>
      <c r="O209" s="88" t="n"/>
      <c r="P209" s="89" t="n"/>
      <c r="Q209" s="87" t="n"/>
      <c r="R209" s="87" t="n"/>
      <c r="S209" s="87" t="n"/>
      <c r="T209" s="87" t="n"/>
      <c r="U209" s="89" t="n"/>
      <c r="V209" s="89" t="n"/>
      <c r="W209" s="89" t="n"/>
      <c r="X209" s="87" t="n"/>
      <c r="Y209" s="87" t="n"/>
      <c r="Z209" s="88" t="n"/>
      <c r="AA209" s="26" t="n"/>
      <c r="AB209" s="86">
        <f>IF($A209="","",$A209-WEEKDAY($A209,2)+1)</f>
        <v/>
      </c>
      <c r="AC209" s="86">
        <f>IF($A209="","",DATE(YEAR($A209),MONTH($A209),1))</f>
        <v/>
      </c>
      <c r="AD209" s="90">
        <f>IF($A209="","",IFERROR($K209/$J209,0))</f>
        <v/>
      </c>
      <c r="AE209" s="90">
        <f>IF($A209="","",IFERROR($L209/$J209,0))</f>
        <v/>
      </c>
      <c r="AF209" s="90">
        <f>IF($A209="","",IFERROR($M209/$J209,0))</f>
        <v/>
      </c>
      <c r="AG209" s="88">
        <f>IF($A209="","",$N209-$O209)</f>
        <v/>
      </c>
      <c r="AH209" s="90">
        <f>IF($A209="","",IFERROR($AG209/$N209,0))</f>
        <v/>
      </c>
      <c r="AI209" s="89">
        <f>IF($A209="","",IFERROR($K209/$P209,0))</f>
        <v/>
      </c>
      <c r="AJ209" s="90">
        <f>IF($A209="","",IFERROR($S209/$R209,0))</f>
        <v/>
      </c>
      <c r="AK209" s="90">
        <f>IF($A209="","",IFERROR($T209/$J209,0))</f>
        <v/>
      </c>
      <c r="AL209" s="26">
        <f>IF($A209="","",IF(AND($AD209&gt;='01_Settings'!$B$9,$V209&lt;='01_Settings'!$B$10,$W209&lt;='01_Settings'!$B$11),"On track","Off track"))</f>
        <v/>
      </c>
      <c r="AM209" s="42">
        <f>IF($A209="","",IF($AD209&lt;'01_Settings'!$B$9,"Low completion rate; ","")&amp;IF($AE209&gt;'01_Settings'!$B$12,"High overdue rate; ","")&amp;IF($U209&lt;'01_Settings'!$B$13,"Low satisfaction; ","")&amp;IF($AH209&lt;'01_Settings'!$B$14,"Low gross margin; ","")&amp;IF($AJ209&lt;'01_Settings'!$B$15,"Low conversion rate; ","")&amp;IF($AK209&gt;'01_Settings'!$B$16,"High complaint rate; ",""))</f>
        <v/>
      </c>
    </row>
    <row r="210" ht="18" customHeight="1">
      <c r="A210" s="86" t="n"/>
      <c r="B210" s="26" t="n"/>
      <c r="C210" s="26" t="n"/>
      <c r="D210" s="26" t="n"/>
      <c r="E210" s="26" t="n"/>
      <c r="F210" s="26" t="n"/>
      <c r="G210" s="26" t="n"/>
      <c r="H210" s="26" t="n"/>
      <c r="I210" s="26" t="n"/>
      <c r="J210" s="87" t="n"/>
      <c r="K210" s="87" t="n"/>
      <c r="L210" s="87" t="n"/>
      <c r="M210" s="87" t="n"/>
      <c r="N210" s="88" t="n"/>
      <c r="O210" s="88" t="n"/>
      <c r="P210" s="89" t="n"/>
      <c r="Q210" s="87" t="n"/>
      <c r="R210" s="87" t="n"/>
      <c r="S210" s="87" t="n"/>
      <c r="T210" s="87" t="n"/>
      <c r="U210" s="89" t="n"/>
      <c r="V210" s="89" t="n"/>
      <c r="W210" s="89" t="n"/>
      <c r="X210" s="87" t="n"/>
      <c r="Y210" s="87" t="n"/>
      <c r="Z210" s="88" t="n"/>
      <c r="AA210" s="26" t="n"/>
      <c r="AB210" s="86">
        <f>IF($A210="","",$A210-WEEKDAY($A210,2)+1)</f>
        <v/>
      </c>
      <c r="AC210" s="86">
        <f>IF($A210="","",DATE(YEAR($A210),MONTH($A210),1))</f>
        <v/>
      </c>
      <c r="AD210" s="90">
        <f>IF($A210="","",IFERROR($K210/$J210,0))</f>
        <v/>
      </c>
      <c r="AE210" s="90">
        <f>IF($A210="","",IFERROR($L210/$J210,0))</f>
        <v/>
      </c>
      <c r="AF210" s="90">
        <f>IF($A210="","",IFERROR($M210/$J210,0))</f>
        <v/>
      </c>
      <c r="AG210" s="88">
        <f>IF($A210="","",$N210-$O210)</f>
        <v/>
      </c>
      <c r="AH210" s="90">
        <f>IF($A210="","",IFERROR($AG210/$N210,0))</f>
        <v/>
      </c>
      <c r="AI210" s="89">
        <f>IF($A210="","",IFERROR($K210/$P210,0))</f>
        <v/>
      </c>
      <c r="AJ210" s="90">
        <f>IF($A210="","",IFERROR($S210/$R210,0))</f>
        <v/>
      </c>
      <c r="AK210" s="90">
        <f>IF($A210="","",IFERROR($T210/$J210,0))</f>
        <v/>
      </c>
      <c r="AL210" s="26">
        <f>IF($A210="","",IF(AND($AD210&gt;='01_Settings'!$B$9,$V210&lt;='01_Settings'!$B$10,$W210&lt;='01_Settings'!$B$11),"On track","Off track"))</f>
        <v/>
      </c>
      <c r="AM210" s="42">
        <f>IF($A210="","",IF($AD210&lt;'01_Settings'!$B$9,"Low completion rate; ","")&amp;IF($AE210&gt;'01_Settings'!$B$12,"High overdue rate; ","")&amp;IF($U210&lt;'01_Settings'!$B$13,"Low satisfaction; ","")&amp;IF($AH210&lt;'01_Settings'!$B$14,"Low gross margin; ","")&amp;IF($AJ210&lt;'01_Settings'!$B$15,"Low conversion rate; ","")&amp;IF($AK210&gt;'01_Settings'!$B$16,"High complaint rate; ",""))</f>
        <v/>
      </c>
    </row>
    <row r="211" ht="18" customHeight="1">
      <c r="A211" s="86" t="n"/>
      <c r="B211" s="26" t="n"/>
      <c r="C211" s="26" t="n"/>
      <c r="D211" s="26" t="n"/>
      <c r="E211" s="26" t="n"/>
      <c r="F211" s="26" t="n"/>
      <c r="G211" s="26" t="n"/>
      <c r="H211" s="26" t="n"/>
      <c r="I211" s="26" t="n"/>
      <c r="J211" s="87" t="n"/>
      <c r="K211" s="87" t="n"/>
      <c r="L211" s="87" t="n"/>
      <c r="M211" s="87" t="n"/>
      <c r="N211" s="88" t="n"/>
      <c r="O211" s="88" t="n"/>
      <c r="P211" s="89" t="n"/>
      <c r="Q211" s="87" t="n"/>
      <c r="R211" s="87" t="n"/>
      <c r="S211" s="87" t="n"/>
      <c r="T211" s="87" t="n"/>
      <c r="U211" s="89" t="n"/>
      <c r="V211" s="89" t="n"/>
      <c r="W211" s="89" t="n"/>
      <c r="X211" s="87" t="n"/>
      <c r="Y211" s="87" t="n"/>
      <c r="Z211" s="88" t="n"/>
      <c r="AA211" s="26" t="n"/>
      <c r="AB211" s="86">
        <f>IF($A211="","",$A211-WEEKDAY($A211,2)+1)</f>
        <v/>
      </c>
      <c r="AC211" s="86">
        <f>IF($A211="","",DATE(YEAR($A211),MONTH($A211),1))</f>
        <v/>
      </c>
      <c r="AD211" s="90">
        <f>IF($A211="","",IFERROR($K211/$J211,0))</f>
        <v/>
      </c>
      <c r="AE211" s="90">
        <f>IF($A211="","",IFERROR($L211/$J211,0))</f>
        <v/>
      </c>
      <c r="AF211" s="90">
        <f>IF($A211="","",IFERROR($M211/$J211,0))</f>
        <v/>
      </c>
      <c r="AG211" s="88">
        <f>IF($A211="","",$N211-$O211)</f>
        <v/>
      </c>
      <c r="AH211" s="90">
        <f>IF($A211="","",IFERROR($AG211/$N211,0))</f>
        <v/>
      </c>
      <c r="AI211" s="89">
        <f>IF($A211="","",IFERROR($K211/$P211,0))</f>
        <v/>
      </c>
      <c r="AJ211" s="90">
        <f>IF($A211="","",IFERROR($S211/$R211,0))</f>
        <v/>
      </c>
      <c r="AK211" s="90">
        <f>IF($A211="","",IFERROR($T211/$J211,0))</f>
        <v/>
      </c>
      <c r="AL211" s="26">
        <f>IF($A211="","",IF(AND($AD211&gt;='01_Settings'!$B$9,$V211&lt;='01_Settings'!$B$10,$W211&lt;='01_Settings'!$B$11),"On track","Off track"))</f>
        <v/>
      </c>
      <c r="AM211" s="42">
        <f>IF($A211="","",IF($AD211&lt;'01_Settings'!$B$9,"Low completion rate; ","")&amp;IF($AE211&gt;'01_Settings'!$B$12,"High overdue rate; ","")&amp;IF($U211&lt;'01_Settings'!$B$13,"Low satisfaction; ","")&amp;IF($AH211&lt;'01_Settings'!$B$14,"Low gross margin; ","")&amp;IF($AJ211&lt;'01_Settings'!$B$15,"Low conversion rate; ","")&amp;IF($AK211&gt;'01_Settings'!$B$16,"High complaint rate; ",""))</f>
        <v/>
      </c>
    </row>
    <row r="212" ht="18" customHeight="1">
      <c r="A212" s="86" t="n"/>
      <c r="B212" s="26" t="n"/>
      <c r="C212" s="26" t="n"/>
      <c r="D212" s="26" t="n"/>
      <c r="E212" s="26" t="n"/>
      <c r="F212" s="26" t="n"/>
      <c r="G212" s="26" t="n"/>
      <c r="H212" s="26" t="n"/>
      <c r="I212" s="26" t="n"/>
      <c r="J212" s="87" t="n"/>
      <c r="K212" s="87" t="n"/>
      <c r="L212" s="87" t="n"/>
      <c r="M212" s="87" t="n"/>
      <c r="N212" s="88" t="n"/>
      <c r="O212" s="88" t="n"/>
      <c r="P212" s="89" t="n"/>
      <c r="Q212" s="87" t="n"/>
      <c r="R212" s="87" t="n"/>
      <c r="S212" s="87" t="n"/>
      <c r="T212" s="87" t="n"/>
      <c r="U212" s="89" t="n"/>
      <c r="V212" s="89" t="n"/>
      <c r="W212" s="89" t="n"/>
      <c r="X212" s="87" t="n"/>
      <c r="Y212" s="87" t="n"/>
      <c r="Z212" s="88" t="n"/>
      <c r="AA212" s="26" t="n"/>
      <c r="AB212" s="86">
        <f>IF($A212="","",$A212-WEEKDAY($A212,2)+1)</f>
        <v/>
      </c>
      <c r="AC212" s="86">
        <f>IF($A212="","",DATE(YEAR($A212),MONTH($A212),1))</f>
        <v/>
      </c>
      <c r="AD212" s="90">
        <f>IF($A212="","",IFERROR($K212/$J212,0))</f>
        <v/>
      </c>
      <c r="AE212" s="90">
        <f>IF($A212="","",IFERROR($L212/$J212,0))</f>
        <v/>
      </c>
      <c r="AF212" s="90">
        <f>IF($A212="","",IFERROR($M212/$J212,0))</f>
        <v/>
      </c>
      <c r="AG212" s="88">
        <f>IF($A212="","",$N212-$O212)</f>
        <v/>
      </c>
      <c r="AH212" s="90">
        <f>IF($A212="","",IFERROR($AG212/$N212,0))</f>
        <v/>
      </c>
      <c r="AI212" s="89">
        <f>IF($A212="","",IFERROR($K212/$P212,0))</f>
        <v/>
      </c>
      <c r="AJ212" s="90">
        <f>IF($A212="","",IFERROR($S212/$R212,0))</f>
        <v/>
      </c>
      <c r="AK212" s="90">
        <f>IF($A212="","",IFERROR($T212/$J212,0))</f>
        <v/>
      </c>
      <c r="AL212" s="26">
        <f>IF($A212="","",IF(AND($AD212&gt;='01_Settings'!$B$9,$V212&lt;='01_Settings'!$B$10,$W212&lt;='01_Settings'!$B$11),"On track","Off track"))</f>
        <v/>
      </c>
      <c r="AM212" s="42">
        <f>IF($A212="","",IF($AD212&lt;'01_Settings'!$B$9,"Low completion rate; ","")&amp;IF($AE212&gt;'01_Settings'!$B$12,"High overdue rate; ","")&amp;IF($U212&lt;'01_Settings'!$B$13,"Low satisfaction; ","")&amp;IF($AH212&lt;'01_Settings'!$B$14,"Low gross margin; ","")&amp;IF($AJ212&lt;'01_Settings'!$B$15,"Low conversion rate; ","")&amp;IF($AK212&gt;'01_Settings'!$B$16,"High complaint rate; ",""))</f>
        <v/>
      </c>
    </row>
    <row r="213" ht="18" customHeight="1">
      <c r="A213" s="86" t="n"/>
      <c r="B213" s="26" t="n"/>
      <c r="C213" s="26" t="n"/>
      <c r="D213" s="26" t="n"/>
      <c r="E213" s="26" t="n"/>
      <c r="F213" s="26" t="n"/>
      <c r="G213" s="26" t="n"/>
      <c r="H213" s="26" t="n"/>
      <c r="I213" s="26" t="n"/>
      <c r="J213" s="87" t="n"/>
      <c r="K213" s="87" t="n"/>
      <c r="L213" s="87" t="n"/>
      <c r="M213" s="87" t="n"/>
      <c r="N213" s="88" t="n"/>
      <c r="O213" s="88" t="n"/>
      <c r="P213" s="89" t="n"/>
      <c r="Q213" s="87" t="n"/>
      <c r="R213" s="87" t="n"/>
      <c r="S213" s="87" t="n"/>
      <c r="T213" s="87" t="n"/>
      <c r="U213" s="89" t="n"/>
      <c r="V213" s="89" t="n"/>
      <c r="W213" s="89" t="n"/>
      <c r="X213" s="87" t="n"/>
      <c r="Y213" s="87" t="n"/>
      <c r="Z213" s="88" t="n"/>
      <c r="AA213" s="26" t="n"/>
      <c r="AB213" s="86">
        <f>IF($A213="","",$A213-WEEKDAY($A213,2)+1)</f>
        <v/>
      </c>
      <c r="AC213" s="86">
        <f>IF($A213="","",DATE(YEAR($A213),MONTH($A213),1))</f>
        <v/>
      </c>
      <c r="AD213" s="90">
        <f>IF($A213="","",IFERROR($K213/$J213,0))</f>
        <v/>
      </c>
      <c r="AE213" s="90">
        <f>IF($A213="","",IFERROR($L213/$J213,0))</f>
        <v/>
      </c>
      <c r="AF213" s="90">
        <f>IF($A213="","",IFERROR($M213/$J213,0))</f>
        <v/>
      </c>
      <c r="AG213" s="88">
        <f>IF($A213="","",$N213-$O213)</f>
        <v/>
      </c>
      <c r="AH213" s="90">
        <f>IF($A213="","",IFERROR($AG213/$N213,0))</f>
        <v/>
      </c>
      <c r="AI213" s="89">
        <f>IF($A213="","",IFERROR($K213/$P213,0))</f>
        <v/>
      </c>
      <c r="AJ213" s="90">
        <f>IF($A213="","",IFERROR($S213/$R213,0))</f>
        <v/>
      </c>
      <c r="AK213" s="90">
        <f>IF($A213="","",IFERROR($T213/$J213,0))</f>
        <v/>
      </c>
      <c r="AL213" s="26">
        <f>IF($A213="","",IF(AND($AD213&gt;='01_Settings'!$B$9,$V213&lt;='01_Settings'!$B$10,$W213&lt;='01_Settings'!$B$11),"On track","Off track"))</f>
        <v/>
      </c>
      <c r="AM213" s="42">
        <f>IF($A213="","",IF($AD213&lt;'01_Settings'!$B$9,"Low completion rate; ","")&amp;IF($AE213&gt;'01_Settings'!$B$12,"High overdue rate; ","")&amp;IF($U213&lt;'01_Settings'!$B$13,"Low satisfaction; ","")&amp;IF($AH213&lt;'01_Settings'!$B$14,"Low gross margin; ","")&amp;IF($AJ213&lt;'01_Settings'!$B$15,"Low conversion rate; ","")&amp;IF($AK213&gt;'01_Settings'!$B$16,"High complaint rate; ",""))</f>
        <v/>
      </c>
    </row>
    <row r="214" ht="18" customHeight="1">
      <c r="A214" s="86" t="n"/>
      <c r="B214" s="26" t="n"/>
      <c r="C214" s="26" t="n"/>
      <c r="D214" s="26" t="n"/>
      <c r="E214" s="26" t="n"/>
      <c r="F214" s="26" t="n"/>
      <c r="G214" s="26" t="n"/>
      <c r="H214" s="26" t="n"/>
      <c r="I214" s="26" t="n"/>
      <c r="J214" s="87" t="n"/>
      <c r="K214" s="87" t="n"/>
      <c r="L214" s="87" t="n"/>
      <c r="M214" s="87" t="n"/>
      <c r="N214" s="88" t="n"/>
      <c r="O214" s="88" t="n"/>
      <c r="P214" s="89" t="n"/>
      <c r="Q214" s="87" t="n"/>
      <c r="R214" s="87" t="n"/>
      <c r="S214" s="87" t="n"/>
      <c r="T214" s="87" t="n"/>
      <c r="U214" s="89" t="n"/>
      <c r="V214" s="89" t="n"/>
      <c r="W214" s="89" t="n"/>
      <c r="X214" s="87" t="n"/>
      <c r="Y214" s="87" t="n"/>
      <c r="Z214" s="88" t="n"/>
      <c r="AA214" s="26" t="n"/>
      <c r="AB214" s="86">
        <f>IF($A214="","",$A214-WEEKDAY($A214,2)+1)</f>
        <v/>
      </c>
      <c r="AC214" s="86">
        <f>IF($A214="","",DATE(YEAR($A214),MONTH($A214),1))</f>
        <v/>
      </c>
      <c r="AD214" s="90">
        <f>IF($A214="","",IFERROR($K214/$J214,0))</f>
        <v/>
      </c>
      <c r="AE214" s="90">
        <f>IF($A214="","",IFERROR($L214/$J214,0))</f>
        <v/>
      </c>
      <c r="AF214" s="90">
        <f>IF($A214="","",IFERROR($M214/$J214,0))</f>
        <v/>
      </c>
      <c r="AG214" s="88">
        <f>IF($A214="","",$N214-$O214)</f>
        <v/>
      </c>
      <c r="AH214" s="90">
        <f>IF($A214="","",IFERROR($AG214/$N214,0))</f>
        <v/>
      </c>
      <c r="AI214" s="89">
        <f>IF($A214="","",IFERROR($K214/$P214,0))</f>
        <v/>
      </c>
      <c r="AJ214" s="90">
        <f>IF($A214="","",IFERROR($S214/$R214,0))</f>
        <v/>
      </c>
      <c r="AK214" s="90">
        <f>IF($A214="","",IFERROR($T214/$J214,0))</f>
        <v/>
      </c>
      <c r="AL214" s="26">
        <f>IF($A214="","",IF(AND($AD214&gt;='01_Settings'!$B$9,$V214&lt;='01_Settings'!$B$10,$W214&lt;='01_Settings'!$B$11),"On track","Off track"))</f>
        <v/>
      </c>
      <c r="AM214" s="42">
        <f>IF($A214="","",IF($AD214&lt;'01_Settings'!$B$9,"Low completion rate; ","")&amp;IF($AE214&gt;'01_Settings'!$B$12,"High overdue rate; ","")&amp;IF($U214&lt;'01_Settings'!$B$13,"Low satisfaction; ","")&amp;IF($AH214&lt;'01_Settings'!$B$14,"Low gross margin; ","")&amp;IF($AJ214&lt;'01_Settings'!$B$15,"Low conversion rate; ","")&amp;IF($AK214&gt;'01_Settings'!$B$16,"High complaint rate; ",""))</f>
        <v/>
      </c>
    </row>
    <row r="215" ht="18" customHeight="1">
      <c r="A215" s="86" t="n"/>
      <c r="B215" s="26" t="n"/>
      <c r="C215" s="26" t="n"/>
      <c r="D215" s="26" t="n"/>
      <c r="E215" s="26" t="n"/>
      <c r="F215" s="26" t="n"/>
      <c r="G215" s="26" t="n"/>
      <c r="H215" s="26" t="n"/>
      <c r="I215" s="26" t="n"/>
      <c r="J215" s="87" t="n"/>
      <c r="K215" s="87" t="n"/>
      <c r="L215" s="87" t="n"/>
      <c r="M215" s="87" t="n"/>
      <c r="N215" s="88" t="n"/>
      <c r="O215" s="88" t="n"/>
      <c r="P215" s="89" t="n"/>
      <c r="Q215" s="87" t="n"/>
      <c r="R215" s="87" t="n"/>
      <c r="S215" s="87" t="n"/>
      <c r="T215" s="87" t="n"/>
      <c r="U215" s="89" t="n"/>
      <c r="V215" s="89" t="n"/>
      <c r="W215" s="89" t="n"/>
      <c r="X215" s="87" t="n"/>
      <c r="Y215" s="87" t="n"/>
      <c r="Z215" s="88" t="n"/>
      <c r="AA215" s="26" t="n"/>
      <c r="AB215" s="86">
        <f>IF($A215="","",$A215-WEEKDAY($A215,2)+1)</f>
        <v/>
      </c>
      <c r="AC215" s="86">
        <f>IF($A215="","",DATE(YEAR($A215),MONTH($A215),1))</f>
        <v/>
      </c>
      <c r="AD215" s="90">
        <f>IF($A215="","",IFERROR($K215/$J215,0))</f>
        <v/>
      </c>
      <c r="AE215" s="90">
        <f>IF($A215="","",IFERROR($L215/$J215,0))</f>
        <v/>
      </c>
      <c r="AF215" s="90">
        <f>IF($A215="","",IFERROR($M215/$J215,0))</f>
        <v/>
      </c>
      <c r="AG215" s="88">
        <f>IF($A215="","",$N215-$O215)</f>
        <v/>
      </c>
      <c r="AH215" s="90">
        <f>IF($A215="","",IFERROR($AG215/$N215,0))</f>
        <v/>
      </c>
      <c r="AI215" s="89">
        <f>IF($A215="","",IFERROR($K215/$P215,0))</f>
        <v/>
      </c>
      <c r="AJ215" s="90">
        <f>IF($A215="","",IFERROR($S215/$R215,0))</f>
        <v/>
      </c>
      <c r="AK215" s="90">
        <f>IF($A215="","",IFERROR($T215/$J215,0))</f>
        <v/>
      </c>
      <c r="AL215" s="26">
        <f>IF($A215="","",IF(AND($AD215&gt;='01_Settings'!$B$9,$V215&lt;='01_Settings'!$B$10,$W215&lt;='01_Settings'!$B$11),"On track","Off track"))</f>
        <v/>
      </c>
      <c r="AM215" s="42">
        <f>IF($A215="","",IF($AD215&lt;'01_Settings'!$B$9,"Low completion rate; ","")&amp;IF($AE215&gt;'01_Settings'!$B$12,"High overdue rate; ","")&amp;IF($U215&lt;'01_Settings'!$B$13,"Low satisfaction; ","")&amp;IF($AH215&lt;'01_Settings'!$B$14,"Low gross margin; ","")&amp;IF($AJ215&lt;'01_Settings'!$B$15,"Low conversion rate; ","")&amp;IF($AK215&gt;'01_Settings'!$B$16,"High complaint rate; ",""))</f>
        <v/>
      </c>
    </row>
    <row r="216" ht="18" customHeight="1">
      <c r="A216" s="86" t="n"/>
      <c r="B216" s="26" t="n"/>
      <c r="C216" s="26" t="n"/>
      <c r="D216" s="26" t="n"/>
      <c r="E216" s="26" t="n"/>
      <c r="F216" s="26" t="n"/>
      <c r="G216" s="26" t="n"/>
      <c r="H216" s="26" t="n"/>
      <c r="I216" s="26" t="n"/>
      <c r="J216" s="87" t="n"/>
      <c r="K216" s="87" t="n"/>
      <c r="L216" s="87" t="n"/>
      <c r="M216" s="87" t="n"/>
      <c r="N216" s="88" t="n"/>
      <c r="O216" s="88" t="n"/>
      <c r="P216" s="89" t="n"/>
      <c r="Q216" s="87" t="n"/>
      <c r="R216" s="87" t="n"/>
      <c r="S216" s="87" t="n"/>
      <c r="T216" s="87" t="n"/>
      <c r="U216" s="89" t="n"/>
      <c r="V216" s="89" t="n"/>
      <c r="W216" s="89" t="n"/>
      <c r="X216" s="87" t="n"/>
      <c r="Y216" s="87" t="n"/>
      <c r="Z216" s="88" t="n"/>
      <c r="AA216" s="26" t="n"/>
      <c r="AB216" s="86">
        <f>IF($A216="","",$A216-WEEKDAY($A216,2)+1)</f>
        <v/>
      </c>
      <c r="AC216" s="86">
        <f>IF($A216="","",DATE(YEAR($A216),MONTH($A216),1))</f>
        <v/>
      </c>
      <c r="AD216" s="90">
        <f>IF($A216="","",IFERROR($K216/$J216,0))</f>
        <v/>
      </c>
      <c r="AE216" s="90">
        <f>IF($A216="","",IFERROR($L216/$J216,0))</f>
        <v/>
      </c>
      <c r="AF216" s="90">
        <f>IF($A216="","",IFERROR($M216/$J216,0))</f>
        <v/>
      </c>
      <c r="AG216" s="88">
        <f>IF($A216="","",$N216-$O216)</f>
        <v/>
      </c>
      <c r="AH216" s="90">
        <f>IF($A216="","",IFERROR($AG216/$N216,0))</f>
        <v/>
      </c>
      <c r="AI216" s="89">
        <f>IF($A216="","",IFERROR($K216/$P216,0))</f>
        <v/>
      </c>
      <c r="AJ216" s="90">
        <f>IF($A216="","",IFERROR($S216/$R216,0))</f>
        <v/>
      </c>
      <c r="AK216" s="90">
        <f>IF($A216="","",IFERROR($T216/$J216,0))</f>
        <v/>
      </c>
      <c r="AL216" s="26">
        <f>IF($A216="","",IF(AND($AD216&gt;='01_Settings'!$B$9,$V216&lt;='01_Settings'!$B$10,$W216&lt;='01_Settings'!$B$11),"On track","Off track"))</f>
        <v/>
      </c>
      <c r="AM216" s="42">
        <f>IF($A216="","",IF($AD216&lt;'01_Settings'!$B$9,"Low completion rate; ","")&amp;IF($AE216&gt;'01_Settings'!$B$12,"High overdue rate; ","")&amp;IF($U216&lt;'01_Settings'!$B$13,"Low satisfaction; ","")&amp;IF($AH216&lt;'01_Settings'!$B$14,"Low gross margin; ","")&amp;IF($AJ216&lt;'01_Settings'!$B$15,"Low conversion rate; ","")&amp;IF($AK216&gt;'01_Settings'!$B$16,"High complaint rate; ",""))</f>
        <v/>
      </c>
    </row>
    <row r="217" ht="18" customHeight="1">
      <c r="A217" s="86" t="n"/>
      <c r="B217" s="26" t="n"/>
      <c r="C217" s="26" t="n"/>
      <c r="D217" s="26" t="n"/>
      <c r="E217" s="26" t="n"/>
      <c r="F217" s="26" t="n"/>
      <c r="G217" s="26" t="n"/>
      <c r="H217" s="26" t="n"/>
      <c r="I217" s="26" t="n"/>
      <c r="J217" s="87" t="n"/>
      <c r="K217" s="87" t="n"/>
      <c r="L217" s="87" t="n"/>
      <c r="M217" s="87" t="n"/>
      <c r="N217" s="88" t="n"/>
      <c r="O217" s="88" t="n"/>
      <c r="P217" s="89" t="n"/>
      <c r="Q217" s="87" t="n"/>
      <c r="R217" s="87" t="n"/>
      <c r="S217" s="87" t="n"/>
      <c r="T217" s="87" t="n"/>
      <c r="U217" s="89" t="n"/>
      <c r="V217" s="89" t="n"/>
      <c r="W217" s="89" t="n"/>
      <c r="X217" s="87" t="n"/>
      <c r="Y217" s="87" t="n"/>
      <c r="Z217" s="88" t="n"/>
      <c r="AA217" s="26" t="n"/>
      <c r="AB217" s="86">
        <f>IF($A217="","",$A217-WEEKDAY($A217,2)+1)</f>
        <v/>
      </c>
      <c r="AC217" s="86">
        <f>IF($A217="","",DATE(YEAR($A217),MONTH($A217),1))</f>
        <v/>
      </c>
      <c r="AD217" s="90">
        <f>IF($A217="","",IFERROR($K217/$J217,0))</f>
        <v/>
      </c>
      <c r="AE217" s="90">
        <f>IF($A217="","",IFERROR($L217/$J217,0))</f>
        <v/>
      </c>
      <c r="AF217" s="90">
        <f>IF($A217="","",IFERROR($M217/$J217,0))</f>
        <v/>
      </c>
      <c r="AG217" s="88">
        <f>IF($A217="","",$N217-$O217)</f>
        <v/>
      </c>
      <c r="AH217" s="90">
        <f>IF($A217="","",IFERROR($AG217/$N217,0))</f>
        <v/>
      </c>
      <c r="AI217" s="89">
        <f>IF($A217="","",IFERROR($K217/$P217,0))</f>
        <v/>
      </c>
      <c r="AJ217" s="90">
        <f>IF($A217="","",IFERROR($S217/$R217,0))</f>
        <v/>
      </c>
      <c r="AK217" s="90">
        <f>IF($A217="","",IFERROR($T217/$J217,0))</f>
        <v/>
      </c>
      <c r="AL217" s="26">
        <f>IF($A217="","",IF(AND($AD217&gt;='01_Settings'!$B$9,$V217&lt;='01_Settings'!$B$10,$W217&lt;='01_Settings'!$B$11),"On track","Off track"))</f>
        <v/>
      </c>
      <c r="AM217" s="42">
        <f>IF($A217="","",IF($AD217&lt;'01_Settings'!$B$9,"Low completion rate; ","")&amp;IF($AE217&gt;'01_Settings'!$B$12,"High overdue rate; ","")&amp;IF($U217&lt;'01_Settings'!$B$13,"Low satisfaction; ","")&amp;IF($AH217&lt;'01_Settings'!$B$14,"Low gross margin; ","")&amp;IF($AJ217&lt;'01_Settings'!$B$15,"Low conversion rate; ","")&amp;IF($AK217&gt;'01_Settings'!$B$16,"High complaint rate; ",""))</f>
        <v/>
      </c>
    </row>
    <row r="218" ht="18" customHeight="1">
      <c r="A218" s="86" t="n"/>
      <c r="B218" s="26" t="n"/>
      <c r="C218" s="26" t="n"/>
      <c r="D218" s="26" t="n"/>
      <c r="E218" s="26" t="n"/>
      <c r="F218" s="26" t="n"/>
      <c r="G218" s="26" t="n"/>
      <c r="H218" s="26" t="n"/>
      <c r="I218" s="26" t="n"/>
      <c r="J218" s="87" t="n"/>
      <c r="K218" s="87" t="n"/>
      <c r="L218" s="87" t="n"/>
      <c r="M218" s="87" t="n"/>
      <c r="N218" s="88" t="n"/>
      <c r="O218" s="88" t="n"/>
      <c r="P218" s="89" t="n"/>
      <c r="Q218" s="87" t="n"/>
      <c r="R218" s="87" t="n"/>
      <c r="S218" s="87" t="n"/>
      <c r="T218" s="87" t="n"/>
      <c r="U218" s="89" t="n"/>
      <c r="V218" s="89" t="n"/>
      <c r="W218" s="89" t="n"/>
      <c r="X218" s="87" t="n"/>
      <c r="Y218" s="87" t="n"/>
      <c r="Z218" s="88" t="n"/>
      <c r="AA218" s="26" t="n"/>
      <c r="AB218" s="86">
        <f>IF($A218="","",$A218-WEEKDAY($A218,2)+1)</f>
        <v/>
      </c>
      <c r="AC218" s="86">
        <f>IF($A218="","",DATE(YEAR($A218),MONTH($A218),1))</f>
        <v/>
      </c>
      <c r="AD218" s="90">
        <f>IF($A218="","",IFERROR($K218/$J218,0))</f>
        <v/>
      </c>
      <c r="AE218" s="90">
        <f>IF($A218="","",IFERROR($L218/$J218,0))</f>
        <v/>
      </c>
      <c r="AF218" s="90">
        <f>IF($A218="","",IFERROR($M218/$J218,0))</f>
        <v/>
      </c>
      <c r="AG218" s="88">
        <f>IF($A218="","",$N218-$O218)</f>
        <v/>
      </c>
      <c r="AH218" s="90">
        <f>IF($A218="","",IFERROR($AG218/$N218,0))</f>
        <v/>
      </c>
      <c r="AI218" s="89">
        <f>IF($A218="","",IFERROR($K218/$P218,0))</f>
        <v/>
      </c>
      <c r="AJ218" s="90">
        <f>IF($A218="","",IFERROR($S218/$R218,0))</f>
        <v/>
      </c>
      <c r="AK218" s="90">
        <f>IF($A218="","",IFERROR($T218/$J218,0))</f>
        <v/>
      </c>
      <c r="AL218" s="26">
        <f>IF($A218="","",IF(AND($AD218&gt;='01_Settings'!$B$9,$V218&lt;='01_Settings'!$B$10,$W218&lt;='01_Settings'!$B$11),"On track","Off track"))</f>
        <v/>
      </c>
      <c r="AM218" s="42">
        <f>IF($A218="","",IF($AD218&lt;'01_Settings'!$B$9,"Low completion rate; ","")&amp;IF($AE218&gt;'01_Settings'!$B$12,"High overdue rate; ","")&amp;IF($U218&lt;'01_Settings'!$B$13,"Low satisfaction; ","")&amp;IF($AH218&lt;'01_Settings'!$B$14,"Low gross margin; ","")&amp;IF($AJ218&lt;'01_Settings'!$B$15,"Low conversion rate; ","")&amp;IF($AK218&gt;'01_Settings'!$B$16,"High complaint rate; ",""))</f>
        <v/>
      </c>
    </row>
    <row r="219" ht="18" customHeight="1">
      <c r="A219" s="86" t="n"/>
      <c r="B219" s="26" t="n"/>
      <c r="C219" s="26" t="n"/>
      <c r="D219" s="26" t="n"/>
      <c r="E219" s="26" t="n"/>
      <c r="F219" s="26" t="n"/>
      <c r="G219" s="26" t="n"/>
      <c r="H219" s="26" t="n"/>
      <c r="I219" s="26" t="n"/>
      <c r="J219" s="87" t="n"/>
      <c r="K219" s="87" t="n"/>
      <c r="L219" s="87" t="n"/>
      <c r="M219" s="87" t="n"/>
      <c r="N219" s="88" t="n"/>
      <c r="O219" s="88" t="n"/>
      <c r="P219" s="89" t="n"/>
      <c r="Q219" s="87" t="n"/>
      <c r="R219" s="87" t="n"/>
      <c r="S219" s="87" t="n"/>
      <c r="T219" s="87" t="n"/>
      <c r="U219" s="89" t="n"/>
      <c r="V219" s="89" t="n"/>
      <c r="W219" s="89" t="n"/>
      <c r="X219" s="87" t="n"/>
      <c r="Y219" s="87" t="n"/>
      <c r="Z219" s="88" t="n"/>
      <c r="AA219" s="26" t="n"/>
      <c r="AB219" s="86">
        <f>IF($A219="","",$A219-WEEKDAY($A219,2)+1)</f>
        <v/>
      </c>
      <c r="AC219" s="86">
        <f>IF($A219="","",DATE(YEAR($A219),MONTH($A219),1))</f>
        <v/>
      </c>
      <c r="AD219" s="90">
        <f>IF($A219="","",IFERROR($K219/$J219,0))</f>
        <v/>
      </c>
      <c r="AE219" s="90">
        <f>IF($A219="","",IFERROR($L219/$J219,0))</f>
        <v/>
      </c>
      <c r="AF219" s="90">
        <f>IF($A219="","",IFERROR($M219/$J219,0))</f>
        <v/>
      </c>
      <c r="AG219" s="88">
        <f>IF($A219="","",$N219-$O219)</f>
        <v/>
      </c>
      <c r="AH219" s="90">
        <f>IF($A219="","",IFERROR($AG219/$N219,0))</f>
        <v/>
      </c>
      <c r="AI219" s="89">
        <f>IF($A219="","",IFERROR($K219/$P219,0))</f>
        <v/>
      </c>
      <c r="AJ219" s="90">
        <f>IF($A219="","",IFERROR($S219/$R219,0))</f>
        <v/>
      </c>
      <c r="AK219" s="90">
        <f>IF($A219="","",IFERROR($T219/$J219,0))</f>
        <v/>
      </c>
      <c r="AL219" s="26">
        <f>IF($A219="","",IF(AND($AD219&gt;='01_Settings'!$B$9,$V219&lt;='01_Settings'!$B$10,$W219&lt;='01_Settings'!$B$11),"On track","Off track"))</f>
        <v/>
      </c>
      <c r="AM219" s="42">
        <f>IF($A219="","",IF($AD219&lt;'01_Settings'!$B$9,"Low completion rate; ","")&amp;IF($AE219&gt;'01_Settings'!$B$12,"High overdue rate; ","")&amp;IF($U219&lt;'01_Settings'!$B$13,"Low satisfaction; ","")&amp;IF($AH219&lt;'01_Settings'!$B$14,"Low gross margin; ","")&amp;IF($AJ219&lt;'01_Settings'!$B$15,"Low conversion rate; ","")&amp;IF($AK219&gt;'01_Settings'!$B$16,"High complaint rate; ",""))</f>
        <v/>
      </c>
    </row>
    <row r="220" ht="18" customHeight="1">
      <c r="A220" s="86" t="n"/>
      <c r="B220" s="26" t="n"/>
      <c r="C220" s="26" t="n"/>
      <c r="D220" s="26" t="n"/>
      <c r="E220" s="26" t="n"/>
      <c r="F220" s="26" t="n"/>
      <c r="G220" s="26" t="n"/>
      <c r="H220" s="26" t="n"/>
      <c r="I220" s="26" t="n"/>
      <c r="J220" s="87" t="n"/>
      <c r="K220" s="87" t="n"/>
      <c r="L220" s="87" t="n"/>
      <c r="M220" s="87" t="n"/>
      <c r="N220" s="88" t="n"/>
      <c r="O220" s="88" t="n"/>
      <c r="P220" s="89" t="n"/>
      <c r="Q220" s="87" t="n"/>
      <c r="R220" s="87" t="n"/>
      <c r="S220" s="87" t="n"/>
      <c r="T220" s="87" t="n"/>
      <c r="U220" s="89" t="n"/>
      <c r="V220" s="89" t="n"/>
      <c r="W220" s="89" t="n"/>
      <c r="X220" s="87" t="n"/>
      <c r="Y220" s="87" t="n"/>
      <c r="Z220" s="88" t="n"/>
      <c r="AA220" s="26" t="n"/>
      <c r="AB220" s="86">
        <f>IF($A220="","",$A220-WEEKDAY($A220,2)+1)</f>
        <v/>
      </c>
      <c r="AC220" s="86">
        <f>IF($A220="","",DATE(YEAR($A220),MONTH($A220),1))</f>
        <v/>
      </c>
      <c r="AD220" s="90">
        <f>IF($A220="","",IFERROR($K220/$J220,0))</f>
        <v/>
      </c>
      <c r="AE220" s="90">
        <f>IF($A220="","",IFERROR($L220/$J220,0))</f>
        <v/>
      </c>
      <c r="AF220" s="90">
        <f>IF($A220="","",IFERROR($M220/$J220,0))</f>
        <v/>
      </c>
      <c r="AG220" s="88">
        <f>IF($A220="","",$N220-$O220)</f>
        <v/>
      </c>
      <c r="AH220" s="90">
        <f>IF($A220="","",IFERROR($AG220/$N220,0))</f>
        <v/>
      </c>
      <c r="AI220" s="89">
        <f>IF($A220="","",IFERROR($K220/$P220,0))</f>
        <v/>
      </c>
      <c r="AJ220" s="90">
        <f>IF($A220="","",IFERROR($S220/$R220,0))</f>
        <v/>
      </c>
      <c r="AK220" s="90">
        <f>IF($A220="","",IFERROR($T220/$J220,0))</f>
        <v/>
      </c>
      <c r="AL220" s="26">
        <f>IF($A220="","",IF(AND($AD220&gt;='01_Settings'!$B$9,$V220&lt;='01_Settings'!$B$10,$W220&lt;='01_Settings'!$B$11),"On track","Off track"))</f>
        <v/>
      </c>
      <c r="AM220" s="42">
        <f>IF($A220="","",IF($AD220&lt;'01_Settings'!$B$9,"Low completion rate; ","")&amp;IF($AE220&gt;'01_Settings'!$B$12,"High overdue rate; ","")&amp;IF($U220&lt;'01_Settings'!$B$13,"Low satisfaction; ","")&amp;IF($AH220&lt;'01_Settings'!$B$14,"Low gross margin; ","")&amp;IF($AJ220&lt;'01_Settings'!$B$15,"Low conversion rate; ","")&amp;IF($AK220&gt;'01_Settings'!$B$16,"High complaint rate; ",""))</f>
        <v/>
      </c>
    </row>
    <row r="221" ht="18" customHeight="1">
      <c r="A221" s="86" t="n"/>
      <c r="B221" s="26" t="n"/>
      <c r="C221" s="26" t="n"/>
      <c r="D221" s="26" t="n"/>
      <c r="E221" s="26" t="n"/>
      <c r="F221" s="26" t="n"/>
      <c r="G221" s="26" t="n"/>
      <c r="H221" s="26" t="n"/>
      <c r="I221" s="26" t="n"/>
      <c r="J221" s="87" t="n"/>
      <c r="K221" s="87" t="n"/>
      <c r="L221" s="87" t="n"/>
      <c r="M221" s="87" t="n"/>
      <c r="N221" s="88" t="n"/>
      <c r="O221" s="88" t="n"/>
      <c r="P221" s="89" t="n"/>
      <c r="Q221" s="87" t="n"/>
      <c r="R221" s="87" t="n"/>
      <c r="S221" s="87" t="n"/>
      <c r="T221" s="87" t="n"/>
      <c r="U221" s="89" t="n"/>
      <c r="V221" s="89" t="n"/>
      <c r="W221" s="89" t="n"/>
      <c r="X221" s="87" t="n"/>
      <c r="Y221" s="87" t="n"/>
      <c r="Z221" s="88" t="n"/>
      <c r="AA221" s="26" t="n"/>
      <c r="AB221" s="86">
        <f>IF($A221="","",$A221-WEEKDAY($A221,2)+1)</f>
        <v/>
      </c>
      <c r="AC221" s="86">
        <f>IF($A221="","",DATE(YEAR($A221),MONTH($A221),1))</f>
        <v/>
      </c>
      <c r="AD221" s="90">
        <f>IF($A221="","",IFERROR($K221/$J221,0))</f>
        <v/>
      </c>
      <c r="AE221" s="90">
        <f>IF($A221="","",IFERROR($L221/$J221,0))</f>
        <v/>
      </c>
      <c r="AF221" s="90">
        <f>IF($A221="","",IFERROR($M221/$J221,0))</f>
        <v/>
      </c>
      <c r="AG221" s="88">
        <f>IF($A221="","",$N221-$O221)</f>
        <v/>
      </c>
      <c r="AH221" s="90">
        <f>IF($A221="","",IFERROR($AG221/$N221,0))</f>
        <v/>
      </c>
      <c r="AI221" s="89">
        <f>IF($A221="","",IFERROR($K221/$P221,0))</f>
        <v/>
      </c>
      <c r="AJ221" s="90">
        <f>IF($A221="","",IFERROR($S221/$R221,0))</f>
        <v/>
      </c>
      <c r="AK221" s="90">
        <f>IF($A221="","",IFERROR($T221/$J221,0))</f>
        <v/>
      </c>
      <c r="AL221" s="26">
        <f>IF($A221="","",IF(AND($AD221&gt;='01_Settings'!$B$9,$V221&lt;='01_Settings'!$B$10,$W221&lt;='01_Settings'!$B$11),"On track","Off track"))</f>
        <v/>
      </c>
      <c r="AM221" s="42">
        <f>IF($A221="","",IF($AD221&lt;'01_Settings'!$B$9,"Low completion rate; ","")&amp;IF($AE221&gt;'01_Settings'!$B$12,"High overdue rate; ","")&amp;IF($U221&lt;'01_Settings'!$B$13,"Low satisfaction; ","")&amp;IF($AH221&lt;'01_Settings'!$B$14,"Low gross margin; ","")&amp;IF($AJ221&lt;'01_Settings'!$B$15,"Low conversion rate; ","")&amp;IF($AK221&gt;'01_Settings'!$B$16,"High complaint rate; ",""))</f>
        <v/>
      </c>
    </row>
    <row r="222" ht="18" customHeight="1">
      <c r="A222" s="86" t="n"/>
      <c r="B222" s="26" t="n"/>
      <c r="C222" s="26" t="n"/>
      <c r="D222" s="26" t="n"/>
      <c r="E222" s="26" t="n"/>
      <c r="F222" s="26" t="n"/>
      <c r="G222" s="26" t="n"/>
      <c r="H222" s="26" t="n"/>
      <c r="I222" s="26" t="n"/>
      <c r="J222" s="87" t="n"/>
      <c r="K222" s="87" t="n"/>
      <c r="L222" s="87" t="n"/>
      <c r="M222" s="87" t="n"/>
      <c r="N222" s="88" t="n"/>
      <c r="O222" s="88" t="n"/>
      <c r="P222" s="89" t="n"/>
      <c r="Q222" s="87" t="n"/>
      <c r="R222" s="87" t="n"/>
      <c r="S222" s="87" t="n"/>
      <c r="T222" s="87" t="n"/>
      <c r="U222" s="89" t="n"/>
      <c r="V222" s="89" t="n"/>
      <c r="W222" s="89" t="n"/>
      <c r="X222" s="87" t="n"/>
      <c r="Y222" s="87" t="n"/>
      <c r="Z222" s="88" t="n"/>
      <c r="AA222" s="26" t="n"/>
      <c r="AB222" s="86">
        <f>IF($A222="","",$A222-WEEKDAY($A222,2)+1)</f>
        <v/>
      </c>
      <c r="AC222" s="86">
        <f>IF($A222="","",DATE(YEAR($A222),MONTH($A222),1))</f>
        <v/>
      </c>
      <c r="AD222" s="90">
        <f>IF($A222="","",IFERROR($K222/$J222,0))</f>
        <v/>
      </c>
      <c r="AE222" s="90">
        <f>IF($A222="","",IFERROR($L222/$J222,0))</f>
        <v/>
      </c>
      <c r="AF222" s="90">
        <f>IF($A222="","",IFERROR($M222/$J222,0))</f>
        <v/>
      </c>
      <c r="AG222" s="88">
        <f>IF($A222="","",$N222-$O222)</f>
        <v/>
      </c>
      <c r="AH222" s="90">
        <f>IF($A222="","",IFERROR($AG222/$N222,0))</f>
        <v/>
      </c>
      <c r="AI222" s="89">
        <f>IF($A222="","",IFERROR($K222/$P222,0))</f>
        <v/>
      </c>
      <c r="AJ222" s="90">
        <f>IF($A222="","",IFERROR($S222/$R222,0))</f>
        <v/>
      </c>
      <c r="AK222" s="90">
        <f>IF($A222="","",IFERROR($T222/$J222,0))</f>
        <v/>
      </c>
      <c r="AL222" s="26">
        <f>IF($A222="","",IF(AND($AD222&gt;='01_Settings'!$B$9,$V222&lt;='01_Settings'!$B$10,$W222&lt;='01_Settings'!$B$11),"On track","Off track"))</f>
        <v/>
      </c>
      <c r="AM222" s="42">
        <f>IF($A222="","",IF($AD222&lt;'01_Settings'!$B$9,"Low completion rate; ","")&amp;IF($AE222&gt;'01_Settings'!$B$12,"High overdue rate; ","")&amp;IF($U222&lt;'01_Settings'!$B$13,"Low satisfaction; ","")&amp;IF($AH222&lt;'01_Settings'!$B$14,"Low gross margin; ","")&amp;IF($AJ222&lt;'01_Settings'!$B$15,"Low conversion rate; ","")&amp;IF($AK222&gt;'01_Settings'!$B$16,"High complaint rate; ",""))</f>
        <v/>
      </c>
    </row>
    <row r="223" ht="18" customHeight="1">
      <c r="A223" s="86" t="n"/>
      <c r="B223" s="26" t="n"/>
      <c r="C223" s="26" t="n"/>
      <c r="D223" s="26" t="n"/>
      <c r="E223" s="26" t="n"/>
      <c r="F223" s="26" t="n"/>
      <c r="G223" s="26" t="n"/>
      <c r="H223" s="26" t="n"/>
      <c r="I223" s="26" t="n"/>
      <c r="J223" s="87" t="n"/>
      <c r="K223" s="87" t="n"/>
      <c r="L223" s="87" t="n"/>
      <c r="M223" s="87" t="n"/>
      <c r="N223" s="88" t="n"/>
      <c r="O223" s="88" t="n"/>
      <c r="P223" s="89" t="n"/>
      <c r="Q223" s="87" t="n"/>
      <c r="R223" s="87" t="n"/>
      <c r="S223" s="87" t="n"/>
      <c r="T223" s="87" t="n"/>
      <c r="U223" s="89" t="n"/>
      <c r="V223" s="89" t="n"/>
      <c r="W223" s="89" t="n"/>
      <c r="X223" s="87" t="n"/>
      <c r="Y223" s="87" t="n"/>
      <c r="Z223" s="88" t="n"/>
      <c r="AA223" s="26" t="n"/>
      <c r="AB223" s="86">
        <f>IF($A223="","",$A223-WEEKDAY($A223,2)+1)</f>
        <v/>
      </c>
      <c r="AC223" s="86">
        <f>IF($A223="","",DATE(YEAR($A223),MONTH($A223),1))</f>
        <v/>
      </c>
      <c r="AD223" s="90">
        <f>IF($A223="","",IFERROR($K223/$J223,0))</f>
        <v/>
      </c>
      <c r="AE223" s="90">
        <f>IF($A223="","",IFERROR($L223/$J223,0))</f>
        <v/>
      </c>
      <c r="AF223" s="90">
        <f>IF($A223="","",IFERROR($M223/$J223,0))</f>
        <v/>
      </c>
      <c r="AG223" s="88">
        <f>IF($A223="","",$N223-$O223)</f>
        <v/>
      </c>
      <c r="AH223" s="90">
        <f>IF($A223="","",IFERROR($AG223/$N223,0))</f>
        <v/>
      </c>
      <c r="AI223" s="89">
        <f>IF($A223="","",IFERROR($K223/$P223,0))</f>
        <v/>
      </c>
      <c r="AJ223" s="90">
        <f>IF($A223="","",IFERROR($S223/$R223,0))</f>
        <v/>
      </c>
      <c r="AK223" s="90">
        <f>IF($A223="","",IFERROR($T223/$J223,0))</f>
        <v/>
      </c>
      <c r="AL223" s="26">
        <f>IF($A223="","",IF(AND($AD223&gt;='01_Settings'!$B$9,$V223&lt;='01_Settings'!$B$10,$W223&lt;='01_Settings'!$B$11),"On track","Off track"))</f>
        <v/>
      </c>
      <c r="AM223" s="42">
        <f>IF($A223="","",IF($AD223&lt;'01_Settings'!$B$9,"Low completion rate; ","")&amp;IF($AE223&gt;'01_Settings'!$B$12,"High overdue rate; ","")&amp;IF($U223&lt;'01_Settings'!$B$13,"Low satisfaction; ","")&amp;IF($AH223&lt;'01_Settings'!$B$14,"Low gross margin; ","")&amp;IF($AJ223&lt;'01_Settings'!$B$15,"Low conversion rate; ","")&amp;IF($AK223&gt;'01_Settings'!$B$16,"High complaint rate; ",""))</f>
        <v/>
      </c>
    </row>
    <row r="224" ht="18" customHeight="1">
      <c r="A224" s="86" t="n"/>
      <c r="B224" s="26" t="n"/>
      <c r="C224" s="26" t="n"/>
      <c r="D224" s="26" t="n"/>
      <c r="E224" s="26" t="n"/>
      <c r="F224" s="26" t="n"/>
      <c r="G224" s="26" t="n"/>
      <c r="H224" s="26" t="n"/>
      <c r="I224" s="26" t="n"/>
      <c r="J224" s="87" t="n"/>
      <c r="K224" s="87" t="n"/>
      <c r="L224" s="87" t="n"/>
      <c r="M224" s="87" t="n"/>
      <c r="N224" s="88" t="n"/>
      <c r="O224" s="88" t="n"/>
      <c r="P224" s="89" t="n"/>
      <c r="Q224" s="87" t="n"/>
      <c r="R224" s="87" t="n"/>
      <c r="S224" s="87" t="n"/>
      <c r="T224" s="87" t="n"/>
      <c r="U224" s="89" t="n"/>
      <c r="V224" s="89" t="n"/>
      <c r="W224" s="89" t="n"/>
      <c r="X224" s="87" t="n"/>
      <c r="Y224" s="87" t="n"/>
      <c r="Z224" s="88" t="n"/>
      <c r="AA224" s="26" t="n"/>
      <c r="AB224" s="86">
        <f>IF($A224="","",$A224-WEEKDAY($A224,2)+1)</f>
        <v/>
      </c>
      <c r="AC224" s="86">
        <f>IF($A224="","",DATE(YEAR($A224),MONTH($A224),1))</f>
        <v/>
      </c>
      <c r="AD224" s="90">
        <f>IF($A224="","",IFERROR($K224/$J224,0))</f>
        <v/>
      </c>
      <c r="AE224" s="90">
        <f>IF($A224="","",IFERROR($L224/$J224,0))</f>
        <v/>
      </c>
      <c r="AF224" s="90">
        <f>IF($A224="","",IFERROR($M224/$J224,0))</f>
        <v/>
      </c>
      <c r="AG224" s="88">
        <f>IF($A224="","",$N224-$O224)</f>
        <v/>
      </c>
      <c r="AH224" s="90">
        <f>IF($A224="","",IFERROR($AG224/$N224,0))</f>
        <v/>
      </c>
      <c r="AI224" s="89">
        <f>IF($A224="","",IFERROR($K224/$P224,0))</f>
        <v/>
      </c>
      <c r="AJ224" s="90">
        <f>IF($A224="","",IFERROR($S224/$R224,0))</f>
        <v/>
      </c>
      <c r="AK224" s="90">
        <f>IF($A224="","",IFERROR($T224/$J224,0))</f>
        <v/>
      </c>
      <c r="AL224" s="26">
        <f>IF($A224="","",IF(AND($AD224&gt;='01_Settings'!$B$9,$V224&lt;='01_Settings'!$B$10,$W224&lt;='01_Settings'!$B$11),"On track","Off track"))</f>
        <v/>
      </c>
      <c r="AM224" s="42">
        <f>IF($A224="","",IF($AD224&lt;'01_Settings'!$B$9,"Low completion rate; ","")&amp;IF($AE224&gt;'01_Settings'!$B$12,"High overdue rate; ","")&amp;IF($U224&lt;'01_Settings'!$B$13,"Low satisfaction; ","")&amp;IF($AH224&lt;'01_Settings'!$B$14,"Low gross margin; ","")&amp;IF($AJ224&lt;'01_Settings'!$B$15,"Low conversion rate; ","")&amp;IF($AK224&gt;'01_Settings'!$B$16,"High complaint rate; ",""))</f>
        <v/>
      </c>
    </row>
    <row r="225" ht="18" customHeight="1">
      <c r="A225" s="86" t="n"/>
      <c r="B225" s="26" t="n"/>
      <c r="C225" s="26" t="n"/>
      <c r="D225" s="26" t="n"/>
      <c r="E225" s="26" t="n"/>
      <c r="F225" s="26" t="n"/>
      <c r="G225" s="26" t="n"/>
      <c r="H225" s="26" t="n"/>
      <c r="I225" s="26" t="n"/>
      <c r="J225" s="87" t="n"/>
      <c r="K225" s="87" t="n"/>
      <c r="L225" s="87" t="n"/>
      <c r="M225" s="87" t="n"/>
      <c r="N225" s="88" t="n"/>
      <c r="O225" s="88" t="n"/>
      <c r="P225" s="89" t="n"/>
      <c r="Q225" s="87" t="n"/>
      <c r="R225" s="87" t="n"/>
      <c r="S225" s="87" t="n"/>
      <c r="T225" s="87" t="n"/>
      <c r="U225" s="89" t="n"/>
      <c r="V225" s="89" t="n"/>
      <c r="W225" s="89" t="n"/>
      <c r="X225" s="87" t="n"/>
      <c r="Y225" s="87" t="n"/>
      <c r="Z225" s="88" t="n"/>
      <c r="AA225" s="26" t="n"/>
      <c r="AB225" s="86">
        <f>IF($A225="","",$A225-WEEKDAY($A225,2)+1)</f>
        <v/>
      </c>
      <c r="AC225" s="86">
        <f>IF($A225="","",DATE(YEAR($A225),MONTH($A225),1))</f>
        <v/>
      </c>
      <c r="AD225" s="90">
        <f>IF($A225="","",IFERROR($K225/$J225,0))</f>
        <v/>
      </c>
      <c r="AE225" s="90">
        <f>IF($A225="","",IFERROR($L225/$J225,0))</f>
        <v/>
      </c>
      <c r="AF225" s="90">
        <f>IF($A225="","",IFERROR($M225/$J225,0))</f>
        <v/>
      </c>
      <c r="AG225" s="88">
        <f>IF($A225="","",$N225-$O225)</f>
        <v/>
      </c>
      <c r="AH225" s="90">
        <f>IF($A225="","",IFERROR($AG225/$N225,0))</f>
        <v/>
      </c>
      <c r="AI225" s="89">
        <f>IF($A225="","",IFERROR($K225/$P225,0))</f>
        <v/>
      </c>
      <c r="AJ225" s="90">
        <f>IF($A225="","",IFERROR($S225/$R225,0))</f>
        <v/>
      </c>
      <c r="AK225" s="90">
        <f>IF($A225="","",IFERROR($T225/$J225,0))</f>
        <v/>
      </c>
      <c r="AL225" s="26">
        <f>IF($A225="","",IF(AND($AD225&gt;='01_Settings'!$B$9,$V225&lt;='01_Settings'!$B$10,$W225&lt;='01_Settings'!$B$11),"On track","Off track"))</f>
        <v/>
      </c>
      <c r="AM225" s="42">
        <f>IF($A225="","",IF($AD225&lt;'01_Settings'!$B$9,"Low completion rate; ","")&amp;IF($AE225&gt;'01_Settings'!$B$12,"High overdue rate; ","")&amp;IF($U225&lt;'01_Settings'!$B$13,"Low satisfaction; ","")&amp;IF($AH225&lt;'01_Settings'!$B$14,"Low gross margin; ","")&amp;IF($AJ225&lt;'01_Settings'!$B$15,"Low conversion rate; ","")&amp;IF($AK225&gt;'01_Settings'!$B$16,"High complaint rate; ",""))</f>
        <v/>
      </c>
    </row>
    <row r="226" ht="18" customHeight="1">
      <c r="A226" s="86" t="n"/>
      <c r="B226" s="26" t="n"/>
      <c r="C226" s="26" t="n"/>
      <c r="D226" s="26" t="n"/>
      <c r="E226" s="26" t="n"/>
      <c r="F226" s="26" t="n"/>
      <c r="G226" s="26" t="n"/>
      <c r="H226" s="26" t="n"/>
      <c r="I226" s="26" t="n"/>
      <c r="J226" s="87" t="n"/>
      <c r="K226" s="87" t="n"/>
      <c r="L226" s="87" t="n"/>
      <c r="M226" s="87" t="n"/>
      <c r="N226" s="88" t="n"/>
      <c r="O226" s="88" t="n"/>
      <c r="P226" s="89" t="n"/>
      <c r="Q226" s="87" t="n"/>
      <c r="R226" s="87" t="n"/>
      <c r="S226" s="87" t="n"/>
      <c r="T226" s="87" t="n"/>
      <c r="U226" s="89" t="n"/>
      <c r="V226" s="89" t="n"/>
      <c r="W226" s="89" t="n"/>
      <c r="X226" s="87" t="n"/>
      <c r="Y226" s="87" t="n"/>
      <c r="Z226" s="88" t="n"/>
      <c r="AA226" s="26" t="n"/>
      <c r="AB226" s="86">
        <f>IF($A226="","",$A226-WEEKDAY($A226,2)+1)</f>
        <v/>
      </c>
      <c r="AC226" s="86">
        <f>IF($A226="","",DATE(YEAR($A226),MONTH($A226),1))</f>
        <v/>
      </c>
      <c r="AD226" s="90">
        <f>IF($A226="","",IFERROR($K226/$J226,0))</f>
        <v/>
      </c>
      <c r="AE226" s="90">
        <f>IF($A226="","",IFERROR($L226/$J226,0))</f>
        <v/>
      </c>
      <c r="AF226" s="90">
        <f>IF($A226="","",IFERROR($M226/$J226,0))</f>
        <v/>
      </c>
      <c r="AG226" s="88">
        <f>IF($A226="","",$N226-$O226)</f>
        <v/>
      </c>
      <c r="AH226" s="90">
        <f>IF($A226="","",IFERROR($AG226/$N226,0))</f>
        <v/>
      </c>
      <c r="AI226" s="89">
        <f>IF($A226="","",IFERROR($K226/$P226,0))</f>
        <v/>
      </c>
      <c r="AJ226" s="90">
        <f>IF($A226="","",IFERROR($S226/$R226,0))</f>
        <v/>
      </c>
      <c r="AK226" s="90">
        <f>IF($A226="","",IFERROR($T226/$J226,0))</f>
        <v/>
      </c>
      <c r="AL226" s="26">
        <f>IF($A226="","",IF(AND($AD226&gt;='01_Settings'!$B$9,$V226&lt;='01_Settings'!$B$10,$W226&lt;='01_Settings'!$B$11),"On track","Off track"))</f>
        <v/>
      </c>
      <c r="AM226" s="42">
        <f>IF($A226="","",IF($AD226&lt;'01_Settings'!$B$9,"Low completion rate; ","")&amp;IF($AE226&gt;'01_Settings'!$B$12,"High overdue rate; ","")&amp;IF($U226&lt;'01_Settings'!$B$13,"Low satisfaction; ","")&amp;IF($AH226&lt;'01_Settings'!$B$14,"Low gross margin; ","")&amp;IF($AJ226&lt;'01_Settings'!$B$15,"Low conversion rate; ","")&amp;IF($AK226&gt;'01_Settings'!$B$16,"High complaint rate; ",""))</f>
        <v/>
      </c>
    </row>
    <row r="227" ht="18" customHeight="1">
      <c r="A227" s="86" t="n"/>
      <c r="B227" s="26" t="n"/>
      <c r="C227" s="26" t="n"/>
      <c r="D227" s="26" t="n"/>
      <c r="E227" s="26" t="n"/>
      <c r="F227" s="26" t="n"/>
      <c r="G227" s="26" t="n"/>
      <c r="H227" s="26" t="n"/>
      <c r="I227" s="26" t="n"/>
      <c r="J227" s="87" t="n"/>
      <c r="K227" s="87" t="n"/>
      <c r="L227" s="87" t="n"/>
      <c r="M227" s="87" t="n"/>
      <c r="N227" s="88" t="n"/>
      <c r="O227" s="88" t="n"/>
      <c r="P227" s="89" t="n"/>
      <c r="Q227" s="87" t="n"/>
      <c r="R227" s="87" t="n"/>
      <c r="S227" s="87" t="n"/>
      <c r="T227" s="87" t="n"/>
      <c r="U227" s="89" t="n"/>
      <c r="V227" s="89" t="n"/>
      <c r="W227" s="89" t="n"/>
      <c r="X227" s="87" t="n"/>
      <c r="Y227" s="87" t="n"/>
      <c r="Z227" s="88" t="n"/>
      <c r="AA227" s="26" t="n"/>
      <c r="AB227" s="86">
        <f>IF($A227="","",$A227-WEEKDAY($A227,2)+1)</f>
        <v/>
      </c>
      <c r="AC227" s="86">
        <f>IF($A227="","",DATE(YEAR($A227),MONTH($A227),1))</f>
        <v/>
      </c>
      <c r="AD227" s="90">
        <f>IF($A227="","",IFERROR($K227/$J227,0))</f>
        <v/>
      </c>
      <c r="AE227" s="90">
        <f>IF($A227="","",IFERROR($L227/$J227,0))</f>
        <v/>
      </c>
      <c r="AF227" s="90">
        <f>IF($A227="","",IFERROR($M227/$J227,0))</f>
        <v/>
      </c>
      <c r="AG227" s="88">
        <f>IF($A227="","",$N227-$O227)</f>
        <v/>
      </c>
      <c r="AH227" s="90">
        <f>IF($A227="","",IFERROR($AG227/$N227,0))</f>
        <v/>
      </c>
      <c r="AI227" s="89">
        <f>IF($A227="","",IFERROR($K227/$P227,0))</f>
        <v/>
      </c>
      <c r="AJ227" s="90">
        <f>IF($A227="","",IFERROR($S227/$R227,0))</f>
        <v/>
      </c>
      <c r="AK227" s="90">
        <f>IF($A227="","",IFERROR($T227/$J227,0))</f>
        <v/>
      </c>
      <c r="AL227" s="26">
        <f>IF($A227="","",IF(AND($AD227&gt;='01_Settings'!$B$9,$V227&lt;='01_Settings'!$B$10,$W227&lt;='01_Settings'!$B$11),"On track","Off track"))</f>
        <v/>
      </c>
      <c r="AM227" s="42">
        <f>IF($A227="","",IF($AD227&lt;'01_Settings'!$B$9,"Low completion rate; ","")&amp;IF($AE227&gt;'01_Settings'!$B$12,"High overdue rate; ","")&amp;IF($U227&lt;'01_Settings'!$B$13,"Low satisfaction; ","")&amp;IF($AH227&lt;'01_Settings'!$B$14,"Low gross margin; ","")&amp;IF($AJ227&lt;'01_Settings'!$B$15,"Low conversion rate; ","")&amp;IF($AK227&gt;'01_Settings'!$B$16,"High complaint rate; ",""))</f>
        <v/>
      </c>
    </row>
    <row r="228" ht="18" customHeight="1">
      <c r="A228" s="86" t="n"/>
      <c r="B228" s="26" t="n"/>
      <c r="C228" s="26" t="n"/>
      <c r="D228" s="26" t="n"/>
      <c r="E228" s="26" t="n"/>
      <c r="F228" s="26" t="n"/>
      <c r="G228" s="26" t="n"/>
      <c r="H228" s="26" t="n"/>
      <c r="I228" s="26" t="n"/>
      <c r="J228" s="87" t="n"/>
      <c r="K228" s="87" t="n"/>
      <c r="L228" s="87" t="n"/>
      <c r="M228" s="87" t="n"/>
      <c r="N228" s="88" t="n"/>
      <c r="O228" s="88" t="n"/>
      <c r="P228" s="89" t="n"/>
      <c r="Q228" s="87" t="n"/>
      <c r="R228" s="87" t="n"/>
      <c r="S228" s="87" t="n"/>
      <c r="T228" s="87" t="n"/>
      <c r="U228" s="89" t="n"/>
      <c r="V228" s="89" t="n"/>
      <c r="W228" s="89" t="n"/>
      <c r="X228" s="87" t="n"/>
      <c r="Y228" s="87" t="n"/>
      <c r="Z228" s="88" t="n"/>
      <c r="AA228" s="26" t="n"/>
      <c r="AB228" s="86">
        <f>IF($A228="","",$A228-WEEKDAY($A228,2)+1)</f>
        <v/>
      </c>
      <c r="AC228" s="86">
        <f>IF($A228="","",DATE(YEAR($A228),MONTH($A228),1))</f>
        <v/>
      </c>
      <c r="AD228" s="90">
        <f>IF($A228="","",IFERROR($K228/$J228,0))</f>
        <v/>
      </c>
      <c r="AE228" s="90">
        <f>IF($A228="","",IFERROR($L228/$J228,0))</f>
        <v/>
      </c>
      <c r="AF228" s="90">
        <f>IF($A228="","",IFERROR($M228/$J228,0))</f>
        <v/>
      </c>
      <c r="AG228" s="88">
        <f>IF($A228="","",$N228-$O228)</f>
        <v/>
      </c>
      <c r="AH228" s="90">
        <f>IF($A228="","",IFERROR($AG228/$N228,0))</f>
        <v/>
      </c>
      <c r="AI228" s="89">
        <f>IF($A228="","",IFERROR($K228/$P228,0))</f>
        <v/>
      </c>
      <c r="AJ228" s="90">
        <f>IF($A228="","",IFERROR($S228/$R228,0))</f>
        <v/>
      </c>
      <c r="AK228" s="90">
        <f>IF($A228="","",IFERROR($T228/$J228,0))</f>
        <v/>
      </c>
      <c r="AL228" s="26">
        <f>IF($A228="","",IF(AND($AD228&gt;='01_Settings'!$B$9,$V228&lt;='01_Settings'!$B$10,$W228&lt;='01_Settings'!$B$11),"On track","Off track"))</f>
        <v/>
      </c>
      <c r="AM228" s="42">
        <f>IF($A228="","",IF($AD228&lt;'01_Settings'!$B$9,"Low completion rate; ","")&amp;IF($AE228&gt;'01_Settings'!$B$12,"High overdue rate; ","")&amp;IF($U228&lt;'01_Settings'!$B$13,"Low satisfaction; ","")&amp;IF($AH228&lt;'01_Settings'!$B$14,"Low gross margin; ","")&amp;IF($AJ228&lt;'01_Settings'!$B$15,"Low conversion rate; ","")&amp;IF($AK228&gt;'01_Settings'!$B$16,"High complaint rate; ",""))</f>
        <v/>
      </c>
    </row>
    <row r="229" ht="18" customHeight="1">
      <c r="A229" s="86" t="n"/>
      <c r="B229" s="26" t="n"/>
      <c r="C229" s="26" t="n"/>
      <c r="D229" s="26" t="n"/>
      <c r="E229" s="26" t="n"/>
      <c r="F229" s="26" t="n"/>
      <c r="G229" s="26" t="n"/>
      <c r="H229" s="26" t="n"/>
      <c r="I229" s="26" t="n"/>
      <c r="J229" s="87" t="n"/>
      <c r="K229" s="87" t="n"/>
      <c r="L229" s="87" t="n"/>
      <c r="M229" s="87" t="n"/>
      <c r="N229" s="88" t="n"/>
      <c r="O229" s="88" t="n"/>
      <c r="P229" s="89" t="n"/>
      <c r="Q229" s="87" t="n"/>
      <c r="R229" s="87" t="n"/>
      <c r="S229" s="87" t="n"/>
      <c r="T229" s="87" t="n"/>
      <c r="U229" s="89" t="n"/>
      <c r="V229" s="89" t="n"/>
      <c r="W229" s="89" t="n"/>
      <c r="X229" s="87" t="n"/>
      <c r="Y229" s="87" t="n"/>
      <c r="Z229" s="88" t="n"/>
      <c r="AA229" s="26" t="n"/>
      <c r="AB229" s="86">
        <f>IF($A229="","",$A229-WEEKDAY($A229,2)+1)</f>
        <v/>
      </c>
      <c r="AC229" s="86">
        <f>IF($A229="","",DATE(YEAR($A229),MONTH($A229),1))</f>
        <v/>
      </c>
      <c r="AD229" s="90">
        <f>IF($A229="","",IFERROR($K229/$J229,0))</f>
        <v/>
      </c>
      <c r="AE229" s="90">
        <f>IF($A229="","",IFERROR($L229/$J229,0))</f>
        <v/>
      </c>
      <c r="AF229" s="90">
        <f>IF($A229="","",IFERROR($M229/$J229,0))</f>
        <v/>
      </c>
      <c r="AG229" s="88">
        <f>IF($A229="","",$N229-$O229)</f>
        <v/>
      </c>
      <c r="AH229" s="90">
        <f>IF($A229="","",IFERROR($AG229/$N229,0))</f>
        <v/>
      </c>
      <c r="AI229" s="89">
        <f>IF($A229="","",IFERROR($K229/$P229,0))</f>
        <v/>
      </c>
      <c r="AJ229" s="90">
        <f>IF($A229="","",IFERROR($S229/$R229,0))</f>
        <v/>
      </c>
      <c r="AK229" s="90">
        <f>IF($A229="","",IFERROR($T229/$J229,0))</f>
        <v/>
      </c>
      <c r="AL229" s="26">
        <f>IF($A229="","",IF(AND($AD229&gt;='01_Settings'!$B$9,$V229&lt;='01_Settings'!$B$10,$W229&lt;='01_Settings'!$B$11),"On track","Off track"))</f>
        <v/>
      </c>
      <c r="AM229" s="42">
        <f>IF($A229="","",IF($AD229&lt;'01_Settings'!$B$9,"Low completion rate; ","")&amp;IF($AE229&gt;'01_Settings'!$B$12,"High overdue rate; ","")&amp;IF($U229&lt;'01_Settings'!$B$13,"Low satisfaction; ","")&amp;IF($AH229&lt;'01_Settings'!$B$14,"Low gross margin; ","")&amp;IF($AJ229&lt;'01_Settings'!$B$15,"Low conversion rate; ","")&amp;IF($AK229&gt;'01_Settings'!$B$16,"High complaint rate; ",""))</f>
        <v/>
      </c>
    </row>
    <row r="230" ht="18" customHeight="1">
      <c r="A230" s="86" t="n"/>
      <c r="B230" s="26" t="n"/>
      <c r="C230" s="26" t="n"/>
      <c r="D230" s="26" t="n"/>
      <c r="E230" s="26" t="n"/>
      <c r="F230" s="26" t="n"/>
      <c r="G230" s="26" t="n"/>
      <c r="H230" s="26" t="n"/>
      <c r="I230" s="26" t="n"/>
      <c r="J230" s="87" t="n"/>
      <c r="K230" s="87" t="n"/>
      <c r="L230" s="87" t="n"/>
      <c r="M230" s="87" t="n"/>
      <c r="N230" s="88" t="n"/>
      <c r="O230" s="88" t="n"/>
      <c r="P230" s="89" t="n"/>
      <c r="Q230" s="87" t="n"/>
      <c r="R230" s="87" t="n"/>
      <c r="S230" s="87" t="n"/>
      <c r="T230" s="87" t="n"/>
      <c r="U230" s="89" t="n"/>
      <c r="V230" s="89" t="n"/>
      <c r="W230" s="89" t="n"/>
      <c r="X230" s="87" t="n"/>
      <c r="Y230" s="87" t="n"/>
      <c r="Z230" s="88" t="n"/>
      <c r="AA230" s="26" t="n"/>
      <c r="AB230" s="86">
        <f>IF($A230="","",$A230-WEEKDAY($A230,2)+1)</f>
        <v/>
      </c>
      <c r="AC230" s="86">
        <f>IF($A230="","",DATE(YEAR($A230),MONTH($A230),1))</f>
        <v/>
      </c>
      <c r="AD230" s="90">
        <f>IF($A230="","",IFERROR($K230/$J230,0))</f>
        <v/>
      </c>
      <c r="AE230" s="90">
        <f>IF($A230="","",IFERROR($L230/$J230,0))</f>
        <v/>
      </c>
      <c r="AF230" s="90">
        <f>IF($A230="","",IFERROR($M230/$J230,0))</f>
        <v/>
      </c>
      <c r="AG230" s="88">
        <f>IF($A230="","",$N230-$O230)</f>
        <v/>
      </c>
      <c r="AH230" s="90">
        <f>IF($A230="","",IFERROR($AG230/$N230,0))</f>
        <v/>
      </c>
      <c r="AI230" s="89">
        <f>IF($A230="","",IFERROR($K230/$P230,0))</f>
        <v/>
      </c>
      <c r="AJ230" s="90">
        <f>IF($A230="","",IFERROR($S230/$R230,0))</f>
        <v/>
      </c>
      <c r="AK230" s="90">
        <f>IF($A230="","",IFERROR($T230/$J230,0))</f>
        <v/>
      </c>
      <c r="AL230" s="26">
        <f>IF($A230="","",IF(AND($AD230&gt;='01_Settings'!$B$9,$V230&lt;='01_Settings'!$B$10,$W230&lt;='01_Settings'!$B$11),"On track","Off track"))</f>
        <v/>
      </c>
      <c r="AM230" s="42">
        <f>IF($A230="","",IF($AD230&lt;'01_Settings'!$B$9,"Low completion rate; ","")&amp;IF($AE230&gt;'01_Settings'!$B$12,"High overdue rate; ","")&amp;IF($U230&lt;'01_Settings'!$B$13,"Low satisfaction; ","")&amp;IF($AH230&lt;'01_Settings'!$B$14,"Low gross margin; ","")&amp;IF($AJ230&lt;'01_Settings'!$B$15,"Low conversion rate; ","")&amp;IF($AK230&gt;'01_Settings'!$B$16,"High complaint rate; ",""))</f>
        <v/>
      </c>
    </row>
    <row r="231" ht="18" customHeight="1">
      <c r="A231" s="86" t="n"/>
      <c r="B231" s="26" t="n"/>
      <c r="C231" s="26" t="n"/>
      <c r="D231" s="26" t="n"/>
      <c r="E231" s="26" t="n"/>
      <c r="F231" s="26" t="n"/>
      <c r="G231" s="26" t="n"/>
      <c r="H231" s="26" t="n"/>
      <c r="I231" s="26" t="n"/>
      <c r="J231" s="87" t="n"/>
      <c r="K231" s="87" t="n"/>
      <c r="L231" s="87" t="n"/>
      <c r="M231" s="87" t="n"/>
      <c r="N231" s="88" t="n"/>
      <c r="O231" s="88" t="n"/>
      <c r="P231" s="89" t="n"/>
      <c r="Q231" s="87" t="n"/>
      <c r="R231" s="87" t="n"/>
      <c r="S231" s="87" t="n"/>
      <c r="T231" s="87" t="n"/>
      <c r="U231" s="89" t="n"/>
      <c r="V231" s="89" t="n"/>
      <c r="W231" s="89" t="n"/>
      <c r="X231" s="87" t="n"/>
      <c r="Y231" s="87" t="n"/>
      <c r="Z231" s="88" t="n"/>
      <c r="AA231" s="26" t="n"/>
      <c r="AB231" s="86">
        <f>IF($A231="","",$A231-WEEKDAY($A231,2)+1)</f>
        <v/>
      </c>
      <c r="AC231" s="86">
        <f>IF($A231="","",DATE(YEAR($A231),MONTH($A231),1))</f>
        <v/>
      </c>
      <c r="AD231" s="90">
        <f>IF($A231="","",IFERROR($K231/$J231,0))</f>
        <v/>
      </c>
      <c r="AE231" s="90">
        <f>IF($A231="","",IFERROR($L231/$J231,0))</f>
        <v/>
      </c>
      <c r="AF231" s="90">
        <f>IF($A231="","",IFERROR($M231/$J231,0))</f>
        <v/>
      </c>
      <c r="AG231" s="88">
        <f>IF($A231="","",$N231-$O231)</f>
        <v/>
      </c>
      <c r="AH231" s="90">
        <f>IF($A231="","",IFERROR($AG231/$N231,0))</f>
        <v/>
      </c>
      <c r="AI231" s="89">
        <f>IF($A231="","",IFERROR($K231/$P231,0))</f>
        <v/>
      </c>
      <c r="AJ231" s="90">
        <f>IF($A231="","",IFERROR($S231/$R231,0))</f>
        <v/>
      </c>
      <c r="AK231" s="90">
        <f>IF($A231="","",IFERROR($T231/$J231,0))</f>
        <v/>
      </c>
      <c r="AL231" s="26">
        <f>IF($A231="","",IF(AND($AD231&gt;='01_Settings'!$B$9,$V231&lt;='01_Settings'!$B$10,$W231&lt;='01_Settings'!$B$11),"On track","Off track"))</f>
        <v/>
      </c>
      <c r="AM231" s="42">
        <f>IF($A231="","",IF($AD231&lt;'01_Settings'!$B$9,"Low completion rate; ","")&amp;IF($AE231&gt;'01_Settings'!$B$12,"High overdue rate; ","")&amp;IF($U231&lt;'01_Settings'!$B$13,"Low satisfaction; ","")&amp;IF($AH231&lt;'01_Settings'!$B$14,"Low gross margin; ","")&amp;IF($AJ231&lt;'01_Settings'!$B$15,"Low conversion rate; ","")&amp;IF($AK231&gt;'01_Settings'!$B$16,"High complaint rate; ",""))</f>
        <v/>
      </c>
    </row>
    <row r="232" ht="18" customHeight="1">
      <c r="A232" s="86" t="n"/>
      <c r="B232" s="26" t="n"/>
      <c r="C232" s="26" t="n"/>
      <c r="D232" s="26" t="n"/>
      <c r="E232" s="26" t="n"/>
      <c r="F232" s="26" t="n"/>
      <c r="G232" s="26" t="n"/>
      <c r="H232" s="26" t="n"/>
      <c r="I232" s="26" t="n"/>
      <c r="J232" s="87" t="n"/>
      <c r="K232" s="87" t="n"/>
      <c r="L232" s="87" t="n"/>
      <c r="M232" s="87" t="n"/>
      <c r="N232" s="88" t="n"/>
      <c r="O232" s="88" t="n"/>
      <c r="P232" s="89" t="n"/>
      <c r="Q232" s="87" t="n"/>
      <c r="R232" s="87" t="n"/>
      <c r="S232" s="87" t="n"/>
      <c r="T232" s="87" t="n"/>
      <c r="U232" s="89" t="n"/>
      <c r="V232" s="89" t="n"/>
      <c r="W232" s="89" t="n"/>
      <c r="X232" s="87" t="n"/>
      <c r="Y232" s="87" t="n"/>
      <c r="Z232" s="88" t="n"/>
      <c r="AA232" s="26" t="n"/>
      <c r="AB232" s="86">
        <f>IF($A232="","",$A232-WEEKDAY($A232,2)+1)</f>
        <v/>
      </c>
      <c r="AC232" s="86">
        <f>IF($A232="","",DATE(YEAR($A232),MONTH($A232),1))</f>
        <v/>
      </c>
      <c r="AD232" s="90">
        <f>IF($A232="","",IFERROR($K232/$J232,0))</f>
        <v/>
      </c>
      <c r="AE232" s="90">
        <f>IF($A232="","",IFERROR($L232/$J232,0))</f>
        <v/>
      </c>
      <c r="AF232" s="90">
        <f>IF($A232="","",IFERROR($M232/$J232,0))</f>
        <v/>
      </c>
      <c r="AG232" s="88">
        <f>IF($A232="","",$N232-$O232)</f>
        <v/>
      </c>
      <c r="AH232" s="90">
        <f>IF($A232="","",IFERROR($AG232/$N232,0))</f>
        <v/>
      </c>
      <c r="AI232" s="89">
        <f>IF($A232="","",IFERROR($K232/$P232,0))</f>
        <v/>
      </c>
      <c r="AJ232" s="90">
        <f>IF($A232="","",IFERROR($S232/$R232,0))</f>
        <v/>
      </c>
      <c r="AK232" s="90">
        <f>IF($A232="","",IFERROR($T232/$J232,0))</f>
        <v/>
      </c>
      <c r="AL232" s="26">
        <f>IF($A232="","",IF(AND($AD232&gt;='01_Settings'!$B$9,$V232&lt;='01_Settings'!$B$10,$W232&lt;='01_Settings'!$B$11),"On track","Off track"))</f>
        <v/>
      </c>
      <c r="AM232" s="42">
        <f>IF($A232="","",IF($AD232&lt;'01_Settings'!$B$9,"Low completion rate; ","")&amp;IF($AE232&gt;'01_Settings'!$B$12,"High overdue rate; ","")&amp;IF($U232&lt;'01_Settings'!$B$13,"Low satisfaction; ","")&amp;IF($AH232&lt;'01_Settings'!$B$14,"Low gross margin; ","")&amp;IF($AJ232&lt;'01_Settings'!$B$15,"Low conversion rate; ","")&amp;IF($AK232&gt;'01_Settings'!$B$16,"High complaint rate; ",""))</f>
        <v/>
      </c>
    </row>
    <row r="233" ht="18" customHeight="1">
      <c r="A233" s="86" t="n"/>
      <c r="B233" s="26" t="n"/>
      <c r="C233" s="26" t="n"/>
      <c r="D233" s="26" t="n"/>
      <c r="E233" s="26" t="n"/>
      <c r="F233" s="26" t="n"/>
      <c r="G233" s="26" t="n"/>
      <c r="H233" s="26" t="n"/>
      <c r="I233" s="26" t="n"/>
      <c r="J233" s="87" t="n"/>
      <c r="K233" s="87" t="n"/>
      <c r="L233" s="87" t="n"/>
      <c r="M233" s="87" t="n"/>
      <c r="N233" s="88" t="n"/>
      <c r="O233" s="88" t="n"/>
      <c r="P233" s="89" t="n"/>
      <c r="Q233" s="87" t="n"/>
      <c r="R233" s="87" t="n"/>
      <c r="S233" s="87" t="n"/>
      <c r="T233" s="87" t="n"/>
      <c r="U233" s="89" t="n"/>
      <c r="V233" s="89" t="n"/>
      <c r="W233" s="89" t="n"/>
      <c r="X233" s="87" t="n"/>
      <c r="Y233" s="87" t="n"/>
      <c r="Z233" s="88" t="n"/>
      <c r="AA233" s="26" t="n"/>
      <c r="AB233" s="86">
        <f>IF($A233="","",$A233-WEEKDAY($A233,2)+1)</f>
        <v/>
      </c>
      <c r="AC233" s="86">
        <f>IF($A233="","",DATE(YEAR($A233),MONTH($A233),1))</f>
        <v/>
      </c>
      <c r="AD233" s="90">
        <f>IF($A233="","",IFERROR($K233/$J233,0))</f>
        <v/>
      </c>
      <c r="AE233" s="90">
        <f>IF($A233="","",IFERROR($L233/$J233,0))</f>
        <v/>
      </c>
      <c r="AF233" s="90">
        <f>IF($A233="","",IFERROR($M233/$J233,0))</f>
        <v/>
      </c>
      <c r="AG233" s="88">
        <f>IF($A233="","",$N233-$O233)</f>
        <v/>
      </c>
      <c r="AH233" s="90">
        <f>IF($A233="","",IFERROR($AG233/$N233,0))</f>
        <v/>
      </c>
      <c r="AI233" s="89">
        <f>IF($A233="","",IFERROR($K233/$P233,0))</f>
        <v/>
      </c>
      <c r="AJ233" s="90">
        <f>IF($A233="","",IFERROR($S233/$R233,0))</f>
        <v/>
      </c>
      <c r="AK233" s="90">
        <f>IF($A233="","",IFERROR($T233/$J233,0))</f>
        <v/>
      </c>
      <c r="AL233" s="26">
        <f>IF($A233="","",IF(AND($AD233&gt;='01_Settings'!$B$9,$V233&lt;='01_Settings'!$B$10,$W233&lt;='01_Settings'!$B$11),"On track","Off track"))</f>
        <v/>
      </c>
      <c r="AM233" s="42">
        <f>IF($A233="","",IF($AD233&lt;'01_Settings'!$B$9,"Low completion rate; ","")&amp;IF($AE233&gt;'01_Settings'!$B$12,"High overdue rate; ","")&amp;IF($U233&lt;'01_Settings'!$B$13,"Low satisfaction; ","")&amp;IF($AH233&lt;'01_Settings'!$B$14,"Low gross margin; ","")&amp;IF($AJ233&lt;'01_Settings'!$B$15,"Low conversion rate; ","")&amp;IF($AK233&gt;'01_Settings'!$B$16,"High complaint rate; ",""))</f>
        <v/>
      </c>
    </row>
    <row r="234" ht="18" customHeight="1">
      <c r="A234" s="86" t="n"/>
      <c r="B234" s="26" t="n"/>
      <c r="C234" s="26" t="n"/>
      <c r="D234" s="26" t="n"/>
      <c r="E234" s="26" t="n"/>
      <c r="F234" s="26" t="n"/>
      <c r="G234" s="26" t="n"/>
      <c r="H234" s="26" t="n"/>
      <c r="I234" s="26" t="n"/>
      <c r="J234" s="87" t="n"/>
      <c r="K234" s="87" t="n"/>
      <c r="L234" s="87" t="n"/>
      <c r="M234" s="87" t="n"/>
      <c r="N234" s="88" t="n"/>
      <c r="O234" s="88" t="n"/>
      <c r="P234" s="89" t="n"/>
      <c r="Q234" s="87" t="n"/>
      <c r="R234" s="87" t="n"/>
      <c r="S234" s="87" t="n"/>
      <c r="T234" s="87" t="n"/>
      <c r="U234" s="89" t="n"/>
      <c r="V234" s="89" t="n"/>
      <c r="W234" s="89" t="n"/>
      <c r="X234" s="87" t="n"/>
      <c r="Y234" s="87" t="n"/>
      <c r="Z234" s="88" t="n"/>
      <c r="AA234" s="26" t="n"/>
      <c r="AB234" s="86">
        <f>IF($A234="","",$A234-WEEKDAY($A234,2)+1)</f>
        <v/>
      </c>
      <c r="AC234" s="86">
        <f>IF($A234="","",DATE(YEAR($A234),MONTH($A234),1))</f>
        <v/>
      </c>
      <c r="AD234" s="90">
        <f>IF($A234="","",IFERROR($K234/$J234,0))</f>
        <v/>
      </c>
      <c r="AE234" s="90">
        <f>IF($A234="","",IFERROR($L234/$J234,0))</f>
        <v/>
      </c>
      <c r="AF234" s="90">
        <f>IF($A234="","",IFERROR($M234/$J234,0))</f>
        <v/>
      </c>
      <c r="AG234" s="88">
        <f>IF($A234="","",$N234-$O234)</f>
        <v/>
      </c>
      <c r="AH234" s="90">
        <f>IF($A234="","",IFERROR($AG234/$N234,0))</f>
        <v/>
      </c>
      <c r="AI234" s="89">
        <f>IF($A234="","",IFERROR($K234/$P234,0))</f>
        <v/>
      </c>
      <c r="AJ234" s="90">
        <f>IF($A234="","",IFERROR($S234/$R234,0))</f>
        <v/>
      </c>
      <c r="AK234" s="90">
        <f>IF($A234="","",IFERROR($T234/$J234,0))</f>
        <v/>
      </c>
      <c r="AL234" s="26">
        <f>IF($A234="","",IF(AND($AD234&gt;='01_Settings'!$B$9,$V234&lt;='01_Settings'!$B$10,$W234&lt;='01_Settings'!$B$11),"On track","Off track"))</f>
        <v/>
      </c>
      <c r="AM234" s="42">
        <f>IF($A234="","",IF($AD234&lt;'01_Settings'!$B$9,"Low completion rate; ","")&amp;IF($AE234&gt;'01_Settings'!$B$12,"High overdue rate; ","")&amp;IF($U234&lt;'01_Settings'!$B$13,"Low satisfaction; ","")&amp;IF($AH234&lt;'01_Settings'!$B$14,"Low gross margin; ","")&amp;IF($AJ234&lt;'01_Settings'!$B$15,"Low conversion rate; ","")&amp;IF($AK234&gt;'01_Settings'!$B$16,"High complaint rate; ",""))</f>
        <v/>
      </c>
    </row>
    <row r="235" ht="18" customHeight="1">
      <c r="A235" s="86" t="n"/>
      <c r="B235" s="26" t="n"/>
      <c r="C235" s="26" t="n"/>
      <c r="D235" s="26" t="n"/>
      <c r="E235" s="26" t="n"/>
      <c r="F235" s="26" t="n"/>
      <c r="G235" s="26" t="n"/>
      <c r="H235" s="26" t="n"/>
      <c r="I235" s="26" t="n"/>
      <c r="J235" s="87" t="n"/>
      <c r="K235" s="87" t="n"/>
      <c r="L235" s="87" t="n"/>
      <c r="M235" s="87" t="n"/>
      <c r="N235" s="88" t="n"/>
      <c r="O235" s="88" t="n"/>
      <c r="P235" s="89" t="n"/>
      <c r="Q235" s="87" t="n"/>
      <c r="R235" s="87" t="n"/>
      <c r="S235" s="87" t="n"/>
      <c r="T235" s="87" t="n"/>
      <c r="U235" s="89" t="n"/>
      <c r="V235" s="89" t="n"/>
      <c r="W235" s="89" t="n"/>
      <c r="X235" s="87" t="n"/>
      <c r="Y235" s="87" t="n"/>
      <c r="Z235" s="88" t="n"/>
      <c r="AA235" s="26" t="n"/>
      <c r="AB235" s="86">
        <f>IF($A235="","",$A235-WEEKDAY($A235,2)+1)</f>
        <v/>
      </c>
      <c r="AC235" s="86">
        <f>IF($A235="","",DATE(YEAR($A235),MONTH($A235),1))</f>
        <v/>
      </c>
      <c r="AD235" s="90">
        <f>IF($A235="","",IFERROR($K235/$J235,0))</f>
        <v/>
      </c>
      <c r="AE235" s="90">
        <f>IF($A235="","",IFERROR($L235/$J235,0))</f>
        <v/>
      </c>
      <c r="AF235" s="90">
        <f>IF($A235="","",IFERROR($M235/$J235,0))</f>
        <v/>
      </c>
      <c r="AG235" s="88">
        <f>IF($A235="","",$N235-$O235)</f>
        <v/>
      </c>
      <c r="AH235" s="90">
        <f>IF($A235="","",IFERROR($AG235/$N235,0))</f>
        <v/>
      </c>
      <c r="AI235" s="89">
        <f>IF($A235="","",IFERROR($K235/$P235,0))</f>
        <v/>
      </c>
      <c r="AJ235" s="90">
        <f>IF($A235="","",IFERROR($S235/$R235,0))</f>
        <v/>
      </c>
      <c r="AK235" s="90">
        <f>IF($A235="","",IFERROR($T235/$J235,0))</f>
        <v/>
      </c>
      <c r="AL235" s="26">
        <f>IF($A235="","",IF(AND($AD235&gt;='01_Settings'!$B$9,$V235&lt;='01_Settings'!$B$10,$W235&lt;='01_Settings'!$B$11),"On track","Off track"))</f>
        <v/>
      </c>
      <c r="AM235" s="42">
        <f>IF($A235="","",IF($AD235&lt;'01_Settings'!$B$9,"Low completion rate; ","")&amp;IF($AE235&gt;'01_Settings'!$B$12,"High overdue rate; ","")&amp;IF($U235&lt;'01_Settings'!$B$13,"Low satisfaction; ","")&amp;IF($AH235&lt;'01_Settings'!$B$14,"Low gross margin; ","")&amp;IF($AJ235&lt;'01_Settings'!$B$15,"Low conversion rate; ","")&amp;IF($AK235&gt;'01_Settings'!$B$16,"High complaint rate; ",""))</f>
        <v/>
      </c>
    </row>
    <row r="236" ht="18" customHeight="1">
      <c r="A236" s="86" t="n"/>
      <c r="B236" s="26" t="n"/>
      <c r="C236" s="26" t="n"/>
      <c r="D236" s="26" t="n"/>
      <c r="E236" s="26" t="n"/>
      <c r="F236" s="26" t="n"/>
      <c r="G236" s="26" t="n"/>
      <c r="H236" s="26" t="n"/>
      <c r="I236" s="26" t="n"/>
      <c r="J236" s="87" t="n"/>
      <c r="K236" s="87" t="n"/>
      <c r="L236" s="87" t="n"/>
      <c r="M236" s="87" t="n"/>
      <c r="N236" s="88" t="n"/>
      <c r="O236" s="88" t="n"/>
      <c r="P236" s="89" t="n"/>
      <c r="Q236" s="87" t="n"/>
      <c r="R236" s="87" t="n"/>
      <c r="S236" s="87" t="n"/>
      <c r="T236" s="87" t="n"/>
      <c r="U236" s="89" t="n"/>
      <c r="V236" s="89" t="n"/>
      <c r="W236" s="89" t="n"/>
      <c r="X236" s="87" t="n"/>
      <c r="Y236" s="87" t="n"/>
      <c r="Z236" s="88" t="n"/>
      <c r="AA236" s="26" t="n"/>
      <c r="AB236" s="86">
        <f>IF($A236="","",$A236-WEEKDAY($A236,2)+1)</f>
        <v/>
      </c>
      <c r="AC236" s="86">
        <f>IF($A236="","",DATE(YEAR($A236),MONTH($A236),1))</f>
        <v/>
      </c>
      <c r="AD236" s="90">
        <f>IF($A236="","",IFERROR($K236/$J236,0))</f>
        <v/>
      </c>
      <c r="AE236" s="90">
        <f>IF($A236="","",IFERROR($L236/$J236,0))</f>
        <v/>
      </c>
      <c r="AF236" s="90">
        <f>IF($A236="","",IFERROR($M236/$J236,0))</f>
        <v/>
      </c>
      <c r="AG236" s="88">
        <f>IF($A236="","",$N236-$O236)</f>
        <v/>
      </c>
      <c r="AH236" s="90">
        <f>IF($A236="","",IFERROR($AG236/$N236,0))</f>
        <v/>
      </c>
      <c r="AI236" s="89">
        <f>IF($A236="","",IFERROR($K236/$P236,0))</f>
        <v/>
      </c>
      <c r="AJ236" s="90">
        <f>IF($A236="","",IFERROR($S236/$R236,0))</f>
        <v/>
      </c>
      <c r="AK236" s="90">
        <f>IF($A236="","",IFERROR($T236/$J236,0))</f>
        <v/>
      </c>
      <c r="AL236" s="26">
        <f>IF($A236="","",IF(AND($AD236&gt;='01_Settings'!$B$9,$V236&lt;='01_Settings'!$B$10,$W236&lt;='01_Settings'!$B$11),"On track","Off track"))</f>
        <v/>
      </c>
      <c r="AM236" s="42">
        <f>IF($A236="","",IF($AD236&lt;'01_Settings'!$B$9,"Low completion rate; ","")&amp;IF($AE236&gt;'01_Settings'!$B$12,"High overdue rate; ","")&amp;IF($U236&lt;'01_Settings'!$B$13,"Low satisfaction; ","")&amp;IF($AH236&lt;'01_Settings'!$B$14,"Low gross margin; ","")&amp;IF($AJ236&lt;'01_Settings'!$B$15,"Low conversion rate; ","")&amp;IF($AK236&gt;'01_Settings'!$B$16,"High complaint rate; ",""))</f>
        <v/>
      </c>
    </row>
    <row r="237" ht="18" customHeight="1">
      <c r="A237" s="86" t="n"/>
      <c r="B237" s="26" t="n"/>
      <c r="C237" s="26" t="n"/>
      <c r="D237" s="26" t="n"/>
      <c r="E237" s="26" t="n"/>
      <c r="F237" s="26" t="n"/>
      <c r="G237" s="26" t="n"/>
      <c r="H237" s="26" t="n"/>
      <c r="I237" s="26" t="n"/>
      <c r="J237" s="87" t="n"/>
      <c r="K237" s="87" t="n"/>
      <c r="L237" s="87" t="n"/>
      <c r="M237" s="87" t="n"/>
      <c r="N237" s="88" t="n"/>
      <c r="O237" s="88" t="n"/>
      <c r="P237" s="89" t="n"/>
      <c r="Q237" s="87" t="n"/>
      <c r="R237" s="87" t="n"/>
      <c r="S237" s="87" t="n"/>
      <c r="T237" s="87" t="n"/>
      <c r="U237" s="89" t="n"/>
      <c r="V237" s="89" t="n"/>
      <c r="W237" s="89" t="n"/>
      <c r="X237" s="87" t="n"/>
      <c r="Y237" s="87" t="n"/>
      <c r="Z237" s="88" t="n"/>
      <c r="AA237" s="26" t="n"/>
      <c r="AB237" s="86">
        <f>IF($A237="","",$A237-WEEKDAY($A237,2)+1)</f>
        <v/>
      </c>
      <c r="AC237" s="86">
        <f>IF($A237="","",DATE(YEAR($A237),MONTH($A237),1))</f>
        <v/>
      </c>
      <c r="AD237" s="90">
        <f>IF($A237="","",IFERROR($K237/$J237,0))</f>
        <v/>
      </c>
      <c r="AE237" s="90">
        <f>IF($A237="","",IFERROR($L237/$J237,0))</f>
        <v/>
      </c>
      <c r="AF237" s="90">
        <f>IF($A237="","",IFERROR($M237/$J237,0))</f>
        <v/>
      </c>
      <c r="AG237" s="88">
        <f>IF($A237="","",$N237-$O237)</f>
        <v/>
      </c>
      <c r="AH237" s="90">
        <f>IF($A237="","",IFERROR($AG237/$N237,0))</f>
        <v/>
      </c>
      <c r="AI237" s="89">
        <f>IF($A237="","",IFERROR($K237/$P237,0))</f>
        <v/>
      </c>
      <c r="AJ237" s="90">
        <f>IF($A237="","",IFERROR($S237/$R237,0))</f>
        <v/>
      </c>
      <c r="AK237" s="90">
        <f>IF($A237="","",IFERROR($T237/$J237,0))</f>
        <v/>
      </c>
      <c r="AL237" s="26">
        <f>IF($A237="","",IF(AND($AD237&gt;='01_Settings'!$B$9,$V237&lt;='01_Settings'!$B$10,$W237&lt;='01_Settings'!$B$11),"On track","Off track"))</f>
        <v/>
      </c>
      <c r="AM237" s="42">
        <f>IF($A237="","",IF($AD237&lt;'01_Settings'!$B$9,"Low completion rate; ","")&amp;IF($AE237&gt;'01_Settings'!$B$12,"High overdue rate; ","")&amp;IF($U237&lt;'01_Settings'!$B$13,"Low satisfaction; ","")&amp;IF($AH237&lt;'01_Settings'!$B$14,"Low gross margin; ","")&amp;IF($AJ237&lt;'01_Settings'!$B$15,"Low conversion rate; ","")&amp;IF($AK237&gt;'01_Settings'!$B$16,"High complaint rate; ",""))</f>
        <v/>
      </c>
    </row>
    <row r="238" ht="18" customHeight="1">
      <c r="A238" s="86" t="n"/>
      <c r="B238" s="26" t="n"/>
      <c r="C238" s="26" t="n"/>
      <c r="D238" s="26" t="n"/>
      <c r="E238" s="26" t="n"/>
      <c r="F238" s="26" t="n"/>
      <c r="G238" s="26" t="n"/>
      <c r="H238" s="26" t="n"/>
      <c r="I238" s="26" t="n"/>
      <c r="J238" s="87" t="n"/>
      <c r="K238" s="87" t="n"/>
      <c r="L238" s="87" t="n"/>
      <c r="M238" s="87" t="n"/>
      <c r="N238" s="88" t="n"/>
      <c r="O238" s="88" t="n"/>
      <c r="P238" s="89" t="n"/>
      <c r="Q238" s="87" t="n"/>
      <c r="R238" s="87" t="n"/>
      <c r="S238" s="87" t="n"/>
      <c r="T238" s="87" t="n"/>
      <c r="U238" s="89" t="n"/>
      <c r="V238" s="89" t="n"/>
      <c r="W238" s="89" t="n"/>
      <c r="X238" s="87" t="n"/>
      <c r="Y238" s="87" t="n"/>
      <c r="Z238" s="88" t="n"/>
      <c r="AA238" s="26" t="n"/>
      <c r="AB238" s="86">
        <f>IF($A238="","",$A238-WEEKDAY($A238,2)+1)</f>
        <v/>
      </c>
      <c r="AC238" s="86">
        <f>IF($A238="","",DATE(YEAR($A238),MONTH($A238),1))</f>
        <v/>
      </c>
      <c r="AD238" s="90">
        <f>IF($A238="","",IFERROR($K238/$J238,0))</f>
        <v/>
      </c>
      <c r="AE238" s="90">
        <f>IF($A238="","",IFERROR($L238/$J238,0))</f>
        <v/>
      </c>
      <c r="AF238" s="90">
        <f>IF($A238="","",IFERROR($M238/$J238,0))</f>
        <v/>
      </c>
      <c r="AG238" s="88">
        <f>IF($A238="","",$N238-$O238)</f>
        <v/>
      </c>
      <c r="AH238" s="90">
        <f>IF($A238="","",IFERROR($AG238/$N238,0))</f>
        <v/>
      </c>
      <c r="AI238" s="89">
        <f>IF($A238="","",IFERROR($K238/$P238,0))</f>
        <v/>
      </c>
      <c r="AJ238" s="90">
        <f>IF($A238="","",IFERROR($S238/$R238,0))</f>
        <v/>
      </c>
      <c r="AK238" s="90">
        <f>IF($A238="","",IFERROR($T238/$J238,0))</f>
        <v/>
      </c>
      <c r="AL238" s="26">
        <f>IF($A238="","",IF(AND($AD238&gt;='01_Settings'!$B$9,$V238&lt;='01_Settings'!$B$10,$W238&lt;='01_Settings'!$B$11),"On track","Off track"))</f>
        <v/>
      </c>
      <c r="AM238" s="42">
        <f>IF($A238="","",IF($AD238&lt;'01_Settings'!$B$9,"Low completion rate; ","")&amp;IF($AE238&gt;'01_Settings'!$B$12,"High overdue rate; ","")&amp;IF($U238&lt;'01_Settings'!$B$13,"Low satisfaction; ","")&amp;IF($AH238&lt;'01_Settings'!$B$14,"Low gross margin; ","")&amp;IF($AJ238&lt;'01_Settings'!$B$15,"Low conversion rate; ","")&amp;IF($AK238&gt;'01_Settings'!$B$16,"High complaint rate; ",""))</f>
        <v/>
      </c>
    </row>
    <row r="239" ht="18" customHeight="1">
      <c r="A239" s="86" t="n"/>
      <c r="B239" s="26" t="n"/>
      <c r="C239" s="26" t="n"/>
      <c r="D239" s="26" t="n"/>
      <c r="E239" s="26" t="n"/>
      <c r="F239" s="26" t="n"/>
      <c r="G239" s="26" t="n"/>
      <c r="H239" s="26" t="n"/>
      <c r="I239" s="26" t="n"/>
      <c r="J239" s="87" t="n"/>
      <c r="K239" s="87" t="n"/>
      <c r="L239" s="87" t="n"/>
      <c r="M239" s="87" t="n"/>
      <c r="N239" s="88" t="n"/>
      <c r="O239" s="88" t="n"/>
      <c r="P239" s="89" t="n"/>
      <c r="Q239" s="87" t="n"/>
      <c r="R239" s="87" t="n"/>
      <c r="S239" s="87" t="n"/>
      <c r="T239" s="87" t="n"/>
      <c r="U239" s="89" t="n"/>
      <c r="V239" s="89" t="n"/>
      <c r="W239" s="89" t="n"/>
      <c r="X239" s="87" t="n"/>
      <c r="Y239" s="87" t="n"/>
      <c r="Z239" s="88" t="n"/>
      <c r="AA239" s="26" t="n"/>
      <c r="AB239" s="86">
        <f>IF($A239="","",$A239-WEEKDAY($A239,2)+1)</f>
        <v/>
      </c>
      <c r="AC239" s="86">
        <f>IF($A239="","",DATE(YEAR($A239),MONTH($A239),1))</f>
        <v/>
      </c>
      <c r="AD239" s="90">
        <f>IF($A239="","",IFERROR($K239/$J239,0))</f>
        <v/>
      </c>
      <c r="AE239" s="90">
        <f>IF($A239="","",IFERROR($L239/$J239,0))</f>
        <v/>
      </c>
      <c r="AF239" s="90">
        <f>IF($A239="","",IFERROR($M239/$J239,0))</f>
        <v/>
      </c>
      <c r="AG239" s="88">
        <f>IF($A239="","",$N239-$O239)</f>
        <v/>
      </c>
      <c r="AH239" s="90">
        <f>IF($A239="","",IFERROR($AG239/$N239,0))</f>
        <v/>
      </c>
      <c r="AI239" s="89">
        <f>IF($A239="","",IFERROR($K239/$P239,0))</f>
        <v/>
      </c>
      <c r="AJ239" s="90">
        <f>IF($A239="","",IFERROR($S239/$R239,0))</f>
        <v/>
      </c>
      <c r="AK239" s="90">
        <f>IF($A239="","",IFERROR($T239/$J239,0))</f>
        <v/>
      </c>
      <c r="AL239" s="26">
        <f>IF($A239="","",IF(AND($AD239&gt;='01_Settings'!$B$9,$V239&lt;='01_Settings'!$B$10,$W239&lt;='01_Settings'!$B$11),"On track","Off track"))</f>
        <v/>
      </c>
      <c r="AM239" s="42">
        <f>IF($A239="","",IF($AD239&lt;'01_Settings'!$B$9,"Low completion rate; ","")&amp;IF($AE239&gt;'01_Settings'!$B$12,"High overdue rate; ","")&amp;IF($U239&lt;'01_Settings'!$B$13,"Low satisfaction; ","")&amp;IF($AH239&lt;'01_Settings'!$B$14,"Low gross margin; ","")&amp;IF($AJ239&lt;'01_Settings'!$B$15,"Low conversion rate; ","")&amp;IF($AK239&gt;'01_Settings'!$B$16,"High complaint rate; ",""))</f>
        <v/>
      </c>
    </row>
    <row r="240" ht="18" customHeight="1">
      <c r="A240" s="86" t="n"/>
      <c r="B240" s="26" t="n"/>
      <c r="C240" s="26" t="n"/>
      <c r="D240" s="26" t="n"/>
      <c r="E240" s="26" t="n"/>
      <c r="F240" s="26" t="n"/>
      <c r="G240" s="26" t="n"/>
      <c r="H240" s="26" t="n"/>
      <c r="I240" s="26" t="n"/>
      <c r="J240" s="87" t="n"/>
      <c r="K240" s="87" t="n"/>
      <c r="L240" s="87" t="n"/>
      <c r="M240" s="87" t="n"/>
      <c r="N240" s="88" t="n"/>
      <c r="O240" s="88" t="n"/>
      <c r="P240" s="89" t="n"/>
      <c r="Q240" s="87" t="n"/>
      <c r="R240" s="87" t="n"/>
      <c r="S240" s="87" t="n"/>
      <c r="T240" s="87" t="n"/>
      <c r="U240" s="89" t="n"/>
      <c r="V240" s="89" t="n"/>
      <c r="W240" s="89" t="n"/>
      <c r="X240" s="87" t="n"/>
      <c r="Y240" s="87" t="n"/>
      <c r="Z240" s="88" t="n"/>
      <c r="AA240" s="26" t="n"/>
      <c r="AB240" s="86">
        <f>IF($A240="","",$A240-WEEKDAY($A240,2)+1)</f>
        <v/>
      </c>
      <c r="AC240" s="86">
        <f>IF($A240="","",DATE(YEAR($A240),MONTH($A240),1))</f>
        <v/>
      </c>
      <c r="AD240" s="90">
        <f>IF($A240="","",IFERROR($K240/$J240,0))</f>
        <v/>
      </c>
      <c r="AE240" s="90">
        <f>IF($A240="","",IFERROR($L240/$J240,0))</f>
        <v/>
      </c>
      <c r="AF240" s="90">
        <f>IF($A240="","",IFERROR($M240/$J240,0))</f>
        <v/>
      </c>
      <c r="AG240" s="88">
        <f>IF($A240="","",$N240-$O240)</f>
        <v/>
      </c>
      <c r="AH240" s="90">
        <f>IF($A240="","",IFERROR($AG240/$N240,0))</f>
        <v/>
      </c>
      <c r="AI240" s="89">
        <f>IF($A240="","",IFERROR($K240/$P240,0))</f>
        <v/>
      </c>
      <c r="AJ240" s="90">
        <f>IF($A240="","",IFERROR($S240/$R240,0))</f>
        <v/>
      </c>
      <c r="AK240" s="90">
        <f>IF($A240="","",IFERROR($T240/$J240,0))</f>
        <v/>
      </c>
      <c r="AL240" s="26">
        <f>IF($A240="","",IF(AND($AD240&gt;='01_Settings'!$B$9,$V240&lt;='01_Settings'!$B$10,$W240&lt;='01_Settings'!$B$11),"On track","Off track"))</f>
        <v/>
      </c>
      <c r="AM240" s="42">
        <f>IF($A240="","",IF($AD240&lt;'01_Settings'!$B$9,"Low completion rate; ","")&amp;IF($AE240&gt;'01_Settings'!$B$12,"High overdue rate; ","")&amp;IF($U240&lt;'01_Settings'!$B$13,"Low satisfaction; ","")&amp;IF($AH240&lt;'01_Settings'!$B$14,"Low gross margin; ","")&amp;IF($AJ240&lt;'01_Settings'!$B$15,"Low conversion rate; ","")&amp;IF($AK240&gt;'01_Settings'!$B$16,"High complaint rate; ",""))</f>
        <v/>
      </c>
    </row>
    <row r="241" ht="18" customHeight="1">
      <c r="A241" s="86" t="n"/>
      <c r="B241" s="26" t="n"/>
      <c r="C241" s="26" t="n"/>
      <c r="D241" s="26" t="n"/>
      <c r="E241" s="26" t="n"/>
      <c r="F241" s="26" t="n"/>
      <c r="G241" s="26" t="n"/>
      <c r="H241" s="26" t="n"/>
      <c r="I241" s="26" t="n"/>
      <c r="J241" s="87" t="n"/>
      <c r="K241" s="87" t="n"/>
      <c r="L241" s="87" t="n"/>
      <c r="M241" s="87" t="n"/>
      <c r="N241" s="88" t="n"/>
      <c r="O241" s="88" t="n"/>
      <c r="P241" s="89" t="n"/>
      <c r="Q241" s="87" t="n"/>
      <c r="R241" s="87" t="n"/>
      <c r="S241" s="87" t="n"/>
      <c r="T241" s="87" t="n"/>
      <c r="U241" s="89" t="n"/>
      <c r="V241" s="89" t="n"/>
      <c r="W241" s="89" t="n"/>
      <c r="X241" s="87" t="n"/>
      <c r="Y241" s="87" t="n"/>
      <c r="Z241" s="88" t="n"/>
      <c r="AA241" s="26" t="n"/>
      <c r="AB241" s="86">
        <f>IF($A241="","",$A241-WEEKDAY($A241,2)+1)</f>
        <v/>
      </c>
      <c r="AC241" s="86">
        <f>IF($A241="","",DATE(YEAR($A241),MONTH($A241),1))</f>
        <v/>
      </c>
      <c r="AD241" s="90">
        <f>IF($A241="","",IFERROR($K241/$J241,0))</f>
        <v/>
      </c>
      <c r="AE241" s="90">
        <f>IF($A241="","",IFERROR($L241/$J241,0))</f>
        <v/>
      </c>
      <c r="AF241" s="90">
        <f>IF($A241="","",IFERROR($M241/$J241,0))</f>
        <v/>
      </c>
      <c r="AG241" s="88">
        <f>IF($A241="","",$N241-$O241)</f>
        <v/>
      </c>
      <c r="AH241" s="90">
        <f>IF($A241="","",IFERROR($AG241/$N241,0))</f>
        <v/>
      </c>
      <c r="AI241" s="89">
        <f>IF($A241="","",IFERROR($K241/$P241,0))</f>
        <v/>
      </c>
      <c r="AJ241" s="90">
        <f>IF($A241="","",IFERROR($S241/$R241,0))</f>
        <v/>
      </c>
      <c r="AK241" s="90">
        <f>IF($A241="","",IFERROR($T241/$J241,0))</f>
        <v/>
      </c>
      <c r="AL241" s="26">
        <f>IF($A241="","",IF(AND($AD241&gt;='01_Settings'!$B$9,$V241&lt;='01_Settings'!$B$10,$W241&lt;='01_Settings'!$B$11),"On track","Off track"))</f>
        <v/>
      </c>
      <c r="AM241" s="42">
        <f>IF($A241="","",IF($AD241&lt;'01_Settings'!$B$9,"Low completion rate; ","")&amp;IF($AE241&gt;'01_Settings'!$B$12,"High overdue rate; ","")&amp;IF($U241&lt;'01_Settings'!$B$13,"Low satisfaction; ","")&amp;IF($AH241&lt;'01_Settings'!$B$14,"Low gross margin; ","")&amp;IF($AJ241&lt;'01_Settings'!$B$15,"Low conversion rate; ","")&amp;IF($AK241&gt;'01_Settings'!$B$16,"High complaint rate; ",""))</f>
        <v/>
      </c>
    </row>
    <row r="242" ht="18" customHeight="1">
      <c r="A242" s="86" t="n"/>
      <c r="B242" s="26" t="n"/>
      <c r="C242" s="26" t="n"/>
      <c r="D242" s="26" t="n"/>
      <c r="E242" s="26" t="n"/>
      <c r="F242" s="26" t="n"/>
      <c r="G242" s="26" t="n"/>
      <c r="H242" s="26" t="n"/>
      <c r="I242" s="26" t="n"/>
      <c r="J242" s="87" t="n"/>
      <c r="K242" s="87" t="n"/>
      <c r="L242" s="87" t="n"/>
      <c r="M242" s="87" t="n"/>
      <c r="N242" s="88" t="n"/>
      <c r="O242" s="88" t="n"/>
      <c r="P242" s="89" t="n"/>
      <c r="Q242" s="87" t="n"/>
      <c r="R242" s="87" t="n"/>
      <c r="S242" s="87" t="n"/>
      <c r="T242" s="87" t="n"/>
      <c r="U242" s="89" t="n"/>
      <c r="V242" s="89" t="n"/>
      <c r="W242" s="89" t="n"/>
      <c r="X242" s="87" t="n"/>
      <c r="Y242" s="87" t="n"/>
      <c r="Z242" s="88" t="n"/>
      <c r="AA242" s="26" t="n"/>
      <c r="AB242" s="86">
        <f>IF($A242="","",$A242-WEEKDAY($A242,2)+1)</f>
        <v/>
      </c>
      <c r="AC242" s="86">
        <f>IF($A242="","",DATE(YEAR($A242),MONTH($A242),1))</f>
        <v/>
      </c>
      <c r="AD242" s="90">
        <f>IF($A242="","",IFERROR($K242/$J242,0))</f>
        <v/>
      </c>
      <c r="AE242" s="90">
        <f>IF($A242="","",IFERROR($L242/$J242,0))</f>
        <v/>
      </c>
      <c r="AF242" s="90">
        <f>IF($A242="","",IFERROR($M242/$J242,0))</f>
        <v/>
      </c>
      <c r="AG242" s="88">
        <f>IF($A242="","",$N242-$O242)</f>
        <v/>
      </c>
      <c r="AH242" s="90">
        <f>IF($A242="","",IFERROR($AG242/$N242,0))</f>
        <v/>
      </c>
      <c r="AI242" s="89">
        <f>IF($A242="","",IFERROR($K242/$P242,0))</f>
        <v/>
      </c>
      <c r="AJ242" s="90">
        <f>IF($A242="","",IFERROR($S242/$R242,0))</f>
        <v/>
      </c>
      <c r="AK242" s="90">
        <f>IF($A242="","",IFERROR($T242/$J242,0))</f>
        <v/>
      </c>
      <c r="AL242" s="26">
        <f>IF($A242="","",IF(AND($AD242&gt;='01_Settings'!$B$9,$V242&lt;='01_Settings'!$B$10,$W242&lt;='01_Settings'!$B$11),"On track","Off track"))</f>
        <v/>
      </c>
      <c r="AM242" s="42">
        <f>IF($A242="","",IF($AD242&lt;'01_Settings'!$B$9,"Low completion rate; ","")&amp;IF($AE242&gt;'01_Settings'!$B$12,"High overdue rate; ","")&amp;IF($U242&lt;'01_Settings'!$B$13,"Low satisfaction; ","")&amp;IF($AH242&lt;'01_Settings'!$B$14,"Low gross margin; ","")&amp;IF($AJ242&lt;'01_Settings'!$B$15,"Low conversion rate; ","")&amp;IF($AK242&gt;'01_Settings'!$B$16,"High complaint rate; ",""))</f>
        <v/>
      </c>
    </row>
    <row r="243" ht="18" customHeight="1">
      <c r="A243" s="86" t="n"/>
      <c r="B243" s="26" t="n"/>
      <c r="C243" s="26" t="n"/>
      <c r="D243" s="26" t="n"/>
      <c r="E243" s="26" t="n"/>
      <c r="F243" s="26" t="n"/>
      <c r="G243" s="26" t="n"/>
      <c r="H243" s="26" t="n"/>
      <c r="I243" s="26" t="n"/>
      <c r="J243" s="87" t="n"/>
      <c r="K243" s="87" t="n"/>
      <c r="L243" s="87" t="n"/>
      <c r="M243" s="87" t="n"/>
      <c r="N243" s="88" t="n"/>
      <c r="O243" s="88" t="n"/>
      <c r="P243" s="89" t="n"/>
      <c r="Q243" s="87" t="n"/>
      <c r="R243" s="87" t="n"/>
      <c r="S243" s="87" t="n"/>
      <c r="T243" s="87" t="n"/>
      <c r="U243" s="89" t="n"/>
      <c r="V243" s="89" t="n"/>
      <c r="W243" s="89" t="n"/>
      <c r="X243" s="87" t="n"/>
      <c r="Y243" s="87" t="n"/>
      <c r="Z243" s="88" t="n"/>
      <c r="AA243" s="26" t="n"/>
      <c r="AB243" s="86">
        <f>IF($A243="","",$A243-WEEKDAY($A243,2)+1)</f>
        <v/>
      </c>
      <c r="AC243" s="86">
        <f>IF($A243="","",DATE(YEAR($A243),MONTH($A243),1))</f>
        <v/>
      </c>
      <c r="AD243" s="90">
        <f>IF($A243="","",IFERROR($K243/$J243,0))</f>
        <v/>
      </c>
      <c r="AE243" s="90">
        <f>IF($A243="","",IFERROR($L243/$J243,0))</f>
        <v/>
      </c>
      <c r="AF243" s="90">
        <f>IF($A243="","",IFERROR($M243/$J243,0))</f>
        <v/>
      </c>
      <c r="AG243" s="88">
        <f>IF($A243="","",$N243-$O243)</f>
        <v/>
      </c>
      <c r="AH243" s="90">
        <f>IF($A243="","",IFERROR($AG243/$N243,0))</f>
        <v/>
      </c>
      <c r="AI243" s="89">
        <f>IF($A243="","",IFERROR($K243/$P243,0))</f>
        <v/>
      </c>
      <c r="AJ243" s="90">
        <f>IF($A243="","",IFERROR($S243/$R243,0))</f>
        <v/>
      </c>
      <c r="AK243" s="90">
        <f>IF($A243="","",IFERROR($T243/$J243,0))</f>
        <v/>
      </c>
      <c r="AL243" s="26">
        <f>IF($A243="","",IF(AND($AD243&gt;='01_Settings'!$B$9,$V243&lt;='01_Settings'!$B$10,$W243&lt;='01_Settings'!$B$11),"On track","Off track"))</f>
        <v/>
      </c>
      <c r="AM243" s="42">
        <f>IF($A243="","",IF($AD243&lt;'01_Settings'!$B$9,"Low completion rate; ","")&amp;IF($AE243&gt;'01_Settings'!$B$12,"High overdue rate; ","")&amp;IF($U243&lt;'01_Settings'!$B$13,"Low satisfaction; ","")&amp;IF($AH243&lt;'01_Settings'!$B$14,"Low gross margin; ","")&amp;IF($AJ243&lt;'01_Settings'!$B$15,"Low conversion rate; ","")&amp;IF($AK243&gt;'01_Settings'!$B$16,"High complaint rate; ",""))</f>
        <v/>
      </c>
    </row>
    <row r="244" ht="18" customHeight="1">
      <c r="A244" s="86" t="n"/>
      <c r="B244" s="26" t="n"/>
      <c r="C244" s="26" t="n"/>
      <c r="D244" s="26" t="n"/>
      <c r="E244" s="26" t="n"/>
      <c r="F244" s="26" t="n"/>
      <c r="G244" s="26" t="n"/>
      <c r="H244" s="26" t="n"/>
      <c r="I244" s="26" t="n"/>
      <c r="J244" s="87" t="n"/>
      <c r="K244" s="87" t="n"/>
      <c r="L244" s="87" t="n"/>
      <c r="M244" s="87" t="n"/>
      <c r="N244" s="88" t="n"/>
      <c r="O244" s="88" t="n"/>
      <c r="P244" s="89" t="n"/>
      <c r="Q244" s="87" t="n"/>
      <c r="R244" s="87" t="n"/>
      <c r="S244" s="87" t="n"/>
      <c r="T244" s="87" t="n"/>
      <c r="U244" s="89" t="n"/>
      <c r="V244" s="89" t="n"/>
      <c r="W244" s="89" t="n"/>
      <c r="X244" s="87" t="n"/>
      <c r="Y244" s="87" t="n"/>
      <c r="Z244" s="88" t="n"/>
      <c r="AA244" s="26" t="n"/>
      <c r="AB244" s="86">
        <f>IF($A244="","",$A244-WEEKDAY($A244,2)+1)</f>
        <v/>
      </c>
      <c r="AC244" s="86">
        <f>IF($A244="","",DATE(YEAR($A244),MONTH($A244),1))</f>
        <v/>
      </c>
      <c r="AD244" s="90">
        <f>IF($A244="","",IFERROR($K244/$J244,0))</f>
        <v/>
      </c>
      <c r="AE244" s="90">
        <f>IF($A244="","",IFERROR($L244/$J244,0))</f>
        <v/>
      </c>
      <c r="AF244" s="90">
        <f>IF($A244="","",IFERROR($M244/$J244,0))</f>
        <v/>
      </c>
      <c r="AG244" s="88">
        <f>IF($A244="","",$N244-$O244)</f>
        <v/>
      </c>
      <c r="AH244" s="90">
        <f>IF($A244="","",IFERROR($AG244/$N244,0))</f>
        <v/>
      </c>
      <c r="AI244" s="89">
        <f>IF($A244="","",IFERROR($K244/$P244,0))</f>
        <v/>
      </c>
      <c r="AJ244" s="90">
        <f>IF($A244="","",IFERROR($S244/$R244,0))</f>
        <v/>
      </c>
      <c r="AK244" s="90">
        <f>IF($A244="","",IFERROR($T244/$J244,0))</f>
        <v/>
      </c>
      <c r="AL244" s="26">
        <f>IF($A244="","",IF(AND($AD244&gt;='01_Settings'!$B$9,$V244&lt;='01_Settings'!$B$10,$W244&lt;='01_Settings'!$B$11),"On track","Off track"))</f>
        <v/>
      </c>
      <c r="AM244" s="42">
        <f>IF($A244="","",IF($AD244&lt;'01_Settings'!$B$9,"Low completion rate; ","")&amp;IF($AE244&gt;'01_Settings'!$B$12,"High overdue rate; ","")&amp;IF($U244&lt;'01_Settings'!$B$13,"Low satisfaction; ","")&amp;IF($AH244&lt;'01_Settings'!$B$14,"Low gross margin; ","")&amp;IF($AJ244&lt;'01_Settings'!$B$15,"Low conversion rate; ","")&amp;IF($AK244&gt;'01_Settings'!$B$16,"High complaint rate; ",""))</f>
        <v/>
      </c>
    </row>
    <row r="245" ht="18" customHeight="1">
      <c r="A245" s="86" t="n"/>
      <c r="B245" s="26" t="n"/>
      <c r="C245" s="26" t="n"/>
      <c r="D245" s="26" t="n"/>
      <c r="E245" s="26" t="n"/>
      <c r="F245" s="26" t="n"/>
      <c r="G245" s="26" t="n"/>
      <c r="H245" s="26" t="n"/>
      <c r="I245" s="26" t="n"/>
      <c r="J245" s="87" t="n"/>
      <c r="K245" s="87" t="n"/>
      <c r="L245" s="87" t="n"/>
      <c r="M245" s="87" t="n"/>
      <c r="N245" s="88" t="n"/>
      <c r="O245" s="88" t="n"/>
      <c r="P245" s="89" t="n"/>
      <c r="Q245" s="87" t="n"/>
      <c r="R245" s="87" t="n"/>
      <c r="S245" s="87" t="n"/>
      <c r="T245" s="87" t="n"/>
      <c r="U245" s="89" t="n"/>
      <c r="V245" s="89" t="n"/>
      <c r="W245" s="89" t="n"/>
      <c r="X245" s="87" t="n"/>
      <c r="Y245" s="87" t="n"/>
      <c r="Z245" s="88" t="n"/>
      <c r="AA245" s="26" t="n"/>
      <c r="AB245" s="86">
        <f>IF($A245="","",$A245-WEEKDAY($A245,2)+1)</f>
        <v/>
      </c>
      <c r="AC245" s="86">
        <f>IF($A245="","",DATE(YEAR($A245),MONTH($A245),1))</f>
        <v/>
      </c>
      <c r="AD245" s="90">
        <f>IF($A245="","",IFERROR($K245/$J245,0))</f>
        <v/>
      </c>
      <c r="AE245" s="90">
        <f>IF($A245="","",IFERROR($L245/$J245,0))</f>
        <v/>
      </c>
      <c r="AF245" s="90">
        <f>IF($A245="","",IFERROR($M245/$J245,0))</f>
        <v/>
      </c>
      <c r="AG245" s="88">
        <f>IF($A245="","",$N245-$O245)</f>
        <v/>
      </c>
      <c r="AH245" s="90">
        <f>IF($A245="","",IFERROR($AG245/$N245,0))</f>
        <v/>
      </c>
      <c r="AI245" s="89">
        <f>IF($A245="","",IFERROR($K245/$P245,0))</f>
        <v/>
      </c>
      <c r="AJ245" s="90">
        <f>IF($A245="","",IFERROR($S245/$R245,0))</f>
        <v/>
      </c>
      <c r="AK245" s="90">
        <f>IF($A245="","",IFERROR($T245/$J245,0))</f>
        <v/>
      </c>
      <c r="AL245" s="26">
        <f>IF($A245="","",IF(AND($AD245&gt;='01_Settings'!$B$9,$V245&lt;='01_Settings'!$B$10,$W245&lt;='01_Settings'!$B$11),"On track","Off track"))</f>
        <v/>
      </c>
      <c r="AM245" s="42">
        <f>IF($A245="","",IF($AD245&lt;'01_Settings'!$B$9,"Low completion rate; ","")&amp;IF($AE245&gt;'01_Settings'!$B$12,"High overdue rate; ","")&amp;IF($U245&lt;'01_Settings'!$B$13,"Low satisfaction; ","")&amp;IF($AH245&lt;'01_Settings'!$B$14,"Low gross margin; ","")&amp;IF($AJ245&lt;'01_Settings'!$B$15,"Low conversion rate; ","")&amp;IF($AK245&gt;'01_Settings'!$B$16,"High complaint rate; ",""))</f>
        <v/>
      </c>
    </row>
    <row r="246" ht="18" customHeight="1">
      <c r="A246" s="86" t="n"/>
      <c r="B246" s="26" t="n"/>
      <c r="C246" s="26" t="n"/>
      <c r="D246" s="26" t="n"/>
      <c r="E246" s="26" t="n"/>
      <c r="F246" s="26" t="n"/>
      <c r="G246" s="26" t="n"/>
      <c r="H246" s="26" t="n"/>
      <c r="I246" s="26" t="n"/>
      <c r="J246" s="87" t="n"/>
      <c r="K246" s="87" t="n"/>
      <c r="L246" s="87" t="n"/>
      <c r="M246" s="87" t="n"/>
      <c r="N246" s="88" t="n"/>
      <c r="O246" s="88" t="n"/>
      <c r="P246" s="89" t="n"/>
      <c r="Q246" s="87" t="n"/>
      <c r="R246" s="87" t="n"/>
      <c r="S246" s="87" t="n"/>
      <c r="T246" s="87" t="n"/>
      <c r="U246" s="89" t="n"/>
      <c r="V246" s="89" t="n"/>
      <c r="W246" s="89" t="n"/>
      <c r="X246" s="87" t="n"/>
      <c r="Y246" s="87" t="n"/>
      <c r="Z246" s="88" t="n"/>
      <c r="AA246" s="26" t="n"/>
      <c r="AB246" s="86">
        <f>IF($A246="","",$A246-WEEKDAY($A246,2)+1)</f>
        <v/>
      </c>
      <c r="AC246" s="86">
        <f>IF($A246="","",DATE(YEAR($A246),MONTH($A246),1))</f>
        <v/>
      </c>
      <c r="AD246" s="90">
        <f>IF($A246="","",IFERROR($K246/$J246,0))</f>
        <v/>
      </c>
      <c r="AE246" s="90">
        <f>IF($A246="","",IFERROR($L246/$J246,0))</f>
        <v/>
      </c>
      <c r="AF246" s="90">
        <f>IF($A246="","",IFERROR($M246/$J246,0))</f>
        <v/>
      </c>
      <c r="AG246" s="88">
        <f>IF($A246="","",$N246-$O246)</f>
        <v/>
      </c>
      <c r="AH246" s="90">
        <f>IF($A246="","",IFERROR($AG246/$N246,0))</f>
        <v/>
      </c>
      <c r="AI246" s="89">
        <f>IF($A246="","",IFERROR($K246/$P246,0))</f>
        <v/>
      </c>
      <c r="AJ246" s="90">
        <f>IF($A246="","",IFERROR($S246/$R246,0))</f>
        <v/>
      </c>
      <c r="AK246" s="90">
        <f>IF($A246="","",IFERROR($T246/$J246,0))</f>
        <v/>
      </c>
      <c r="AL246" s="26">
        <f>IF($A246="","",IF(AND($AD246&gt;='01_Settings'!$B$9,$V246&lt;='01_Settings'!$B$10,$W246&lt;='01_Settings'!$B$11),"On track","Off track"))</f>
        <v/>
      </c>
      <c r="AM246" s="42">
        <f>IF($A246="","",IF($AD246&lt;'01_Settings'!$B$9,"Low completion rate; ","")&amp;IF($AE246&gt;'01_Settings'!$B$12,"High overdue rate; ","")&amp;IF($U246&lt;'01_Settings'!$B$13,"Low satisfaction; ","")&amp;IF($AH246&lt;'01_Settings'!$B$14,"Low gross margin; ","")&amp;IF($AJ246&lt;'01_Settings'!$B$15,"Low conversion rate; ","")&amp;IF($AK246&gt;'01_Settings'!$B$16,"High complaint rate; ",""))</f>
        <v/>
      </c>
    </row>
    <row r="247" ht="18" customHeight="1">
      <c r="A247" s="86" t="n"/>
      <c r="B247" s="26" t="n"/>
      <c r="C247" s="26" t="n"/>
      <c r="D247" s="26" t="n"/>
      <c r="E247" s="26" t="n"/>
      <c r="F247" s="26" t="n"/>
      <c r="G247" s="26" t="n"/>
      <c r="H247" s="26" t="n"/>
      <c r="I247" s="26" t="n"/>
      <c r="J247" s="87" t="n"/>
      <c r="K247" s="87" t="n"/>
      <c r="L247" s="87" t="n"/>
      <c r="M247" s="87" t="n"/>
      <c r="N247" s="88" t="n"/>
      <c r="O247" s="88" t="n"/>
      <c r="P247" s="89" t="n"/>
      <c r="Q247" s="87" t="n"/>
      <c r="R247" s="87" t="n"/>
      <c r="S247" s="87" t="n"/>
      <c r="T247" s="87" t="n"/>
      <c r="U247" s="89" t="n"/>
      <c r="V247" s="89" t="n"/>
      <c r="W247" s="89" t="n"/>
      <c r="X247" s="87" t="n"/>
      <c r="Y247" s="87" t="n"/>
      <c r="Z247" s="88" t="n"/>
      <c r="AA247" s="26" t="n"/>
      <c r="AB247" s="86">
        <f>IF($A247="","",$A247-WEEKDAY($A247,2)+1)</f>
        <v/>
      </c>
      <c r="AC247" s="86">
        <f>IF($A247="","",DATE(YEAR($A247),MONTH($A247),1))</f>
        <v/>
      </c>
      <c r="AD247" s="90">
        <f>IF($A247="","",IFERROR($K247/$J247,0))</f>
        <v/>
      </c>
      <c r="AE247" s="90">
        <f>IF($A247="","",IFERROR($L247/$J247,0))</f>
        <v/>
      </c>
      <c r="AF247" s="90">
        <f>IF($A247="","",IFERROR($M247/$J247,0))</f>
        <v/>
      </c>
      <c r="AG247" s="88">
        <f>IF($A247="","",$N247-$O247)</f>
        <v/>
      </c>
      <c r="AH247" s="90">
        <f>IF($A247="","",IFERROR($AG247/$N247,0))</f>
        <v/>
      </c>
      <c r="AI247" s="89">
        <f>IF($A247="","",IFERROR($K247/$P247,0))</f>
        <v/>
      </c>
      <c r="AJ247" s="90">
        <f>IF($A247="","",IFERROR($S247/$R247,0))</f>
        <v/>
      </c>
      <c r="AK247" s="90">
        <f>IF($A247="","",IFERROR($T247/$J247,0))</f>
        <v/>
      </c>
      <c r="AL247" s="26">
        <f>IF($A247="","",IF(AND($AD247&gt;='01_Settings'!$B$9,$V247&lt;='01_Settings'!$B$10,$W247&lt;='01_Settings'!$B$11),"On track","Off track"))</f>
        <v/>
      </c>
      <c r="AM247" s="42">
        <f>IF($A247="","",IF($AD247&lt;'01_Settings'!$B$9,"Low completion rate; ","")&amp;IF($AE247&gt;'01_Settings'!$B$12,"High overdue rate; ","")&amp;IF($U247&lt;'01_Settings'!$B$13,"Low satisfaction; ","")&amp;IF($AH247&lt;'01_Settings'!$B$14,"Low gross margin; ","")&amp;IF($AJ247&lt;'01_Settings'!$B$15,"Low conversion rate; ","")&amp;IF($AK247&gt;'01_Settings'!$B$16,"High complaint rate; ",""))</f>
        <v/>
      </c>
    </row>
    <row r="248" ht="18" customHeight="1">
      <c r="A248" s="86" t="n"/>
      <c r="B248" s="26" t="n"/>
      <c r="C248" s="26" t="n"/>
      <c r="D248" s="26" t="n"/>
      <c r="E248" s="26" t="n"/>
      <c r="F248" s="26" t="n"/>
      <c r="G248" s="26" t="n"/>
      <c r="H248" s="26" t="n"/>
      <c r="I248" s="26" t="n"/>
      <c r="J248" s="87" t="n"/>
      <c r="K248" s="87" t="n"/>
      <c r="L248" s="87" t="n"/>
      <c r="M248" s="87" t="n"/>
      <c r="N248" s="88" t="n"/>
      <c r="O248" s="88" t="n"/>
      <c r="P248" s="89" t="n"/>
      <c r="Q248" s="87" t="n"/>
      <c r="R248" s="87" t="n"/>
      <c r="S248" s="87" t="n"/>
      <c r="T248" s="87" t="n"/>
      <c r="U248" s="89" t="n"/>
      <c r="V248" s="89" t="n"/>
      <c r="W248" s="89" t="n"/>
      <c r="X248" s="87" t="n"/>
      <c r="Y248" s="87" t="n"/>
      <c r="Z248" s="88" t="n"/>
      <c r="AA248" s="26" t="n"/>
      <c r="AB248" s="86">
        <f>IF($A248="","",$A248-WEEKDAY($A248,2)+1)</f>
        <v/>
      </c>
      <c r="AC248" s="86">
        <f>IF($A248="","",DATE(YEAR($A248),MONTH($A248),1))</f>
        <v/>
      </c>
      <c r="AD248" s="90">
        <f>IF($A248="","",IFERROR($K248/$J248,0))</f>
        <v/>
      </c>
      <c r="AE248" s="90">
        <f>IF($A248="","",IFERROR($L248/$J248,0))</f>
        <v/>
      </c>
      <c r="AF248" s="90">
        <f>IF($A248="","",IFERROR($M248/$J248,0))</f>
        <v/>
      </c>
      <c r="AG248" s="88">
        <f>IF($A248="","",$N248-$O248)</f>
        <v/>
      </c>
      <c r="AH248" s="90">
        <f>IF($A248="","",IFERROR($AG248/$N248,0))</f>
        <v/>
      </c>
      <c r="AI248" s="89">
        <f>IF($A248="","",IFERROR($K248/$P248,0))</f>
        <v/>
      </c>
      <c r="AJ248" s="90">
        <f>IF($A248="","",IFERROR($S248/$R248,0))</f>
        <v/>
      </c>
      <c r="AK248" s="90">
        <f>IF($A248="","",IFERROR($T248/$J248,0))</f>
        <v/>
      </c>
      <c r="AL248" s="26">
        <f>IF($A248="","",IF(AND($AD248&gt;='01_Settings'!$B$9,$V248&lt;='01_Settings'!$B$10,$W248&lt;='01_Settings'!$B$11),"On track","Off track"))</f>
        <v/>
      </c>
      <c r="AM248" s="42">
        <f>IF($A248="","",IF($AD248&lt;'01_Settings'!$B$9,"Low completion rate; ","")&amp;IF($AE248&gt;'01_Settings'!$B$12,"High overdue rate; ","")&amp;IF($U248&lt;'01_Settings'!$B$13,"Low satisfaction; ","")&amp;IF($AH248&lt;'01_Settings'!$B$14,"Low gross margin; ","")&amp;IF($AJ248&lt;'01_Settings'!$B$15,"Low conversion rate; ","")&amp;IF($AK248&gt;'01_Settings'!$B$16,"High complaint rate; ",""))</f>
        <v/>
      </c>
    </row>
    <row r="249" ht="18" customHeight="1">
      <c r="A249" s="86" t="n"/>
      <c r="B249" s="26" t="n"/>
      <c r="C249" s="26" t="n"/>
      <c r="D249" s="26" t="n"/>
      <c r="E249" s="26" t="n"/>
      <c r="F249" s="26" t="n"/>
      <c r="G249" s="26" t="n"/>
      <c r="H249" s="26" t="n"/>
      <c r="I249" s="26" t="n"/>
      <c r="J249" s="87" t="n"/>
      <c r="K249" s="87" t="n"/>
      <c r="L249" s="87" t="n"/>
      <c r="M249" s="87" t="n"/>
      <c r="N249" s="88" t="n"/>
      <c r="O249" s="88" t="n"/>
      <c r="P249" s="89" t="n"/>
      <c r="Q249" s="87" t="n"/>
      <c r="R249" s="87" t="n"/>
      <c r="S249" s="87" t="n"/>
      <c r="T249" s="87" t="n"/>
      <c r="U249" s="89" t="n"/>
      <c r="V249" s="89" t="n"/>
      <c r="W249" s="89" t="n"/>
      <c r="X249" s="87" t="n"/>
      <c r="Y249" s="87" t="n"/>
      <c r="Z249" s="88" t="n"/>
      <c r="AA249" s="26" t="n"/>
      <c r="AB249" s="86">
        <f>IF($A249="","",$A249-WEEKDAY($A249,2)+1)</f>
        <v/>
      </c>
      <c r="AC249" s="86">
        <f>IF($A249="","",DATE(YEAR($A249),MONTH($A249),1))</f>
        <v/>
      </c>
      <c r="AD249" s="90">
        <f>IF($A249="","",IFERROR($K249/$J249,0))</f>
        <v/>
      </c>
      <c r="AE249" s="90">
        <f>IF($A249="","",IFERROR($L249/$J249,0))</f>
        <v/>
      </c>
      <c r="AF249" s="90">
        <f>IF($A249="","",IFERROR($M249/$J249,0))</f>
        <v/>
      </c>
      <c r="AG249" s="88">
        <f>IF($A249="","",$N249-$O249)</f>
        <v/>
      </c>
      <c r="AH249" s="90">
        <f>IF($A249="","",IFERROR($AG249/$N249,0))</f>
        <v/>
      </c>
      <c r="AI249" s="89">
        <f>IF($A249="","",IFERROR($K249/$P249,0))</f>
        <v/>
      </c>
      <c r="AJ249" s="90">
        <f>IF($A249="","",IFERROR($S249/$R249,0))</f>
        <v/>
      </c>
      <c r="AK249" s="90">
        <f>IF($A249="","",IFERROR($T249/$J249,0))</f>
        <v/>
      </c>
      <c r="AL249" s="26">
        <f>IF($A249="","",IF(AND($AD249&gt;='01_Settings'!$B$9,$V249&lt;='01_Settings'!$B$10,$W249&lt;='01_Settings'!$B$11),"On track","Off track"))</f>
        <v/>
      </c>
      <c r="AM249" s="42">
        <f>IF($A249="","",IF($AD249&lt;'01_Settings'!$B$9,"Low completion rate; ","")&amp;IF($AE249&gt;'01_Settings'!$B$12,"High overdue rate; ","")&amp;IF($U249&lt;'01_Settings'!$B$13,"Low satisfaction; ","")&amp;IF($AH249&lt;'01_Settings'!$B$14,"Low gross margin; ","")&amp;IF($AJ249&lt;'01_Settings'!$B$15,"Low conversion rate; ","")&amp;IF($AK249&gt;'01_Settings'!$B$16,"High complaint rate; ",""))</f>
        <v/>
      </c>
    </row>
    <row r="250" ht="18" customHeight="1">
      <c r="A250" s="86" t="n"/>
      <c r="B250" s="26" t="n"/>
      <c r="C250" s="26" t="n"/>
      <c r="D250" s="26" t="n"/>
      <c r="E250" s="26" t="n"/>
      <c r="F250" s="26" t="n"/>
      <c r="G250" s="26" t="n"/>
      <c r="H250" s="26" t="n"/>
      <c r="I250" s="26" t="n"/>
      <c r="J250" s="87" t="n"/>
      <c r="K250" s="87" t="n"/>
      <c r="L250" s="87" t="n"/>
      <c r="M250" s="87" t="n"/>
      <c r="N250" s="88" t="n"/>
      <c r="O250" s="88" t="n"/>
      <c r="P250" s="89" t="n"/>
      <c r="Q250" s="87" t="n"/>
      <c r="R250" s="87" t="n"/>
      <c r="S250" s="87" t="n"/>
      <c r="T250" s="87" t="n"/>
      <c r="U250" s="89" t="n"/>
      <c r="V250" s="89" t="n"/>
      <c r="W250" s="89" t="n"/>
      <c r="X250" s="87" t="n"/>
      <c r="Y250" s="87" t="n"/>
      <c r="Z250" s="88" t="n"/>
      <c r="AA250" s="26" t="n"/>
      <c r="AB250" s="86">
        <f>IF($A250="","",$A250-WEEKDAY($A250,2)+1)</f>
        <v/>
      </c>
      <c r="AC250" s="86">
        <f>IF($A250="","",DATE(YEAR($A250),MONTH($A250),1))</f>
        <v/>
      </c>
      <c r="AD250" s="90">
        <f>IF($A250="","",IFERROR($K250/$J250,0))</f>
        <v/>
      </c>
      <c r="AE250" s="90">
        <f>IF($A250="","",IFERROR($L250/$J250,0))</f>
        <v/>
      </c>
      <c r="AF250" s="90">
        <f>IF($A250="","",IFERROR($M250/$J250,0))</f>
        <v/>
      </c>
      <c r="AG250" s="88">
        <f>IF($A250="","",$N250-$O250)</f>
        <v/>
      </c>
      <c r="AH250" s="90">
        <f>IF($A250="","",IFERROR($AG250/$N250,0))</f>
        <v/>
      </c>
      <c r="AI250" s="89">
        <f>IF($A250="","",IFERROR($K250/$P250,0))</f>
        <v/>
      </c>
      <c r="AJ250" s="90">
        <f>IF($A250="","",IFERROR($S250/$R250,0))</f>
        <v/>
      </c>
      <c r="AK250" s="90">
        <f>IF($A250="","",IFERROR($T250/$J250,0))</f>
        <v/>
      </c>
      <c r="AL250" s="26">
        <f>IF($A250="","",IF(AND($AD250&gt;='01_Settings'!$B$9,$V250&lt;='01_Settings'!$B$10,$W250&lt;='01_Settings'!$B$11),"On track","Off track"))</f>
        <v/>
      </c>
      <c r="AM250" s="42">
        <f>IF($A250="","",IF($AD250&lt;'01_Settings'!$B$9,"Low completion rate; ","")&amp;IF($AE250&gt;'01_Settings'!$B$12,"High overdue rate; ","")&amp;IF($U250&lt;'01_Settings'!$B$13,"Low satisfaction; ","")&amp;IF($AH250&lt;'01_Settings'!$B$14,"Low gross margin; ","")&amp;IF($AJ250&lt;'01_Settings'!$B$15,"Low conversion rate; ","")&amp;IF($AK250&gt;'01_Settings'!$B$16,"High complaint rate; ",""))</f>
        <v/>
      </c>
    </row>
    <row r="251" ht="18" customHeight="1">
      <c r="A251" s="86" t="n"/>
      <c r="B251" s="26" t="n"/>
      <c r="C251" s="26" t="n"/>
      <c r="D251" s="26" t="n"/>
      <c r="E251" s="26" t="n"/>
      <c r="F251" s="26" t="n"/>
      <c r="G251" s="26" t="n"/>
      <c r="H251" s="26" t="n"/>
      <c r="I251" s="26" t="n"/>
      <c r="J251" s="87" t="n"/>
      <c r="K251" s="87" t="n"/>
      <c r="L251" s="87" t="n"/>
      <c r="M251" s="87" t="n"/>
      <c r="N251" s="88" t="n"/>
      <c r="O251" s="88" t="n"/>
      <c r="P251" s="89" t="n"/>
      <c r="Q251" s="87" t="n"/>
      <c r="R251" s="87" t="n"/>
      <c r="S251" s="87" t="n"/>
      <c r="T251" s="87" t="n"/>
      <c r="U251" s="89" t="n"/>
      <c r="V251" s="89" t="n"/>
      <c r="W251" s="89" t="n"/>
      <c r="X251" s="87" t="n"/>
      <c r="Y251" s="87" t="n"/>
      <c r="Z251" s="88" t="n"/>
      <c r="AA251" s="26" t="n"/>
      <c r="AB251" s="86">
        <f>IF($A251="","",$A251-WEEKDAY($A251,2)+1)</f>
        <v/>
      </c>
      <c r="AC251" s="86">
        <f>IF($A251="","",DATE(YEAR($A251),MONTH($A251),1))</f>
        <v/>
      </c>
      <c r="AD251" s="90">
        <f>IF($A251="","",IFERROR($K251/$J251,0))</f>
        <v/>
      </c>
      <c r="AE251" s="90">
        <f>IF($A251="","",IFERROR($L251/$J251,0))</f>
        <v/>
      </c>
      <c r="AF251" s="90">
        <f>IF($A251="","",IFERROR($M251/$J251,0))</f>
        <v/>
      </c>
      <c r="AG251" s="88">
        <f>IF($A251="","",$N251-$O251)</f>
        <v/>
      </c>
      <c r="AH251" s="90">
        <f>IF($A251="","",IFERROR($AG251/$N251,0))</f>
        <v/>
      </c>
      <c r="AI251" s="89">
        <f>IF($A251="","",IFERROR($K251/$P251,0))</f>
        <v/>
      </c>
      <c r="AJ251" s="90">
        <f>IF($A251="","",IFERROR($S251/$R251,0))</f>
        <v/>
      </c>
      <c r="AK251" s="90">
        <f>IF($A251="","",IFERROR($T251/$J251,0))</f>
        <v/>
      </c>
      <c r="AL251" s="26">
        <f>IF($A251="","",IF(AND($AD251&gt;='01_Settings'!$B$9,$V251&lt;='01_Settings'!$B$10,$W251&lt;='01_Settings'!$B$11),"On track","Off track"))</f>
        <v/>
      </c>
      <c r="AM251" s="42">
        <f>IF($A251="","",IF($AD251&lt;'01_Settings'!$B$9,"Low completion rate; ","")&amp;IF($AE251&gt;'01_Settings'!$B$12,"High overdue rate; ","")&amp;IF($U251&lt;'01_Settings'!$B$13,"Low satisfaction; ","")&amp;IF($AH251&lt;'01_Settings'!$B$14,"Low gross margin; ","")&amp;IF($AJ251&lt;'01_Settings'!$B$15,"Low conversion rate; ","")&amp;IF($AK251&gt;'01_Settings'!$B$16,"High complaint rate; ",""))</f>
        <v/>
      </c>
    </row>
    <row r="252" ht="18" customHeight="1">
      <c r="A252" s="86" t="n"/>
      <c r="B252" s="26" t="n"/>
      <c r="C252" s="26" t="n"/>
      <c r="D252" s="26" t="n"/>
      <c r="E252" s="26" t="n"/>
      <c r="F252" s="26" t="n"/>
      <c r="G252" s="26" t="n"/>
      <c r="H252" s="26" t="n"/>
      <c r="I252" s="26" t="n"/>
      <c r="J252" s="87" t="n"/>
      <c r="K252" s="87" t="n"/>
      <c r="L252" s="87" t="n"/>
      <c r="M252" s="87" t="n"/>
      <c r="N252" s="88" t="n"/>
      <c r="O252" s="88" t="n"/>
      <c r="P252" s="89" t="n"/>
      <c r="Q252" s="87" t="n"/>
      <c r="R252" s="87" t="n"/>
      <c r="S252" s="87" t="n"/>
      <c r="T252" s="87" t="n"/>
      <c r="U252" s="89" t="n"/>
      <c r="V252" s="89" t="n"/>
      <c r="W252" s="89" t="n"/>
      <c r="X252" s="87" t="n"/>
      <c r="Y252" s="87" t="n"/>
      <c r="Z252" s="88" t="n"/>
      <c r="AA252" s="26" t="n"/>
      <c r="AB252" s="86">
        <f>IF($A252="","",$A252-WEEKDAY($A252,2)+1)</f>
        <v/>
      </c>
      <c r="AC252" s="86">
        <f>IF($A252="","",DATE(YEAR($A252),MONTH($A252),1))</f>
        <v/>
      </c>
      <c r="AD252" s="90">
        <f>IF($A252="","",IFERROR($K252/$J252,0))</f>
        <v/>
      </c>
      <c r="AE252" s="90">
        <f>IF($A252="","",IFERROR($L252/$J252,0))</f>
        <v/>
      </c>
      <c r="AF252" s="90">
        <f>IF($A252="","",IFERROR($M252/$J252,0))</f>
        <v/>
      </c>
      <c r="AG252" s="88">
        <f>IF($A252="","",$N252-$O252)</f>
        <v/>
      </c>
      <c r="AH252" s="90">
        <f>IF($A252="","",IFERROR($AG252/$N252,0))</f>
        <v/>
      </c>
      <c r="AI252" s="89">
        <f>IF($A252="","",IFERROR($K252/$P252,0))</f>
        <v/>
      </c>
      <c r="AJ252" s="90">
        <f>IF($A252="","",IFERROR($S252/$R252,0))</f>
        <v/>
      </c>
      <c r="AK252" s="90">
        <f>IF($A252="","",IFERROR($T252/$J252,0))</f>
        <v/>
      </c>
      <c r="AL252" s="26">
        <f>IF($A252="","",IF(AND($AD252&gt;='01_Settings'!$B$9,$V252&lt;='01_Settings'!$B$10,$W252&lt;='01_Settings'!$B$11),"On track","Off track"))</f>
        <v/>
      </c>
      <c r="AM252" s="42">
        <f>IF($A252="","",IF($AD252&lt;'01_Settings'!$B$9,"Low completion rate; ","")&amp;IF($AE252&gt;'01_Settings'!$B$12,"High overdue rate; ","")&amp;IF($U252&lt;'01_Settings'!$B$13,"Low satisfaction; ","")&amp;IF($AH252&lt;'01_Settings'!$B$14,"Low gross margin; ","")&amp;IF($AJ252&lt;'01_Settings'!$B$15,"Low conversion rate; ","")&amp;IF($AK252&gt;'01_Settings'!$B$16,"High complaint rate; ",""))</f>
        <v/>
      </c>
    </row>
    <row r="253" ht="18" customHeight="1">
      <c r="A253" s="86" t="n"/>
      <c r="B253" s="26" t="n"/>
      <c r="C253" s="26" t="n"/>
      <c r="D253" s="26" t="n"/>
      <c r="E253" s="26" t="n"/>
      <c r="F253" s="26" t="n"/>
      <c r="G253" s="26" t="n"/>
      <c r="H253" s="26" t="n"/>
      <c r="I253" s="26" t="n"/>
      <c r="J253" s="87" t="n"/>
      <c r="K253" s="87" t="n"/>
      <c r="L253" s="87" t="n"/>
      <c r="M253" s="87" t="n"/>
      <c r="N253" s="88" t="n"/>
      <c r="O253" s="88" t="n"/>
      <c r="P253" s="89" t="n"/>
      <c r="Q253" s="87" t="n"/>
      <c r="R253" s="87" t="n"/>
      <c r="S253" s="87" t="n"/>
      <c r="T253" s="87" t="n"/>
      <c r="U253" s="89" t="n"/>
      <c r="V253" s="89" t="n"/>
      <c r="W253" s="89" t="n"/>
      <c r="X253" s="87" t="n"/>
      <c r="Y253" s="87" t="n"/>
      <c r="Z253" s="88" t="n"/>
      <c r="AA253" s="26" t="n"/>
      <c r="AB253" s="86">
        <f>IF($A253="","",$A253-WEEKDAY($A253,2)+1)</f>
        <v/>
      </c>
      <c r="AC253" s="86">
        <f>IF($A253="","",DATE(YEAR($A253),MONTH($A253),1))</f>
        <v/>
      </c>
      <c r="AD253" s="90">
        <f>IF($A253="","",IFERROR($K253/$J253,0))</f>
        <v/>
      </c>
      <c r="AE253" s="90">
        <f>IF($A253="","",IFERROR($L253/$J253,0))</f>
        <v/>
      </c>
      <c r="AF253" s="90">
        <f>IF($A253="","",IFERROR($M253/$J253,0))</f>
        <v/>
      </c>
      <c r="AG253" s="88">
        <f>IF($A253="","",$N253-$O253)</f>
        <v/>
      </c>
      <c r="AH253" s="90">
        <f>IF($A253="","",IFERROR($AG253/$N253,0))</f>
        <v/>
      </c>
      <c r="AI253" s="89">
        <f>IF($A253="","",IFERROR($K253/$P253,0))</f>
        <v/>
      </c>
      <c r="AJ253" s="90">
        <f>IF($A253="","",IFERROR($S253/$R253,0))</f>
        <v/>
      </c>
      <c r="AK253" s="90">
        <f>IF($A253="","",IFERROR($T253/$J253,0))</f>
        <v/>
      </c>
      <c r="AL253" s="26">
        <f>IF($A253="","",IF(AND($AD253&gt;='01_Settings'!$B$9,$V253&lt;='01_Settings'!$B$10,$W253&lt;='01_Settings'!$B$11),"On track","Off track"))</f>
        <v/>
      </c>
      <c r="AM253" s="42">
        <f>IF($A253="","",IF($AD253&lt;'01_Settings'!$B$9,"Low completion rate; ","")&amp;IF($AE253&gt;'01_Settings'!$B$12,"High overdue rate; ","")&amp;IF($U253&lt;'01_Settings'!$B$13,"Low satisfaction; ","")&amp;IF($AH253&lt;'01_Settings'!$B$14,"Low gross margin; ","")&amp;IF($AJ253&lt;'01_Settings'!$B$15,"Low conversion rate; ","")&amp;IF($AK253&gt;'01_Settings'!$B$16,"High complaint rate; ",""))</f>
        <v/>
      </c>
    </row>
    <row r="254" ht="18" customHeight="1">
      <c r="A254" s="86" t="n"/>
      <c r="B254" s="26" t="n"/>
      <c r="C254" s="26" t="n"/>
      <c r="D254" s="26" t="n"/>
      <c r="E254" s="26" t="n"/>
      <c r="F254" s="26" t="n"/>
      <c r="G254" s="26" t="n"/>
      <c r="H254" s="26" t="n"/>
      <c r="I254" s="26" t="n"/>
      <c r="J254" s="87" t="n"/>
      <c r="K254" s="87" t="n"/>
      <c r="L254" s="87" t="n"/>
      <c r="M254" s="87" t="n"/>
      <c r="N254" s="88" t="n"/>
      <c r="O254" s="88" t="n"/>
      <c r="P254" s="89" t="n"/>
      <c r="Q254" s="87" t="n"/>
      <c r="R254" s="87" t="n"/>
      <c r="S254" s="87" t="n"/>
      <c r="T254" s="87" t="n"/>
      <c r="U254" s="89" t="n"/>
      <c r="V254" s="89" t="n"/>
      <c r="W254" s="89" t="n"/>
      <c r="X254" s="87" t="n"/>
      <c r="Y254" s="87" t="n"/>
      <c r="Z254" s="88" t="n"/>
      <c r="AA254" s="26" t="n"/>
      <c r="AB254" s="86">
        <f>IF($A254="","",$A254-WEEKDAY($A254,2)+1)</f>
        <v/>
      </c>
      <c r="AC254" s="86">
        <f>IF($A254="","",DATE(YEAR($A254),MONTH($A254),1))</f>
        <v/>
      </c>
      <c r="AD254" s="90">
        <f>IF($A254="","",IFERROR($K254/$J254,0))</f>
        <v/>
      </c>
      <c r="AE254" s="90">
        <f>IF($A254="","",IFERROR($L254/$J254,0))</f>
        <v/>
      </c>
      <c r="AF254" s="90">
        <f>IF($A254="","",IFERROR($M254/$J254,0))</f>
        <v/>
      </c>
      <c r="AG254" s="88">
        <f>IF($A254="","",$N254-$O254)</f>
        <v/>
      </c>
      <c r="AH254" s="90">
        <f>IF($A254="","",IFERROR($AG254/$N254,0))</f>
        <v/>
      </c>
      <c r="AI254" s="89">
        <f>IF($A254="","",IFERROR($K254/$P254,0))</f>
        <v/>
      </c>
      <c r="AJ254" s="90">
        <f>IF($A254="","",IFERROR($S254/$R254,0))</f>
        <v/>
      </c>
      <c r="AK254" s="90">
        <f>IF($A254="","",IFERROR($T254/$J254,0))</f>
        <v/>
      </c>
      <c r="AL254" s="26">
        <f>IF($A254="","",IF(AND($AD254&gt;='01_Settings'!$B$9,$V254&lt;='01_Settings'!$B$10,$W254&lt;='01_Settings'!$B$11),"On track","Off track"))</f>
        <v/>
      </c>
      <c r="AM254" s="42">
        <f>IF($A254="","",IF($AD254&lt;'01_Settings'!$B$9,"Low completion rate; ","")&amp;IF($AE254&gt;'01_Settings'!$B$12,"High overdue rate; ","")&amp;IF($U254&lt;'01_Settings'!$B$13,"Low satisfaction; ","")&amp;IF($AH254&lt;'01_Settings'!$B$14,"Low gross margin; ","")&amp;IF($AJ254&lt;'01_Settings'!$B$15,"Low conversion rate; ","")&amp;IF($AK254&gt;'01_Settings'!$B$16,"High complaint rate; ",""))</f>
        <v/>
      </c>
    </row>
    <row r="255" ht="18" customHeight="1">
      <c r="A255" s="86" t="n"/>
      <c r="B255" s="26" t="n"/>
      <c r="C255" s="26" t="n"/>
      <c r="D255" s="26" t="n"/>
      <c r="E255" s="26" t="n"/>
      <c r="F255" s="26" t="n"/>
      <c r="G255" s="26" t="n"/>
      <c r="H255" s="26" t="n"/>
      <c r="I255" s="26" t="n"/>
      <c r="J255" s="87" t="n"/>
      <c r="K255" s="87" t="n"/>
      <c r="L255" s="87" t="n"/>
      <c r="M255" s="87" t="n"/>
      <c r="N255" s="88" t="n"/>
      <c r="O255" s="88" t="n"/>
      <c r="P255" s="89" t="n"/>
      <c r="Q255" s="87" t="n"/>
      <c r="R255" s="87" t="n"/>
      <c r="S255" s="87" t="n"/>
      <c r="T255" s="87" t="n"/>
      <c r="U255" s="89" t="n"/>
      <c r="V255" s="89" t="n"/>
      <c r="W255" s="89" t="n"/>
      <c r="X255" s="87" t="n"/>
      <c r="Y255" s="87" t="n"/>
      <c r="Z255" s="88" t="n"/>
      <c r="AA255" s="26" t="n"/>
      <c r="AB255" s="86">
        <f>IF($A255="","",$A255-WEEKDAY($A255,2)+1)</f>
        <v/>
      </c>
      <c r="AC255" s="86">
        <f>IF($A255="","",DATE(YEAR($A255),MONTH($A255),1))</f>
        <v/>
      </c>
      <c r="AD255" s="90">
        <f>IF($A255="","",IFERROR($K255/$J255,0))</f>
        <v/>
      </c>
      <c r="AE255" s="90">
        <f>IF($A255="","",IFERROR($L255/$J255,0))</f>
        <v/>
      </c>
      <c r="AF255" s="90">
        <f>IF($A255="","",IFERROR($M255/$J255,0))</f>
        <v/>
      </c>
      <c r="AG255" s="88">
        <f>IF($A255="","",$N255-$O255)</f>
        <v/>
      </c>
      <c r="AH255" s="90">
        <f>IF($A255="","",IFERROR($AG255/$N255,0))</f>
        <v/>
      </c>
      <c r="AI255" s="89">
        <f>IF($A255="","",IFERROR($K255/$P255,0))</f>
        <v/>
      </c>
      <c r="AJ255" s="90">
        <f>IF($A255="","",IFERROR($S255/$R255,0))</f>
        <v/>
      </c>
      <c r="AK255" s="90">
        <f>IF($A255="","",IFERROR($T255/$J255,0))</f>
        <v/>
      </c>
      <c r="AL255" s="26">
        <f>IF($A255="","",IF(AND($AD255&gt;='01_Settings'!$B$9,$V255&lt;='01_Settings'!$B$10,$W255&lt;='01_Settings'!$B$11),"On track","Off track"))</f>
        <v/>
      </c>
      <c r="AM255" s="42">
        <f>IF($A255="","",IF($AD255&lt;'01_Settings'!$B$9,"Low completion rate; ","")&amp;IF($AE255&gt;'01_Settings'!$B$12,"High overdue rate; ","")&amp;IF($U255&lt;'01_Settings'!$B$13,"Low satisfaction; ","")&amp;IF($AH255&lt;'01_Settings'!$B$14,"Low gross margin; ","")&amp;IF($AJ255&lt;'01_Settings'!$B$15,"Low conversion rate; ","")&amp;IF($AK255&gt;'01_Settings'!$B$16,"High complaint rate; ",""))</f>
        <v/>
      </c>
    </row>
    <row r="256" ht="18" customHeight="1">
      <c r="A256" s="86" t="n"/>
      <c r="B256" s="26" t="n"/>
      <c r="C256" s="26" t="n"/>
      <c r="D256" s="26" t="n"/>
      <c r="E256" s="26" t="n"/>
      <c r="F256" s="26" t="n"/>
      <c r="G256" s="26" t="n"/>
      <c r="H256" s="26" t="n"/>
      <c r="I256" s="26" t="n"/>
      <c r="J256" s="87" t="n"/>
      <c r="K256" s="87" t="n"/>
      <c r="L256" s="87" t="n"/>
      <c r="M256" s="87" t="n"/>
      <c r="N256" s="88" t="n"/>
      <c r="O256" s="88" t="n"/>
      <c r="P256" s="89" t="n"/>
      <c r="Q256" s="87" t="n"/>
      <c r="R256" s="87" t="n"/>
      <c r="S256" s="87" t="n"/>
      <c r="T256" s="87" t="n"/>
      <c r="U256" s="89" t="n"/>
      <c r="V256" s="89" t="n"/>
      <c r="W256" s="89" t="n"/>
      <c r="X256" s="87" t="n"/>
      <c r="Y256" s="87" t="n"/>
      <c r="Z256" s="88" t="n"/>
      <c r="AA256" s="26" t="n"/>
      <c r="AB256" s="86">
        <f>IF($A256="","",$A256-WEEKDAY($A256,2)+1)</f>
        <v/>
      </c>
      <c r="AC256" s="86">
        <f>IF($A256="","",DATE(YEAR($A256),MONTH($A256),1))</f>
        <v/>
      </c>
      <c r="AD256" s="90">
        <f>IF($A256="","",IFERROR($K256/$J256,0))</f>
        <v/>
      </c>
      <c r="AE256" s="90">
        <f>IF($A256="","",IFERROR($L256/$J256,0))</f>
        <v/>
      </c>
      <c r="AF256" s="90">
        <f>IF($A256="","",IFERROR($M256/$J256,0))</f>
        <v/>
      </c>
      <c r="AG256" s="88">
        <f>IF($A256="","",$N256-$O256)</f>
        <v/>
      </c>
      <c r="AH256" s="90">
        <f>IF($A256="","",IFERROR($AG256/$N256,0))</f>
        <v/>
      </c>
      <c r="AI256" s="89">
        <f>IF($A256="","",IFERROR($K256/$P256,0))</f>
        <v/>
      </c>
      <c r="AJ256" s="90">
        <f>IF($A256="","",IFERROR($S256/$R256,0))</f>
        <v/>
      </c>
      <c r="AK256" s="90">
        <f>IF($A256="","",IFERROR($T256/$J256,0))</f>
        <v/>
      </c>
      <c r="AL256" s="26">
        <f>IF($A256="","",IF(AND($AD256&gt;='01_Settings'!$B$9,$V256&lt;='01_Settings'!$B$10,$W256&lt;='01_Settings'!$B$11),"On track","Off track"))</f>
        <v/>
      </c>
      <c r="AM256" s="42">
        <f>IF($A256="","",IF($AD256&lt;'01_Settings'!$B$9,"Low completion rate; ","")&amp;IF($AE256&gt;'01_Settings'!$B$12,"High overdue rate; ","")&amp;IF($U256&lt;'01_Settings'!$B$13,"Low satisfaction; ","")&amp;IF($AH256&lt;'01_Settings'!$B$14,"Low gross margin; ","")&amp;IF($AJ256&lt;'01_Settings'!$B$15,"Low conversion rate; ","")&amp;IF($AK256&gt;'01_Settings'!$B$16,"High complaint rate; ",""))</f>
        <v/>
      </c>
    </row>
    <row r="257" ht="18" customHeight="1">
      <c r="A257" s="86" t="n"/>
      <c r="B257" s="26" t="n"/>
      <c r="C257" s="26" t="n"/>
      <c r="D257" s="26" t="n"/>
      <c r="E257" s="26" t="n"/>
      <c r="F257" s="26" t="n"/>
      <c r="G257" s="26" t="n"/>
      <c r="H257" s="26" t="n"/>
      <c r="I257" s="26" t="n"/>
      <c r="J257" s="87" t="n"/>
      <c r="K257" s="87" t="n"/>
      <c r="L257" s="87" t="n"/>
      <c r="M257" s="87" t="n"/>
      <c r="N257" s="88" t="n"/>
      <c r="O257" s="88" t="n"/>
      <c r="P257" s="89" t="n"/>
      <c r="Q257" s="87" t="n"/>
      <c r="R257" s="87" t="n"/>
      <c r="S257" s="87" t="n"/>
      <c r="T257" s="87" t="n"/>
      <c r="U257" s="89" t="n"/>
      <c r="V257" s="89" t="n"/>
      <c r="W257" s="89" t="n"/>
      <c r="X257" s="87" t="n"/>
      <c r="Y257" s="87" t="n"/>
      <c r="Z257" s="88" t="n"/>
      <c r="AA257" s="26" t="n"/>
      <c r="AB257" s="86">
        <f>IF($A257="","",$A257-WEEKDAY($A257,2)+1)</f>
        <v/>
      </c>
      <c r="AC257" s="86">
        <f>IF($A257="","",DATE(YEAR($A257),MONTH($A257),1))</f>
        <v/>
      </c>
      <c r="AD257" s="90">
        <f>IF($A257="","",IFERROR($K257/$J257,0))</f>
        <v/>
      </c>
      <c r="AE257" s="90">
        <f>IF($A257="","",IFERROR($L257/$J257,0))</f>
        <v/>
      </c>
      <c r="AF257" s="90">
        <f>IF($A257="","",IFERROR($M257/$J257,0))</f>
        <v/>
      </c>
      <c r="AG257" s="88">
        <f>IF($A257="","",$N257-$O257)</f>
        <v/>
      </c>
      <c r="AH257" s="90">
        <f>IF($A257="","",IFERROR($AG257/$N257,0))</f>
        <v/>
      </c>
      <c r="AI257" s="89">
        <f>IF($A257="","",IFERROR($K257/$P257,0))</f>
        <v/>
      </c>
      <c r="AJ257" s="90">
        <f>IF($A257="","",IFERROR($S257/$R257,0))</f>
        <v/>
      </c>
      <c r="AK257" s="90">
        <f>IF($A257="","",IFERROR($T257/$J257,0))</f>
        <v/>
      </c>
      <c r="AL257" s="26">
        <f>IF($A257="","",IF(AND($AD257&gt;='01_Settings'!$B$9,$V257&lt;='01_Settings'!$B$10,$W257&lt;='01_Settings'!$B$11),"On track","Off track"))</f>
        <v/>
      </c>
      <c r="AM257" s="42">
        <f>IF($A257="","",IF($AD257&lt;'01_Settings'!$B$9,"Low completion rate; ","")&amp;IF($AE257&gt;'01_Settings'!$B$12,"High overdue rate; ","")&amp;IF($U257&lt;'01_Settings'!$B$13,"Low satisfaction; ","")&amp;IF($AH257&lt;'01_Settings'!$B$14,"Low gross margin; ","")&amp;IF($AJ257&lt;'01_Settings'!$B$15,"Low conversion rate; ","")&amp;IF($AK257&gt;'01_Settings'!$B$16,"High complaint rate; ",""))</f>
        <v/>
      </c>
    </row>
    <row r="258" ht="18" customHeight="1">
      <c r="A258" s="86" t="n"/>
      <c r="B258" s="26" t="n"/>
      <c r="C258" s="26" t="n"/>
      <c r="D258" s="26" t="n"/>
      <c r="E258" s="26" t="n"/>
      <c r="F258" s="26" t="n"/>
      <c r="G258" s="26" t="n"/>
      <c r="H258" s="26" t="n"/>
      <c r="I258" s="26" t="n"/>
      <c r="J258" s="87" t="n"/>
      <c r="K258" s="87" t="n"/>
      <c r="L258" s="87" t="n"/>
      <c r="M258" s="87" t="n"/>
      <c r="N258" s="88" t="n"/>
      <c r="O258" s="88" t="n"/>
      <c r="P258" s="89" t="n"/>
      <c r="Q258" s="87" t="n"/>
      <c r="R258" s="87" t="n"/>
      <c r="S258" s="87" t="n"/>
      <c r="T258" s="87" t="n"/>
      <c r="U258" s="89" t="n"/>
      <c r="V258" s="89" t="n"/>
      <c r="W258" s="89" t="n"/>
      <c r="X258" s="87" t="n"/>
      <c r="Y258" s="87" t="n"/>
      <c r="Z258" s="88" t="n"/>
      <c r="AA258" s="26" t="n"/>
      <c r="AB258" s="86">
        <f>IF($A258="","",$A258-WEEKDAY($A258,2)+1)</f>
        <v/>
      </c>
      <c r="AC258" s="86">
        <f>IF($A258="","",DATE(YEAR($A258),MONTH($A258),1))</f>
        <v/>
      </c>
      <c r="AD258" s="90">
        <f>IF($A258="","",IFERROR($K258/$J258,0))</f>
        <v/>
      </c>
      <c r="AE258" s="90">
        <f>IF($A258="","",IFERROR($L258/$J258,0))</f>
        <v/>
      </c>
      <c r="AF258" s="90">
        <f>IF($A258="","",IFERROR($M258/$J258,0))</f>
        <v/>
      </c>
      <c r="AG258" s="88">
        <f>IF($A258="","",$N258-$O258)</f>
        <v/>
      </c>
      <c r="AH258" s="90">
        <f>IF($A258="","",IFERROR($AG258/$N258,0))</f>
        <v/>
      </c>
      <c r="AI258" s="89">
        <f>IF($A258="","",IFERROR($K258/$P258,0))</f>
        <v/>
      </c>
      <c r="AJ258" s="90">
        <f>IF($A258="","",IFERROR($S258/$R258,0))</f>
        <v/>
      </c>
      <c r="AK258" s="90">
        <f>IF($A258="","",IFERROR($T258/$J258,0))</f>
        <v/>
      </c>
      <c r="AL258" s="26">
        <f>IF($A258="","",IF(AND($AD258&gt;='01_Settings'!$B$9,$V258&lt;='01_Settings'!$B$10,$W258&lt;='01_Settings'!$B$11),"On track","Off track"))</f>
        <v/>
      </c>
      <c r="AM258" s="42">
        <f>IF($A258="","",IF($AD258&lt;'01_Settings'!$B$9,"Low completion rate; ","")&amp;IF($AE258&gt;'01_Settings'!$B$12,"High overdue rate; ","")&amp;IF($U258&lt;'01_Settings'!$B$13,"Low satisfaction; ","")&amp;IF($AH258&lt;'01_Settings'!$B$14,"Low gross margin; ","")&amp;IF($AJ258&lt;'01_Settings'!$B$15,"Low conversion rate; ","")&amp;IF($AK258&gt;'01_Settings'!$B$16,"High complaint rate; ",""))</f>
        <v/>
      </c>
    </row>
    <row r="259" ht="18" customHeight="1">
      <c r="A259" s="86" t="n"/>
      <c r="B259" s="26" t="n"/>
      <c r="C259" s="26" t="n"/>
      <c r="D259" s="26" t="n"/>
      <c r="E259" s="26" t="n"/>
      <c r="F259" s="26" t="n"/>
      <c r="G259" s="26" t="n"/>
      <c r="H259" s="26" t="n"/>
      <c r="I259" s="26" t="n"/>
      <c r="J259" s="87" t="n"/>
      <c r="K259" s="87" t="n"/>
      <c r="L259" s="87" t="n"/>
      <c r="M259" s="87" t="n"/>
      <c r="N259" s="88" t="n"/>
      <c r="O259" s="88" t="n"/>
      <c r="P259" s="89" t="n"/>
      <c r="Q259" s="87" t="n"/>
      <c r="R259" s="87" t="n"/>
      <c r="S259" s="87" t="n"/>
      <c r="T259" s="87" t="n"/>
      <c r="U259" s="89" t="n"/>
      <c r="V259" s="89" t="n"/>
      <c r="W259" s="89" t="n"/>
      <c r="X259" s="87" t="n"/>
      <c r="Y259" s="87" t="n"/>
      <c r="Z259" s="88" t="n"/>
      <c r="AA259" s="26" t="n"/>
      <c r="AB259" s="86">
        <f>IF($A259="","",$A259-WEEKDAY($A259,2)+1)</f>
        <v/>
      </c>
      <c r="AC259" s="86">
        <f>IF($A259="","",DATE(YEAR($A259),MONTH($A259),1))</f>
        <v/>
      </c>
      <c r="AD259" s="90">
        <f>IF($A259="","",IFERROR($K259/$J259,0))</f>
        <v/>
      </c>
      <c r="AE259" s="90">
        <f>IF($A259="","",IFERROR($L259/$J259,0))</f>
        <v/>
      </c>
      <c r="AF259" s="90">
        <f>IF($A259="","",IFERROR($M259/$J259,0))</f>
        <v/>
      </c>
      <c r="AG259" s="88">
        <f>IF($A259="","",$N259-$O259)</f>
        <v/>
      </c>
      <c r="AH259" s="90">
        <f>IF($A259="","",IFERROR($AG259/$N259,0))</f>
        <v/>
      </c>
      <c r="AI259" s="89">
        <f>IF($A259="","",IFERROR($K259/$P259,0))</f>
        <v/>
      </c>
      <c r="AJ259" s="90">
        <f>IF($A259="","",IFERROR($S259/$R259,0))</f>
        <v/>
      </c>
      <c r="AK259" s="90">
        <f>IF($A259="","",IFERROR($T259/$J259,0))</f>
        <v/>
      </c>
      <c r="AL259" s="26">
        <f>IF($A259="","",IF(AND($AD259&gt;='01_Settings'!$B$9,$V259&lt;='01_Settings'!$B$10,$W259&lt;='01_Settings'!$B$11),"On track","Off track"))</f>
        <v/>
      </c>
      <c r="AM259" s="42">
        <f>IF($A259="","",IF($AD259&lt;'01_Settings'!$B$9,"Low completion rate; ","")&amp;IF($AE259&gt;'01_Settings'!$B$12,"High overdue rate; ","")&amp;IF($U259&lt;'01_Settings'!$B$13,"Low satisfaction; ","")&amp;IF($AH259&lt;'01_Settings'!$B$14,"Low gross margin; ","")&amp;IF($AJ259&lt;'01_Settings'!$B$15,"Low conversion rate; ","")&amp;IF($AK259&gt;'01_Settings'!$B$16,"High complaint rate; ",""))</f>
        <v/>
      </c>
    </row>
    <row r="260" ht="18" customHeight="1">
      <c r="A260" s="86" t="n"/>
      <c r="B260" s="26" t="n"/>
      <c r="C260" s="26" t="n"/>
      <c r="D260" s="26" t="n"/>
      <c r="E260" s="26" t="n"/>
      <c r="F260" s="26" t="n"/>
      <c r="G260" s="26" t="n"/>
      <c r="H260" s="26" t="n"/>
      <c r="I260" s="26" t="n"/>
      <c r="J260" s="87" t="n"/>
      <c r="K260" s="87" t="n"/>
      <c r="L260" s="87" t="n"/>
      <c r="M260" s="87" t="n"/>
      <c r="N260" s="88" t="n"/>
      <c r="O260" s="88" t="n"/>
      <c r="P260" s="89" t="n"/>
      <c r="Q260" s="87" t="n"/>
      <c r="R260" s="87" t="n"/>
      <c r="S260" s="87" t="n"/>
      <c r="T260" s="87" t="n"/>
      <c r="U260" s="89" t="n"/>
      <c r="V260" s="89" t="n"/>
      <c r="W260" s="89" t="n"/>
      <c r="X260" s="87" t="n"/>
      <c r="Y260" s="87" t="n"/>
      <c r="Z260" s="88" t="n"/>
      <c r="AA260" s="26" t="n"/>
      <c r="AB260" s="86">
        <f>IF($A260="","",$A260-WEEKDAY($A260,2)+1)</f>
        <v/>
      </c>
      <c r="AC260" s="86">
        <f>IF($A260="","",DATE(YEAR($A260),MONTH($A260),1))</f>
        <v/>
      </c>
      <c r="AD260" s="90">
        <f>IF($A260="","",IFERROR($K260/$J260,0))</f>
        <v/>
      </c>
      <c r="AE260" s="90">
        <f>IF($A260="","",IFERROR($L260/$J260,0))</f>
        <v/>
      </c>
      <c r="AF260" s="90">
        <f>IF($A260="","",IFERROR($M260/$J260,0))</f>
        <v/>
      </c>
      <c r="AG260" s="88">
        <f>IF($A260="","",$N260-$O260)</f>
        <v/>
      </c>
      <c r="AH260" s="90">
        <f>IF($A260="","",IFERROR($AG260/$N260,0))</f>
        <v/>
      </c>
      <c r="AI260" s="89">
        <f>IF($A260="","",IFERROR($K260/$P260,0))</f>
        <v/>
      </c>
      <c r="AJ260" s="90">
        <f>IF($A260="","",IFERROR($S260/$R260,0))</f>
        <v/>
      </c>
      <c r="AK260" s="90">
        <f>IF($A260="","",IFERROR($T260/$J260,0))</f>
        <v/>
      </c>
      <c r="AL260" s="26">
        <f>IF($A260="","",IF(AND($AD260&gt;='01_Settings'!$B$9,$V260&lt;='01_Settings'!$B$10,$W260&lt;='01_Settings'!$B$11),"On track","Off track"))</f>
        <v/>
      </c>
      <c r="AM260" s="42">
        <f>IF($A260="","",IF($AD260&lt;'01_Settings'!$B$9,"Low completion rate; ","")&amp;IF($AE260&gt;'01_Settings'!$B$12,"High overdue rate; ","")&amp;IF($U260&lt;'01_Settings'!$B$13,"Low satisfaction; ","")&amp;IF($AH260&lt;'01_Settings'!$B$14,"Low gross margin; ","")&amp;IF($AJ260&lt;'01_Settings'!$B$15,"Low conversion rate; ","")&amp;IF($AK260&gt;'01_Settings'!$B$16,"High complaint rate; ",""))</f>
        <v/>
      </c>
    </row>
    <row r="261" ht="18" customHeight="1">
      <c r="A261" s="86" t="n"/>
      <c r="B261" s="26" t="n"/>
      <c r="C261" s="26" t="n"/>
      <c r="D261" s="26" t="n"/>
      <c r="E261" s="26" t="n"/>
      <c r="F261" s="26" t="n"/>
      <c r="G261" s="26" t="n"/>
      <c r="H261" s="26" t="n"/>
      <c r="I261" s="26" t="n"/>
      <c r="J261" s="87" t="n"/>
      <c r="K261" s="87" t="n"/>
      <c r="L261" s="87" t="n"/>
      <c r="M261" s="87" t="n"/>
      <c r="N261" s="88" t="n"/>
      <c r="O261" s="88" t="n"/>
      <c r="P261" s="89" t="n"/>
      <c r="Q261" s="87" t="n"/>
      <c r="R261" s="87" t="n"/>
      <c r="S261" s="87" t="n"/>
      <c r="T261" s="87" t="n"/>
      <c r="U261" s="89" t="n"/>
      <c r="V261" s="89" t="n"/>
      <c r="W261" s="89" t="n"/>
      <c r="X261" s="87" t="n"/>
      <c r="Y261" s="87" t="n"/>
      <c r="Z261" s="88" t="n"/>
      <c r="AA261" s="26" t="n"/>
      <c r="AB261" s="86">
        <f>IF($A261="","",$A261-WEEKDAY($A261,2)+1)</f>
        <v/>
      </c>
      <c r="AC261" s="86">
        <f>IF($A261="","",DATE(YEAR($A261),MONTH($A261),1))</f>
        <v/>
      </c>
      <c r="AD261" s="90">
        <f>IF($A261="","",IFERROR($K261/$J261,0))</f>
        <v/>
      </c>
      <c r="AE261" s="90">
        <f>IF($A261="","",IFERROR($L261/$J261,0))</f>
        <v/>
      </c>
      <c r="AF261" s="90">
        <f>IF($A261="","",IFERROR($M261/$J261,0))</f>
        <v/>
      </c>
      <c r="AG261" s="88">
        <f>IF($A261="","",$N261-$O261)</f>
        <v/>
      </c>
      <c r="AH261" s="90">
        <f>IF($A261="","",IFERROR($AG261/$N261,0))</f>
        <v/>
      </c>
      <c r="AI261" s="89">
        <f>IF($A261="","",IFERROR($K261/$P261,0))</f>
        <v/>
      </c>
      <c r="AJ261" s="90">
        <f>IF($A261="","",IFERROR($S261/$R261,0))</f>
        <v/>
      </c>
      <c r="AK261" s="90">
        <f>IF($A261="","",IFERROR($T261/$J261,0))</f>
        <v/>
      </c>
      <c r="AL261" s="26">
        <f>IF($A261="","",IF(AND($AD261&gt;='01_Settings'!$B$9,$V261&lt;='01_Settings'!$B$10,$W261&lt;='01_Settings'!$B$11),"On track","Off track"))</f>
        <v/>
      </c>
      <c r="AM261" s="42">
        <f>IF($A261="","",IF($AD261&lt;'01_Settings'!$B$9,"Low completion rate; ","")&amp;IF($AE261&gt;'01_Settings'!$B$12,"High overdue rate; ","")&amp;IF($U261&lt;'01_Settings'!$B$13,"Low satisfaction; ","")&amp;IF($AH261&lt;'01_Settings'!$B$14,"Low gross margin; ","")&amp;IF($AJ261&lt;'01_Settings'!$B$15,"Low conversion rate; ","")&amp;IF($AK261&gt;'01_Settings'!$B$16,"High complaint rate; ",""))</f>
        <v/>
      </c>
    </row>
    <row r="262" ht="18" customHeight="1">
      <c r="A262" s="86" t="n"/>
      <c r="B262" s="26" t="n"/>
      <c r="C262" s="26" t="n"/>
      <c r="D262" s="26" t="n"/>
      <c r="E262" s="26" t="n"/>
      <c r="F262" s="26" t="n"/>
      <c r="G262" s="26" t="n"/>
      <c r="H262" s="26" t="n"/>
      <c r="I262" s="26" t="n"/>
      <c r="J262" s="87" t="n"/>
      <c r="K262" s="87" t="n"/>
      <c r="L262" s="87" t="n"/>
      <c r="M262" s="87" t="n"/>
      <c r="N262" s="88" t="n"/>
      <c r="O262" s="88" t="n"/>
      <c r="P262" s="89" t="n"/>
      <c r="Q262" s="87" t="n"/>
      <c r="R262" s="87" t="n"/>
      <c r="S262" s="87" t="n"/>
      <c r="T262" s="87" t="n"/>
      <c r="U262" s="89" t="n"/>
      <c r="V262" s="89" t="n"/>
      <c r="W262" s="89" t="n"/>
      <c r="X262" s="87" t="n"/>
      <c r="Y262" s="87" t="n"/>
      <c r="Z262" s="88" t="n"/>
      <c r="AA262" s="26" t="n"/>
      <c r="AB262" s="86">
        <f>IF($A262="","",$A262-WEEKDAY($A262,2)+1)</f>
        <v/>
      </c>
      <c r="AC262" s="86">
        <f>IF($A262="","",DATE(YEAR($A262),MONTH($A262),1))</f>
        <v/>
      </c>
      <c r="AD262" s="90">
        <f>IF($A262="","",IFERROR($K262/$J262,0))</f>
        <v/>
      </c>
      <c r="AE262" s="90">
        <f>IF($A262="","",IFERROR($L262/$J262,0))</f>
        <v/>
      </c>
      <c r="AF262" s="90">
        <f>IF($A262="","",IFERROR($M262/$J262,0))</f>
        <v/>
      </c>
      <c r="AG262" s="88">
        <f>IF($A262="","",$N262-$O262)</f>
        <v/>
      </c>
      <c r="AH262" s="90">
        <f>IF($A262="","",IFERROR($AG262/$N262,0))</f>
        <v/>
      </c>
      <c r="AI262" s="89">
        <f>IF($A262="","",IFERROR($K262/$P262,0))</f>
        <v/>
      </c>
      <c r="AJ262" s="90">
        <f>IF($A262="","",IFERROR($S262/$R262,0))</f>
        <v/>
      </c>
      <c r="AK262" s="90">
        <f>IF($A262="","",IFERROR($T262/$J262,0))</f>
        <v/>
      </c>
      <c r="AL262" s="26">
        <f>IF($A262="","",IF(AND($AD262&gt;='01_Settings'!$B$9,$V262&lt;='01_Settings'!$B$10,$W262&lt;='01_Settings'!$B$11),"On track","Off track"))</f>
        <v/>
      </c>
      <c r="AM262" s="42">
        <f>IF($A262="","",IF($AD262&lt;'01_Settings'!$B$9,"Low completion rate; ","")&amp;IF($AE262&gt;'01_Settings'!$B$12,"High overdue rate; ","")&amp;IF($U262&lt;'01_Settings'!$B$13,"Low satisfaction; ","")&amp;IF($AH262&lt;'01_Settings'!$B$14,"Low gross margin; ","")&amp;IF($AJ262&lt;'01_Settings'!$B$15,"Low conversion rate; ","")&amp;IF($AK262&gt;'01_Settings'!$B$16,"High complaint rate; ",""))</f>
        <v/>
      </c>
    </row>
    <row r="263" ht="18" customHeight="1">
      <c r="A263" s="86" t="n"/>
      <c r="B263" s="26" t="n"/>
      <c r="C263" s="26" t="n"/>
      <c r="D263" s="26" t="n"/>
      <c r="E263" s="26" t="n"/>
      <c r="F263" s="26" t="n"/>
      <c r="G263" s="26" t="n"/>
      <c r="H263" s="26" t="n"/>
      <c r="I263" s="26" t="n"/>
      <c r="J263" s="87" t="n"/>
      <c r="K263" s="87" t="n"/>
      <c r="L263" s="87" t="n"/>
      <c r="M263" s="87" t="n"/>
      <c r="N263" s="88" t="n"/>
      <c r="O263" s="88" t="n"/>
      <c r="P263" s="89" t="n"/>
      <c r="Q263" s="87" t="n"/>
      <c r="R263" s="87" t="n"/>
      <c r="S263" s="87" t="n"/>
      <c r="T263" s="87" t="n"/>
      <c r="U263" s="89" t="n"/>
      <c r="V263" s="89" t="n"/>
      <c r="W263" s="89" t="n"/>
      <c r="X263" s="87" t="n"/>
      <c r="Y263" s="87" t="n"/>
      <c r="Z263" s="88" t="n"/>
      <c r="AA263" s="26" t="n"/>
      <c r="AB263" s="86">
        <f>IF($A263="","",$A263-WEEKDAY($A263,2)+1)</f>
        <v/>
      </c>
      <c r="AC263" s="86">
        <f>IF($A263="","",DATE(YEAR($A263),MONTH($A263),1))</f>
        <v/>
      </c>
      <c r="AD263" s="90">
        <f>IF($A263="","",IFERROR($K263/$J263,0))</f>
        <v/>
      </c>
      <c r="AE263" s="90">
        <f>IF($A263="","",IFERROR($L263/$J263,0))</f>
        <v/>
      </c>
      <c r="AF263" s="90">
        <f>IF($A263="","",IFERROR($M263/$J263,0))</f>
        <v/>
      </c>
      <c r="AG263" s="88">
        <f>IF($A263="","",$N263-$O263)</f>
        <v/>
      </c>
      <c r="AH263" s="90">
        <f>IF($A263="","",IFERROR($AG263/$N263,0))</f>
        <v/>
      </c>
      <c r="AI263" s="89">
        <f>IF($A263="","",IFERROR($K263/$P263,0))</f>
        <v/>
      </c>
      <c r="AJ263" s="90">
        <f>IF($A263="","",IFERROR($S263/$R263,0))</f>
        <v/>
      </c>
      <c r="AK263" s="90">
        <f>IF($A263="","",IFERROR($T263/$J263,0))</f>
        <v/>
      </c>
      <c r="AL263" s="26">
        <f>IF($A263="","",IF(AND($AD263&gt;='01_Settings'!$B$9,$V263&lt;='01_Settings'!$B$10,$W263&lt;='01_Settings'!$B$11),"On track","Off track"))</f>
        <v/>
      </c>
      <c r="AM263" s="42">
        <f>IF($A263="","",IF($AD263&lt;'01_Settings'!$B$9,"Low completion rate; ","")&amp;IF($AE263&gt;'01_Settings'!$B$12,"High overdue rate; ","")&amp;IF($U263&lt;'01_Settings'!$B$13,"Low satisfaction; ","")&amp;IF($AH263&lt;'01_Settings'!$B$14,"Low gross margin; ","")&amp;IF($AJ263&lt;'01_Settings'!$B$15,"Low conversion rate; ","")&amp;IF($AK263&gt;'01_Settings'!$B$16,"High complaint rate; ",""))</f>
        <v/>
      </c>
    </row>
    <row r="264" ht="18" customHeight="1">
      <c r="A264" s="86" t="n"/>
      <c r="B264" s="26" t="n"/>
      <c r="C264" s="26" t="n"/>
      <c r="D264" s="26" t="n"/>
      <c r="E264" s="26" t="n"/>
      <c r="F264" s="26" t="n"/>
      <c r="G264" s="26" t="n"/>
      <c r="H264" s="26" t="n"/>
      <c r="I264" s="26" t="n"/>
      <c r="J264" s="87" t="n"/>
      <c r="K264" s="87" t="n"/>
      <c r="L264" s="87" t="n"/>
      <c r="M264" s="87" t="n"/>
      <c r="N264" s="88" t="n"/>
      <c r="O264" s="88" t="n"/>
      <c r="P264" s="89" t="n"/>
      <c r="Q264" s="87" t="n"/>
      <c r="R264" s="87" t="n"/>
      <c r="S264" s="87" t="n"/>
      <c r="T264" s="87" t="n"/>
      <c r="U264" s="89" t="n"/>
      <c r="V264" s="89" t="n"/>
      <c r="W264" s="89" t="n"/>
      <c r="X264" s="87" t="n"/>
      <c r="Y264" s="87" t="n"/>
      <c r="Z264" s="88" t="n"/>
      <c r="AA264" s="26" t="n"/>
      <c r="AB264" s="86">
        <f>IF($A264="","",$A264-WEEKDAY($A264,2)+1)</f>
        <v/>
      </c>
      <c r="AC264" s="86">
        <f>IF($A264="","",DATE(YEAR($A264),MONTH($A264),1))</f>
        <v/>
      </c>
      <c r="AD264" s="90">
        <f>IF($A264="","",IFERROR($K264/$J264,0))</f>
        <v/>
      </c>
      <c r="AE264" s="90">
        <f>IF($A264="","",IFERROR($L264/$J264,0))</f>
        <v/>
      </c>
      <c r="AF264" s="90">
        <f>IF($A264="","",IFERROR($M264/$J264,0))</f>
        <v/>
      </c>
      <c r="AG264" s="88">
        <f>IF($A264="","",$N264-$O264)</f>
        <v/>
      </c>
      <c r="AH264" s="90">
        <f>IF($A264="","",IFERROR($AG264/$N264,0))</f>
        <v/>
      </c>
      <c r="AI264" s="89">
        <f>IF($A264="","",IFERROR($K264/$P264,0))</f>
        <v/>
      </c>
      <c r="AJ264" s="90">
        <f>IF($A264="","",IFERROR($S264/$R264,0))</f>
        <v/>
      </c>
      <c r="AK264" s="90">
        <f>IF($A264="","",IFERROR($T264/$J264,0))</f>
        <v/>
      </c>
      <c r="AL264" s="26">
        <f>IF($A264="","",IF(AND($AD264&gt;='01_Settings'!$B$9,$V264&lt;='01_Settings'!$B$10,$W264&lt;='01_Settings'!$B$11),"On track","Off track"))</f>
        <v/>
      </c>
      <c r="AM264" s="42">
        <f>IF($A264="","",IF($AD264&lt;'01_Settings'!$B$9,"Low completion rate; ","")&amp;IF($AE264&gt;'01_Settings'!$B$12,"High overdue rate; ","")&amp;IF($U264&lt;'01_Settings'!$B$13,"Low satisfaction; ","")&amp;IF($AH264&lt;'01_Settings'!$B$14,"Low gross margin; ","")&amp;IF($AJ264&lt;'01_Settings'!$B$15,"Low conversion rate; ","")&amp;IF($AK264&gt;'01_Settings'!$B$16,"High complaint rate; ",""))</f>
        <v/>
      </c>
    </row>
    <row r="265" ht="18" customHeight="1">
      <c r="A265" s="86" t="n"/>
      <c r="B265" s="26" t="n"/>
      <c r="C265" s="26" t="n"/>
      <c r="D265" s="26" t="n"/>
      <c r="E265" s="26" t="n"/>
      <c r="F265" s="26" t="n"/>
      <c r="G265" s="26" t="n"/>
      <c r="H265" s="26" t="n"/>
      <c r="I265" s="26" t="n"/>
      <c r="J265" s="87" t="n"/>
      <c r="K265" s="87" t="n"/>
      <c r="L265" s="87" t="n"/>
      <c r="M265" s="87" t="n"/>
      <c r="N265" s="88" t="n"/>
      <c r="O265" s="88" t="n"/>
      <c r="P265" s="89" t="n"/>
      <c r="Q265" s="87" t="n"/>
      <c r="R265" s="87" t="n"/>
      <c r="S265" s="87" t="n"/>
      <c r="T265" s="87" t="n"/>
      <c r="U265" s="89" t="n"/>
      <c r="V265" s="89" t="n"/>
      <c r="W265" s="89" t="n"/>
      <c r="X265" s="87" t="n"/>
      <c r="Y265" s="87" t="n"/>
      <c r="Z265" s="88" t="n"/>
      <c r="AA265" s="26" t="n"/>
      <c r="AB265" s="86">
        <f>IF($A265="","",$A265-WEEKDAY($A265,2)+1)</f>
        <v/>
      </c>
      <c r="AC265" s="86">
        <f>IF($A265="","",DATE(YEAR($A265),MONTH($A265),1))</f>
        <v/>
      </c>
      <c r="AD265" s="90">
        <f>IF($A265="","",IFERROR($K265/$J265,0))</f>
        <v/>
      </c>
      <c r="AE265" s="90">
        <f>IF($A265="","",IFERROR($L265/$J265,0))</f>
        <v/>
      </c>
      <c r="AF265" s="90">
        <f>IF($A265="","",IFERROR($M265/$J265,0))</f>
        <v/>
      </c>
      <c r="AG265" s="88">
        <f>IF($A265="","",$N265-$O265)</f>
        <v/>
      </c>
      <c r="AH265" s="90">
        <f>IF($A265="","",IFERROR($AG265/$N265,0))</f>
        <v/>
      </c>
      <c r="AI265" s="89">
        <f>IF($A265="","",IFERROR($K265/$P265,0))</f>
        <v/>
      </c>
      <c r="AJ265" s="90">
        <f>IF($A265="","",IFERROR($S265/$R265,0))</f>
        <v/>
      </c>
      <c r="AK265" s="90">
        <f>IF($A265="","",IFERROR($T265/$J265,0))</f>
        <v/>
      </c>
      <c r="AL265" s="26">
        <f>IF($A265="","",IF(AND($AD265&gt;='01_Settings'!$B$9,$V265&lt;='01_Settings'!$B$10,$W265&lt;='01_Settings'!$B$11),"On track","Off track"))</f>
        <v/>
      </c>
      <c r="AM265" s="42">
        <f>IF($A265="","",IF($AD265&lt;'01_Settings'!$B$9,"Low completion rate; ","")&amp;IF($AE265&gt;'01_Settings'!$B$12,"High overdue rate; ","")&amp;IF($U265&lt;'01_Settings'!$B$13,"Low satisfaction; ","")&amp;IF($AH265&lt;'01_Settings'!$B$14,"Low gross margin; ","")&amp;IF($AJ265&lt;'01_Settings'!$B$15,"Low conversion rate; ","")&amp;IF($AK265&gt;'01_Settings'!$B$16,"High complaint rate; ",""))</f>
        <v/>
      </c>
    </row>
    <row r="266" ht="18" customHeight="1">
      <c r="A266" s="86" t="n"/>
      <c r="B266" s="26" t="n"/>
      <c r="C266" s="26" t="n"/>
      <c r="D266" s="26" t="n"/>
      <c r="E266" s="26" t="n"/>
      <c r="F266" s="26" t="n"/>
      <c r="G266" s="26" t="n"/>
      <c r="H266" s="26" t="n"/>
      <c r="I266" s="26" t="n"/>
      <c r="J266" s="87" t="n"/>
      <c r="K266" s="87" t="n"/>
      <c r="L266" s="87" t="n"/>
      <c r="M266" s="87" t="n"/>
      <c r="N266" s="88" t="n"/>
      <c r="O266" s="88" t="n"/>
      <c r="P266" s="89" t="n"/>
      <c r="Q266" s="87" t="n"/>
      <c r="R266" s="87" t="n"/>
      <c r="S266" s="87" t="n"/>
      <c r="T266" s="87" t="n"/>
      <c r="U266" s="89" t="n"/>
      <c r="V266" s="89" t="n"/>
      <c r="W266" s="89" t="n"/>
      <c r="X266" s="87" t="n"/>
      <c r="Y266" s="87" t="n"/>
      <c r="Z266" s="88" t="n"/>
      <c r="AA266" s="26" t="n"/>
      <c r="AB266" s="86">
        <f>IF($A266="","",$A266-WEEKDAY($A266,2)+1)</f>
        <v/>
      </c>
      <c r="AC266" s="86">
        <f>IF($A266="","",DATE(YEAR($A266),MONTH($A266),1))</f>
        <v/>
      </c>
      <c r="AD266" s="90">
        <f>IF($A266="","",IFERROR($K266/$J266,0))</f>
        <v/>
      </c>
      <c r="AE266" s="90">
        <f>IF($A266="","",IFERROR($L266/$J266,0))</f>
        <v/>
      </c>
      <c r="AF266" s="90">
        <f>IF($A266="","",IFERROR($M266/$J266,0))</f>
        <v/>
      </c>
      <c r="AG266" s="88">
        <f>IF($A266="","",$N266-$O266)</f>
        <v/>
      </c>
      <c r="AH266" s="90">
        <f>IF($A266="","",IFERROR($AG266/$N266,0))</f>
        <v/>
      </c>
      <c r="AI266" s="89">
        <f>IF($A266="","",IFERROR($K266/$P266,0))</f>
        <v/>
      </c>
      <c r="AJ266" s="90">
        <f>IF($A266="","",IFERROR($S266/$R266,0))</f>
        <v/>
      </c>
      <c r="AK266" s="90">
        <f>IF($A266="","",IFERROR($T266/$J266,0))</f>
        <v/>
      </c>
      <c r="AL266" s="26">
        <f>IF($A266="","",IF(AND($AD266&gt;='01_Settings'!$B$9,$V266&lt;='01_Settings'!$B$10,$W266&lt;='01_Settings'!$B$11),"On track","Off track"))</f>
        <v/>
      </c>
      <c r="AM266" s="42">
        <f>IF($A266="","",IF($AD266&lt;'01_Settings'!$B$9,"Low completion rate; ","")&amp;IF($AE266&gt;'01_Settings'!$B$12,"High overdue rate; ","")&amp;IF($U266&lt;'01_Settings'!$B$13,"Low satisfaction; ","")&amp;IF($AH266&lt;'01_Settings'!$B$14,"Low gross margin; ","")&amp;IF($AJ266&lt;'01_Settings'!$B$15,"Low conversion rate; ","")&amp;IF($AK266&gt;'01_Settings'!$B$16,"High complaint rate; ",""))</f>
        <v/>
      </c>
    </row>
    <row r="267" ht="18" customHeight="1">
      <c r="A267" s="86" t="n"/>
      <c r="B267" s="26" t="n"/>
      <c r="C267" s="26" t="n"/>
      <c r="D267" s="26" t="n"/>
      <c r="E267" s="26" t="n"/>
      <c r="F267" s="26" t="n"/>
      <c r="G267" s="26" t="n"/>
      <c r="H267" s="26" t="n"/>
      <c r="I267" s="26" t="n"/>
      <c r="J267" s="87" t="n"/>
      <c r="K267" s="87" t="n"/>
      <c r="L267" s="87" t="n"/>
      <c r="M267" s="87" t="n"/>
      <c r="N267" s="88" t="n"/>
      <c r="O267" s="88" t="n"/>
      <c r="P267" s="89" t="n"/>
      <c r="Q267" s="87" t="n"/>
      <c r="R267" s="87" t="n"/>
      <c r="S267" s="87" t="n"/>
      <c r="T267" s="87" t="n"/>
      <c r="U267" s="89" t="n"/>
      <c r="V267" s="89" t="n"/>
      <c r="W267" s="89" t="n"/>
      <c r="X267" s="87" t="n"/>
      <c r="Y267" s="87" t="n"/>
      <c r="Z267" s="88" t="n"/>
      <c r="AA267" s="26" t="n"/>
      <c r="AB267" s="86">
        <f>IF($A267="","",$A267-WEEKDAY($A267,2)+1)</f>
        <v/>
      </c>
      <c r="AC267" s="86">
        <f>IF($A267="","",DATE(YEAR($A267),MONTH($A267),1))</f>
        <v/>
      </c>
      <c r="AD267" s="90">
        <f>IF($A267="","",IFERROR($K267/$J267,0))</f>
        <v/>
      </c>
      <c r="AE267" s="90">
        <f>IF($A267="","",IFERROR($L267/$J267,0))</f>
        <v/>
      </c>
      <c r="AF267" s="90">
        <f>IF($A267="","",IFERROR($M267/$J267,0))</f>
        <v/>
      </c>
      <c r="AG267" s="88">
        <f>IF($A267="","",$N267-$O267)</f>
        <v/>
      </c>
      <c r="AH267" s="90">
        <f>IF($A267="","",IFERROR($AG267/$N267,0))</f>
        <v/>
      </c>
      <c r="AI267" s="89">
        <f>IF($A267="","",IFERROR($K267/$P267,0))</f>
        <v/>
      </c>
      <c r="AJ267" s="90">
        <f>IF($A267="","",IFERROR($S267/$R267,0))</f>
        <v/>
      </c>
      <c r="AK267" s="90">
        <f>IF($A267="","",IFERROR($T267/$J267,0))</f>
        <v/>
      </c>
      <c r="AL267" s="26">
        <f>IF($A267="","",IF(AND($AD267&gt;='01_Settings'!$B$9,$V267&lt;='01_Settings'!$B$10,$W267&lt;='01_Settings'!$B$11),"On track","Off track"))</f>
        <v/>
      </c>
      <c r="AM267" s="42">
        <f>IF($A267="","",IF($AD267&lt;'01_Settings'!$B$9,"Low completion rate; ","")&amp;IF($AE267&gt;'01_Settings'!$B$12,"High overdue rate; ","")&amp;IF($U267&lt;'01_Settings'!$B$13,"Low satisfaction; ","")&amp;IF($AH267&lt;'01_Settings'!$B$14,"Low gross margin; ","")&amp;IF($AJ267&lt;'01_Settings'!$B$15,"Low conversion rate; ","")&amp;IF($AK267&gt;'01_Settings'!$B$16,"High complaint rate; ",""))</f>
        <v/>
      </c>
    </row>
    <row r="268" ht="18" customHeight="1">
      <c r="A268" s="86" t="n"/>
      <c r="B268" s="26" t="n"/>
      <c r="C268" s="26" t="n"/>
      <c r="D268" s="26" t="n"/>
      <c r="E268" s="26" t="n"/>
      <c r="F268" s="26" t="n"/>
      <c r="G268" s="26" t="n"/>
      <c r="H268" s="26" t="n"/>
      <c r="I268" s="26" t="n"/>
      <c r="J268" s="87" t="n"/>
      <c r="K268" s="87" t="n"/>
      <c r="L268" s="87" t="n"/>
      <c r="M268" s="87" t="n"/>
      <c r="N268" s="88" t="n"/>
      <c r="O268" s="88" t="n"/>
      <c r="P268" s="89" t="n"/>
      <c r="Q268" s="87" t="n"/>
      <c r="R268" s="87" t="n"/>
      <c r="S268" s="87" t="n"/>
      <c r="T268" s="87" t="n"/>
      <c r="U268" s="89" t="n"/>
      <c r="V268" s="89" t="n"/>
      <c r="W268" s="89" t="n"/>
      <c r="X268" s="87" t="n"/>
      <c r="Y268" s="87" t="n"/>
      <c r="Z268" s="88" t="n"/>
      <c r="AA268" s="26" t="n"/>
      <c r="AB268" s="86">
        <f>IF($A268="","",$A268-WEEKDAY($A268,2)+1)</f>
        <v/>
      </c>
      <c r="AC268" s="86">
        <f>IF($A268="","",DATE(YEAR($A268),MONTH($A268),1))</f>
        <v/>
      </c>
      <c r="AD268" s="90">
        <f>IF($A268="","",IFERROR($K268/$J268,0))</f>
        <v/>
      </c>
      <c r="AE268" s="90">
        <f>IF($A268="","",IFERROR($L268/$J268,0))</f>
        <v/>
      </c>
      <c r="AF268" s="90">
        <f>IF($A268="","",IFERROR($M268/$J268,0))</f>
        <v/>
      </c>
      <c r="AG268" s="88">
        <f>IF($A268="","",$N268-$O268)</f>
        <v/>
      </c>
      <c r="AH268" s="90">
        <f>IF($A268="","",IFERROR($AG268/$N268,0))</f>
        <v/>
      </c>
      <c r="AI268" s="89">
        <f>IF($A268="","",IFERROR($K268/$P268,0))</f>
        <v/>
      </c>
      <c r="AJ268" s="90">
        <f>IF($A268="","",IFERROR($S268/$R268,0))</f>
        <v/>
      </c>
      <c r="AK268" s="90">
        <f>IF($A268="","",IFERROR($T268/$J268,0))</f>
        <v/>
      </c>
      <c r="AL268" s="26">
        <f>IF($A268="","",IF(AND($AD268&gt;='01_Settings'!$B$9,$V268&lt;='01_Settings'!$B$10,$W268&lt;='01_Settings'!$B$11),"On track","Off track"))</f>
        <v/>
      </c>
      <c r="AM268" s="42">
        <f>IF($A268="","",IF($AD268&lt;'01_Settings'!$B$9,"Low completion rate; ","")&amp;IF($AE268&gt;'01_Settings'!$B$12,"High overdue rate; ","")&amp;IF($U268&lt;'01_Settings'!$B$13,"Low satisfaction; ","")&amp;IF($AH268&lt;'01_Settings'!$B$14,"Low gross margin; ","")&amp;IF($AJ268&lt;'01_Settings'!$B$15,"Low conversion rate; ","")&amp;IF($AK268&gt;'01_Settings'!$B$16,"High complaint rate; ",""))</f>
        <v/>
      </c>
    </row>
    <row r="269" ht="18" customHeight="1">
      <c r="A269" s="86" t="n"/>
      <c r="B269" s="26" t="n"/>
      <c r="C269" s="26" t="n"/>
      <c r="D269" s="26" t="n"/>
      <c r="E269" s="26" t="n"/>
      <c r="F269" s="26" t="n"/>
      <c r="G269" s="26" t="n"/>
      <c r="H269" s="26" t="n"/>
      <c r="I269" s="26" t="n"/>
      <c r="J269" s="87" t="n"/>
      <c r="K269" s="87" t="n"/>
      <c r="L269" s="87" t="n"/>
      <c r="M269" s="87" t="n"/>
      <c r="N269" s="88" t="n"/>
      <c r="O269" s="88" t="n"/>
      <c r="P269" s="89" t="n"/>
      <c r="Q269" s="87" t="n"/>
      <c r="R269" s="87" t="n"/>
      <c r="S269" s="87" t="n"/>
      <c r="T269" s="87" t="n"/>
      <c r="U269" s="89" t="n"/>
      <c r="V269" s="89" t="n"/>
      <c r="W269" s="89" t="n"/>
      <c r="X269" s="87" t="n"/>
      <c r="Y269" s="87" t="n"/>
      <c r="Z269" s="88" t="n"/>
      <c r="AA269" s="26" t="n"/>
      <c r="AB269" s="86">
        <f>IF($A269="","",$A269-WEEKDAY($A269,2)+1)</f>
        <v/>
      </c>
      <c r="AC269" s="86">
        <f>IF($A269="","",DATE(YEAR($A269),MONTH($A269),1))</f>
        <v/>
      </c>
      <c r="AD269" s="90">
        <f>IF($A269="","",IFERROR($K269/$J269,0))</f>
        <v/>
      </c>
      <c r="AE269" s="90">
        <f>IF($A269="","",IFERROR($L269/$J269,0))</f>
        <v/>
      </c>
      <c r="AF269" s="90">
        <f>IF($A269="","",IFERROR($M269/$J269,0))</f>
        <v/>
      </c>
      <c r="AG269" s="88">
        <f>IF($A269="","",$N269-$O269)</f>
        <v/>
      </c>
      <c r="AH269" s="90">
        <f>IF($A269="","",IFERROR($AG269/$N269,0))</f>
        <v/>
      </c>
      <c r="AI269" s="89">
        <f>IF($A269="","",IFERROR($K269/$P269,0))</f>
        <v/>
      </c>
      <c r="AJ269" s="90">
        <f>IF($A269="","",IFERROR($S269/$R269,0))</f>
        <v/>
      </c>
      <c r="AK269" s="90">
        <f>IF($A269="","",IFERROR($T269/$J269,0))</f>
        <v/>
      </c>
      <c r="AL269" s="26">
        <f>IF($A269="","",IF(AND($AD269&gt;='01_Settings'!$B$9,$V269&lt;='01_Settings'!$B$10,$W269&lt;='01_Settings'!$B$11),"On track","Off track"))</f>
        <v/>
      </c>
      <c r="AM269" s="42">
        <f>IF($A269="","",IF($AD269&lt;'01_Settings'!$B$9,"Low completion rate; ","")&amp;IF($AE269&gt;'01_Settings'!$B$12,"High overdue rate; ","")&amp;IF($U269&lt;'01_Settings'!$B$13,"Low satisfaction; ","")&amp;IF($AH269&lt;'01_Settings'!$B$14,"Low gross margin; ","")&amp;IF($AJ269&lt;'01_Settings'!$B$15,"Low conversion rate; ","")&amp;IF($AK269&gt;'01_Settings'!$B$16,"High complaint rate; ",""))</f>
        <v/>
      </c>
    </row>
    <row r="270" ht="18" customHeight="1">
      <c r="A270" s="86" t="n"/>
      <c r="B270" s="26" t="n"/>
      <c r="C270" s="26" t="n"/>
      <c r="D270" s="26" t="n"/>
      <c r="E270" s="26" t="n"/>
      <c r="F270" s="26" t="n"/>
      <c r="G270" s="26" t="n"/>
      <c r="H270" s="26" t="n"/>
      <c r="I270" s="26" t="n"/>
      <c r="J270" s="87" t="n"/>
      <c r="K270" s="87" t="n"/>
      <c r="L270" s="87" t="n"/>
      <c r="M270" s="87" t="n"/>
      <c r="N270" s="88" t="n"/>
      <c r="O270" s="88" t="n"/>
      <c r="P270" s="89" t="n"/>
      <c r="Q270" s="87" t="n"/>
      <c r="R270" s="87" t="n"/>
      <c r="S270" s="87" t="n"/>
      <c r="T270" s="87" t="n"/>
      <c r="U270" s="89" t="n"/>
      <c r="V270" s="89" t="n"/>
      <c r="W270" s="89" t="n"/>
      <c r="X270" s="87" t="n"/>
      <c r="Y270" s="87" t="n"/>
      <c r="Z270" s="88" t="n"/>
      <c r="AA270" s="26" t="n"/>
      <c r="AB270" s="86">
        <f>IF($A270="","",$A270-WEEKDAY($A270,2)+1)</f>
        <v/>
      </c>
      <c r="AC270" s="86">
        <f>IF($A270="","",DATE(YEAR($A270),MONTH($A270),1))</f>
        <v/>
      </c>
      <c r="AD270" s="90">
        <f>IF($A270="","",IFERROR($K270/$J270,0))</f>
        <v/>
      </c>
      <c r="AE270" s="90">
        <f>IF($A270="","",IFERROR($L270/$J270,0))</f>
        <v/>
      </c>
      <c r="AF270" s="90">
        <f>IF($A270="","",IFERROR($M270/$J270,0))</f>
        <v/>
      </c>
      <c r="AG270" s="88">
        <f>IF($A270="","",$N270-$O270)</f>
        <v/>
      </c>
      <c r="AH270" s="90">
        <f>IF($A270="","",IFERROR($AG270/$N270,0))</f>
        <v/>
      </c>
      <c r="AI270" s="89">
        <f>IF($A270="","",IFERROR($K270/$P270,0))</f>
        <v/>
      </c>
      <c r="AJ270" s="90">
        <f>IF($A270="","",IFERROR($S270/$R270,0))</f>
        <v/>
      </c>
      <c r="AK270" s="90">
        <f>IF($A270="","",IFERROR($T270/$J270,0))</f>
        <v/>
      </c>
      <c r="AL270" s="26">
        <f>IF($A270="","",IF(AND($AD270&gt;='01_Settings'!$B$9,$V270&lt;='01_Settings'!$B$10,$W270&lt;='01_Settings'!$B$11),"On track","Off track"))</f>
        <v/>
      </c>
      <c r="AM270" s="42">
        <f>IF($A270="","",IF($AD270&lt;'01_Settings'!$B$9,"Low completion rate; ","")&amp;IF($AE270&gt;'01_Settings'!$B$12,"High overdue rate; ","")&amp;IF($U270&lt;'01_Settings'!$B$13,"Low satisfaction; ","")&amp;IF($AH270&lt;'01_Settings'!$B$14,"Low gross margin; ","")&amp;IF($AJ270&lt;'01_Settings'!$B$15,"Low conversion rate; ","")&amp;IF($AK270&gt;'01_Settings'!$B$16,"High complaint rate; ",""))</f>
        <v/>
      </c>
    </row>
    <row r="271" ht="18" customHeight="1">
      <c r="A271" s="86" t="n"/>
      <c r="B271" s="26" t="n"/>
      <c r="C271" s="26" t="n"/>
      <c r="D271" s="26" t="n"/>
      <c r="E271" s="26" t="n"/>
      <c r="F271" s="26" t="n"/>
      <c r="G271" s="26" t="n"/>
      <c r="H271" s="26" t="n"/>
      <c r="I271" s="26" t="n"/>
      <c r="J271" s="87" t="n"/>
      <c r="K271" s="87" t="n"/>
      <c r="L271" s="87" t="n"/>
      <c r="M271" s="87" t="n"/>
      <c r="N271" s="88" t="n"/>
      <c r="O271" s="88" t="n"/>
      <c r="P271" s="89" t="n"/>
      <c r="Q271" s="87" t="n"/>
      <c r="R271" s="87" t="n"/>
      <c r="S271" s="87" t="n"/>
      <c r="T271" s="87" t="n"/>
      <c r="U271" s="89" t="n"/>
      <c r="V271" s="89" t="n"/>
      <c r="W271" s="89" t="n"/>
      <c r="X271" s="87" t="n"/>
      <c r="Y271" s="87" t="n"/>
      <c r="Z271" s="88" t="n"/>
      <c r="AA271" s="26" t="n"/>
      <c r="AB271" s="86">
        <f>IF($A271="","",$A271-WEEKDAY($A271,2)+1)</f>
        <v/>
      </c>
      <c r="AC271" s="86">
        <f>IF($A271="","",DATE(YEAR($A271),MONTH($A271),1))</f>
        <v/>
      </c>
      <c r="AD271" s="90">
        <f>IF($A271="","",IFERROR($K271/$J271,0))</f>
        <v/>
      </c>
      <c r="AE271" s="90">
        <f>IF($A271="","",IFERROR($L271/$J271,0))</f>
        <v/>
      </c>
      <c r="AF271" s="90">
        <f>IF($A271="","",IFERROR($M271/$J271,0))</f>
        <v/>
      </c>
      <c r="AG271" s="88">
        <f>IF($A271="","",$N271-$O271)</f>
        <v/>
      </c>
      <c r="AH271" s="90">
        <f>IF($A271="","",IFERROR($AG271/$N271,0))</f>
        <v/>
      </c>
      <c r="AI271" s="89">
        <f>IF($A271="","",IFERROR($K271/$P271,0))</f>
        <v/>
      </c>
      <c r="AJ271" s="90">
        <f>IF($A271="","",IFERROR($S271/$R271,0))</f>
        <v/>
      </c>
      <c r="AK271" s="90">
        <f>IF($A271="","",IFERROR($T271/$J271,0))</f>
        <v/>
      </c>
      <c r="AL271" s="26">
        <f>IF($A271="","",IF(AND($AD271&gt;='01_Settings'!$B$9,$V271&lt;='01_Settings'!$B$10,$W271&lt;='01_Settings'!$B$11),"On track","Off track"))</f>
        <v/>
      </c>
      <c r="AM271" s="42">
        <f>IF($A271="","",IF($AD271&lt;'01_Settings'!$B$9,"Low completion rate; ","")&amp;IF($AE271&gt;'01_Settings'!$B$12,"High overdue rate; ","")&amp;IF($U271&lt;'01_Settings'!$B$13,"Low satisfaction; ","")&amp;IF($AH271&lt;'01_Settings'!$B$14,"Low gross margin; ","")&amp;IF($AJ271&lt;'01_Settings'!$B$15,"Low conversion rate; ","")&amp;IF($AK271&gt;'01_Settings'!$B$16,"High complaint rate; ",""))</f>
        <v/>
      </c>
    </row>
    <row r="272" ht="18" customHeight="1">
      <c r="A272" s="86" t="n"/>
      <c r="B272" s="26" t="n"/>
      <c r="C272" s="26" t="n"/>
      <c r="D272" s="26" t="n"/>
      <c r="E272" s="26" t="n"/>
      <c r="F272" s="26" t="n"/>
      <c r="G272" s="26" t="n"/>
      <c r="H272" s="26" t="n"/>
      <c r="I272" s="26" t="n"/>
      <c r="J272" s="87" t="n"/>
      <c r="K272" s="87" t="n"/>
      <c r="L272" s="87" t="n"/>
      <c r="M272" s="87" t="n"/>
      <c r="N272" s="88" t="n"/>
      <c r="O272" s="88" t="n"/>
      <c r="P272" s="89" t="n"/>
      <c r="Q272" s="87" t="n"/>
      <c r="R272" s="87" t="n"/>
      <c r="S272" s="87" t="n"/>
      <c r="T272" s="87" t="n"/>
      <c r="U272" s="89" t="n"/>
      <c r="V272" s="89" t="n"/>
      <c r="W272" s="89" t="n"/>
      <c r="X272" s="87" t="n"/>
      <c r="Y272" s="87" t="n"/>
      <c r="Z272" s="88" t="n"/>
      <c r="AA272" s="26" t="n"/>
      <c r="AB272" s="86">
        <f>IF($A272="","",$A272-WEEKDAY($A272,2)+1)</f>
        <v/>
      </c>
      <c r="AC272" s="86">
        <f>IF($A272="","",DATE(YEAR($A272),MONTH($A272),1))</f>
        <v/>
      </c>
      <c r="AD272" s="90">
        <f>IF($A272="","",IFERROR($K272/$J272,0))</f>
        <v/>
      </c>
      <c r="AE272" s="90">
        <f>IF($A272="","",IFERROR($L272/$J272,0))</f>
        <v/>
      </c>
      <c r="AF272" s="90">
        <f>IF($A272="","",IFERROR($M272/$J272,0))</f>
        <v/>
      </c>
      <c r="AG272" s="88">
        <f>IF($A272="","",$N272-$O272)</f>
        <v/>
      </c>
      <c r="AH272" s="90">
        <f>IF($A272="","",IFERROR($AG272/$N272,0))</f>
        <v/>
      </c>
      <c r="AI272" s="89">
        <f>IF($A272="","",IFERROR($K272/$P272,0))</f>
        <v/>
      </c>
      <c r="AJ272" s="90">
        <f>IF($A272="","",IFERROR($S272/$R272,0))</f>
        <v/>
      </c>
      <c r="AK272" s="90">
        <f>IF($A272="","",IFERROR($T272/$J272,0))</f>
        <v/>
      </c>
      <c r="AL272" s="26">
        <f>IF($A272="","",IF(AND($AD272&gt;='01_Settings'!$B$9,$V272&lt;='01_Settings'!$B$10,$W272&lt;='01_Settings'!$B$11),"On track","Off track"))</f>
        <v/>
      </c>
      <c r="AM272" s="42">
        <f>IF($A272="","",IF($AD272&lt;'01_Settings'!$B$9,"Low completion rate; ","")&amp;IF($AE272&gt;'01_Settings'!$B$12,"High overdue rate; ","")&amp;IF($U272&lt;'01_Settings'!$B$13,"Low satisfaction; ","")&amp;IF($AH272&lt;'01_Settings'!$B$14,"Low gross margin; ","")&amp;IF($AJ272&lt;'01_Settings'!$B$15,"Low conversion rate; ","")&amp;IF($AK272&gt;'01_Settings'!$B$16,"High complaint rate; ",""))</f>
        <v/>
      </c>
    </row>
    <row r="273" ht="18" customHeight="1">
      <c r="A273" s="86" t="n"/>
      <c r="B273" s="26" t="n"/>
      <c r="C273" s="26" t="n"/>
      <c r="D273" s="26" t="n"/>
      <c r="E273" s="26" t="n"/>
      <c r="F273" s="26" t="n"/>
      <c r="G273" s="26" t="n"/>
      <c r="H273" s="26" t="n"/>
      <c r="I273" s="26" t="n"/>
      <c r="J273" s="87" t="n"/>
      <c r="K273" s="87" t="n"/>
      <c r="L273" s="87" t="n"/>
      <c r="M273" s="87" t="n"/>
      <c r="N273" s="88" t="n"/>
      <c r="O273" s="88" t="n"/>
      <c r="P273" s="89" t="n"/>
      <c r="Q273" s="87" t="n"/>
      <c r="R273" s="87" t="n"/>
      <c r="S273" s="87" t="n"/>
      <c r="T273" s="87" t="n"/>
      <c r="U273" s="89" t="n"/>
      <c r="V273" s="89" t="n"/>
      <c r="W273" s="89" t="n"/>
      <c r="X273" s="87" t="n"/>
      <c r="Y273" s="87" t="n"/>
      <c r="Z273" s="88" t="n"/>
      <c r="AA273" s="26" t="n"/>
      <c r="AB273" s="86">
        <f>IF($A273="","",$A273-WEEKDAY($A273,2)+1)</f>
        <v/>
      </c>
      <c r="AC273" s="86">
        <f>IF($A273="","",DATE(YEAR($A273),MONTH($A273),1))</f>
        <v/>
      </c>
      <c r="AD273" s="90">
        <f>IF($A273="","",IFERROR($K273/$J273,0))</f>
        <v/>
      </c>
      <c r="AE273" s="90">
        <f>IF($A273="","",IFERROR($L273/$J273,0))</f>
        <v/>
      </c>
      <c r="AF273" s="90">
        <f>IF($A273="","",IFERROR($M273/$J273,0))</f>
        <v/>
      </c>
      <c r="AG273" s="88">
        <f>IF($A273="","",$N273-$O273)</f>
        <v/>
      </c>
      <c r="AH273" s="90">
        <f>IF($A273="","",IFERROR($AG273/$N273,0))</f>
        <v/>
      </c>
      <c r="AI273" s="89">
        <f>IF($A273="","",IFERROR($K273/$P273,0))</f>
        <v/>
      </c>
      <c r="AJ273" s="90">
        <f>IF($A273="","",IFERROR($S273/$R273,0))</f>
        <v/>
      </c>
      <c r="AK273" s="90">
        <f>IF($A273="","",IFERROR($T273/$J273,0))</f>
        <v/>
      </c>
      <c r="AL273" s="26">
        <f>IF($A273="","",IF(AND($AD273&gt;='01_Settings'!$B$9,$V273&lt;='01_Settings'!$B$10,$W273&lt;='01_Settings'!$B$11),"On track","Off track"))</f>
        <v/>
      </c>
      <c r="AM273" s="42">
        <f>IF($A273="","",IF($AD273&lt;'01_Settings'!$B$9,"Low completion rate; ","")&amp;IF($AE273&gt;'01_Settings'!$B$12,"High overdue rate; ","")&amp;IF($U273&lt;'01_Settings'!$B$13,"Low satisfaction; ","")&amp;IF($AH273&lt;'01_Settings'!$B$14,"Low gross margin; ","")&amp;IF($AJ273&lt;'01_Settings'!$B$15,"Low conversion rate; ","")&amp;IF($AK273&gt;'01_Settings'!$B$16,"High complaint rate; ",""))</f>
        <v/>
      </c>
    </row>
    <row r="274" ht="18" customHeight="1">
      <c r="A274" s="86" t="n"/>
      <c r="B274" s="26" t="n"/>
      <c r="C274" s="26" t="n"/>
      <c r="D274" s="26" t="n"/>
      <c r="E274" s="26" t="n"/>
      <c r="F274" s="26" t="n"/>
      <c r="G274" s="26" t="n"/>
      <c r="H274" s="26" t="n"/>
      <c r="I274" s="26" t="n"/>
      <c r="J274" s="87" t="n"/>
      <c r="K274" s="87" t="n"/>
      <c r="L274" s="87" t="n"/>
      <c r="M274" s="87" t="n"/>
      <c r="N274" s="88" t="n"/>
      <c r="O274" s="88" t="n"/>
      <c r="P274" s="89" t="n"/>
      <c r="Q274" s="87" t="n"/>
      <c r="R274" s="87" t="n"/>
      <c r="S274" s="87" t="n"/>
      <c r="T274" s="87" t="n"/>
      <c r="U274" s="89" t="n"/>
      <c r="V274" s="89" t="n"/>
      <c r="W274" s="89" t="n"/>
      <c r="X274" s="87" t="n"/>
      <c r="Y274" s="87" t="n"/>
      <c r="Z274" s="88" t="n"/>
      <c r="AA274" s="26" t="n"/>
      <c r="AB274" s="86">
        <f>IF($A274="","",$A274-WEEKDAY($A274,2)+1)</f>
        <v/>
      </c>
      <c r="AC274" s="86">
        <f>IF($A274="","",DATE(YEAR($A274),MONTH($A274),1))</f>
        <v/>
      </c>
      <c r="AD274" s="90">
        <f>IF($A274="","",IFERROR($K274/$J274,0))</f>
        <v/>
      </c>
      <c r="AE274" s="90">
        <f>IF($A274="","",IFERROR($L274/$J274,0))</f>
        <v/>
      </c>
      <c r="AF274" s="90">
        <f>IF($A274="","",IFERROR($M274/$J274,0))</f>
        <v/>
      </c>
      <c r="AG274" s="88">
        <f>IF($A274="","",$N274-$O274)</f>
        <v/>
      </c>
      <c r="AH274" s="90">
        <f>IF($A274="","",IFERROR($AG274/$N274,0))</f>
        <v/>
      </c>
      <c r="AI274" s="89">
        <f>IF($A274="","",IFERROR($K274/$P274,0))</f>
        <v/>
      </c>
      <c r="AJ274" s="90">
        <f>IF($A274="","",IFERROR($S274/$R274,0))</f>
        <v/>
      </c>
      <c r="AK274" s="90">
        <f>IF($A274="","",IFERROR($T274/$J274,0))</f>
        <v/>
      </c>
      <c r="AL274" s="26">
        <f>IF($A274="","",IF(AND($AD274&gt;='01_Settings'!$B$9,$V274&lt;='01_Settings'!$B$10,$W274&lt;='01_Settings'!$B$11),"On track","Off track"))</f>
        <v/>
      </c>
      <c r="AM274" s="42">
        <f>IF($A274="","",IF($AD274&lt;'01_Settings'!$B$9,"Low completion rate; ","")&amp;IF($AE274&gt;'01_Settings'!$B$12,"High overdue rate; ","")&amp;IF($U274&lt;'01_Settings'!$B$13,"Low satisfaction; ","")&amp;IF($AH274&lt;'01_Settings'!$B$14,"Low gross margin; ","")&amp;IF($AJ274&lt;'01_Settings'!$B$15,"Low conversion rate; ","")&amp;IF($AK274&gt;'01_Settings'!$B$16,"High complaint rate; ",""))</f>
        <v/>
      </c>
    </row>
    <row r="275" ht="18" customHeight="1">
      <c r="A275" s="86" t="n"/>
      <c r="B275" s="26" t="n"/>
      <c r="C275" s="26" t="n"/>
      <c r="D275" s="26" t="n"/>
      <c r="E275" s="26" t="n"/>
      <c r="F275" s="26" t="n"/>
      <c r="G275" s="26" t="n"/>
      <c r="H275" s="26" t="n"/>
      <c r="I275" s="26" t="n"/>
      <c r="J275" s="87" t="n"/>
      <c r="K275" s="87" t="n"/>
      <c r="L275" s="87" t="n"/>
      <c r="M275" s="87" t="n"/>
      <c r="N275" s="88" t="n"/>
      <c r="O275" s="88" t="n"/>
      <c r="P275" s="89" t="n"/>
      <c r="Q275" s="87" t="n"/>
      <c r="R275" s="87" t="n"/>
      <c r="S275" s="87" t="n"/>
      <c r="T275" s="87" t="n"/>
      <c r="U275" s="89" t="n"/>
      <c r="V275" s="89" t="n"/>
      <c r="W275" s="89" t="n"/>
      <c r="X275" s="87" t="n"/>
      <c r="Y275" s="87" t="n"/>
      <c r="Z275" s="88" t="n"/>
      <c r="AA275" s="26" t="n"/>
      <c r="AB275" s="86">
        <f>IF($A275="","",$A275-WEEKDAY($A275,2)+1)</f>
        <v/>
      </c>
      <c r="AC275" s="86">
        <f>IF($A275="","",DATE(YEAR($A275),MONTH($A275),1))</f>
        <v/>
      </c>
      <c r="AD275" s="90">
        <f>IF($A275="","",IFERROR($K275/$J275,0))</f>
        <v/>
      </c>
      <c r="AE275" s="90">
        <f>IF($A275="","",IFERROR($L275/$J275,0))</f>
        <v/>
      </c>
      <c r="AF275" s="90">
        <f>IF($A275="","",IFERROR($M275/$J275,0))</f>
        <v/>
      </c>
      <c r="AG275" s="88">
        <f>IF($A275="","",$N275-$O275)</f>
        <v/>
      </c>
      <c r="AH275" s="90">
        <f>IF($A275="","",IFERROR($AG275/$N275,0))</f>
        <v/>
      </c>
      <c r="AI275" s="89">
        <f>IF($A275="","",IFERROR($K275/$P275,0))</f>
        <v/>
      </c>
      <c r="AJ275" s="90">
        <f>IF($A275="","",IFERROR($S275/$R275,0))</f>
        <v/>
      </c>
      <c r="AK275" s="90">
        <f>IF($A275="","",IFERROR($T275/$J275,0))</f>
        <v/>
      </c>
      <c r="AL275" s="26">
        <f>IF($A275="","",IF(AND($AD275&gt;='01_Settings'!$B$9,$V275&lt;='01_Settings'!$B$10,$W275&lt;='01_Settings'!$B$11),"On track","Off track"))</f>
        <v/>
      </c>
      <c r="AM275" s="42">
        <f>IF($A275="","",IF($AD275&lt;'01_Settings'!$B$9,"Low completion rate; ","")&amp;IF($AE275&gt;'01_Settings'!$B$12,"High overdue rate; ","")&amp;IF($U275&lt;'01_Settings'!$B$13,"Low satisfaction; ","")&amp;IF($AH275&lt;'01_Settings'!$B$14,"Low gross margin; ","")&amp;IF($AJ275&lt;'01_Settings'!$B$15,"Low conversion rate; ","")&amp;IF($AK275&gt;'01_Settings'!$B$16,"High complaint rate; ",""))</f>
        <v/>
      </c>
    </row>
    <row r="276" ht="18" customHeight="1">
      <c r="A276" s="86" t="n"/>
      <c r="B276" s="26" t="n"/>
      <c r="C276" s="26" t="n"/>
      <c r="D276" s="26" t="n"/>
      <c r="E276" s="26" t="n"/>
      <c r="F276" s="26" t="n"/>
      <c r="G276" s="26" t="n"/>
      <c r="H276" s="26" t="n"/>
      <c r="I276" s="26" t="n"/>
      <c r="J276" s="87" t="n"/>
      <c r="K276" s="87" t="n"/>
      <c r="L276" s="87" t="n"/>
      <c r="M276" s="87" t="n"/>
      <c r="N276" s="88" t="n"/>
      <c r="O276" s="88" t="n"/>
      <c r="P276" s="89" t="n"/>
      <c r="Q276" s="87" t="n"/>
      <c r="R276" s="87" t="n"/>
      <c r="S276" s="87" t="n"/>
      <c r="T276" s="87" t="n"/>
      <c r="U276" s="89" t="n"/>
      <c r="V276" s="89" t="n"/>
      <c r="W276" s="89" t="n"/>
      <c r="X276" s="87" t="n"/>
      <c r="Y276" s="87" t="n"/>
      <c r="Z276" s="88" t="n"/>
      <c r="AA276" s="26" t="n"/>
      <c r="AB276" s="86">
        <f>IF($A276="","",$A276-WEEKDAY($A276,2)+1)</f>
        <v/>
      </c>
      <c r="AC276" s="86">
        <f>IF($A276="","",DATE(YEAR($A276),MONTH($A276),1))</f>
        <v/>
      </c>
      <c r="AD276" s="90">
        <f>IF($A276="","",IFERROR($K276/$J276,0))</f>
        <v/>
      </c>
      <c r="AE276" s="90">
        <f>IF($A276="","",IFERROR($L276/$J276,0))</f>
        <v/>
      </c>
      <c r="AF276" s="90">
        <f>IF($A276="","",IFERROR($M276/$J276,0))</f>
        <v/>
      </c>
      <c r="AG276" s="88">
        <f>IF($A276="","",$N276-$O276)</f>
        <v/>
      </c>
      <c r="AH276" s="90">
        <f>IF($A276="","",IFERROR($AG276/$N276,0))</f>
        <v/>
      </c>
      <c r="AI276" s="89">
        <f>IF($A276="","",IFERROR($K276/$P276,0))</f>
        <v/>
      </c>
      <c r="AJ276" s="90">
        <f>IF($A276="","",IFERROR($S276/$R276,0))</f>
        <v/>
      </c>
      <c r="AK276" s="90">
        <f>IF($A276="","",IFERROR($T276/$J276,0))</f>
        <v/>
      </c>
      <c r="AL276" s="26">
        <f>IF($A276="","",IF(AND($AD276&gt;='01_Settings'!$B$9,$V276&lt;='01_Settings'!$B$10,$W276&lt;='01_Settings'!$B$11),"On track","Off track"))</f>
        <v/>
      </c>
      <c r="AM276" s="42">
        <f>IF($A276="","",IF($AD276&lt;'01_Settings'!$B$9,"Low completion rate; ","")&amp;IF($AE276&gt;'01_Settings'!$B$12,"High overdue rate; ","")&amp;IF($U276&lt;'01_Settings'!$B$13,"Low satisfaction; ","")&amp;IF($AH276&lt;'01_Settings'!$B$14,"Low gross margin; ","")&amp;IF($AJ276&lt;'01_Settings'!$B$15,"Low conversion rate; ","")&amp;IF($AK276&gt;'01_Settings'!$B$16,"High complaint rate; ",""))</f>
        <v/>
      </c>
    </row>
    <row r="277" ht="18" customHeight="1">
      <c r="A277" s="86" t="n"/>
      <c r="B277" s="26" t="n"/>
      <c r="C277" s="26" t="n"/>
      <c r="D277" s="26" t="n"/>
      <c r="E277" s="26" t="n"/>
      <c r="F277" s="26" t="n"/>
      <c r="G277" s="26" t="n"/>
      <c r="H277" s="26" t="n"/>
      <c r="I277" s="26" t="n"/>
      <c r="J277" s="87" t="n"/>
      <c r="K277" s="87" t="n"/>
      <c r="L277" s="87" t="n"/>
      <c r="M277" s="87" t="n"/>
      <c r="N277" s="88" t="n"/>
      <c r="O277" s="88" t="n"/>
      <c r="P277" s="89" t="n"/>
      <c r="Q277" s="87" t="n"/>
      <c r="R277" s="87" t="n"/>
      <c r="S277" s="87" t="n"/>
      <c r="T277" s="87" t="n"/>
      <c r="U277" s="89" t="n"/>
      <c r="V277" s="89" t="n"/>
      <c r="W277" s="89" t="n"/>
      <c r="X277" s="87" t="n"/>
      <c r="Y277" s="87" t="n"/>
      <c r="Z277" s="88" t="n"/>
      <c r="AA277" s="26" t="n"/>
      <c r="AB277" s="86">
        <f>IF($A277="","",$A277-WEEKDAY($A277,2)+1)</f>
        <v/>
      </c>
      <c r="AC277" s="86">
        <f>IF($A277="","",DATE(YEAR($A277),MONTH($A277),1))</f>
        <v/>
      </c>
      <c r="AD277" s="90">
        <f>IF($A277="","",IFERROR($K277/$J277,0))</f>
        <v/>
      </c>
      <c r="AE277" s="90">
        <f>IF($A277="","",IFERROR($L277/$J277,0))</f>
        <v/>
      </c>
      <c r="AF277" s="90">
        <f>IF($A277="","",IFERROR($M277/$J277,0))</f>
        <v/>
      </c>
      <c r="AG277" s="88">
        <f>IF($A277="","",$N277-$O277)</f>
        <v/>
      </c>
      <c r="AH277" s="90">
        <f>IF($A277="","",IFERROR($AG277/$N277,0))</f>
        <v/>
      </c>
      <c r="AI277" s="89">
        <f>IF($A277="","",IFERROR($K277/$P277,0))</f>
        <v/>
      </c>
      <c r="AJ277" s="90">
        <f>IF($A277="","",IFERROR($S277/$R277,0))</f>
        <v/>
      </c>
      <c r="AK277" s="90">
        <f>IF($A277="","",IFERROR($T277/$J277,0))</f>
        <v/>
      </c>
      <c r="AL277" s="26">
        <f>IF($A277="","",IF(AND($AD277&gt;='01_Settings'!$B$9,$V277&lt;='01_Settings'!$B$10,$W277&lt;='01_Settings'!$B$11),"On track","Off track"))</f>
        <v/>
      </c>
      <c r="AM277" s="42">
        <f>IF($A277="","",IF($AD277&lt;'01_Settings'!$B$9,"Low completion rate; ","")&amp;IF($AE277&gt;'01_Settings'!$B$12,"High overdue rate; ","")&amp;IF($U277&lt;'01_Settings'!$B$13,"Low satisfaction; ","")&amp;IF($AH277&lt;'01_Settings'!$B$14,"Low gross margin; ","")&amp;IF($AJ277&lt;'01_Settings'!$B$15,"Low conversion rate; ","")&amp;IF($AK277&gt;'01_Settings'!$B$16,"High complaint rate; ",""))</f>
        <v/>
      </c>
    </row>
    <row r="278" ht="18" customHeight="1">
      <c r="A278" s="86" t="n"/>
      <c r="B278" s="26" t="n"/>
      <c r="C278" s="26" t="n"/>
      <c r="D278" s="26" t="n"/>
      <c r="E278" s="26" t="n"/>
      <c r="F278" s="26" t="n"/>
      <c r="G278" s="26" t="n"/>
      <c r="H278" s="26" t="n"/>
      <c r="I278" s="26" t="n"/>
      <c r="J278" s="87" t="n"/>
      <c r="K278" s="87" t="n"/>
      <c r="L278" s="87" t="n"/>
      <c r="M278" s="87" t="n"/>
      <c r="N278" s="88" t="n"/>
      <c r="O278" s="88" t="n"/>
      <c r="P278" s="89" t="n"/>
      <c r="Q278" s="87" t="n"/>
      <c r="R278" s="87" t="n"/>
      <c r="S278" s="87" t="n"/>
      <c r="T278" s="87" t="n"/>
      <c r="U278" s="89" t="n"/>
      <c r="V278" s="89" t="n"/>
      <c r="W278" s="89" t="n"/>
      <c r="X278" s="87" t="n"/>
      <c r="Y278" s="87" t="n"/>
      <c r="Z278" s="88" t="n"/>
      <c r="AA278" s="26" t="n"/>
      <c r="AB278" s="86">
        <f>IF($A278="","",$A278-WEEKDAY($A278,2)+1)</f>
        <v/>
      </c>
      <c r="AC278" s="86">
        <f>IF($A278="","",DATE(YEAR($A278),MONTH($A278),1))</f>
        <v/>
      </c>
      <c r="AD278" s="90">
        <f>IF($A278="","",IFERROR($K278/$J278,0))</f>
        <v/>
      </c>
      <c r="AE278" s="90">
        <f>IF($A278="","",IFERROR($L278/$J278,0))</f>
        <v/>
      </c>
      <c r="AF278" s="90">
        <f>IF($A278="","",IFERROR($M278/$J278,0))</f>
        <v/>
      </c>
      <c r="AG278" s="88">
        <f>IF($A278="","",$N278-$O278)</f>
        <v/>
      </c>
      <c r="AH278" s="90">
        <f>IF($A278="","",IFERROR($AG278/$N278,0))</f>
        <v/>
      </c>
      <c r="AI278" s="89">
        <f>IF($A278="","",IFERROR($K278/$P278,0))</f>
        <v/>
      </c>
      <c r="AJ278" s="90">
        <f>IF($A278="","",IFERROR($S278/$R278,0))</f>
        <v/>
      </c>
      <c r="AK278" s="90">
        <f>IF($A278="","",IFERROR($T278/$J278,0))</f>
        <v/>
      </c>
      <c r="AL278" s="26">
        <f>IF($A278="","",IF(AND($AD278&gt;='01_Settings'!$B$9,$V278&lt;='01_Settings'!$B$10,$W278&lt;='01_Settings'!$B$11),"On track","Off track"))</f>
        <v/>
      </c>
      <c r="AM278" s="42">
        <f>IF($A278="","",IF($AD278&lt;'01_Settings'!$B$9,"Low completion rate; ","")&amp;IF($AE278&gt;'01_Settings'!$B$12,"High overdue rate; ","")&amp;IF($U278&lt;'01_Settings'!$B$13,"Low satisfaction; ","")&amp;IF($AH278&lt;'01_Settings'!$B$14,"Low gross margin; ","")&amp;IF($AJ278&lt;'01_Settings'!$B$15,"Low conversion rate; ","")&amp;IF($AK278&gt;'01_Settings'!$B$16,"High complaint rate; ",""))</f>
        <v/>
      </c>
    </row>
    <row r="279" ht="18" customHeight="1">
      <c r="A279" s="86" t="n"/>
      <c r="B279" s="26" t="n"/>
      <c r="C279" s="26" t="n"/>
      <c r="D279" s="26" t="n"/>
      <c r="E279" s="26" t="n"/>
      <c r="F279" s="26" t="n"/>
      <c r="G279" s="26" t="n"/>
      <c r="H279" s="26" t="n"/>
      <c r="I279" s="26" t="n"/>
      <c r="J279" s="87" t="n"/>
      <c r="K279" s="87" t="n"/>
      <c r="L279" s="87" t="n"/>
      <c r="M279" s="87" t="n"/>
      <c r="N279" s="88" t="n"/>
      <c r="O279" s="88" t="n"/>
      <c r="P279" s="89" t="n"/>
      <c r="Q279" s="87" t="n"/>
      <c r="R279" s="87" t="n"/>
      <c r="S279" s="87" t="n"/>
      <c r="T279" s="87" t="n"/>
      <c r="U279" s="89" t="n"/>
      <c r="V279" s="89" t="n"/>
      <c r="W279" s="89" t="n"/>
      <c r="X279" s="87" t="n"/>
      <c r="Y279" s="87" t="n"/>
      <c r="Z279" s="88" t="n"/>
      <c r="AA279" s="26" t="n"/>
      <c r="AB279" s="86">
        <f>IF($A279="","",$A279-WEEKDAY($A279,2)+1)</f>
        <v/>
      </c>
      <c r="AC279" s="86">
        <f>IF($A279="","",DATE(YEAR($A279),MONTH($A279),1))</f>
        <v/>
      </c>
      <c r="AD279" s="90">
        <f>IF($A279="","",IFERROR($K279/$J279,0))</f>
        <v/>
      </c>
      <c r="AE279" s="90">
        <f>IF($A279="","",IFERROR($L279/$J279,0))</f>
        <v/>
      </c>
      <c r="AF279" s="90">
        <f>IF($A279="","",IFERROR($M279/$J279,0))</f>
        <v/>
      </c>
      <c r="AG279" s="88">
        <f>IF($A279="","",$N279-$O279)</f>
        <v/>
      </c>
      <c r="AH279" s="90">
        <f>IF($A279="","",IFERROR($AG279/$N279,0))</f>
        <v/>
      </c>
      <c r="AI279" s="89">
        <f>IF($A279="","",IFERROR($K279/$P279,0))</f>
        <v/>
      </c>
      <c r="AJ279" s="90">
        <f>IF($A279="","",IFERROR($S279/$R279,0))</f>
        <v/>
      </c>
      <c r="AK279" s="90">
        <f>IF($A279="","",IFERROR($T279/$J279,0))</f>
        <v/>
      </c>
      <c r="AL279" s="26">
        <f>IF($A279="","",IF(AND($AD279&gt;='01_Settings'!$B$9,$V279&lt;='01_Settings'!$B$10,$W279&lt;='01_Settings'!$B$11),"On track","Off track"))</f>
        <v/>
      </c>
      <c r="AM279" s="42">
        <f>IF($A279="","",IF($AD279&lt;'01_Settings'!$B$9,"Low completion rate; ","")&amp;IF($AE279&gt;'01_Settings'!$B$12,"High overdue rate; ","")&amp;IF($U279&lt;'01_Settings'!$B$13,"Low satisfaction; ","")&amp;IF($AH279&lt;'01_Settings'!$B$14,"Low gross margin; ","")&amp;IF($AJ279&lt;'01_Settings'!$B$15,"Low conversion rate; ","")&amp;IF($AK279&gt;'01_Settings'!$B$16,"High complaint rate; ",""))</f>
        <v/>
      </c>
    </row>
    <row r="280" ht="18" customHeight="1">
      <c r="A280" s="86" t="n"/>
      <c r="B280" s="26" t="n"/>
      <c r="C280" s="26" t="n"/>
      <c r="D280" s="26" t="n"/>
      <c r="E280" s="26" t="n"/>
      <c r="F280" s="26" t="n"/>
      <c r="G280" s="26" t="n"/>
      <c r="H280" s="26" t="n"/>
      <c r="I280" s="26" t="n"/>
      <c r="J280" s="87" t="n"/>
      <c r="K280" s="87" t="n"/>
      <c r="L280" s="87" t="n"/>
      <c r="M280" s="87" t="n"/>
      <c r="N280" s="88" t="n"/>
      <c r="O280" s="88" t="n"/>
      <c r="P280" s="89" t="n"/>
      <c r="Q280" s="87" t="n"/>
      <c r="R280" s="87" t="n"/>
      <c r="S280" s="87" t="n"/>
      <c r="T280" s="87" t="n"/>
      <c r="U280" s="89" t="n"/>
      <c r="V280" s="89" t="n"/>
      <c r="W280" s="89" t="n"/>
      <c r="X280" s="87" t="n"/>
      <c r="Y280" s="87" t="n"/>
      <c r="Z280" s="88" t="n"/>
      <c r="AA280" s="26" t="n"/>
      <c r="AB280" s="86">
        <f>IF($A280="","",$A280-WEEKDAY($A280,2)+1)</f>
        <v/>
      </c>
      <c r="AC280" s="86">
        <f>IF($A280="","",DATE(YEAR($A280),MONTH($A280),1))</f>
        <v/>
      </c>
      <c r="AD280" s="90">
        <f>IF($A280="","",IFERROR($K280/$J280,0))</f>
        <v/>
      </c>
      <c r="AE280" s="90">
        <f>IF($A280="","",IFERROR($L280/$J280,0))</f>
        <v/>
      </c>
      <c r="AF280" s="90">
        <f>IF($A280="","",IFERROR($M280/$J280,0))</f>
        <v/>
      </c>
      <c r="AG280" s="88">
        <f>IF($A280="","",$N280-$O280)</f>
        <v/>
      </c>
      <c r="AH280" s="90">
        <f>IF($A280="","",IFERROR($AG280/$N280,0))</f>
        <v/>
      </c>
      <c r="AI280" s="89">
        <f>IF($A280="","",IFERROR($K280/$P280,0))</f>
        <v/>
      </c>
      <c r="AJ280" s="90">
        <f>IF($A280="","",IFERROR($S280/$R280,0))</f>
        <v/>
      </c>
      <c r="AK280" s="90">
        <f>IF($A280="","",IFERROR($T280/$J280,0))</f>
        <v/>
      </c>
      <c r="AL280" s="26">
        <f>IF($A280="","",IF(AND($AD280&gt;='01_Settings'!$B$9,$V280&lt;='01_Settings'!$B$10,$W280&lt;='01_Settings'!$B$11),"On track","Off track"))</f>
        <v/>
      </c>
      <c r="AM280" s="42">
        <f>IF($A280="","",IF($AD280&lt;'01_Settings'!$B$9,"Low completion rate; ","")&amp;IF($AE280&gt;'01_Settings'!$B$12,"High overdue rate; ","")&amp;IF($U280&lt;'01_Settings'!$B$13,"Low satisfaction; ","")&amp;IF($AH280&lt;'01_Settings'!$B$14,"Low gross margin; ","")&amp;IF($AJ280&lt;'01_Settings'!$B$15,"Low conversion rate; ","")&amp;IF($AK280&gt;'01_Settings'!$B$16,"High complaint rate; ",""))</f>
        <v/>
      </c>
    </row>
    <row r="281" ht="18" customHeight="1">
      <c r="A281" s="86" t="n"/>
      <c r="B281" s="26" t="n"/>
      <c r="C281" s="26" t="n"/>
      <c r="D281" s="26" t="n"/>
      <c r="E281" s="26" t="n"/>
      <c r="F281" s="26" t="n"/>
      <c r="G281" s="26" t="n"/>
      <c r="H281" s="26" t="n"/>
      <c r="I281" s="26" t="n"/>
      <c r="J281" s="87" t="n"/>
      <c r="K281" s="87" t="n"/>
      <c r="L281" s="87" t="n"/>
      <c r="M281" s="87" t="n"/>
      <c r="N281" s="88" t="n"/>
      <c r="O281" s="88" t="n"/>
      <c r="P281" s="89" t="n"/>
      <c r="Q281" s="87" t="n"/>
      <c r="R281" s="87" t="n"/>
      <c r="S281" s="87" t="n"/>
      <c r="T281" s="87" t="n"/>
      <c r="U281" s="89" t="n"/>
      <c r="V281" s="89" t="n"/>
      <c r="W281" s="89" t="n"/>
      <c r="X281" s="87" t="n"/>
      <c r="Y281" s="87" t="n"/>
      <c r="Z281" s="88" t="n"/>
      <c r="AA281" s="26" t="n"/>
      <c r="AB281" s="86">
        <f>IF($A281="","",$A281-WEEKDAY($A281,2)+1)</f>
        <v/>
      </c>
      <c r="AC281" s="86">
        <f>IF($A281="","",DATE(YEAR($A281),MONTH($A281),1))</f>
        <v/>
      </c>
      <c r="AD281" s="90">
        <f>IF($A281="","",IFERROR($K281/$J281,0))</f>
        <v/>
      </c>
      <c r="AE281" s="90">
        <f>IF($A281="","",IFERROR($L281/$J281,0))</f>
        <v/>
      </c>
      <c r="AF281" s="90">
        <f>IF($A281="","",IFERROR($M281/$J281,0))</f>
        <v/>
      </c>
      <c r="AG281" s="88">
        <f>IF($A281="","",$N281-$O281)</f>
        <v/>
      </c>
      <c r="AH281" s="90">
        <f>IF($A281="","",IFERROR($AG281/$N281,0))</f>
        <v/>
      </c>
      <c r="AI281" s="89">
        <f>IF($A281="","",IFERROR($K281/$P281,0))</f>
        <v/>
      </c>
      <c r="AJ281" s="90">
        <f>IF($A281="","",IFERROR($S281/$R281,0))</f>
        <v/>
      </c>
      <c r="AK281" s="90">
        <f>IF($A281="","",IFERROR($T281/$J281,0))</f>
        <v/>
      </c>
      <c r="AL281" s="26">
        <f>IF($A281="","",IF(AND($AD281&gt;='01_Settings'!$B$9,$V281&lt;='01_Settings'!$B$10,$W281&lt;='01_Settings'!$B$11),"On track","Off track"))</f>
        <v/>
      </c>
      <c r="AM281" s="42">
        <f>IF($A281="","",IF($AD281&lt;'01_Settings'!$B$9,"Low completion rate; ","")&amp;IF($AE281&gt;'01_Settings'!$B$12,"High overdue rate; ","")&amp;IF($U281&lt;'01_Settings'!$B$13,"Low satisfaction; ","")&amp;IF($AH281&lt;'01_Settings'!$B$14,"Low gross margin; ","")&amp;IF($AJ281&lt;'01_Settings'!$B$15,"Low conversion rate; ","")&amp;IF($AK281&gt;'01_Settings'!$B$16,"High complaint rate; ",""))</f>
        <v/>
      </c>
    </row>
    <row r="282" ht="18" customHeight="1">
      <c r="A282" s="86" t="n"/>
      <c r="B282" s="26" t="n"/>
      <c r="C282" s="26" t="n"/>
      <c r="D282" s="26" t="n"/>
      <c r="E282" s="26" t="n"/>
      <c r="F282" s="26" t="n"/>
      <c r="G282" s="26" t="n"/>
      <c r="H282" s="26" t="n"/>
      <c r="I282" s="26" t="n"/>
      <c r="J282" s="87" t="n"/>
      <c r="K282" s="87" t="n"/>
      <c r="L282" s="87" t="n"/>
      <c r="M282" s="87" t="n"/>
      <c r="N282" s="88" t="n"/>
      <c r="O282" s="88" t="n"/>
      <c r="P282" s="89" t="n"/>
      <c r="Q282" s="87" t="n"/>
      <c r="R282" s="87" t="n"/>
      <c r="S282" s="87" t="n"/>
      <c r="T282" s="87" t="n"/>
      <c r="U282" s="89" t="n"/>
      <c r="V282" s="89" t="n"/>
      <c r="W282" s="89" t="n"/>
      <c r="X282" s="87" t="n"/>
      <c r="Y282" s="87" t="n"/>
      <c r="Z282" s="88" t="n"/>
      <c r="AA282" s="26" t="n"/>
      <c r="AB282" s="86">
        <f>IF($A282="","",$A282-WEEKDAY($A282,2)+1)</f>
        <v/>
      </c>
      <c r="AC282" s="86">
        <f>IF($A282="","",DATE(YEAR($A282),MONTH($A282),1))</f>
        <v/>
      </c>
      <c r="AD282" s="90">
        <f>IF($A282="","",IFERROR($K282/$J282,0))</f>
        <v/>
      </c>
      <c r="AE282" s="90">
        <f>IF($A282="","",IFERROR($L282/$J282,0))</f>
        <v/>
      </c>
      <c r="AF282" s="90">
        <f>IF($A282="","",IFERROR($M282/$J282,0))</f>
        <v/>
      </c>
      <c r="AG282" s="88">
        <f>IF($A282="","",$N282-$O282)</f>
        <v/>
      </c>
      <c r="AH282" s="90">
        <f>IF($A282="","",IFERROR($AG282/$N282,0))</f>
        <v/>
      </c>
      <c r="AI282" s="89">
        <f>IF($A282="","",IFERROR($K282/$P282,0))</f>
        <v/>
      </c>
      <c r="AJ282" s="90">
        <f>IF($A282="","",IFERROR($S282/$R282,0))</f>
        <v/>
      </c>
      <c r="AK282" s="90">
        <f>IF($A282="","",IFERROR($T282/$J282,0))</f>
        <v/>
      </c>
      <c r="AL282" s="26">
        <f>IF($A282="","",IF(AND($AD282&gt;='01_Settings'!$B$9,$V282&lt;='01_Settings'!$B$10,$W282&lt;='01_Settings'!$B$11),"On track","Off track"))</f>
        <v/>
      </c>
      <c r="AM282" s="42">
        <f>IF($A282="","",IF($AD282&lt;'01_Settings'!$B$9,"Low completion rate; ","")&amp;IF($AE282&gt;'01_Settings'!$B$12,"High overdue rate; ","")&amp;IF($U282&lt;'01_Settings'!$B$13,"Low satisfaction; ","")&amp;IF($AH282&lt;'01_Settings'!$B$14,"Low gross margin; ","")&amp;IF($AJ282&lt;'01_Settings'!$B$15,"Low conversion rate; ","")&amp;IF($AK282&gt;'01_Settings'!$B$16,"High complaint rate; ",""))</f>
        <v/>
      </c>
    </row>
    <row r="283" ht="18" customHeight="1">
      <c r="A283" s="86" t="n"/>
      <c r="B283" s="26" t="n"/>
      <c r="C283" s="26" t="n"/>
      <c r="D283" s="26" t="n"/>
      <c r="E283" s="26" t="n"/>
      <c r="F283" s="26" t="n"/>
      <c r="G283" s="26" t="n"/>
      <c r="H283" s="26" t="n"/>
      <c r="I283" s="26" t="n"/>
      <c r="J283" s="87" t="n"/>
      <c r="K283" s="87" t="n"/>
      <c r="L283" s="87" t="n"/>
      <c r="M283" s="87" t="n"/>
      <c r="N283" s="88" t="n"/>
      <c r="O283" s="88" t="n"/>
      <c r="P283" s="89" t="n"/>
      <c r="Q283" s="87" t="n"/>
      <c r="R283" s="87" t="n"/>
      <c r="S283" s="87" t="n"/>
      <c r="T283" s="87" t="n"/>
      <c r="U283" s="89" t="n"/>
      <c r="V283" s="89" t="n"/>
      <c r="W283" s="89" t="n"/>
      <c r="X283" s="87" t="n"/>
      <c r="Y283" s="87" t="n"/>
      <c r="Z283" s="88" t="n"/>
      <c r="AA283" s="26" t="n"/>
      <c r="AB283" s="86">
        <f>IF($A283="","",$A283-WEEKDAY($A283,2)+1)</f>
        <v/>
      </c>
      <c r="AC283" s="86">
        <f>IF($A283="","",DATE(YEAR($A283),MONTH($A283),1))</f>
        <v/>
      </c>
      <c r="AD283" s="90">
        <f>IF($A283="","",IFERROR($K283/$J283,0))</f>
        <v/>
      </c>
      <c r="AE283" s="90">
        <f>IF($A283="","",IFERROR($L283/$J283,0))</f>
        <v/>
      </c>
      <c r="AF283" s="90">
        <f>IF($A283="","",IFERROR($M283/$J283,0))</f>
        <v/>
      </c>
      <c r="AG283" s="88">
        <f>IF($A283="","",$N283-$O283)</f>
        <v/>
      </c>
      <c r="AH283" s="90">
        <f>IF($A283="","",IFERROR($AG283/$N283,0))</f>
        <v/>
      </c>
      <c r="AI283" s="89">
        <f>IF($A283="","",IFERROR($K283/$P283,0))</f>
        <v/>
      </c>
      <c r="AJ283" s="90">
        <f>IF($A283="","",IFERROR($S283/$R283,0))</f>
        <v/>
      </c>
      <c r="AK283" s="90">
        <f>IF($A283="","",IFERROR($T283/$J283,0))</f>
        <v/>
      </c>
      <c r="AL283" s="26">
        <f>IF($A283="","",IF(AND($AD283&gt;='01_Settings'!$B$9,$V283&lt;='01_Settings'!$B$10,$W283&lt;='01_Settings'!$B$11),"On track","Off track"))</f>
        <v/>
      </c>
      <c r="AM283" s="42">
        <f>IF($A283="","",IF($AD283&lt;'01_Settings'!$B$9,"Low completion rate; ","")&amp;IF($AE283&gt;'01_Settings'!$B$12,"High overdue rate; ","")&amp;IF($U283&lt;'01_Settings'!$B$13,"Low satisfaction; ","")&amp;IF($AH283&lt;'01_Settings'!$B$14,"Low gross margin; ","")&amp;IF($AJ283&lt;'01_Settings'!$B$15,"Low conversion rate; ","")&amp;IF($AK283&gt;'01_Settings'!$B$16,"High complaint rate; ",""))</f>
        <v/>
      </c>
    </row>
    <row r="284" ht="18" customHeight="1">
      <c r="A284" s="86" t="n"/>
      <c r="B284" s="26" t="n"/>
      <c r="C284" s="26" t="n"/>
      <c r="D284" s="26" t="n"/>
      <c r="E284" s="26" t="n"/>
      <c r="F284" s="26" t="n"/>
      <c r="G284" s="26" t="n"/>
      <c r="H284" s="26" t="n"/>
      <c r="I284" s="26" t="n"/>
      <c r="J284" s="87" t="n"/>
      <c r="K284" s="87" t="n"/>
      <c r="L284" s="87" t="n"/>
      <c r="M284" s="87" t="n"/>
      <c r="N284" s="88" t="n"/>
      <c r="O284" s="88" t="n"/>
      <c r="P284" s="89" t="n"/>
      <c r="Q284" s="87" t="n"/>
      <c r="R284" s="87" t="n"/>
      <c r="S284" s="87" t="n"/>
      <c r="T284" s="87" t="n"/>
      <c r="U284" s="89" t="n"/>
      <c r="V284" s="89" t="n"/>
      <c r="W284" s="89" t="n"/>
      <c r="X284" s="87" t="n"/>
      <c r="Y284" s="87" t="n"/>
      <c r="Z284" s="88" t="n"/>
      <c r="AA284" s="26" t="n"/>
      <c r="AB284" s="86">
        <f>IF($A284="","",$A284-WEEKDAY($A284,2)+1)</f>
        <v/>
      </c>
      <c r="AC284" s="86">
        <f>IF($A284="","",DATE(YEAR($A284),MONTH($A284),1))</f>
        <v/>
      </c>
      <c r="AD284" s="90">
        <f>IF($A284="","",IFERROR($K284/$J284,0))</f>
        <v/>
      </c>
      <c r="AE284" s="90">
        <f>IF($A284="","",IFERROR($L284/$J284,0))</f>
        <v/>
      </c>
      <c r="AF284" s="90">
        <f>IF($A284="","",IFERROR($M284/$J284,0))</f>
        <v/>
      </c>
      <c r="AG284" s="88">
        <f>IF($A284="","",$N284-$O284)</f>
        <v/>
      </c>
      <c r="AH284" s="90">
        <f>IF($A284="","",IFERROR($AG284/$N284,0))</f>
        <v/>
      </c>
      <c r="AI284" s="89">
        <f>IF($A284="","",IFERROR($K284/$P284,0))</f>
        <v/>
      </c>
      <c r="AJ284" s="90">
        <f>IF($A284="","",IFERROR($S284/$R284,0))</f>
        <v/>
      </c>
      <c r="AK284" s="90">
        <f>IF($A284="","",IFERROR($T284/$J284,0))</f>
        <v/>
      </c>
      <c r="AL284" s="26">
        <f>IF($A284="","",IF(AND($AD284&gt;='01_Settings'!$B$9,$V284&lt;='01_Settings'!$B$10,$W284&lt;='01_Settings'!$B$11),"On track","Off track"))</f>
        <v/>
      </c>
      <c r="AM284" s="42">
        <f>IF($A284="","",IF($AD284&lt;'01_Settings'!$B$9,"Low completion rate; ","")&amp;IF($AE284&gt;'01_Settings'!$B$12,"High overdue rate; ","")&amp;IF($U284&lt;'01_Settings'!$B$13,"Low satisfaction; ","")&amp;IF($AH284&lt;'01_Settings'!$B$14,"Low gross margin; ","")&amp;IF($AJ284&lt;'01_Settings'!$B$15,"Low conversion rate; ","")&amp;IF($AK284&gt;'01_Settings'!$B$16,"High complaint rate; ",""))</f>
        <v/>
      </c>
    </row>
    <row r="285" ht="18" customHeight="1">
      <c r="A285" s="86" t="n"/>
      <c r="B285" s="26" t="n"/>
      <c r="C285" s="26" t="n"/>
      <c r="D285" s="26" t="n"/>
      <c r="E285" s="26" t="n"/>
      <c r="F285" s="26" t="n"/>
      <c r="G285" s="26" t="n"/>
      <c r="H285" s="26" t="n"/>
      <c r="I285" s="26" t="n"/>
      <c r="J285" s="87" t="n"/>
      <c r="K285" s="87" t="n"/>
      <c r="L285" s="87" t="n"/>
      <c r="M285" s="87" t="n"/>
      <c r="N285" s="88" t="n"/>
      <c r="O285" s="88" t="n"/>
      <c r="P285" s="89" t="n"/>
      <c r="Q285" s="87" t="n"/>
      <c r="R285" s="87" t="n"/>
      <c r="S285" s="87" t="n"/>
      <c r="T285" s="87" t="n"/>
      <c r="U285" s="89" t="n"/>
      <c r="V285" s="89" t="n"/>
      <c r="W285" s="89" t="n"/>
      <c r="X285" s="87" t="n"/>
      <c r="Y285" s="87" t="n"/>
      <c r="Z285" s="88" t="n"/>
      <c r="AA285" s="26" t="n"/>
      <c r="AB285" s="86">
        <f>IF($A285="","",$A285-WEEKDAY($A285,2)+1)</f>
        <v/>
      </c>
      <c r="AC285" s="86">
        <f>IF($A285="","",DATE(YEAR($A285),MONTH($A285),1))</f>
        <v/>
      </c>
      <c r="AD285" s="90">
        <f>IF($A285="","",IFERROR($K285/$J285,0))</f>
        <v/>
      </c>
      <c r="AE285" s="90">
        <f>IF($A285="","",IFERROR($L285/$J285,0))</f>
        <v/>
      </c>
      <c r="AF285" s="90">
        <f>IF($A285="","",IFERROR($M285/$J285,0))</f>
        <v/>
      </c>
      <c r="AG285" s="88">
        <f>IF($A285="","",$N285-$O285)</f>
        <v/>
      </c>
      <c r="AH285" s="90">
        <f>IF($A285="","",IFERROR($AG285/$N285,0))</f>
        <v/>
      </c>
      <c r="AI285" s="89">
        <f>IF($A285="","",IFERROR($K285/$P285,0))</f>
        <v/>
      </c>
      <c r="AJ285" s="90">
        <f>IF($A285="","",IFERROR($S285/$R285,0))</f>
        <v/>
      </c>
      <c r="AK285" s="90">
        <f>IF($A285="","",IFERROR($T285/$J285,0))</f>
        <v/>
      </c>
      <c r="AL285" s="26">
        <f>IF($A285="","",IF(AND($AD285&gt;='01_Settings'!$B$9,$V285&lt;='01_Settings'!$B$10,$W285&lt;='01_Settings'!$B$11),"On track","Off track"))</f>
        <v/>
      </c>
      <c r="AM285" s="42">
        <f>IF($A285="","",IF($AD285&lt;'01_Settings'!$B$9,"Low completion rate; ","")&amp;IF($AE285&gt;'01_Settings'!$B$12,"High overdue rate; ","")&amp;IF($U285&lt;'01_Settings'!$B$13,"Low satisfaction; ","")&amp;IF($AH285&lt;'01_Settings'!$B$14,"Low gross margin; ","")&amp;IF($AJ285&lt;'01_Settings'!$B$15,"Low conversion rate; ","")&amp;IF($AK285&gt;'01_Settings'!$B$16,"High complaint rate; ",""))</f>
        <v/>
      </c>
    </row>
    <row r="286" ht="18" customHeight="1">
      <c r="A286" s="86" t="n"/>
      <c r="B286" s="26" t="n"/>
      <c r="C286" s="26" t="n"/>
      <c r="D286" s="26" t="n"/>
      <c r="E286" s="26" t="n"/>
      <c r="F286" s="26" t="n"/>
      <c r="G286" s="26" t="n"/>
      <c r="H286" s="26" t="n"/>
      <c r="I286" s="26" t="n"/>
      <c r="J286" s="87" t="n"/>
      <c r="K286" s="87" t="n"/>
      <c r="L286" s="87" t="n"/>
      <c r="M286" s="87" t="n"/>
      <c r="N286" s="88" t="n"/>
      <c r="O286" s="88" t="n"/>
      <c r="P286" s="89" t="n"/>
      <c r="Q286" s="87" t="n"/>
      <c r="R286" s="87" t="n"/>
      <c r="S286" s="87" t="n"/>
      <c r="T286" s="87" t="n"/>
      <c r="U286" s="89" t="n"/>
      <c r="V286" s="89" t="n"/>
      <c r="W286" s="89" t="n"/>
      <c r="X286" s="87" t="n"/>
      <c r="Y286" s="87" t="n"/>
      <c r="Z286" s="88" t="n"/>
      <c r="AA286" s="26" t="n"/>
      <c r="AB286" s="86">
        <f>IF($A286="","",$A286-WEEKDAY($A286,2)+1)</f>
        <v/>
      </c>
      <c r="AC286" s="86">
        <f>IF($A286="","",DATE(YEAR($A286),MONTH($A286),1))</f>
        <v/>
      </c>
      <c r="AD286" s="90">
        <f>IF($A286="","",IFERROR($K286/$J286,0))</f>
        <v/>
      </c>
      <c r="AE286" s="90">
        <f>IF($A286="","",IFERROR($L286/$J286,0))</f>
        <v/>
      </c>
      <c r="AF286" s="90">
        <f>IF($A286="","",IFERROR($M286/$J286,0))</f>
        <v/>
      </c>
      <c r="AG286" s="88">
        <f>IF($A286="","",$N286-$O286)</f>
        <v/>
      </c>
      <c r="AH286" s="90">
        <f>IF($A286="","",IFERROR($AG286/$N286,0))</f>
        <v/>
      </c>
      <c r="AI286" s="89">
        <f>IF($A286="","",IFERROR($K286/$P286,0))</f>
        <v/>
      </c>
      <c r="AJ286" s="90">
        <f>IF($A286="","",IFERROR($S286/$R286,0))</f>
        <v/>
      </c>
      <c r="AK286" s="90">
        <f>IF($A286="","",IFERROR($T286/$J286,0))</f>
        <v/>
      </c>
      <c r="AL286" s="26">
        <f>IF($A286="","",IF(AND($AD286&gt;='01_Settings'!$B$9,$V286&lt;='01_Settings'!$B$10,$W286&lt;='01_Settings'!$B$11),"On track","Off track"))</f>
        <v/>
      </c>
      <c r="AM286" s="42">
        <f>IF($A286="","",IF($AD286&lt;'01_Settings'!$B$9,"Low completion rate; ","")&amp;IF($AE286&gt;'01_Settings'!$B$12,"High overdue rate; ","")&amp;IF($U286&lt;'01_Settings'!$B$13,"Low satisfaction; ","")&amp;IF($AH286&lt;'01_Settings'!$B$14,"Low gross margin; ","")&amp;IF($AJ286&lt;'01_Settings'!$B$15,"Low conversion rate; ","")&amp;IF($AK286&gt;'01_Settings'!$B$16,"High complaint rate; ",""))</f>
        <v/>
      </c>
    </row>
    <row r="287" ht="18" customHeight="1">
      <c r="A287" s="86" t="n"/>
      <c r="B287" s="26" t="n"/>
      <c r="C287" s="26" t="n"/>
      <c r="D287" s="26" t="n"/>
      <c r="E287" s="26" t="n"/>
      <c r="F287" s="26" t="n"/>
      <c r="G287" s="26" t="n"/>
      <c r="H287" s="26" t="n"/>
      <c r="I287" s="26" t="n"/>
      <c r="J287" s="87" t="n"/>
      <c r="K287" s="87" t="n"/>
      <c r="L287" s="87" t="n"/>
      <c r="M287" s="87" t="n"/>
      <c r="N287" s="88" t="n"/>
      <c r="O287" s="88" t="n"/>
      <c r="P287" s="89" t="n"/>
      <c r="Q287" s="87" t="n"/>
      <c r="R287" s="87" t="n"/>
      <c r="S287" s="87" t="n"/>
      <c r="T287" s="87" t="n"/>
      <c r="U287" s="89" t="n"/>
      <c r="V287" s="89" t="n"/>
      <c r="W287" s="89" t="n"/>
      <c r="X287" s="87" t="n"/>
      <c r="Y287" s="87" t="n"/>
      <c r="Z287" s="88" t="n"/>
      <c r="AA287" s="26" t="n"/>
      <c r="AB287" s="86">
        <f>IF($A287="","",$A287-WEEKDAY($A287,2)+1)</f>
        <v/>
      </c>
      <c r="AC287" s="86">
        <f>IF($A287="","",DATE(YEAR($A287),MONTH($A287),1))</f>
        <v/>
      </c>
      <c r="AD287" s="90">
        <f>IF($A287="","",IFERROR($K287/$J287,0))</f>
        <v/>
      </c>
      <c r="AE287" s="90">
        <f>IF($A287="","",IFERROR($L287/$J287,0))</f>
        <v/>
      </c>
      <c r="AF287" s="90">
        <f>IF($A287="","",IFERROR($M287/$J287,0))</f>
        <v/>
      </c>
      <c r="AG287" s="88">
        <f>IF($A287="","",$N287-$O287)</f>
        <v/>
      </c>
      <c r="AH287" s="90">
        <f>IF($A287="","",IFERROR($AG287/$N287,0))</f>
        <v/>
      </c>
      <c r="AI287" s="89">
        <f>IF($A287="","",IFERROR($K287/$P287,0))</f>
        <v/>
      </c>
      <c r="AJ287" s="90">
        <f>IF($A287="","",IFERROR($S287/$R287,0))</f>
        <v/>
      </c>
      <c r="AK287" s="90">
        <f>IF($A287="","",IFERROR($T287/$J287,0))</f>
        <v/>
      </c>
      <c r="AL287" s="26">
        <f>IF($A287="","",IF(AND($AD287&gt;='01_Settings'!$B$9,$V287&lt;='01_Settings'!$B$10,$W287&lt;='01_Settings'!$B$11),"On track","Off track"))</f>
        <v/>
      </c>
      <c r="AM287" s="42">
        <f>IF($A287="","",IF($AD287&lt;'01_Settings'!$B$9,"Low completion rate; ","")&amp;IF($AE287&gt;'01_Settings'!$B$12,"High overdue rate; ","")&amp;IF($U287&lt;'01_Settings'!$B$13,"Low satisfaction; ","")&amp;IF($AH287&lt;'01_Settings'!$B$14,"Low gross margin; ","")&amp;IF($AJ287&lt;'01_Settings'!$B$15,"Low conversion rate; ","")&amp;IF($AK287&gt;'01_Settings'!$B$16,"High complaint rate; ",""))</f>
        <v/>
      </c>
    </row>
    <row r="288" ht="18" customHeight="1">
      <c r="A288" s="86" t="n"/>
      <c r="B288" s="26" t="n"/>
      <c r="C288" s="26" t="n"/>
      <c r="D288" s="26" t="n"/>
      <c r="E288" s="26" t="n"/>
      <c r="F288" s="26" t="n"/>
      <c r="G288" s="26" t="n"/>
      <c r="H288" s="26" t="n"/>
      <c r="I288" s="26" t="n"/>
      <c r="J288" s="87" t="n"/>
      <c r="K288" s="87" t="n"/>
      <c r="L288" s="87" t="n"/>
      <c r="M288" s="87" t="n"/>
      <c r="N288" s="88" t="n"/>
      <c r="O288" s="88" t="n"/>
      <c r="P288" s="89" t="n"/>
      <c r="Q288" s="87" t="n"/>
      <c r="R288" s="87" t="n"/>
      <c r="S288" s="87" t="n"/>
      <c r="T288" s="87" t="n"/>
      <c r="U288" s="89" t="n"/>
      <c r="V288" s="89" t="n"/>
      <c r="W288" s="89" t="n"/>
      <c r="X288" s="87" t="n"/>
      <c r="Y288" s="87" t="n"/>
      <c r="Z288" s="88" t="n"/>
      <c r="AA288" s="26" t="n"/>
      <c r="AB288" s="86">
        <f>IF($A288="","",$A288-WEEKDAY($A288,2)+1)</f>
        <v/>
      </c>
      <c r="AC288" s="86">
        <f>IF($A288="","",DATE(YEAR($A288),MONTH($A288),1))</f>
        <v/>
      </c>
      <c r="AD288" s="90">
        <f>IF($A288="","",IFERROR($K288/$J288,0))</f>
        <v/>
      </c>
      <c r="AE288" s="90">
        <f>IF($A288="","",IFERROR($L288/$J288,0))</f>
        <v/>
      </c>
      <c r="AF288" s="90">
        <f>IF($A288="","",IFERROR($M288/$J288,0))</f>
        <v/>
      </c>
      <c r="AG288" s="88">
        <f>IF($A288="","",$N288-$O288)</f>
        <v/>
      </c>
      <c r="AH288" s="90">
        <f>IF($A288="","",IFERROR($AG288/$N288,0))</f>
        <v/>
      </c>
      <c r="AI288" s="89">
        <f>IF($A288="","",IFERROR($K288/$P288,0))</f>
        <v/>
      </c>
      <c r="AJ288" s="90">
        <f>IF($A288="","",IFERROR($S288/$R288,0))</f>
        <v/>
      </c>
      <c r="AK288" s="90">
        <f>IF($A288="","",IFERROR($T288/$J288,0))</f>
        <v/>
      </c>
      <c r="AL288" s="26">
        <f>IF($A288="","",IF(AND($AD288&gt;='01_Settings'!$B$9,$V288&lt;='01_Settings'!$B$10,$W288&lt;='01_Settings'!$B$11),"On track","Off track"))</f>
        <v/>
      </c>
      <c r="AM288" s="42">
        <f>IF($A288="","",IF($AD288&lt;'01_Settings'!$B$9,"Low completion rate; ","")&amp;IF($AE288&gt;'01_Settings'!$B$12,"High overdue rate; ","")&amp;IF($U288&lt;'01_Settings'!$B$13,"Low satisfaction; ","")&amp;IF($AH288&lt;'01_Settings'!$B$14,"Low gross margin; ","")&amp;IF($AJ288&lt;'01_Settings'!$B$15,"Low conversion rate; ","")&amp;IF($AK288&gt;'01_Settings'!$B$16,"High complaint rate; ",""))</f>
        <v/>
      </c>
    </row>
    <row r="289" ht="18" customHeight="1">
      <c r="A289" s="86" t="n"/>
      <c r="B289" s="26" t="n"/>
      <c r="C289" s="26" t="n"/>
      <c r="D289" s="26" t="n"/>
      <c r="E289" s="26" t="n"/>
      <c r="F289" s="26" t="n"/>
      <c r="G289" s="26" t="n"/>
      <c r="H289" s="26" t="n"/>
      <c r="I289" s="26" t="n"/>
      <c r="J289" s="87" t="n"/>
      <c r="K289" s="87" t="n"/>
      <c r="L289" s="87" t="n"/>
      <c r="M289" s="87" t="n"/>
      <c r="N289" s="88" t="n"/>
      <c r="O289" s="88" t="n"/>
      <c r="P289" s="89" t="n"/>
      <c r="Q289" s="87" t="n"/>
      <c r="R289" s="87" t="n"/>
      <c r="S289" s="87" t="n"/>
      <c r="T289" s="87" t="n"/>
      <c r="U289" s="89" t="n"/>
      <c r="V289" s="89" t="n"/>
      <c r="W289" s="89" t="n"/>
      <c r="X289" s="87" t="n"/>
      <c r="Y289" s="87" t="n"/>
      <c r="Z289" s="88" t="n"/>
      <c r="AA289" s="26" t="n"/>
      <c r="AB289" s="86">
        <f>IF($A289="","",$A289-WEEKDAY($A289,2)+1)</f>
        <v/>
      </c>
      <c r="AC289" s="86">
        <f>IF($A289="","",DATE(YEAR($A289),MONTH($A289),1))</f>
        <v/>
      </c>
      <c r="AD289" s="90">
        <f>IF($A289="","",IFERROR($K289/$J289,0))</f>
        <v/>
      </c>
      <c r="AE289" s="90">
        <f>IF($A289="","",IFERROR($L289/$J289,0))</f>
        <v/>
      </c>
      <c r="AF289" s="90">
        <f>IF($A289="","",IFERROR($M289/$J289,0))</f>
        <v/>
      </c>
      <c r="AG289" s="88">
        <f>IF($A289="","",$N289-$O289)</f>
        <v/>
      </c>
      <c r="AH289" s="90">
        <f>IF($A289="","",IFERROR($AG289/$N289,0))</f>
        <v/>
      </c>
      <c r="AI289" s="89">
        <f>IF($A289="","",IFERROR($K289/$P289,0))</f>
        <v/>
      </c>
      <c r="AJ289" s="90">
        <f>IF($A289="","",IFERROR($S289/$R289,0))</f>
        <v/>
      </c>
      <c r="AK289" s="90">
        <f>IF($A289="","",IFERROR($T289/$J289,0))</f>
        <v/>
      </c>
      <c r="AL289" s="26">
        <f>IF($A289="","",IF(AND($AD289&gt;='01_Settings'!$B$9,$V289&lt;='01_Settings'!$B$10,$W289&lt;='01_Settings'!$B$11),"On track","Off track"))</f>
        <v/>
      </c>
      <c r="AM289" s="42">
        <f>IF($A289="","",IF($AD289&lt;'01_Settings'!$B$9,"Low completion rate; ","")&amp;IF($AE289&gt;'01_Settings'!$B$12,"High overdue rate; ","")&amp;IF($U289&lt;'01_Settings'!$B$13,"Low satisfaction; ","")&amp;IF($AH289&lt;'01_Settings'!$B$14,"Low gross margin; ","")&amp;IF($AJ289&lt;'01_Settings'!$B$15,"Low conversion rate; ","")&amp;IF($AK289&gt;'01_Settings'!$B$16,"High complaint rate; ",""))</f>
        <v/>
      </c>
    </row>
    <row r="290" ht="18" customHeight="1">
      <c r="A290" s="86" t="n"/>
      <c r="B290" s="26" t="n"/>
      <c r="C290" s="26" t="n"/>
      <c r="D290" s="26" t="n"/>
      <c r="E290" s="26" t="n"/>
      <c r="F290" s="26" t="n"/>
      <c r="G290" s="26" t="n"/>
      <c r="H290" s="26" t="n"/>
      <c r="I290" s="26" t="n"/>
      <c r="J290" s="87" t="n"/>
      <c r="K290" s="87" t="n"/>
      <c r="L290" s="87" t="n"/>
      <c r="M290" s="87" t="n"/>
      <c r="N290" s="88" t="n"/>
      <c r="O290" s="88" t="n"/>
      <c r="P290" s="89" t="n"/>
      <c r="Q290" s="87" t="n"/>
      <c r="R290" s="87" t="n"/>
      <c r="S290" s="87" t="n"/>
      <c r="T290" s="87" t="n"/>
      <c r="U290" s="89" t="n"/>
      <c r="V290" s="89" t="n"/>
      <c r="W290" s="89" t="n"/>
      <c r="X290" s="87" t="n"/>
      <c r="Y290" s="87" t="n"/>
      <c r="Z290" s="88" t="n"/>
      <c r="AA290" s="26" t="n"/>
      <c r="AB290" s="86">
        <f>IF($A290="","",$A290-WEEKDAY($A290,2)+1)</f>
        <v/>
      </c>
      <c r="AC290" s="86">
        <f>IF($A290="","",DATE(YEAR($A290),MONTH($A290),1))</f>
        <v/>
      </c>
      <c r="AD290" s="90">
        <f>IF($A290="","",IFERROR($K290/$J290,0))</f>
        <v/>
      </c>
      <c r="AE290" s="90">
        <f>IF($A290="","",IFERROR($L290/$J290,0))</f>
        <v/>
      </c>
      <c r="AF290" s="90">
        <f>IF($A290="","",IFERROR($M290/$J290,0))</f>
        <v/>
      </c>
      <c r="AG290" s="88">
        <f>IF($A290="","",$N290-$O290)</f>
        <v/>
      </c>
      <c r="AH290" s="90">
        <f>IF($A290="","",IFERROR($AG290/$N290,0))</f>
        <v/>
      </c>
      <c r="AI290" s="89">
        <f>IF($A290="","",IFERROR($K290/$P290,0))</f>
        <v/>
      </c>
      <c r="AJ290" s="90">
        <f>IF($A290="","",IFERROR($S290/$R290,0))</f>
        <v/>
      </c>
      <c r="AK290" s="90">
        <f>IF($A290="","",IFERROR($T290/$J290,0))</f>
        <v/>
      </c>
      <c r="AL290" s="26">
        <f>IF($A290="","",IF(AND($AD290&gt;='01_Settings'!$B$9,$V290&lt;='01_Settings'!$B$10,$W290&lt;='01_Settings'!$B$11),"On track","Off track"))</f>
        <v/>
      </c>
      <c r="AM290" s="42">
        <f>IF($A290="","",IF($AD290&lt;'01_Settings'!$B$9,"Low completion rate; ","")&amp;IF($AE290&gt;'01_Settings'!$B$12,"High overdue rate; ","")&amp;IF($U290&lt;'01_Settings'!$B$13,"Low satisfaction; ","")&amp;IF($AH290&lt;'01_Settings'!$B$14,"Low gross margin; ","")&amp;IF($AJ290&lt;'01_Settings'!$B$15,"Low conversion rate; ","")&amp;IF($AK290&gt;'01_Settings'!$B$16,"High complaint rate; ",""))</f>
        <v/>
      </c>
    </row>
    <row r="291" ht="18" customHeight="1">
      <c r="A291" s="86" t="n"/>
      <c r="B291" s="26" t="n"/>
      <c r="C291" s="26" t="n"/>
      <c r="D291" s="26" t="n"/>
      <c r="E291" s="26" t="n"/>
      <c r="F291" s="26" t="n"/>
      <c r="G291" s="26" t="n"/>
      <c r="H291" s="26" t="n"/>
      <c r="I291" s="26" t="n"/>
      <c r="J291" s="87" t="n"/>
      <c r="K291" s="87" t="n"/>
      <c r="L291" s="87" t="n"/>
      <c r="M291" s="87" t="n"/>
      <c r="N291" s="88" t="n"/>
      <c r="O291" s="88" t="n"/>
      <c r="P291" s="89" t="n"/>
      <c r="Q291" s="87" t="n"/>
      <c r="R291" s="87" t="n"/>
      <c r="S291" s="87" t="n"/>
      <c r="T291" s="87" t="n"/>
      <c r="U291" s="89" t="n"/>
      <c r="V291" s="89" t="n"/>
      <c r="W291" s="89" t="n"/>
      <c r="X291" s="87" t="n"/>
      <c r="Y291" s="87" t="n"/>
      <c r="Z291" s="88" t="n"/>
      <c r="AA291" s="26" t="n"/>
      <c r="AB291" s="86">
        <f>IF($A291="","",$A291-WEEKDAY($A291,2)+1)</f>
        <v/>
      </c>
      <c r="AC291" s="86">
        <f>IF($A291="","",DATE(YEAR($A291),MONTH($A291),1))</f>
        <v/>
      </c>
      <c r="AD291" s="90">
        <f>IF($A291="","",IFERROR($K291/$J291,0))</f>
        <v/>
      </c>
      <c r="AE291" s="90">
        <f>IF($A291="","",IFERROR($L291/$J291,0))</f>
        <v/>
      </c>
      <c r="AF291" s="90">
        <f>IF($A291="","",IFERROR($M291/$J291,0))</f>
        <v/>
      </c>
      <c r="AG291" s="88">
        <f>IF($A291="","",$N291-$O291)</f>
        <v/>
      </c>
      <c r="AH291" s="90">
        <f>IF($A291="","",IFERROR($AG291/$N291,0))</f>
        <v/>
      </c>
      <c r="AI291" s="89">
        <f>IF($A291="","",IFERROR($K291/$P291,0))</f>
        <v/>
      </c>
      <c r="AJ291" s="90">
        <f>IF($A291="","",IFERROR($S291/$R291,0))</f>
        <v/>
      </c>
      <c r="AK291" s="90">
        <f>IF($A291="","",IFERROR($T291/$J291,0))</f>
        <v/>
      </c>
      <c r="AL291" s="26">
        <f>IF($A291="","",IF(AND($AD291&gt;='01_Settings'!$B$9,$V291&lt;='01_Settings'!$B$10,$W291&lt;='01_Settings'!$B$11),"On track","Off track"))</f>
        <v/>
      </c>
      <c r="AM291" s="42">
        <f>IF($A291="","",IF($AD291&lt;'01_Settings'!$B$9,"Low completion rate; ","")&amp;IF($AE291&gt;'01_Settings'!$B$12,"High overdue rate; ","")&amp;IF($U291&lt;'01_Settings'!$B$13,"Low satisfaction; ","")&amp;IF($AH291&lt;'01_Settings'!$B$14,"Low gross margin; ","")&amp;IF($AJ291&lt;'01_Settings'!$B$15,"Low conversion rate; ","")&amp;IF($AK291&gt;'01_Settings'!$B$16,"High complaint rate; ",""))</f>
        <v/>
      </c>
    </row>
    <row r="292" ht="18" customHeight="1">
      <c r="A292" s="86" t="n"/>
      <c r="B292" s="26" t="n"/>
      <c r="C292" s="26" t="n"/>
      <c r="D292" s="26" t="n"/>
      <c r="E292" s="26" t="n"/>
      <c r="F292" s="26" t="n"/>
      <c r="G292" s="26" t="n"/>
      <c r="H292" s="26" t="n"/>
      <c r="I292" s="26" t="n"/>
      <c r="J292" s="87" t="n"/>
      <c r="K292" s="87" t="n"/>
      <c r="L292" s="87" t="n"/>
      <c r="M292" s="87" t="n"/>
      <c r="N292" s="88" t="n"/>
      <c r="O292" s="88" t="n"/>
      <c r="P292" s="89" t="n"/>
      <c r="Q292" s="87" t="n"/>
      <c r="R292" s="87" t="n"/>
      <c r="S292" s="87" t="n"/>
      <c r="T292" s="87" t="n"/>
      <c r="U292" s="89" t="n"/>
      <c r="V292" s="89" t="n"/>
      <c r="W292" s="89" t="n"/>
      <c r="X292" s="87" t="n"/>
      <c r="Y292" s="87" t="n"/>
      <c r="Z292" s="88" t="n"/>
      <c r="AA292" s="26" t="n"/>
      <c r="AB292" s="86">
        <f>IF($A292="","",$A292-WEEKDAY($A292,2)+1)</f>
        <v/>
      </c>
      <c r="AC292" s="86">
        <f>IF($A292="","",DATE(YEAR($A292),MONTH($A292),1))</f>
        <v/>
      </c>
      <c r="AD292" s="90">
        <f>IF($A292="","",IFERROR($K292/$J292,0))</f>
        <v/>
      </c>
      <c r="AE292" s="90">
        <f>IF($A292="","",IFERROR($L292/$J292,0))</f>
        <v/>
      </c>
      <c r="AF292" s="90">
        <f>IF($A292="","",IFERROR($M292/$J292,0))</f>
        <v/>
      </c>
      <c r="AG292" s="88">
        <f>IF($A292="","",$N292-$O292)</f>
        <v/>
      </c>
      <c r="AH292" s="90">
        <f>IF($A292="","",IFERROR($AG292/$N292,0))</f>
        <v/>
      </c>
      <c r="AI292" s="89">
        <f>IF($A292="","",IFERROR($K292/$P292,0))</f>
        <v/>
      </c>
      <c r="AJ292" s="90">
        <f>IF($A292="","",IFERROR($S292/$R292,0))</f>
        <v/>
      </c>
      <c r="AK292" s="90">
        <f>IF($A292="","",IFERROR($T292/$J292,0))</f>
        <v/>
      </c>
      <c r="AL292" s="26">
        <f>IF($A292="","",IF(AND($AD292&gt;='01_Settings'!$B$9,$V292&lt;='01_Settings'!$B$10,$W292&lt;='01_Settings'!$B$11),"On track","Off track"))</f>
        <v/>
      </c>
      <c r="AM292" s="42">
        <f>IF($A292="","",IF($AD292&lt;'01_Settings'!$B$9,"Low completion rate; ","")&amp;IF($AE292&gt;'01_Settings'!$B$12,"High overdue rate; ","")&amp;IF($U292&lt;'01_Settings'!$B$13,"Low satisfaction; ","")&amp;IF($AH292&lt;'01_Settings'!$B$14,"Low gross margin; ","")&amp;IF($AJ292&lt;'01_Settings'!$B$15,"Low conversion rate; ","")&amp;IF($AK292&gt;'01_Settings'!$B$16,"High complaint rate; ",""))</f>
        <v/>
      </c>
    </row>
    <row r="293" ht="18" customHeight="1">
      <c r="A293" s="86" t="n"/>
      <c r="B293" s="26" t="n"/>
      <c r="C293" s="26" t="n"/>
      <c r="D293" s="26" t="n"/>
      <c r="E293" s="26" t="n"/>
      <c r="F293" s="26" t="n"/>
      <c r="G293" s="26" t="n"/>
      <c r="H293" s="26" t="n"/>
      <c r="I293" s="26" t="n"/>
      <c r="J293" s="87" t="n"/>
      <c r="K293" s="87" t="n"/>
      <c r="L293" s="87" t="n"/>
      <c r="M293" s="87" t="n"/>
      <c r="N293" s="88" t="n"/>
      <c r="O293" s="88" t="n"/>
      <c r="P293" s="89" t="n"/>
      <c r="Q293" s="87" t="n"/>
      <c r="R293" s="87" t="n"/>
      <c r="S293" s="87" t="n"/>
      <c r="T293" s="87" t="n"/>
      <c r="U293" s="89" t="n"/>
      <c r="V293" s="89" t="n"/>
      <c r="W293" s="89" t="n"/>
      <c r="X293" s="87" t="n"/>
      <c r="Y293" s="87" t="n"/>
      <c r="Z293" s="88" t="n"/>
      <c r="AA293" s="26" t="n"/>
      <c r="AB293" s="86">
        <f>IF($A293="","",$A293-WEEKDAY($A293,2)+1)</f>
        <v/>
      </c>
      <c r="AC293" s="86">
        <f>IF($A293="","",DATE(YEAR($A293),MONTH($A293),1))</f>
        <v/>
      </c>
      <c r="AD293" s="90">
        <f>IF($A293="","",IFERROR($K293/$J293,0))</f>
        <v/>
      </c>
      <c r="AE293" s="90">
        <f>IF($A293="","",IFERROR($L293/$J293,0))</f>
        <v/>
      </c>
      <c r="AF293" s="90">
        <f>IF($A293="","",IFERROR($M293/$J293,0))</f>
        <v/>
      </c>
      <c r="AG293" s="88">
        <f>IF($A293="","",$N293-$O293)</f>
        <v/>
      </c>
      <c r="AH293" s="90">
        <f>IF($A293="","",IFERROR($AG293/$N293,0))</f>
        <v/>
      </c>
      <c r="AI293" s="89">
        <f>IF($A293="","",IFERROR($K293/$P293,0))</f>
        <v/>
      </c>
      <c r="AJ293" s="90">
        <f>IF($A293="","",IFERROR($S293/$R293,0))</f>
        <v/>
      </c>
      <c r="AK293" s="90">
        <f>IF($A293="","",IFERROR($T293/$J293,0))</f>
        <v/>
      </c>
      <c r="AL293" s="26">
        <f>IF($A293="","",IF(AND($AD293&gt;='01_Settings'!$B$9,$V293&lt;='01_Settings'!$B$10,$W293&lt;='01_Settings'!$B$11),"On track","Off track"))</f>
        <v/>
      </c>
      <c r="AM293" s="42">
        <f>IF($A293="","",IF($AD293&lt;'01_Settings'!$B$9,"Low completion rate; ","")&amp;IF($AE293&gt;'01_Settings'!$B$12,"High overdue rate; ","")&amp;IF($U293&lt;'01_Settings'!$B$13,"Low satisfaction; ","")&amp;IF($AH293&lt;'01_Settings'!$B$14,"Low gross margin; ","")&amp;IF($AJ293&lt;'01_Settings'!$B$15,"Low conversion rate; ","")&amp;IF($AK293&gt;'01_Settings'!$B$16,"High complaint rate; ",""))</f>
        <v/>
      </c>
    </row>
    <row r="294" ht="18" customHeight="1">
      <c r="A294" s="86" t="n"/>
      <c r="B294" s="26" t="n"/>
      <c r="C294" s="26" t="n"/>
      <c r="D294" s="26" t="n"/>
      <c r="E294" s="26" t="n"/>
      <c r="F294" s="26" t="n"/>
      <c r="G294" s="26" t="n"/>
      <c r="H294" s="26" t="n"/>
      <c r="I294" s="26" t="n"/>
      <c r="J294" s="87" t="n"/>
      <c r="K294" s="87" t="n"/>
      <c r="L294" s="87" t="n"/>
      <c r="M294" s="87" t="n"/>
      <c r="N294" s="88" t="n"/>
      <c r="O294" s="88" t="n"/>
      <c r="P294" s="89" t="n"/>
      <c r="Q294" s="87" t="n"/>
      <c r="R294" s="87" t="n"/>
      <c r="S294" s="87" t="n"/>
      <c r="T294" s="87" t="n"/>
      <c r="U294" s="89" t="n"/>
      <c r="V294" s="89" t="n"/>
      <c r="W294" s="89" t="n"/>
      <c r="X294" s="87" t="n"/>
      <c r="Y294" s="87" t="n"/>
      <c r="Z294" s="88" t="n"/>
      <c r="AA294" s="26" t="n"/>
      <c r="AB294" s="86">
        <f>IF($A294="","",$A294-WEEKDAY($A294,2)+1)</f>
        <v/>
      </c>
      <c r="AC294" s="86">
        <f>IF($A294="","",DATE(YEAR($A294),MONTH($A294),1))</f>
        <v/>
      </c>
      <c r="AD294" s="90">
        <f>IF($A294="","",IFERROR($K294/$J294,0))</f>
        <v/>
      </c>
      <c r="AE294" s="90">
        <f>IF($A294="","",IFERROR($L294/$J294,0))</f>
        <v/>
      </c>
      <c r="AF294" s="90">
        <f>IF($A294="","",IFERROR($M294/$J294,0))</f>
        <v/>
      </c>
      <c r="AG294" s="88">
        <f>IF($A294="","",$N294-$O294)</f>
        <v/>
      </c>
      <c r="AH294" s="90">
        <f>IF($A294="","",IFERROR($AG294/$N294,0))</f>
        <v/>
      </c>
      <c r="AI294" s="89">
        <f>IF($A294="","",IFERROR($K294/$P294,0))</f>
        <v/>
      </c>
      <c r="AJ294" s="90">
        <f>IF($A294="","",IFERROR($S294/$R294,0))</f>
        <v/>
      </c>
      <c r="AK294" s="90">
        <f>IF($A294="","",IFERROR($T294/$J294,0))</f>
        <v/>
      </c>
      <c r="AL294" s="26">
        <f>IF($A294="","",IF(AND($AD294&gt;='01_Settings'!$B$9,$V294&lt;='01_Settings'!$B$10,$W294&lt;='01_Settings'!$B$11),"On track","Off track"))</f>
        <v/>
      </c>
      <c r="AM294" s="42">
        <f>IF($A294="","",IF($AD294&lt;'01_Settings'!$B$9,"Low completion rate; ","")&amp;IF($AE294&gt;'01_Settings'!$B$12,"High overdue rate; ","")&amp;IF($U294&lt;'01_Settings'!$B$13,"Low satisfaction; ","")&amp;IF($AH294&lt;'01_Settings'!$B$14,"Low gross margin; ","")&amp;IF($AJ294&lt;'01_Settings'!$B$15,"Low conversion rate; ","")&amp;IF($AK294&gt;'01_Settings'!$B$16,"High complaint rate; ",""))</f>
        <v/>
      </c>
    </row>
    <row r="295" ht="18" customHeight="1">
      <c r="A295" s="86" t="n"/>
      <c r="B295" s="26" t="n"/>
      <c r="C295" s="26" t="n"/>
      <c r="D295" s="26" t="n"/>
      <c r="E295" s="26" t="n"/>
      <c r="F295" s="26" t="n"/>
      <c r="G295" s="26" t="n"/>
      <c r="H295" s="26" t="n"/>
      <c r="I295" s="26" t="n"/>
      <c r="J295" s="87" t="n"/>
      <c r="K295" s="87" t="n"/>
      <c r="L295" s="87" t="n"/>
      <c r="M295" s="87" t="n"/>
      <c r="N295" s="88" t="n"/>
      <c r="O295" s="88" t="n"/>
      <c r="P295" s="89" t="n"/>
      <c r="Q295" s="87" t="n"/>
      <c r="R295" s="87" t="n"/>
      <c r="S295" s="87" t="n"/>
      <c r="T295" s="87" t="n"/>
      <c r="U295" s="89" t="n"/>
      <c r="V295" s="89" t="n"/>
      <c r="W295" s="89" t="n"/>
      <c r="X295" s="87" t="n"/>
      <c r="Y295" s="87" t="n"/>
      <c r="Z295" s="88" t="n"/>
      <c r="AA295" s="26" t="n"/>
      <c r="AB295" s="86">
        <f>IF($A295="","",$A295-WEEKDAY($A295,2)+1)</f>
        <v/>
      </c>
      <c r="AC295" s="86">
        <f>IF($A295="","",DATE(YEAR($A295),MONTH($A295),1))</f>
        <v/>
      </c>
      <c r="AD295" s="90">
        <f>IF($A295="","",IFERROR($K295/$J295,0))</f>
        <v/>
      </c>
      <c r="AE295" s="90">
        <f>IF($A295="","",IFERROR($L295/$J295,0))</f>
        <v/>
      </c>
      <c r="AF295" s="90">
        <f>IF($A295="","",IFERROR($M295/$J295,0))</f>
        <v/>
      </c>
      <c r="AG295" s="88">
        <f>IF($A295="","",$N295-$O295)</f>
        <v/>
      </c>
      <c r="AH295" s="90">
        <f>IF($A295="","",IFERROR($AG295/$N295,0))</f>
        <v/>
      </c>
      <c r="AI295" s="89">
        <f>IF($A295="","",IFERROR($K295/$P295,0))</f>
        <v/>
      </c>
      <c r="AJ295" s="90">
        <f>IF($A295="","",IFERROR($S295/$R295,0))</f>
        <v/>
      </c>
      <c r="AK295" s="90">
        <f>IF($A295="","",IFERROR($T295/$J295,0))</f>
        <v/>
      </c>
      <c r="AL295" s="26">
        <f>IF($A295="","",IF(AND($AD295&gt;='01_Settings'!$B$9,$V295&lt;='01_Settings'!$B$10,$W295&lt;='01_Settings'!$B$11),"On track","Off track"))</f>
        <v/>
      </c>
      <c r="AM295" s="42">
        <f>IF($A295="","",IF($AD295&lt;'01_Settings'!$B$9,"Low completion rate; ","")&amp;IF($AE295&gt;'01_Settings'!$B$12,"High overdue rate; ","")&amp;IF($U295&lt;'01_Settings'!$B$13,"Low satisfaction; ","")&amp;IF($AH295&lt;'01_Settings'!$B$14,"Low gross margin; ","")&amp;IF($AJ295&lt;'01_Settings'!$B$15,"Low conversion rate; ","")&amp;IF($AK295&gt;'01_Settings'!$B$16,"High complaint rate; ",""))</f>
        <v/>
      </c>
    </row>
    <row r="296" ht="18" customHeight="1">
      <c r="A296" s="86" t="n"/>
      <c r="B296" s="26" t="n"/>
      <c r="C296" s="26" t="n"/>
      <c r="D296" s="26" t="n"/>
      <c r="E296" s="26" t="n"/>
      <c r="F296" s="26" t="n"/>
      <c r="G296" s="26" t="n"/>
      <c r="H296" s="26" t="n"/>
      <c r="I296" s="26" t="n"/>
      <c r="J296" s="87" t="n"/>
      <c r="K296" s="87" t="n"/>
      <c r="L296" s="87" t="n"/>
      <c r="M296" s="87" t="n"/>
      <c r="N296" s="88" t="n"/>
      <c r="O296" s="88" t="n"/>
      <c r="P296" s="89" t="n"/>
      <c r="Q296" s="87" t="n"/>
      <c r="R296" s="87" t="n"/>
      <c r="S296" s="87" t="n"/>
      <c r="T296" s="87" t="n"/>
      <c r="U296" s="89" t="n"/>
      <c r="V296" s="89" t="n"/>
      <c r="W296" s="89" t="n"/>
      <c r="X296" s="87" t="n"/>
      <c r="Y296" s="87" t="n"/>
      <c r="Z296" s="88" t="n"/>
      <c r="AA296" s="26" t="n"/>
      <c r="AB296" s="86">
        <f>IF($A296="","",$A296-WEEKDAY($A296,2)+1)</f>
        <v/>
      </c>
      <c r="AC296" s="86">
        <f>IF($A296="","",DATE(YEAR($A296),MONTH($A296),1))</f>
        <v/>
      </c>
      <c r="AD296" s="90">
        <f>IF($A296="","",IFERROR($K296/$J296,0))</f>
        <v/>
      </c>
      <c r="AE296" s="90">
        <f>IF($A296="","",IFERROR($L296/$J296,0))</f>
        <v/>
      </c>
      <c r="AF296" s="90">
        <f>IF($A296="","",IFERROR($M296/$J296,0))</f>
        <v/>
      </c>
      <c r="AG296" s="88">
        <f>IF($A296="","",$N296-$O296)</f>
        <v/>
      </c>
      <c r="AH296" s="90">
        <f>IF($A296="","",IFERROR($AG296/$N296,0))</f>
        <v/>
      </c>
      <c r="AI296" s="89">
        <f>IF($A296="","",IFERROR($K296/$P296,0))</f>
        <v/>
      </c>
      <c r="AJ296" s="90">
        <f>IF($A296="","",IFERROR($S296/$R296,0))</f>
        <v/>
      </c>
      <c r="AK296" s="90">
        <f>IF($A296="","",IFERROR($T296/$J296,0))</f>
        <v/>
      </c>
      <c r="AL296" s="26">
        <f>IF($A296="","",IF(AND($AD296&gt;='01_Settings'!$B$9,$V296&lt;='01_Settings'!$B$10,$W296&lt;='01_Settings'!$B$11),"On track","Off track"))</f>
        <v/>
      </c>
      <c r="AM296" s="42">
        <f>IF($A296="","",IF($AD296&lt;'01_Settings'!$B$9,"Low completion rate; ","")&amp;IF($AE296&gt;'01_Settings'!$B$12,"High overdue rate; ","")&amp;IF($U296&lt;'01_Settings'!$B$13,"Low satisfaction; ","")&amp;IF($AH296&lt;'01_Settings'!$B$14,"Low gross margin; ","")&amp;IF($AJ296&lt;'01_Settings'!$B$15,"Low conversion rate; ","")&amp;IF($AK296&gt;'01_Settings'!$B$16,"High complaint rate; ",""))</f>
        <v/>
      </c>
    </row>
    <row r="297" ht="18" customHeight="1">
      <c r="A297" s="86" t="n"/>
      <c r="B297" s="26" t="n"/>
      <c r="C297" s="26" t="n"/>
      <c r="D297" s="26" t="n"/>
      <c r="E297" s="26" t="n"/>
      <c r="F297" s="26" t="n"/>
      <c r="G297" s="26" t="n"/>
      <c r="H297" s="26" t="n"/>
      <c r="I297" s="26" t="n"/>
      <c r="J297" s="87" t="n"/>
      <c r="K297" s="87" t="n"/>
      <c r="L297" s="87" t="n"/>
      <c r="M297" s="87" t="n"/>
      <c r="N297" s="88" t="n"/>
      <c r="O297" s="88" t="n"/>
      <c r="P297" s="89" t="n"/>
      <c r="Q297" s="87" t="n"/>
      <c r="R297" s="87" t="n"/>
      <c r="S297" s="87" t="n"/>
      <c r="T297" s="87" t="n"/>
      <c r="U297" s="89" t="n"/>
      <c r="V297" s="89" t="n"/>
      <c r="W297" s="89" t="n"/>
      <c r="X297" s="87" t="n"/>
      <c r="Y297" s="87" t="n"/>
      <c r="Z297" s="88" t="n"/>
      <c r="AA297" s="26" t="n"/>
      <c r="AB297" s="86">
        <f>IF($A297="","",$A297-WEEKDAY($A297,2)+1)</f>
        <v/>
      </c>
      <c r="AC297" s="86">
        <f>IF($A297="","",DATE(YEAR($A297),MONTH($A297),1))</f>
        <v/>
      </c>
      <c r="AD297" s="90">
        <f>IF($A297="","",IFERROR($K297/$J297,0))</f>
        <v/>
      </c>
      <c r="AE297" s="90">
        <f>IF($A297="","",IFERROR($L297/$J297,0))</f>
        <v/>
      </c>
      <c r="AF297" s="90">
        <f>IF($A297="","",IFERROR($M297/$J297,0))</f>
        <v/>
      </c>
      <c r="AG297" s="88">
        <f>IF($A297="","",$N297-$O297)</f>
        <v/>
      </c>
      <c r="AH297" s="90">
        <f>IF($A297="","",IFERROR($AG297/$N297,0))</f>
        <v/>
      </c>
      <c r="AI297" s="89">
        <f>IF($A297="","",IFERROR($K297/$P297,0))</f>
        <v/>
      </c>
      <c r="AJ297" s="90">
        <f>IF($A297="","",IFERROR($S297/$R297,0))</f>
        <v/>
      </c>
      <c r="AK297" s="90">
        <f>IF($A297="","",IFERROR($T297/$J297,0))</f>
        <v/>
      </c>
      <c r="AL297" s="26">
        <f>IF($A297="","",IF(AND($AD297&gt;='01_Settings'!$B$9,$V297&lt;='01_Settings'!$B$10,$W297&lt;='01_Settings'!$B$11),"On track","Off track"))</f>
        <v/>
      </c>
      <c r="AM297" s="42">
        <f>IF($A297="","",IF($AD297&lt;'01_Settings'!$B$9,"Low completion rate; ","")&amp;IF($AE297&gt;'01_Settings'!$B$12,"High overdue rate; ","")&amp;IF($U297&lt;'01_Settings'!$B$13,"Low satisfaction; ","")&amp;IF($AH297&lt;'01_Settings'!$B$14,"Low gross margin; ","")&amp;IF($AJ297&lt;'01_Settings'!$B$15,"Low conversion rate; ","")&amp;IF($AK297&gt;'01_Settings'!$B$16,"High complaint rate; ",""))</f>
        <v/>
      </c>
    </row>
    <row r="298" ht="18" customHeight="1">
      <c r="A298" s="86" t="n"/>
      <c r="B298" s="26" t="n"/>
      <c r="C298" s="26" t="n"/>
      <c r="D298" s="26" t="n"/>
      <c r="E298" s="26" t="n"/>
      <c r="F298" s="26" t="n"/>
      <c r="G298" s="26" t="n"/>
      <c r="H298" s="26" t="n"/>
      <c r="I298" s="26" t="n"/>
      <c r="J298" s="87" t="n"/>
      <c r="K298" s="87" t="n"/>
      <c r="L298" s="87" t="n"/>
      <c r="M298" s="87" t="n"/>
      <c r="N298" s="88" t="n"/>
      <c r="O298" s="88" t="n"/>
      <c r="P298" s="89" t="n"/>
      <c r="Q298" s="87" t="n"/>
      <c r="R298" s="87" t="n"/>
      <c r="S298" s="87" t="n"/>
      <c r="T298" s="87" t="n"/>
      <c r="U298" s="89" t="n"/>
      <c r="V298" s="89" t="n"/>
      <c r="W298" s="89" t="n"/>
      <c r="X298" s="87" t="n"/>
      <c r="Y298" s="87" t="n"/>
      <c r="Z298" s="88" t="n"/>
      <c r="AA298" s="26" t="n"/>
      <c r="AB298" s="86">
        <f>IF($A298="","",$A298-WEEKDAY($A298,2)+1)</f>
        <v/>
      </c>
      <c r="AC298" s="86">
        <f>IF($A298="","",DATE(YEAR($A298),MONTH($A298),1))</f>
        <v/>
      </c>
      <c r="AD298" s="90">
        <f>IF($A298="","",IFERROR($K298/$J298,0))</f>
        <v/>
      </c>
      <c r="AE298" s="90">
        <f>IF($A298="","",IFERROR($L298/$J298,0))</f>
        <v/>
      </c>
      <c r="AF298" s="90">
        <f>IF($A298="","",IFERROR($M298/$J298,0))</f>
        <v/>
      </c>
      <c r="AG298" s="88">
        <f>IF($A298="","",$N298-$O298)</f>
        <v/>
      </c>
      <c r="AH298" s="90">
        <f>IF($A298="","",IFERROR($AG298/$N298,0))</f>
        <v/>
      </c>
      <c r="AI298" s="89">
        <f>IF($A298="","",IFERROR($K298/$P298,0))</f>
        <v/>
      </c>
      <c r="AJ298" s="90">
        <f>IF($A298="","",IFERROR($S298/$R298,0))</f>
        <v/>
      </c>
      <c r="AK298" s="90">
        <f>IF($A298="","",IFERROR($T298/$J298,0))</f>
        <v/>
      </c>
      <c r="AL298" s="26">
        <f>IF($A298="","",IF(AND($AD298&gt;='01_Settings'!$B$9,$V298&lt;='01_Settings'!$B$10,$W298&lt;='01_Settings'!$B$11),"On track","Off track"))</f>
        <v/>
      </c>
      <c r="AM298" s="42">
        <f>IF($A298="","",IF($AD298&lt;'01_Settings'!$B$9,"Low completion rate; ","")&amp;IF($AE298&gt;'01_Settings'!$B$12,"High overdue rate; ","")&amp;IF($U298&lt;'01_Settings'!$B$13,"Low satisfaction; ","")&amp;IF($AH298&lt;'01_Settings'!$B$14,"Low gross margin; ","")&amp;IF($AJ298&lt;'01_Settings'!$B$15,"Low conversion rate; ","")&amp;IF($AK298&gt;'01_Settings'!$B$16,"High complaint rate; ",""))</f>
        <v/>
      </c>
    </row>
    <row r="299" ht="18" customHeight="1">
      <c r="A299" s="86" t="n"/>
      <c r="B299" s="26" t="n"/>
      <c r="C299" s="26" t="n"/>
      <c r="D299" s="26" t="n"/>
      <c r="E299" s="26" t="n"/>
      <c r="F299" s="26" t="n"/>
      <c r="G299" s="26" t="n"/>
      <c r="H299" s="26" t="n"/>
      <c r="I299" s="26" t="n"/>
      <c r="J299" s="87" t="n"/>
      <c r="K299" s="87" t="n"/>
      <c r="L299" s="87" t="n"/>
      <c r="M299" s="87" t="n"/>
      <c r="N299" s="88" t="n"/>
      <c r="O299" s="88" t="n"/>
      <c r="P299" s="89" t="n"/>
      <c r="Q299" s="87" t="n"/>
      <c r="R299" s="87" t="n"/>
      <c r="S299" s="87" t="n"/>
      <c r="T299" s="87" t="n"/>
      <c r="U299" s="89" t="n"/>
      <c r="V299" s="89" t="n"/>
      <c r="W299" s="89" t="n"/>
      <c r="X299" s="87" t="n"/>
      <c r="Y299" s="87" t="n"/>
      <c r="Z299" s="88" t="n"/>
      <c r="AA299" s="26" t="n"/>
      <c r="AB299" s="86">
        <f>IF($A299="","",$A299-WEEKDAY($A299,2)+1)</f>
        <v/>
      </c>
      <c r="AC299" s="86">
        <f>IF($A299="","",DATE(YEAR($A299),MONTH($A299),1))</f>
        <v/>
      </c>
      <c r="AD299" s="90">
        <f>IF($A299="","",IFERROR($K299/$J299,0))</f>
        <v/>
      </c>
      <c r="AE299" s="90">
        <f>IF($A299="","",IFERROR($L299/$J299,0))</f>
        <v/>
      </c>
      <c r="AF299" s="90">
        <f>IF($A299="","",IFERROR($M299/$J299,0))</f>
        <v/>
      </c>
      <c r="AG299" s="88">
        <f>IF($A299="","",$N299-$O299)</f>
        <v/>
      </c>
      <c r="AH299" s="90">
        <f>IF($A299="","",IFERROR($AG299/$N299,0))</f>
        <v/>
      </c>
      <c r="AI299" s="89">
        <f>IF($A299="","",IFERROR($K299/$P299,0))</f>
        <v/>
      </c>
      <c r="AJ299" s="90">
        <f>IF($A299="","",IFERROR($S299/$R299,0))</f>
        <v/>
      </c>
      <c r="AK299" s="90">
        <f>IF($A299="","",IFERROR($T299/$J299,0))</f>
        <v/>
      </c>
      <c r="AL299" s="26">
        <f>IF($A299="","",IF(AND($AD299&gt;='01_Settings'!$B$9,$V299&lt;='01_Settings'!$B$10,$W299&lt;='01_Settings'!$B$11),"On track","Off track"))</f>
        <v/>
      </c>
      <c r="AM299" s="42">
        <f>IF($A299="","",IF($AD299&lt;'01_Settings'!$B$9,"Low completion rate; ","")&amp;IF($AE299&gt;'01_Settings'!$B$12,"High overdue rate; ","")&amp;IF($U299&lt;'01_Settings'!$B$13,"Low satisfaction; ","")&amp;IF($AH299&lt;'01_Settings'!$B$14,"Low gross margin; ","")&amp;IF($AJ299&lt;'01_Settings'!$B$15,"Low conversion rate; ","")&amp;IF($AK299&gt;'01_Settings'!$B$16,"High complaint rate; ",""))</f>
        <v/>
      </c>
    </row>
    <row r="300" ht="18" customHeight="1">
      <c r="A300" s="86" t="n"/>
      <c r="B300" s="26" t="n"/>
      <c r="C300" s="26" t="n"/>
      <c r="D300" s="26" t="n"/>
      <c r="E300" s="26" t="n"/>
      <c r="F300" s="26" t="n"/>
      <c r="G300" s="26" t="n"/>
      <c r="H300" s="26" t="n"/>
      <c r="I300" s="26" t="n"/>
      <c r="J300" s="87" t="n"/>
      <c r="K300" s="87" t="n"/>
      <c r="L300" s="87" t="n"/>
      <c r="M300" s="87" t="n"/>
      <c r="N300" s="88" t="n"/>
      <c r="O300" s="88" t="n"/>
      <c r="P300" s="89" t="n"/>
      <c r="Q300" s="87" t="n"/>
      <c r="R300" s="87" t="n"/>
      <c r="S300" s="87" t="n"/>
      <c r="T300" s="87" t="n"/>
      <c r="U300" s="89" t="n"/>
      <c r="V300" s="89" t="n"/>
      <c r="W300" s="89" t="n"/>
      <c r="X300" s="87" t="n"/>
      <c r="Y300" s="87" t="n"/>
      <c r="Z300" s="88" t="n"/>
      <c r="AA300" s="26" t="n"/>
      <c r="AB300" s="86">
        <f>IF($A300="","",$A300-WEEKDAY($A300,2)+1)</f>
        <v/>
      </c>
      <c r="AC300" s="86">
        <f>IF($A300="","",DATE(YEAR($A300),MONTH($A300),1))</f>
        <v/>
      </c>
      <c r="AD300" s="90">
        <f>IF($A300="","",IFERROR($K300/$J300,0))</f>
        <v/>
      </c>
      <c r="AE300" s="90">
        <f>IF($A300="","",IFERROR($L300/$J300,0))</f>
        <v/>
      </c>
      <c r="AF300" s="90">
        <f>IF($A300="","",IFERROR($M300/$J300,0))</f>
        <v/>
      </c>
      <c r="AG300" s="88">
        <f>IF($A300="","",$N300-$O300)</f>
        <v/>
      </c>
      <c r="AH300" s="90">
        <f>IF($A300="","",IFERROR($AG300/$N300,0))</f>
        <v/>
      </c>
      <c r="AI300" s="89">
        <f>IF($A300="","",IFERROR($K300/$P300,0))</f>
        <v/>
      </c>
      <c r="AJ300" s="90">
        <f>IF($A300="","",IFERROR($S300/$R300,0))</f>
        <v/>
      </c>
      <c r="AK300" s="90">
        <f>IF($A300="","",IFERROR($T300/$J300,0))</f>
        <v/>
      </c>
      <c r="AL300" s="26">
        <f>IF($A300="","",IF(AND($AD300&gt;='01_Settings'!$B$9,$V300&lt;='01_Settings'!$B$10,$W300&lt;='01_Settings'!$B$11),"On track","Off track"))</f>
        <v/>
      </c>
      <c r="AM300" s="42">
        <f>IF($A300="","",IF($AD300&lt;'01_Settings'!$B$9,"Low completion rate; ","")&amp;IF($AE300&gt;'01_Settings'!$B$12,"High overdue rate; ","")&amp;IF($U300&lt;'01_Settings'!$B$13,"Low satisfaction; ","")&amp;IF($AH300&lt;'01_Settings'!$B$14,"Low gross margin; ","")&amp;IF($AJ300&lt;'01_Settings'!$B$15,"Low conversion rate; ","")&amp;IF($AK300&gt;'01_Settings'!$B$16,"High complaint rate; ",""))</f>
        <v/>
      </c>
    </row>
    <row r="301" ht="18" customHeight="1">
      <c r="A301" s="86" t="n"/>
      <c r="B301" s="26" t="n"/>
      <c r="C301" s="26" t="n"/>
      <c r="D301" s="26" t="n"/>
      <c r="E301" s="26" t="n"/>
      <c r="F301" s="26" t="n"/>
      <c r="G301" s="26" t="n"/>
      <c r="H301" s="26" t="n"/>
      <c r="I301" s="26" t="n"/>
      <c r="J301" s="87" t="n"/>
      <c r="K301" s="87" t="n"/>
      <c r="L301" s="87" t="n"/>
      <c r="M301" s="87" t="n"/>
      <c r="N301" s="88" t="n"/>
      <c r="O301" s="88" t="n"/>
      <c r="P301" s="89" t="n"/>
      <c r="Q301" s="87" t="n"/>
      <c r="R301" s="87" t="n"/>
      <c r="S301" s="87" t="n"/>
      <c r="T301" s="87" t="n"/>
      <c r="U301" s="89" t="n"/>
      <c r="V301" s="89" t="n"/>
      <c r="W301" s="89" t="n"/>
      <c r="X301" s="87" t="n"/>
      <c r="Y301" s="87" t="n"/>
      <c r="Z301" s="88" t="n"/>
      <c r="AA301" s="26" t="n"/>
      <c r="AB301" s="86">
        <f>IF($A301="","",$A301-WEEKDAY($A301,2)+1)</f>
        <v/>
      </c>
      <c r="AC301" s="86">
        <f>IF($A301="","",DATE(YEAR($A301),MONTH($A301),1))</f>
        <v/>
      </c>
      <c r="AD301" s="90">
        <f>IF($A301="","",IFERROR($K301/$J301,0))</f>
        <v/>
      </c>
      <c r="AE301" s="90">
        <f>IF($A301="","",IFERROR($L301/$J301,0))</f>
        <v/>
      </c>
      <c r="AF301" s="90">
        <f>IF($A301="","",IFERROR($M301/$J301,0))</f>
        <v/>
      </c>
      <c r="AG301" s="88">
        <f>IF($A301="","",$N301-$O301)</f>
        <v/>
      </c>
      <c r="AH301" s="90">
        <f>IF($A301="","",IFERROR($AG301/$N301,0))</f>
        <v/>
      </c>
      <c r="AI301" s="89">
        <f>IF($A301="","",IFERROR($K301/$P301,0))</f>
        <v/>
      </c>
      <c r="AJ301" s="90">
        <f>IF($A301="","",IFERROR($S301/$R301,0))</f>
        <v/>
      </c>
      <c r="AK301" s="90">
        <f>IF($A301="","",IFERROR($T301/$J301,0))</f>
        <v/>
      </c>
      <c r="AL301" s="26">
        <f>IF($A301="","",IF(AND($AD301&gt;='01_Settings'!$B$9,$V301&lt;='01_Settings'!$B$10,$W301&lt;='01_Settings'!$B$11),"On track","Off track"))</f>
        <v/>
      </c>
      <c r="AM301" s="42">
        <f>IF($A301="","",IF($AD301&lt;'01_Settings'!$B$9,"Low completion rate; ","")&amp;IF($AE301&gt;'01_Settings'!$B$12,"High overdue rate; ","")&amp;IF($U301&lt;'01_Settings'!$B$13,"Low satisfaction; ","")&amp;IF($AH301&lt;'01_Settings'!$B$14,"Low gross margin; ","")&amp;IF($AJ301&lt;'01_Settings'!$B$15,"Low conversion rate; ","")&amp;IF($AK301&gt;'01_Settings'!$B$16,"High complaint rate; ",""))</f>
        <v/>
      </c>
    </row>
    <row r="302" ht="18" customHeight="1">
      <c r="A302" s="86" t="n"/>
      <c r="B302" s="26" t="n"/>
      <c r="C302" s="26" t="n"/>
      <c r="D302" s="26" t="n"/>
      <c r="E302" s="26" t="n"/>
      <c r="F302" s="26" t="n"/>
      <c r="G302" s="26" t="n"/>
      <c r="H302" s="26" t="n"/>
      <c r="I302" s="26" t="n"/>
      <c r="J302" s="87" t="n"/>
      <c r="K302" s="87" t="n"/>
      <c r="L302" s="87" t="n"/>
      <c r="M302" s="87" t="n"/>
      <c r="N302" s="88" t="n"/>
      <c r="O302" s="88" t="n"/>
      <c r="P302" s="89" t="n"/>
      <c r="Q302" s="87" t="n"/>
      <c r="R302" s="87" t="n"/>
      <c r="S302" s="87" t="n"/>
      <c r="T302" s="87" t="n"/>
      <c r="U302" s="89" t="n"/>
      <c r="V302" s="89" t="n"/>
      <c r="W302" s="89" t="n"/>
      <c r="X302" s="87" t="n"/>
      <c r="Y302" s="87" t="n"/>
      <c r="Z302" s="88" t="n"/>
      <c r="AA302" s="26" t="n"/>
      <c r="AB302" s="86">
        <f>IF($A302="","",$A302-WEEKDAY($A302,2)+1)</f>
        <v/>
      </c>
      <c r="AC302" s="86">
        <f>IF($A302="","",DATE(YEAR($A302),MONTH($A302),1))</f>
        <v/>
      </c>
      <c r="AD302" s="90">
        <f>IF($A302="","",IFERROR($K302/$J302,0))</f>
        <v/>
      </c>
      <c r="AE302" s="90">
        <f>IF($A302="","",IFERROR($L302/$J302,0))</f>
        <v/>
      </c>
      <c r="AF302" s="90">
        <f>IF($A302="","",IFERROR($M302/$J302,0))</f>
        <v/>
      </c>
      <c r="AG302" s="88">
        <f>IF($A302="","",$N302-$O302)</f>
        <v/>
      </c>
      <c r="AH302" s="90">
        <f>IF($A302="","",IFERROR($AG302/$N302,0))</f>
        <v/>
      </c>
      <c r="AI302" s="89">
        <f>IF($A302="","",IFERROR($K302/$P302,0))</f>
        <v/>
      </c>
      <c r="AJ302" s="90">
        <f>IF($A302="","",IFERROR($S302/$R302,0))</f>
        <v/>
      </c>
      <c r="AK302" s="90">
        <f>IF($A302="","",IFERROR($T302/$J302,0))</f>
        <v/>
      </c>
      <c r="AL302" s="26">
        <f>IF($A302="","",IF(AND($AD302&gt;='01_Settings'!$B$9,$V302&lt;='01_Settings'!$B$10,$W302&lt;='01_Settings'!$B$11),"On track","Off track"))</f>
        <v/>
      </c>
      <c r="AM302" s="42">
        <f>IF($A302="","",IF($AD302&lt;'01_Settings'!$B$9,"Low completion rate; ","")&amp;IF($AE302&gt;'01_Settings'!$B$12,"High overdue rate; ","")&amp;IF($U302&lt;'01_Settings'!$B$13,"Low satisfaction; ","")&amp;IF($AH302&lt;'01_Settings'!$B$14,"Low gross margin; ","")&amp;IF($AJ302&lt;'01_Settings'!$B$15,"Low conversion rate; ","")&amp;IF($AK302&gt;'01_Settings'!$B$16,"High complaint rate; ",""))</f>
        <v/>
      </c>
    </row>
    <row r="303" ht="18" customHeight="1">
      <c r="A303" s="86" t="n"/>
      <c r="B303" s="26" t="n"/>
      <c r="C303" s="26" t="n"/>
      <c r="D303" s="26" t="n"/>
      <c r="E303" s="26" t="n"/>
      <c r="F303" s="26" t="n"/>
      <c r="G303" s="26" t="n"/>
      <c r="H303" s="26" t="n"/>
      <c r="I303" s="26" t="n"/>
      <c r="J303" s="87" t="n"/>
      <c r="K303" s="87" t="n"/>
      <c r="L303" s="87" t="n"/>
      <c r="M303" s="87" t="n"/>
      <c r="N303" s="88" t="n"/>
      <c r="O303" s="88" t="n"/>
      <c r="P303" s="89" t="n"/>
      <c r="Q303" s="87" t="n"/>
      <c r="R303" s="87" t="n"/>
      <c r="S303" s="87" t="n"/>
      <c r="T303" s="87" t="n"/>
      <c r="U303" s="89" t="n"/>
      <c r="V303" s="89" t="n"/>
      <c r="W303" s="89" t="n"/>
      <c r="X303" s="87" t="n"/>
      <c r="Y303" s="87" t="n"/>
      <c r="Z303" s="88" t="n"/>
      <c r="AA303" s="26" t="n"/>
      <c r="AB303" s="86">
        <f>IF($A303="","",$A303-WEEKDAY($A303,2)+1)</f>
        <v/>
      </c>
      <c r="AC303" s="86">
        <f>IF($A303="","",DATE(YEAR($A303),MONTH($A303),1))</f>
        <v/>
      </c>
      <c r="AD303" s="90">
        <f>IF($A303="","",IFERROR($K303/$J303,0))</f>
        <v/>
      </c>
      <c r="AE303" s="90">
        <f>IF($A303="","",IFERROR($L303/$J303,0))</f>
        <v/>
      </c>
      <c r="AF303" s="90">
        <f>IF($A303="","",IFERROR($M303/$J303,0))</f>
        <v/>
      </c>
      <c r="AG303" s="88">
        <f>IF($A303="","",$N303-$O303)</f>
        <v/>
      </c>
      <c r="AH303" s="90">
        <f>IF($A303="","",IFERROR($AG303/$N303,0))</f>
        <v/>
      </c>
      <c r="AI303" s="89">
        <f>IF($A303="","",IFERROR($K303/$P303,0))</f>
        <v/>
      </c>
      <c r="AJ303" s="90">
        <f>IF($A303="","",IFERROR($S303/$R303,0))</f>
        <v/>
      </c>
      <c r="AK303" s="90">
        <f>IF($A303="","",IFERROR($T303/$J303,0))</f>
        <v/>
      </c>
      <c r="AL303" s="26">
        <f>IF($A303="","",IF(AND($AD303&gt;='01_Settings'!$B$9,$V303&lt;='01_Settings'!$B$10,$W303&lt;='01_Settings'!$B$11),"On track","Off track"))</f>
        <v/>
      </c>
      <c r="AM303" s="42">
        <f>IF($A303="","",IF($AD303&lt;'01_Settings'!$B$9,"Low completion rate; ","")&amp;IF($AE303&gt;'01_Settings'!$B$12,"High overdue rate; ","")&amp;IF($U303&lt;'01_Settings'!$B$13,"Low satisfaction; ","")&amp;IF($AH303&lt;'01_Settings'!$B$14,"Low gross margin; ","")&amp;IF($AJ303&lt;'01_Settings'!$B$15,"Low conversion rate; ","")&amp;IF($AK303&gt;'01_Settings'!$B$16,"High complaint rate; ",""))</f>
        <v/>
      </c>
    </row>
    <row r="304" ht="18" customHeight="1">
      <c r="A304" s="86" t="n"/>
      <c r="B304" s="26" t="n"/>
      <c r="C304" s="26" t="n"/>
      <c r="D304" s="26" t="n"/>
      <c r="E304" s="26" t="n"/>
      <c r="F304" s="26" t="n"/>
      <c r="G304" s="26" t="n"/>
      <c r="H304" s="26" t="n"/>
      <c r="I304" s="26" t="n"/>
      <c r="J304" s="87" t="n"/>
      <c r="K304" s="87" t="n"/>
      <c r="L304" s="87" t="n"/>
      <c r="M304" s="87" t="n"/>
      <c r="N304" s="88" t="n"/>
      <c r="O304" s="88" t="n"/>
      <c r="P304" s="89" t="n"/>
      <c r="Q304" s="87" t="n"/>
      <c r="R304" s="87" t="n"/>
      <c r="S304" s="87" t="n"/>
      <c r="T304" s="87" t="n"/>
      <c r="U304" s="89" t="n"/>
      <c r="V304" s="89" t="n"/>
      <c r="W304" s="89" t="n"/>
      <c r="X304" s="87" t="n"/>
      <c r="Y304" s="87" t="n"/>
      <c r="Z304" s="88" t="n"/>
      <c r="AA304" s="26" t="n"/>
      <c r="AB304" s="86">
        <f>IF($A304="","",$A304-WEEKDAY($A304,2)+1)</f>
        <v/>
      </c>
      <c r="AC304" s="86">
        <f>IF($A304="","",DATE(YEAR($A304),MONTH($A304),1))</f>
        <v/>
      </c>
      <c r="AD304" s="90">
        <f>IF($A304="","",IFERROR($K304/$J304,0))</f>
        <v/>
      </c>
      <c r="AE304" s="90">
        <f>IF($A304="","",IFERROR($L304/$J304,0))</f>
        <v/>
      </c>
      <c r="AF304" s="90">
        <f>IF($A304="","",IFERROR($M304/$J304,0))</f>
        <v/>
      </c>
      <c r="AG304" s="88">
        <f>IF($A304="","",$N304-$O304)</f>
        <v/>
      </c>
      <c r="AH304" s="90">
        <f>IF($A304="","",IFERROR($AG304/$N304,0))</f>
        <v/>
      </c>
      <c r="AI304" s="89">
        <f>IF($A304="","",IFERROR($K304/$P304,0))</f>
        <v/>
      </c>
      <c r="AJ304" s="90">
        <f>IF($A304="","",IFERROR($S304/$R304,0))</f>
        <v/>
      </c>
      <c r="AK304" s="90">
        <f>IF($A304="","",IFERROR($T304/$J304,0))</f>
        <v/>
      </c>
      <c r="AL304" s="26">
        <f>IF($A304="","",IF(AND($AD304&gt;='01_Settings'!$B$9,$V304&lt;='01_Settings'!$B$10,$W304&lt;='01_Settings'!$B$11),"On track","Off track"))</f>
        <v/>
      </c>
      <c r="AM304" s="42">
        <f>IF($A304="","",IF($AD304&lt;'01_Settings'!$B$9,"Low completion rate; ","")&amp;IF($AE304&gt;'01_Settings'!$B$12,"High overdue rate; ","")&amp;IF($U304&lt;'01_Settings'!$B$13,"Low satisfaction; ","")&amp;IF($AH304&lt;'01_Settings'!$B$14,"Low gross margin; ","")&amp;IF($AJ304&lt;'01_Settings'!$B$15,"Low conversion rate; ","")&amp;IF($AK304&gt;'01_Settings'!$B$16,"High complaint rate; ",""))</f>
        <v/>
      </c>
    </row>
    <row r="305" ht="18" customHeight="1">
      <c r="A305" s="86" t="n"/>
      <c r="B305" s="26" t="n"/>
      <c r="C305" s="26" t="n"/>
      <c r="D305" s="26" t="n"/>
      <c r="E305" s="26" t="n"/>
      <c r="F305" s="26" t="n"/>
      <c r="G305" s="26" t="n"/>
      <c r="H305" s="26" t="n"/>
      <c r="I305" s="26" t="n"/>
      <c r="J305" s="87" t="n"/>
      <c r="K305" s="87" t="n"/>
      <c r="L305" s="87" t="n"/>
      <c r="M305" s="87" t="n"/>
      <c r="N305" s="88" t="n"/>
      <c r="O305" s="88" t="n"/>
      <c r="P305" s="89" t="n"/>
      <c r="Q305" s="87" t="n"/>
      <c r="R305" s="87" t="n"/>
      <c r="S305" s="87" t="n"/>
      <c r="T305" s="87" t="n"/>
      <c r="U305" s="89" t="n"/>
      <c r="V305" s="89" t="n"/>
      <c r="W305" s="89" t="n"/>
      <c r="X305" s="87" t="n"/>
      <c r="Y305" s="87" t="n"/>
      <c r="Z305" s="88" t="n"/>
      <c r="AA305" s="26" t="n"/>
      <c r="AB305" s="86">
        <f>IF($A305="","",$A305-WEEKDAY($A305,2)+1)</f>
        <v/>
      </c>
      <c r="AC305" s="86">
        <f>IF($A305="","",DATE(YEAR($A305),MONTH($A305),1))</f>
        <v/>
      </c>
      <c r="AD305" s="90">
        <f>IF($A305="","",IFERROR($K305/$J305,0))</f>
        <v/>
      </c>
      <c r="AE305" s="90">
        <f>IF($A305="","",IFERROR($L305/$J305,0))</f>
        <v/>
      </c>
      <c r="AF305" s="90">
        <f>IF($A305="","",IFERROR($M305/$J305,0))</f>
        <v/>
      </c>
      <c r="AG305" s="88">
        <f>IF($A305="","",$N305-$O305)</f>
        <v/>
      </c>
      <c r="AH305" s="90">
        <f>IF($A305="","",IFERROR($AG305/$N305,0))</f>
        <v/>
      </c>
      <c r="AI305" s="89">
        <f>IF($A305="","",IFERROR($K305/$P305,0))</f>
        <v/>
      </c>
      <c r="AJ305" s="90">
        <f>IF($A305="","",IFERROR($S305/$R305,0))</f>
        <v/>
      </c>
      <c r="AK305" s="90">
        <f>IF($A305="","",IFERROR($T305/$J305,0))</f>
        <v/>
      </c>
      <c r="AL305" s="26">
        <f>IF($A305="","",IF(AND($AD305&gt;='01_Settings'!$B$9,$V305&lt;='01_Settings'!$B$10,$W305&lt;='01_Settings'!$B$11),"On track","Off track"))</f>
        <v/>
      </c>
      <c r="AM305" s="42">
        <f>IF($A305="","",IF($AD305&lt;'01_Settings'!$B$9,"Low completion rate; ","")&amp;IF($AE305&gt;'01_Settings'!$B$12,"High overdue rate; ","")&amp;IF($U305&lt;'01_Settings'!$B$13,"Low satisfaction; ","")&amp;IF($AH305&lt;'01_Settings'!$B$14,"Low gross margin; ","")&amp;IF($AJ305&lt;'01_Settings'!$B$15,"Low conversion rate; ","")&amp;IF($AK305&gt;'01_Settings'!$B$16,"High complaint rate; ",""))</f>
        <v/>
      </c>
    </row>
    <row r="306" ht="18" customHeight="1">
      <c r="A306" s="86" t="n"/>
      <c r="B306" s="26" t="n"/>
      <c r="C306" s="26" t="n"/>
      <c r="D306" s="26" t="n"/>
      <c r="E306" s="26" t="n"/>
      <c r="F306" s="26" t="n"/>
      <c r="G306" s="26" t="n"/>
      <c r="H306" s="26" t="n"/>
      <c r="I306" s="26" t="n"/>
      <c r="J306" s="87" t="n"/>
      <c r="K306" s="87" t="n"/>
      <c r="L306" s="87" t="n"/>
      <c r="M306" s="87" t="n"/>
      <c r="N306" s="88" t="n"/>
      <c r="O306" s="88" t="n"/>
      <c r="P306" s="89" t="n"/>
      <c r="Q306" s="87" t="n"/>
      <c r="R306" s="87" t="n"/>
      <c r="S306" s="87" t="n"/>
      <c r="T306" s="87" t="n"/>
      <c r="U306" s="89" t="n"/>
      <c r="V306" s="89" t="n"/>
      <c r="W306" s="89" t="n"/>
      <c r="X306" s="87" t="n"/>
      <c r="Y306" s="87" t="n"/>
      <c r="Z306" s="88" t="n"/>
      <c r="AA306" s="26" t="n"/>
      <c r="AB306" s="86">
        <f>IF($A306="","",$A306-WEEKDAY($A306,2)+1)</f>
        <v/>
      </c>
      <c r="AC306" s="86">
        <f>IF($A306="","",DATE(YEAR($A306),MONTH($A306),1))</f>
        <v/>
      </c>
      <c r="AD306" s="90">
        <f>IF($A306="","",IFERROR($K306/$J306,0))</f>
        <v/>
      </c>
      <c r="AE306" s="90">
        <f>IF($A306="","",IFERROR($L306/$J306,0))</f>
        <v/>
      </c>
      <c r="AF306" s="90">
        <f>IF($A306="","",IFERROR($M306/$J306,0))</f>
        <v/>
      </c>
      <c r="AG306" s="88">
        <f>IF($A306="","",$N306-$O306)</f>
        <v/>
      </c>
      <c r="AH306" s="90">
        <f>IF($A306="","",IFERROR($AG306/$N306,0))</f>
        <v/>
      </c>
      <c r="AI306" s="89">
        <f>IF($A306="","",IFERROR($K306/$P306,0))</f>
        <v/>
      </c>
      <c r="AJ306" s="90">
        <f>IF($A306="","",IFERROR($S306/$R306,0))</f>
        <v/>
      </c>
      <c r="AK306" s="90">
        <f>IF($A306="","",IFERROR($T306/$J306,0))</f>
        <v/>
      </c>
      <c r="AL306" s="26">
        <f>IF($A306="","",IF(AND($AD306&gt;='01_Settings'!$B$9,$V306&lt;='01_Settings'!$B$10,$W306&lt;='01_Settings'!$B$11),"On track","Off track"))</f>
        <v/>
      </c>
      <c r="AM306" s="42">
        <f>IF($A306="","",IF($AD306&lt;'01_Settings'!$B$9,"Low completion rate; ","")&amp;IF($AE306&gt;'01_Settings'!$B$12,"High overdue rate; ","")&amp;IF($U306&lt;'01_Settings'!$B$13,"Low satisfaction; ","")&amp;IF($AH306&lt;'01_Settings'!$B$14,"Low gross margin; ","")&amp;IF($AJ306&lt;'01_Settings'!$B$15,"Low conversion rate; ","")&amp;IF($AK306&gt;'01_Settings'!$B$16,"High complaint rate; ",""))</f>
        <v/>
      </c>
    </row>
    <row r="307" ht="18" customHeight="1">
      <c r="A307" s="86" t="n"/>
      <c r="B307" s="26" t="n"/>
      <c r="C307" s="26" t="n"/>
      <c r="D307" s="26" t="n"/>
      <c r="E307" s="26" t="n"/>
      <c r="F307" s="26" t="n"/>
      <c r="G307" s="26" t="n"/>
      <c r="H307" s="26" t="n"/>
      <c r="I307" s="26" t="n"/>
      <c r="J307" s="87" t="n"/>
      <c r="K307" s="87" t="n"/>
      <c r="L307" s="87" t="n"/>
      <c r="M307" s="87" t="n"/>
      <c r="N307" s="88" t="n"/>
      <c r="O307" s="88" t="n"/>
      <c r="P307" s="89" t="n"/>
      <c r="Q307" s="87" t="n"/>
      <c r="R307" s="87" t="n"/>
      <c r="S307" s="87" t="n"/>
      <c r="T307" s="87" t="n"/>
      <c r="U307" s="89" t="n"/>
      <c r="V307" s="89" t="n"/>
      <c r="W307" s="89" t="n"/>
      <c r="X307" s="87" t="n"/>
      <c r="Y307" s="87" t="n"/>
      <c r="Z307" s="88" t="n"/>
      <c r="AA307" s="26" t="n"/>
      <c r="AB307" s="86">
        <f>IF($A307="","",$A307-WEEKDAY($A307,2)+1)</f>
        <v/>
      </c>
      <c r="AC307" s="86">
        <f>IF($A307="","",DATE(YEAR($A307),MONTH($A307),1))</f>
        <v/>
      </c>
      <c r="AD307" s="90">
        <f>IF($A307="","",IFERROR($K307/$J307,0))</f>
        <v/>
      </c>
      <c r="AE307" s="90">
        <f>IF($A307="","",IFERROR($L307/$J307,0))</f>
        <v/>
      </c>
      <c r="AF307" s="90">
        <f>IF($A307="","",IFERROR($M307/$J307,0))</f>
        <v/>
      </c>
      <c r="AG307" s="88">
        <f>IF($A307="","",$N307-$O307)</f>
        <v/>
      </c>
      <c r="AH307" s="90">
        <f>IF($A307="","",IFERROR($AG307/$N307,0))</f>
        <v/>
      </c>
      <c r="AI307" s="89">
        <f>IF($A307="","",IFERROR($K307/$P307,0))</f>
        <v/>
      </c>
      <c r="AJ307" s="90">
        <f>IF($A307="","",IFERROR($S307/$R307,0))</f>
        <v/>
      </c>
      <c r="AK307" s="90">
        <f>IF($A307="","",IFERROR($T307/$J307,0))</f>
        <v/>
      </c>
      <c r="AL307" s="26">
        <f>IF($A307="","",IF(AND($AD307&gt;='01_Settings'!$B$9,$V307&lt;='01_Settings'!$B$10,$W307&lt;='01_Settings'!$B$11),"On track","Off track"))</f>
        <v/>
      </c>
      <c r="AM307" s="42">
        <f>IF($A307="","",IF($AD307&lt;'01_Settings'!$B$9,"Low completion rate; ","")&amp;IF($AE307&gt;'01_Settings'!$B$12,"High overdue rate; ","")&amp;IF($U307&lt;'01_Settings'!$B$13,"Low satisfaction; ","")&amp;IF($AH307&lt;'01_Settings'!$B$14,"Low gross margin; ","")&amp;IF($AJ307&lt;'01_Settings'!$B$15,"Low conversion rate; ","")&amp;IF($AK307&gt;'01_Settings'!$B$16,"High complaint rate; ",""))</f>
        <v/>
      </c>
    </row>
    <row r="308" ht="18" customHeight="1">
      <c r="A308" s="86" t="n"/>
      <c r="B308" s="26" t="n"/>
      <c r="C308" s="26" t="n"/>
      <c r="D308" s="26" t="n"/>
      <c r="E308" s="26" t="n"/>
      <c r="F308" s="26" t="n"/>
      <c r="G308" s="26" t="n"/>
      <c r="H308" s="26" t="n"/>
      <c r="I308" s="26" t="n"/>
      <c r="J308" s="87" t="n"/>
      <c r="K308" s="87" t="n"/>
      <c r="L308" s="87" t="n"/>
      <c r="M308" s="87" t="n"/>
      <c r="N308" s="88" t="n"/>
      <c r="O308" s="88" t="n"/>
      <c r="P308" s="89" t="n"/>
      <c r="Q308" s="87" t="n"/>
      <c r="R308" s="87" t="n"/>
      <c r="S308" s="87" t="n"/>
      <c r="T308" s="87" t="n"/>
      <c r="U308" s="89" t="n"/>
      <c r="V308" s="89" t="n"/>
      <c r="W308" s="89" t="n"/>
      <c r="X308" s="87" t="n"/>
      <c r="Y308" s="87" t="n"/>
      <c r="Z308" s="88" t="n"/>
      <c r="AA308" s="26" t="n"/>
      <c r="AB308" s="86">
        <f>IF($A308="","",$A308-WEEKDAY($A308,2)+1)</f>
        <v/>
      </c>
      <c r="AC308" s="86">
        <f>IF($A308="","",DATE(YEAR($A308),MONTH($A308),1))</f>
        <v/>
      </c>
      <c r="AD308" s="90">
        <f>IF($A308="","",IFERROR($K308/$J308,0))</f>
        <v/>
      </c>
      <c r="AE308" s="90">
        <f>IF($A308="","",IFERROR($L308/$J308,0))</f>
        <v/>
      </c>
      <c r="AF308" s="90">
        <f>IF($A308="","",IFERROR($M308/$J308,0))</f>
        <v/>
      </c>
      <c r="AG308" s="88">
        <f>IF($A308="","",$N308-$O308)</f>
        <v/>
      </c>
      <c r="AH308" s="90">
        <f>IF($A308="","",IFERROR($AG308/$N308,0))</f>
        <v/>
      </c>
      <c r="AI308" s="89">
        <f>IF($A308="","",IFERROR($K308/$P308,0))</f>
        <v/>
      </c>
      <c r="AJ308" s="90">
        <f>IF($A308="","",IFERROR($S308/$R308,0))</f>
        <v/>
      </c>
      <c r="AK308" s="90">
        <f>IF($A308="","",IFERROR($T308/$J308,0))</f>
        <v/>
      </c>
      <c r="AL308" s="26">
        <f>IF($A308="","",IF(AND($AD308&gt;='01_Settings'!$B$9,$V308&lt;='01_Settings'!$B$10,$W308&lt;='01_Settings'!$B$11),"On track","Off track"))</f>
        <v/>
      </c>
      <c r="AM308" s="42">
        <f>IF($A308="","",IF($AD308&lt;'01_Settings'!$B$9,"Low completion rate; ","")&amp;IF($AE308&gt;'01_Settings'!$B$12,"High overdue rate; ","")&amp;IF($U308&lt;'01_Settings'!$B$13,"Low satisfaction; ","")&amp;IF($AH308&lt;'01_Settings'!$B$14,"Low gross margin; ","")&amp;IF($AJ308&lt;'01_Settings'!$B$15,"Low conversion rate; ","")&amp;IF($AK308&gt;'01_Settings'!$B$16,"High complaint rate; ",""))</f>
        <v/>
      </c>
    </row>
    <row r="309" ht="18" customHeight="1">
      <c r="A309" s="86" t="n"/>
      <c r="B309" s="26" t="n"/>
      <c r="C309" s="26" t="n"/>
      <c r="D309" s="26" t="n"/>
      <c r="E309" s="26" t="n"/>
      <c r="F309" s="26" t="n"/>
      <c r="G309" s="26" t="n"/>
      <c r="H309" s="26" t="n"/>
      <c r="I309" s="26" t="n"/>
      <c r="J309" s="87" t="n"/>
      <c r="K309" s="87" t="n"/>
      <c r="L309" s="87" t="n"/>
      <c r="M309" s="87" t="n"/>
      <c r="N309" s="88" t="n"/>
      <c r="O309" s="88" t="n"/>
      <c r="P309" s="89" t="n"/>
      <c r="Q309" s="87" t="n"/>
      <c r="R309" s="87" t="n"/>
      <c r="S309" s="87" t="n"/>
      <c r="T309" s="87" t="n"/>
      <c r="U309" s="89" t="n"/>
      <c r="V309" s="89" t="n"/>
      <c r="W309" s="89" t="n"/>
      <c r="X309" s="87" t="n"/>
      <c r="Y309" s="87" t="n"/>
      <c r="Z309" s="88" t="n"/>
      <c r="AA309" s="26" t="n"/>
      <c r="AB309" s="86">
        <f>IF($A309="","",$A309-WEEKDAY($A309,2)+1)</f>
        <v/>
      </c>
      <c r="AC309" s="86">
        <f>IF($A309="","",DATE(YEAR($A309),MONTH($A309),1))</f>
        <v/>
      </c>
      <c r="AD309" s="90">
        <f>IF($A309="","",IFERROR($K309/$J309,0))</f>
        <v/>
      </c>
      <c r="AE309" s="90">
        <f>IF($A309="","",IFERROR($L309/$J309,0))</f>
        <v/>
      </c>
      <c r="AF309" s="90">
        <f>IF($A309="","",IFERROR($M309/$J309,0))</f>
        <v/>
      </c>
      <c r="AG309" s="88">
        <f>IF($A309="","",$N309-$O309)</f>
        <v/>
      </c>
      <c r="AH309" s="90">
        <f>IF($A309="","",IFERROR($AG309/$N309,0))</f>
        <v/>
      </c>
      <c r="AI309" s="89">
        <f>IF($A309="","",IFERROR($K309/$P309,0))</f>
        <v/>
      </c>
      <c r="AJ309" s="90">
        <f>IF($A309="","",IFERROR($S309/$R309,0))</f>
        <v/>
      </c>
      <c r="AK309" s="90">
        <f>IF($A309="","",IFERROR($T309/$J309,0))</f>
        <v/>
      </c>
      <c r="AL309" s="26">
        <f>IF($A309="","",IF(AND($AD309&gt;='01_Settings'!$B$9,$V309&lt;='01_Settings'!$B$10,$W309&lt;='01_Settings'!$B$11),"On track","Off track"))</f>
        <v/>
      </c>
      <c r="AM309" s="42">
        <f>IF($A309="","",IF($AD309&lt;'01_Settings'!$B$9,"Low completion rate; ","")&amp;IF($AE309&gt;'01_Settings'!$B$12,"High overdue rate; ","")&amp;IF($U309&lt;'01_Settings'!$B$13,"Low satisfaction; ","")&amp;IF($AH309&lt;'01_Settings'!$B$14,"Low gross margin; ","")&amp;IF($AJ309&lt;'01_Settings'!$B$15,"Low conversion rate; ","")&amp;IF($AK309&gt;'01_Settings'!$B$16,"High complaint rate; ",""))</f>
        <v/>
      </c>
    </row>
    <row r="310" ht="18" customHeight="1">
      <c r="A310" s="86" t="n"/>
      <c r="B310" s="26" t="n"/>
      <c r="C310" s="26" t="n"/>
      <c r="D310" s="26" t="n"/>
      <c r="E310" s="26" t="n"/>
      <c r="F310" s="26" t="n"/>
      <c r="G310" s="26" t="n"/>
      <c r="H310" s="26" t="n"/>
      <c r="I310" s="26" t="n"/>
      <c r="J310" s="87" t="n"/>
      <c r="K310" s="87" t="n"/>
      <c r="L310" s="87" t="n"/>
      <c r="M310" s="87" t="n"/>
      <c r="N310" s="88" t="n"/>
      <c r="O310" s="88" t="n"/>
      <c r="P310" s="89" t="n"/>
      <c r="Q310" s="87" t="n"/>
      <c r="R310" s="87" t="n"/>
      <c r="S310" s="87" t="n"/>
      <c r="T310" s="87" t="n"/>
      <c r="U310" s="89" t="n"/>
      <c r="V310" s="89" t="n"/>
      <c r="W310" s="89" t="n"/>
      <c r="X310" s="87" t="n"/>
      <c r="Y310" s="87" t="n"/>
      <c r="Z310" s="88" t="n"/>
      <c r="AA310" s="26" t="n"/>
      <c r="AB310" s="86">
        <f>IF($A310="","",$A310-WEEKDAY($A310,2)+1)</f>
        <v/>
      </c>
      <c r="AC310" s="86">
        <f>IF($A310="","",DATE(YEAR($A310),MONTH($A310),1))</f>
        <v/>
      </c>
      <c r="AD310" s="90">
        <f>IF($A310="","",IFERROR($K310/$J310,0))</f>
        <v/>
      </c>
      <c r="AE310" s="90">
        <f>IF($A310="","",IFERROR($L310/$J310,0))</f>
        <v/>
      </c>
      <c r="AF310" s="90">
        <f>IF($A310="","",IFERROR($M310/$J310,0))</f>
        <v/>
      </c>
      <c r="AG310" s="88">
        <f>IF($A310="","",$N310-$O310)</f>
        <v/>
      </c>
      <c r="AH310" s="90">
        <f>IF($A310="","",IFERROR($AG310/$N310,0))</f>
        <v/>
      </c>
      <c r="AI310" s="89">
        <f>IF($A310="","",IFERROR($K310/$P310,0))</f>
        <v/>
      </c>
      <c r="AJ310" s="90">
        <f>IF($A310="","",IFERROR($S310/$R310,0))</f>
        <v/>
      </c>
      <c r="AK310" s="90">
        <f>IF($A310="","",IFERROR($T310/$J310,0))</f>
        <v/>
      </c>
      <c r="AL310" s="26">
        <f>IF($A310="","",IF(AND($AD310&gt;='01_Settings'!$B$9,$V310&lt;='01_Settings'!$B$10,$W310&lt;='01_Settings'!$B$11),"On track","Off track"))</f>
        <v/>
      </c>
      <c r="AM310" s="42">
        <f>IF($A310="","",IF($AD310&lt;'01_Settings'!$B$9,"Low completion rate; ","")&amp;IF($AE310&gt;'01_Settings'!$B$12,"High overdue rate; ","")&amp;IF($U310&lt;'01_Settings'!$B$13,"Low satisfaction; ","")&amp;IF($AH310&lt;'01_Settings'!$B$14,"Low gross margin; ","")&amp;IF($AJ310&lt;'01_Settings'!$B$15,"Low conversion rate; ","")&amp;IF($AK310&gt;'01_Settings'!$B$16,"High complaint rate; ",""))</f>
        <v/>
      </c>
    </row>
    <row r="311" ht="18" customHeight="1">
      <c r="A311" s="86" t="n"/>
      <c r="B311" s="26" t="n"/>
      <c r="C311" s="26" t="n"/>
      <c r="D311" s="26" t="n"/>
      <c r="E311" s="26" t="n"/>
      <c r="F311" s="26" t="n"/>
      <c r="G311" s="26" t="n"/>
      <c r="H311" s="26" t="n"/>
      <c r="I311" s="26" t="n"/>
      <c r="J311" s="87" t="n"/>
      <c r="K311" s="87" t="n"/>
      <c r="L311" s="87" t="n"/>
      <c r="M311" s="87" t="n"/>
      <c r="N311" s="88" t="n"/>
      <c r="O311" s="88" t="n"/>
      <c r="P311" s="89" t="n"/>
      <c r="Q311" s="87" t="n"/>
      <c r="R311" s="87" t="n"/>
      <c r="S311" s="87" t="n"/>
      <c r="T311" s="87" t="n"/>
      <c r="U311" s="89" t="n"/>
      <c r="V311" s="89" t="n"/>
      <c r="W311" s="89" t="n"/>
      <c r="X311" s="87" t="n"/>
      <c r="Y311" s="87" t="n"/>
      <c r="Z311" s="88" t="n"/>
      <c r="AA311" s="26" t="n"/>
      <c r="AB311" s="86">
        <f>IF($A311="","",$A311-WEEKDAY($A311,2)+1)</f>
        <v/>
      </c>
      <c r="AC311" s="86">
        <f>IF($A311="","",DATE(YEAR($A311),MONTH($A311),1))</f>
        <v/>
      </c>
      <c r="AD311" s="90">
        <f>IF($A311="","",IFERROR($K311/$J311,0))</f>
        <v/>
      </c>
      <c r="AE311" s="90">
        <f>IF($A311="","",IFERROR($L311/$J311,0))</f>
        <v/>
      </c>
      <c r="AF311" s="90">
        <f>IF($A311="","",IFERROR($M311/$J311,0))</f>
        <v/>
      </c>
      <c r="AG311" s="88">
        <f>IF($A311="","",$N311-$O311)</f>
        <v/>
      </c>
      <c r="AH311" s="90">
        <f>IF($A311="","",IFERROR($AG311/$N311,0))</f>
        <v/>
      </c>
      <c r="AI311" s="89">
        <f>IF($A311="","",IFERROR($K311/$P311,0))</f>
        <v/>
      </c>
      <c r="AJ311" s="90">
        <f>IF($A311="","",IFERROR($S311/$R311,0))</f>
        <v/>
      </c>
      <c r="AK311" s="90">
        <f>IF($A311="","",IFERROR($T311/$J311,0))</f>
        <v/>
      </c>
      <c r="AL311" s="26">
        <f>IF($A311="","",IF(AND($AD311&gt;='01_Settings'!$B$9,$V311&lt;='01_Settings'!$B$10,$W311&lt;='01_Settings'!$B$11),"On track","Off track"))</f>
        <v/>
      </c>
      <c r="AM311" s="42">
        <f>IF($A311="","",IF($AD311&lt;'01_Settings'!$B$9,"Low completion rate; ","")&amp;IF($AE311&gt;'01_Settings'!$B$12,"High overdue rate; ","")&amp;IF($U311&lt;'01_Settings'!$B$13,"Low satisfaction; ","")&amp;IF($AH311&lt;'01_Settings'!$B$14,"Low gross margin; ","")&amp;IF($AJ311&lt;'01_Settings'!$B$15,"Low conversion rate; ","")&amp;IF($AK311&gt;'01_Settings'!$B$16,"High complaint rate; ",""))</f>
        <v/>
      </c>
    </row>
    <row r="312" ht="18" customHeight="1">
      <c r="A312" s="86" t="n"/>
      <c r="B312" s="26" t="n"/>
      <c r="C312" s="26" t="n"/>
      <c r="D312" s="26" t="n"/>
      <c r="E312" s="26" t="n"/>
      <c r="F312" s="26" t="n"/>
      <c r="G312" s="26" t="n"/>
      <c r="H312" s="26" t="n"/>
      <c r="I312" s="26" t="n"/>
      <c r="J312" s="87" t="n"/>
      <c r="K312" s="87" t="n"/>
      <c r="L312" s="87" t="n"/>
      <c r="M312" s="87" t="n"/>
      <c r="N312" s="88" t="n"/>
      <c r="O312" s="88" t="n"/>
      <c r="P312" s="89" t="n"/>
      <c r="Q312" s="87" t="n"/>
      <c r="R312" s="87" t="n"/>
      <c r="S312" s="87" t="n"/>
      <c r="T312" s="87" t="n"/>
      <c r="U312" s="89" t="n"/>
      <c r="V312" s="89" t="n"/>
      <c r="W312" s="89" t="n"/>
      <c r="X312" s="87" t="n"/>
      <c r="Y312" s="87" t="n"/>
      <c r="Z312" s="88" t="n"/>
      <c r="AA312" s="26" t="n"/>
      <c r="AB312" s="86">
        <f>IF($A312="","",$A312-WEEKDAY($A312,2)+1)</f>
        <v/>
      </c>
      <c r="AC312" s="86">
        <f>IF($A312="","",DATE(YEAR($A312),MONTH($A312),1))</f>
        <v/>
      </c>
      <c r="AD312" s="90">
        <f>IF($A312="","",IFERROR($K312/$J312,0))</f>
        <v/>
      </c>
      <c r="AE312" s="90">
        <f>IF($A312="","",IFERROR($L312/$J312,0))</f>
        <v/>
      </c>
      <c r="AF312" s="90">
        <f>IF($A312="","",IFERROR($M312/$J312,0))</f>
        <v/>
      </c>
      <c r="AG312" s="88">
        <f>IF($A312="","",$N312-$O312)</f>
        <v/>
      </c>
      <c r="AH312" s="90">
        <f>IF($A312="","",IFERROR($AG312/$N312,0))</f>
        <v/>
      </c>
      <c r="AI312" s="89">
        <f>IF($A312="","",IFERROR($K312/$P312,0))</f>
        <v/>
      </c>
      <c r="AJ312" s="90">
        <f>IF($A312="","",IFERROR($S312/$R312,0))</f>
        <v/>
      </c>
      <c r="AK312" s="90">
        <f>IF($A312="","",IFERROR($T312/$J312,0))</f>
        <v/>
      </c>
      <c r="AL312" s="26">
        <f>IF($A312="","",IF(AND($AD312&gt;='01_Settings'!$B$9,$V312&lt;='01_Settings'!$B$10,$W312&lt;='01_Settings'!$B$11),"On track","Off track"))</f>
        <v/>
      </c>
      <c r="AM312" s="42">
        <f>IF($A312="","",IF($AD312&lt;'01_Settings'!$B$9,"Low completion rate; ","")&amp;IF($AE312&gt;'01_Settings'!$B$12,"High overdue rate; ","")&amp;IF($U312&lt;'01_Settings'!$B$13,"Low satisfaction; ","")&amp;IF($AH312&lt;'01_Settings'!$B$14,"Low gross margin; ","")&amp;IF($AJ312&lt;'01_Settings'!$B$15,"Low conversion rate; ","")&amp;IF($AK312&gt;'01_Settings'!$B$16,"High complaint rate; ",""))</f>
        <v/>
      </c>
    </row>
    <row r="313" ht="18" customHeight="1">
      <c r="A313" s="86" t="n"/>
      <c r="B313" s="26" t="n"/>
      <c r="C313" s="26" t="n"/>
      <c r="D313" s="26" t="n"/>
      <c r="E313" s="26" t="n"/>
      <c r="F313" s="26" t="n"/>
      <c r="G313" s="26" t="n"/>
      <c r="H313" s="26" t="n"/>
      <c r="I313" s="26" t="n"/>
      <c r="J313" s="87" t="n"/>
      <c r="K313" s="87" t="n"/>
      <c r="L313" s="87" t="n"/>
      <c r="M313" s="87" t="n"/>
      <c r="N313" s="88" t="n"/>
      <c r="O313" s="88" t="n"/>
      <c r="P313" s="89" t="n"/>
      <c r="Q313" s="87" t="n"/>
      <c r="R313" s="87" t="n"/>
      <c r="S313" s="87" t="n"/>
      <c r="T313" s="87" t="n"/>
      <c r="U313" s="89" t="n"/>
      <c r="V313" s="89" t="n"/>
      <c r="W313" s="89" t="n"/>
      <c r="X313" s="87" t="n"/>
      <c r="Y313" s="87" t="n"/>
      <c r="Z313" s="88" t="n"/>
      <c r="AA313" s="26" t="n"/>
      <c r="AB313" s="86">
        <f>IF($A313="","",$A313-WEEKDAY($A313,2)+1)</f>
        <v/>
      </c>
      <c r="AC313" s="86">
        <f>IF($A313="","",DATE(YEAR($A313),MONTH($A313),1))</f>
        <v/>
      </c>
      <c r="AD313" s="90">
        <f>IF($A313="","",IFERROR($K313/$J313,0))</f>
        <v/>
      </c>
      <c r="AE313" s="90">
        <f>IF($A313="","",IFERROR($L313/$J313,0))</f>
        <v/>
      </c>
      <c r="AF313" s="90">
        <f>IF($A313="","",IFERROR($M313/$J313,0))</f>
        <v/>
      </c>
      <c r="AG313" s="88">
        <f>IF($A313="","",$N313-$O313)</f>
        <v/>
      </c>
      <c r="AH313" s="90">
        <f>IF($A313="","",IFERROR($AG313/$N313,0))</f>
        <v/>
      </c>
      <c r="AI313" s="89">
        <f>IF($A313="","",IFERROR($K313/$P313,0))</f>
        <v/>
      </c>
      <c r="AJ313" s="90">
        <f>IF($A313="","",IFERROR($S313/$R313,0))</f>
        <v/>
      </c>
      <c r="AK313" s="90">
        <f>IF($A313="","",IFERROR($T313/$J313,0))</f>
        <v/>
      </c>
      <c r="AL313" s="26">
        <f>IF($A313="","",IF(AND($AD313&gt;='01_Settings'!$B$9,$V313&lt;='01_Settings'!$B$10,$W313&lt;='01_Settings'!$B$11),"On track","Off track"))</f>
        <v/>
      </c>
      <c r="AM313" s="42">
        <f>IF($A313="","",IF($AD313&lt;'01_Settings'!$B$9,"Low completion rate; ","")&amp;IF($AE313&gt;'01_Settings'!$B$12,"High overdue rate; ","")&amp;IF($U313&lt;'01_Settings'!$B$13,"Low satisfaction; ","")&amp;IF($AH313&lt;'01_Settings'!$B$14,"Low gross margin; ","")&amp;IF($AJ313&lt;'01_Settings'!$B$15,"Low conversion rate; ","")&amp;IF($AK313&gt;'01_Settings'!$B$16,"High complaint rate; ",""))</f>
        <v/>
      </c>
    </row>
    <row r="314" ht="18" customHeight="1">
      <c r="A314" s="86" t="n"/>
      <c r="B314" s="26" t="n"/>
      <c r="C314" s="26" t="n"/>
      <c r="D314" s="26" t="n"/>
      <c r="E314" s="26" t="n"/>
      <c r="F314" s="26" t="n"/>
      <c r="G314" s="26" t="n"/>
      <c r="H314" s="26" t="n"/>
      <c r="I314" s="26" t="n"/>
      <c r="J314" s="87" t="n"/>
      <c r="K314" s="87" t="n"/>
      <c r="L314" s="87" t="n"/>
      <c r="M314" s="87" t="n"/>
      <c r="N314" s="88" t="n"/>
      <c r="O314" s="88" t="n"/>
      <c r="P314" s="89" t="n"/>
      <c r="Q314" s="87" t="n"/>
      <c r="R314" s="87" t="n"/>
      <c r="S314" s="87" t="n"/>
      <c r="T314" s="87" t="n"/>
      <c r="U314" s="89" t="n"/>
      <c r="V314" s="89" t="n"/>
      <c r="W314" s="89" t="n"/>
      <c r="X314" s="87" t="n"/>
      <c r="Y314" s="87" t="n"/>
      <c r="Z314" s="88" t="n"/>
      <c r="AA314" s="26" t="n"/>
      <c r="AB314" s="86">
        <f>IF($A314="","",$A314-WEEKDAY($A314,2)+1)</f>
        <v/>
      </c>
      <c r="AC314" s="86">
        <f>IF($A314="","",DATE(YEAR($A314),MONTH($A314),1))</f>
        <v/>
      </c>
      <c r="AD314" s="90">
        <f>IF($A314="","",IFERROR($K314/$J314,0))</f>
        <v/>
      </c>
      <c r="AE314" s="90">
        <f>IF($A314="","",IFERROR($L314/$J314,0))</f>
        <v/>
      </c>
      <c r="AF314" s="90">
        <f>IF($A314="","",IFERROR($M314/$J314,0))</f>
        <v/>
      </c>
      <c r="AG314" s="88">
        <f>IF($A314="","",$N314-$O314)</f>
        <v/>
      </c>
      <c r="AH314" s="90">
        <f>IF($A314="","",IFERROR($AG314/$N314,0))</f>
        <v/>
      </c>
      <c r="AI314" s="89">
        <f>IF($A314="","",IFERROR($K314/$P314,0))</f>
        <v/>
      </c>
      <c r="AJ314" s="90">
        <f>IF($A314="","",IFERROR($S314/$R314,0))</f>
        <v/>
      </c>
      <c r="AK314" s="90">
        <f>IF($A314="","",IFERROR($T314/$J314,0))</f>
        <v/>
      </c>
      <c r="AL314" s="26">
        <f>IF($A314="","",IF(AND($AD314&gt;='01_Settings'!$B$9,$V314&lt;='01_Settings'!$B$10,$W314&lt;='01_Settings'!$B$11),"On track","Off track"))</f>
        <v/>
      </c>
      <c r="AM314" s="42">
        <f>IF($A314="","",IF($AD314&lt;'01_Settings'!$B$9,"Low completion rate; ","")&amp;IF($AE314&gt;'01_Settings'!$B$12,"High overdue rate; ","")&amp;IF($U314&lt;'01_Settings'!$B$13,"Low satisfaction; ","")&amp;IF($AH314&lt;'01_Settings'!$B$14,"Low gross margin; ","")&amp;IF($AJ314&lt;'01_Settings'!$B$15,"Low conversion rate; ","")&amp;IF($AK314&gt;'01_Settings'!$B$16,"High complaint rate; ",""))</f>
        <v/>
      </c>
    </row>
    <row r="315" ht="18" customHeight="1">
      <c r="A315" s="86" t="n"/>
      <c r="B315" s="26" t="n"/>
      <c r="C315" s="26" t="n"/>
      <c r="D315" s="26" t="n"/>
      <c r="E315" s="26" t="n"/>
      <c r="F315" s="26" t="n"/>
      <c r="G315" s="26" t="n"/>
      <c r="H315" s="26" t="n"/>
      <c r="I315" s="26" t="n"/>
      <c r="J315" s="87" t="n"/>
      <c r="K315" s="87" t="n"/>
      <c r="L315" s="87" t="n"/>
      <c r="M315" s="87" t="n"/>
      <c r="N315" s="88" t="n"/>
      <c r="O315" s="88" t="n"/>
      <c r="P315" s="89" t="n"/>
      <c r="Q315" s="87" t="n"/>
      <c r="R315" s="87" t="n"/>
      <c r="S315" s="87" t="n"/>
      <c r="T315" s="87" t="n"/>
      <c r="U315" s="89" t="n"/>
      <c r="V315" s="89" t="n"/>
      <c r="W315" s="89" t="n"/>
      <c r="X315" s="87" t="n"/>
      <c r="Y315" s="87" t="n"/>
      <c r="Z315" s="88" t="n"/>
      <c r="AA315" s="26" t="n"/>
      <c r="AB315" s="86">
        <f>IF($A315="","",$A315-WEEKDAY($A315,2)+1)</f>
        <v/>
      </c>
      <c r="AC315" s="86">
        <f>IF($A315="","",DATE(YEAR($A315),MONTH($A315),1))</f>
        <v/>
      </c>
      <c r="AD315" s="90">
        <f>IF($A315="","",IFERROR($K315/$J315,0))</f>
        <v/>
      </c>
      <c r="AE315" s="90">
        <f>IF($A315="","",IFERROR($L315/$J315,0))</f>
        <v/>
      </c>
      <c r="AF315" s="90">
        <f>IF($A315="","",IFERROR($M315/$J315,0))</f>
        <v/>
      </c>
      <c r="AG315" s="88">
        <f>IF($A315="","",$N315-$O315)</f>
        <v/>
      </c>
      <c r="AH315" s="90">
        <f>IF($A315="","",IFERROR($AG315/$N315,0))</f>
        <v/>
      </c>
      <c r="AI315" s="89">
        <f>IF($A315="","",IFERROR($K315/$P315,0))</f>
        <v/>
      </c>
      <c r="AJ315" s="90">
        <f>IF($A315="","",IFERROR($S315/$R315,0))</f>
        <v/>
      </c>
      <c r="AK315" s="90">
        <f>IF($A315="","",IFERROR($T315/$J315,0))</f>
        <v/>
      </c>
      <c r="AL315" s="26">
        <f>IF($A315="","",IF(AND($AD315&gt;='01_Settings'!$B$9,$V315&lt;='01_Settings'!$B$10,$W315&lt;='01_Settings'!$B$11),"On track","Off track"))</f>
        <v/>
      </c>
      <c r="AM315" s="42">
        <f>IF($A315="","",IF($AD315&lt;'01_Settings'!$B$9,"Low completion rate; ","")&amp;IF($AE315&gt;'01_Settings'!$B$12,"High overdue rate; ","")&amp;IF($U315&lt;'01_Settings'!$B$13,"Low satisfaction; ","")&amp;IF($AH315&lt;'01_Settings'!$B$14,"Low gross margin; ","")&amp;IF($AJ315&lt;'01_Settings'!$B$15,"Low conversion rate; ","")&amp;IF($AK315&gt;'01_Settings'!$B$16,"High complaint rate; ",""))</f>
        <v/>
      </c>
    </row>
    <row r="316" ht="18" customHeight="1">
      <c r="A316" s="86" t="n"/>
      <c r="B316" s="26" t="n"/>
      <c r="C316" s="26" t="n"/>
      <c r="D316" s="26" t="n"/>
      <c r="E316" s="26" t="n"/>
      <c r="F316" s="26" t="n"/>
      <c r="G316" s="26" t="n"/>
      <c r="H316" s="26" t="n"/>
      <c r="I316" s="26" t="n"/>
      <c r="J316" s="87" t="n"/>
      <c r="K316" s="87" t="n"/>
      <c r="L316" s="87" t="n"/>
      <c r="M316" s="87" t="n"/>
      <c r="N316" s="88" t="n"/>
      <c r="O316" s="88" t="n"/>
      <c r="P316" s="89" t="n"/>
      <c r="Q316" s="87" t="n"/>
      <c r="R316" s="87" t="n"/>
      <c r="S316" s="87" t="n"/>
      <c r="T316" s="87" t="n"/>
      <c r="U316" s="89" t="n"/>
      <c r="V316" s="89" t="n"/>
      <c r="W316" s="89" t="n"/>
      <c r="X316" s="87" t="n"/>
      <c r="Y316" s="87" t="n"/>
      <c r="Z316" s="88" t="n"/>
      <c r="AA316" s="26" t="n"/>
      <c r="AB316" s="86">
        <f>IF($A316="","",$A316-WEEKDAY($A316,2)+1)</f>
        <v/>
      </c>
      <c r="AC316" s="86">
        <f>IF($A316="","",DATE(YEAR($A316),MONTH($A316),1))</f>
        <v/>
      </c>
      <c r="AD316" s="90">
        <f>IF($A316="","",IFERROR($K316/$J316,0))</f>
        <v/>
      </c>
      <c r="AE316" s="90">
        <f>IF($A316="","",IFERROR($L316/$J316,0))</f>
        <v/>
      </c>
      <c r="AF316" s="90">
        <f>IF($A316="","",IFERROR($M316/$J316,0))</f>
        <v/>
      </c>
      <c r="AG316" s="88">
        <f>IF($A316="","",$N316-$O316)</f>
        <v/>
      </c>
      <c r="AH316" s="90">
        <f>IF($A316="","",IFERROR($AG316/$N316,0))</f>
        <v/>
      </c>
      <c r="AI316" s="89">
        <f>IF($A316="","",IFERROR($K316/$P316,0))</f>
        <v/>
      </c>
      <c r="AJ316" s="90">
        <f>IF($A316="","",IFERROR($S316/$R316,0))</f>
        <v/>
      </c>
      <c r="AK316" s="90">
        <f>IF($A316="","",IFERROR($T316/$J316,0))</f>
        <v/>
      </c>
      <c r="AL316" s="26">
        <f>IF($A316="","",IF(AND($AD316&gt;='01_Settings'!$B$9,$V316&lt;='01_Settings'!$B$10,$W316&lt;='01_Settings'!$B$11),"On track","Off track"))</f>
        <v/>
      </c>
      <c r="AM316" s="42">
        <f>IF($A316="","",IF($AD316&lt;'01_Settings'!$B$9,"Low completion rate; ","")&amp;IF($AE316&gt;'01_Settings'!$B$12,"High overdue rate; ","")&amp;IF($U316&lt;'01_Settings'!$B$13,"Low satisfaction; ","")&amp;IF($AH316&lt;'01_Settings'!$B$14,"Low gross margin; ","")&amp;IF($AJ316&lt;'01_Settings'!$B$15,"Low conversion rate; ","")&amp;IF($AK316&gt;'01_Settings'!$B$16,"High complaint rate; ",""))</f>
        <v/>
      </c>
    </row>
    <row r="317" ht="18" customHeight="1">
      <c r="A317" s="86" t="n"/>
      <c r="B317" s="26" t="n"/>
      <c r="C317" s="26" t="n"/>
      <c r="D317" s="26" t="n"/>
      <c r="E317" s="26" t="n"/>
      <c r="F317" s="26" t="n"/>
      <c r="G317" s="26" t="n"/>
      <c r="H317" s="26" t="n"/>
      <c r="I317" s="26" t="n"/>
      <c r="J317" s="87" t="n"/>
      <c r="K317" s="87" t="n"/>
      <c r="L317" s="87" t="n"/>
      <c r="M317" s="87" t="n"/>
      <c r="N317" s="88" t="n"/>
      <c r="O317" s="88" t="n"/>
      <c r="P317" s="89" t="n"/>
      <c r="Q317" s="87" t="n"/>
      <c r="R317" s="87" t="n"/>
      <c r="S317" s="87" t="n"/>
      <c r="T317" s="87" t="n"/>
      <c r="U317" s="89" t="n"/>
      <c r="V317" s="89" t="n"/>
      <c r="W317" s="89" t="n"/>
      <c r="X317" s="87" t="n"/>
      <c r="Y317" s="87" t="n"/>
      <c r="Z317" s="88" t="n"/>
      <c r="AA317" s="26" t="n"/>
      <c r="AB317" s="86">
        <f>IF($A317="","",$A317-WEEKDAY($A317,2)+1)</f>
        <v/>
      </c>
      <c r="AC317" s="86">
        <f>IF($A317="","",DATE(YEAR($A317),MONTH($A317),1))</f>
        <v/>
      </c>
      <c r="AD317" s="90">
        <f>IF($A317="","",IFERROR($K317/$J317,0))</f>
        <v/>
      </c>
      <c r="AE317" s="90">
        <f>IF($A317="","",IFERROR($L317/$J317,0))</f>
        <v/>
      </c>
      <c r="AF317" s="90">
        <f>IF($A317="","",IFERROR($M317/$J317,0))</f>
        <v/>
      </c>
      <c r="AG317" s="88">
        <f>IF($A317="","",$N317-$O317)</f>
        <v/>
      </c>
      <c r="AH317" s="90">
        <f>IF($A317="","",IFERROR($AG317/$N317,0))</f>
        <v/>
      </c>
      <c r="AI317" s="89">
        <f>IF($A317="","",IFERROR($K317/$P317,0))</f>
        <v/>
      </c>
      <c r="AJ317" s="90">
        <f>IF($A317="","",IFERROR($S317/$R317,0))</f>
        <v/>
      </c>
      <c r="AK317" s="90">
        <f>IF($A317="","",IFERROR($T317/$J317,0))</f>
        <v/>
      </c>
      <c r="AL317" s="26">
        <f>IF($A317="","",IF(AND($AD317&gt;='01_Settings'!$B$9,$V317&lt;='01_Settings'!$B$10,$W317&lt;='01_Settings'!$B$11),"On track","Off track"))</f>
        <v/>
      </c>
      <c r="AM317" s="42">
        <f>IF($A317="","",IF($AD317&lt;'01_Settings'!$B$9,"Low completion rate; ","")&amp;IF($AE317&gt;'01_Settings'!$B$12,"High overdue rate; ","")&amp;IF($U317&lt;'01_Settings'!$B$13,"Low satisfaction; ","")&amp;IF($AH317&lt;'01_Settings'!$B$14,"Low gross margin; ","")&amp;IF($AJ317&lt;'01_Settings'!$B$15,"Low conversion rate; ","")&amp;IF($AK317&gt;'01_Settings'!$B$16,"High complaint rate; ",""))</f>
        <v/>
      </c>
    </row>
    <row r="318" ht="18" customHeight="1">
      <c r="A318" s="86" t="n"/>
      <c r="B318" s="26" t="n"/>
      <c r="C318" s="26" t="n"/>
      <c r="D318" s="26" t="n"/>
      <c r="E318" s="26" t="n"/>
      <c r="F318" s="26" t="n"/>
      <c r="G318" s="26" t="n"/>
      <c r="H318" s="26" t="n"/>
      <c r="I318" s="26" t="n"/>
      <c r="J318" s="87" t="n"/>
      <c r="K318" s="87" t="n"/>
      <c r="L318" s="87" t="n"/>
      <c r="M318" s="87" t="n"/>
      <c r="N318" s="88" t="n"/>
      <c r="O318" s="88" t="n"/>
      <c r="P318" s="89" t="n"/>
      <c r="Q318" s="87" t="n"/>
      <c r="R318" s="87" t="n"/>
      <c r="S318" s="87" t="n"/>
      <c r="T318" s="87" t="n"/>
      <c r="U318" s="89" t="n"/>
      <c r="V318" s="89" t="n"/>
      <c r="W318" s="89" t="n"/>
      <c r="X318" s="87" t="n"/>
      <c r="Y318" s="87" t="n"/>
      <c r="Z318" s="88" t="n"/>
      <c r="AA318" s="26" t="n"/>
      <c r="AB318" s="86">
        <f>IF($A318="","",$A318-WEEKDAY($A318,2)+1)</f>
        <v/>
      </c>
      <c r="AC318" s="86">
        <f>IF($A318="","",DATE(YEAR($A318),MONTH($A318),1))</f>
        <v/>
      </c>
      <c r="AD318" s="90">
        <f>IF($A318="","",IFERROR($K318/$J318,0))</f>
        <v/>
      </c>
      <c r="AE318" s="90">
        <f>IF($A318="","",IFERROR($L318/$J318,0))</f>
        <v/>
      </c>
      <c r="AF318" s="90">
        <f>IF($A318="","",IFERROR($M318/$J318,0))</f>
        <v/>
      </c>
      <c r="AG318" s="88">
        <f>IF($A318="","",$N318-$O318)</f>
        <v/>
      </c>
      <c r="AH318" s="90">
        <f>IF($A318="","",IFERROR($AG318/$N318,0))</f>
        <v/>
      </c>
      <c r="AI318" s="89">
        <f>IF($A318="","",IFERROR($K318/$P318,0))</f>
        <v/>
      </c>
      <c r="AJ318" s="90">
        <f>IF($A318="","",IFERROR($S318/$R318,0))</f>
        <v/>
      </c>
      <c r="AK318" s="90">
        <f>IF($A318="","",IFERROR($T318/$J318,0))</f>
        <v/>
      </c>
      <c r="AL318" s="26">
        <f>IF($A318="","",IF(AND($AD318&gt;='01_Settings'!$B$9,$V318&lt;='01_Settings'!$B$10,$W318&lt;='01_Settings'!$B$11),"On track","Off track"))</f>
        <v/>
      </c>
      <c r="AM318" s="42">
        <f>IF($A318="","",IF($AD318&lt;'01_Settings'!$B$9,"Low completion rate; ","")&amp;IF($AE318&gt;'01_Settings'!$B$12,"High overdue rate; ","")&amp;IF($U318&lt;'01_Settings'!$B$13,"Low satisfaction; ","")&amp;IF($AH318&lt;'01_Settings'!$B$14,"Low gross margin; ","")&amp;IF($AJ318&lt;'01_Settings'!$B$15,"Low conversion rate; ","")&amp;IF($AK318&gt;'01_Settings'!$B$16,"High complaint rate; ",""))</f>
        <v/>
      </c>
    </row>
    <row r="319" ht="18" customHeight="1">
      <c r="A319" s="86" t="n"/>
      <c r="B319" s="26" t="n"/>
      <c r="C319" s="26" t="n"/>
      <c r="D319" s="26" t="n"/>
      <c r="E319" s="26" t="n"/>
      <c r="F319" s="26" t="n"/>
      <c r="G319" s="26" t="n"/>
      <c r="H319" s="26" t="n"/>
      <c r="I319" s="26" t="n"/>
      <c r="J319" s="87" t="n"/>
      <c r="K319" s="87" t="n"/>
      <c r="L319" s="87" t="n"/>
      <c r="M319" s="87" t="n"/>
      <c r="N319" s="88" t="n"/>
      <c r="O319" s="88" t="n"/>
      <c r="P319" s="89" t="n"/>
      <c r="Q319" s="87" t="n"/>
      <c r="R319" s="87" t="n"/>
      <c r="S319" s="87" t="n"/>
      <c r="T319" s="87" t="n"/>
      <c r="U319" s="89" t="n"/>
      <c r="V319" s="89" t="n"/>
      <c r="W319" s="89" t="n"/>
      <c r="X319" s="87" t="n"/>
      <c r="Y319" s="87" t="n"/>
      <c r="Z319" s="88" t="n"/>
      <c r="AA319" s="26" t="n"/>
      <c r="AB319" s="86">
        <f>IF($A319="","",$A319-WEEKDAY($A319,2)+1)</f>
        <v/>
      </c>
      <c r="AC319" s="86">
        <f>IF($A319="","",DATE(YEAR($A319),MONTH($A319),1))</f>
        <v/>
      </c>
      <c r="AD319" s="90">
        <f>IF($A319="","",IFERROR($K319/$J319,0))</f>
        <v/>
      </c>
      <c r="AE319" s="90">
        <f>IF($A319="","",IFERROR($L319/$J319,0))</f>
        <v/>
      </c>
      <c r="AF319" s="90">
        <f>IF($A319="","",IFERROR($M319/$J319,0))</f>
        <v/>
      </c>
      <c r="AG319" s="88">
        <f>IF($A319="","",$N319-$O319)</f>
        <v/>
      </c>
      <c r="AH319" s="90">
        <f>IF($A319="","",IFERROR($AG319/$N319,0))</f>
        <v/>
      </c>
      <c r="AI319" s="89">
        <f>IF($A319="","",IFERROR($K319/$P319,0))</f>
        <v/>
      </c>
      <c r="AJ319" s="90">
        <f>IF($A319="","",IFERROR($S319/$R319,0))</f>
        <v/>
      </c>
      <c r="AK319" s="90">
        <f>IF($A319="","",IFERROR($T319/$J319,0))</f>
        <v/>
      </c>
      <c r="AL319" s="26">
        <f>IF($A319="","",IF(AND($AD319&gt;='01_Settings'!$B$9,$V319&lt;='01_Settings'!$B$10,$W319&lt;='01_Settings'!$B$11),"On track","Off track"))</f>
        <v/>
      </c>
      <c r="AM319" s="42">
        <f>IF($A319="","",IF($AD319&lt;'01_Settings'!$B$9,"Low completion rate; ","")&amp;IF($AE319&gt;'01_Settings'!$B$12,"High overdue rate; ","")&amp;IF($U319&lt;'01_Settings'!$B$13,"Low satisfaction; ","")&amp;IF($AH319&lt;'01_Settings'!$B$14,"Low gross margin; ","")&amp;IF($AJ319&lt;'01_Settings'!$B$15,"Low conversion rate; ","")&amp;IF($AK319&gt;'01_Settings'!$B$16,"High complaint rate; ",""))</f>
        <v/>
      </c>
    </row>
    <row r="320" ht="18" customHeight="1">
      <c r="A320" s="86" t="n"/>
      <c r="B320" s="26" t="n"/>
      <c r="C320" s="26" t="n"/>
      <c r="D320" s="26" t="n"/>
      <c r="E320" s="26" t="n"/>
      <c r="F320" s="26" t="n"/>
      <c r="G320" s="26" t="n"/>
      <c r="H320" s="26" t="n"/>
      <c r="I320" s="26" t="n"/>
      <c r="J320" s="87" t="n"/>
      <c r="K320" s="87" t="n"/>
      <c r="L320" s="87" t="n"/>
      <c r="M320" s="87" t="n"/>
      <c r="N320" s="88" t="n"/>
      <c r="O320" s="88" t="n"/>
      <c r="P320" s="89" t="n"/>
      <c r="Q320" s="87" t="n"/>
      <c r="R320" s="87" t="n"/>
      <c r="S320" s="87" t="n"/>
      <c r="T320" s="87" t="n"/>
      <c r="U320" s="89" t="n"/>
      <c r="V320" s="89" t="n"/>
      <c r="W320" s="89" t="n"/>
      <c r="X320" s="87" t="n"/>
      <c r="Y320" s="87" t="n"/>
      <c r="Z320" s="88" t="n"/>
      <c r="AA320" s="26" t="n"/>
      <c r="AB320" s="86">
        <f>IF($A320="","",$A320-WEEKDAY($A320,2)+1)</f>
        <v/>
      </c>
      <c r="AC320" s="86">
        <f>IF($A320="","",DATE(YEAR($A320),MONTH($A320),1))</f>
        <v/>
      </c>
      <c r="AD320" s="90">
        <f>IF($A320="","",IFERROR($K320/$J320,0))</f>
        <v/>
      </c>
      <c r="AE320" s="90">
        <f>IF($A320="","",IFERROR($L320/$J320,0))</f>
        <v/>
      </c>
      <c r="AF320" s="90">
        <f>IF($A320="","",IFERROR($M320/$J320,0))</f>
        <v/>
      </c>
      <c r="AG320" s="88">
        <f>IF($A320="","",$N320-$O320)</f>
        <v/>
      </c>
      <c r="AH320" s="90">
        <f>IF($A320="","",IFERROR($AG320/$N320,0))</f>
        <v/>
      </c>
      <c r="AI320" s="89">
        <f>IF($A320="","",IFERROR($K320/$P320,0))</f>
        <v/>
      </c>
      <c r="AJ320" s="90">
        <f>IF($A320="","",IFERROR($S320/$R320,0))</f>
        <v/>
      </c>
      <c r="AK320" s="90">
        <f>IF($A320="","",IFERROR($T320/$J320,0))</f>
        <v/>
      </c>
      <c r="AL320" s="26">
        <f>IF($A320="","",IF(AND($AD320&gt;='01_Settings'!$B$9,$V320&lt;='01_Settings'!$B$10,$W320&lt;='01_Settings'!$B$11),"On track","Off track"))</f>
        <v/>
      </c>
      <c r="AM320" s="42">
        <f>IF($A320="","",IF($AD320&lt;'01_Settings'!$B$9,"Low completion rate; ","")&amp;IF($AE320&gt;'01_Settings'!$B$12,"High overdue rate; ","")&amp;IF($U320&lt;'01_Settings'!$B$13,"Low satisfaction; ","")&amp;IF($AH320&lt;'01_Settings'!$B$14,"Low gross margin; ","")&amp;IF($AJ320&lt;'01_Settings'!$B$15,"Low conversion rate; ","")&amp;IF($AK320&gt;'01_Settings'!$B$16,"High complaint rate; ",""))</f>
        <v/>
      </c>
    </row>
    <row r="321" ht="18" customHeight="1">
      <c r="A321" s="86" t="n"/>
      <c r="B321" s="26" t="n"/>
      <c r="C321" s="26" t="n"/>
      <c r="D321" s="26" t="n"/>
      <c r="E321" s="26" t="n"/>
      <c r="F321" s="26" t="n"/>
      <c r="G321" s="26" t="n"/>
      <c r="H321" s="26" t="n"/>
      <c r="I321" s="26" t="n"/>
      <c r="J321" s="87" t="n"/>
      <c r="K321" s="87" t="n"/>
      <c r="L321" s="87" t="n"/>
      <c r="M321" s="87" t="n"/>
      <c r="N321" s="88" t="n"/>
      <c r="O321" s="88" t="n"/>
      <c r="P321" s="89" t="n"/>
      <c r="Q321" s="87" t="n"/>
      <c r="R321" s="87" t="n"/>
      <c r="S321" s="87" t="n"/>
      <c r="T321" s="87" t="n"/>
      <c r="U321" s="89" t="n"/>
      <c r="V321" s="89" t="n"/>
      <c r="W321" s="89" t="n"/>
      <c r="X321" s="87" t="n"/>
      <c r="Y321" s="87" t="n"/>
      <c r="Z321" s="88" t="n"/>
      <c r="AA321" s="26" t="n"/>
      <c r="AB321" s="86">
        <f>IF($A321="","",$A321-WEEKDAY($A321,2)+1)</f>
        <v/>
      </c>
      <c r="AC321" s="86">
        <f>IF($A321="","",DATE(YEAR($A321),MONTH($A321),1))</f>
        <v/>
      </c>
      <c r="AD321" s="90">
        <f>IF($A321="","",IFERROR($K321/$J321,0))</f>
        <v/>
      </c>
      <c r="AE321" s="90">
        <f>IF($A321="","",IFERROR($L321/$J321,0))</f>
        <v/>
      </c>
      <c r="AF321" s="90">
        <f>IF($A321="","",IFERROR($M321/$J321,0))</f>
        <v/>
      </c>
      <c r="AG321" s="88">
        <f>IF($A321="","",$N321-$O321)</f>
        <v/>
      </c>
      <c r="AH321" s="90">
        <f>IF($A321="","",IFERROR($AG321/$N321,0))</f>
        <v/>
      </c>
      <c r="AI321" s="89">
        <f>IF($A321="","",IFERROR($K321/$P321,0))</f>
        <v/>
      </c>
      <c r="AJ321" s="90">
        <f>IF($A321="","",IFERROR($S321/$R321,0))</f>
        <v/>
      </c>
      <c r="AK321" s="90">
        <f>IF($A321="","",IFERROR($T321/$J321,0))</f>
        <v/>
      </c>
      <c r="AL321" s="26">
        <f>IF($A321="","",IF(AND($AD321&gt;='01_Settings'!$B$9,$V321&lt;='01_Settings'!$B$10,$W321&lt;='01_Settings'!$B$11),"On track","Off track"))</f>
        <v/>
      </c>
      <c r="AM321" s="42">
        <f>IF($A321="","",IF($AD321&lt;'01_Settings'!$B$9,"Low completion rate; ","")&amp;IF($AE321&gt;'01_Settings'!$B$12,"High overdue rate; ","")&amp;IF($U321&lt;'01_Settings'!$B$13,"Low satisfaction; ","")&amp;IF($AH321&lt;'01_Settings'!$B$14,"Low gross margin; ","")&amp;IF($AJ321&lt;'01_Settings'!$B$15,"Low conversion rate; ","")&amp;IF($AK321&gt;'01_Settings'!$B$16,"High complaint rate; ",""))</f>
        <v/>
      </c>
    </row>
    <row r="322" ht="18" customHeight="1">
      <c r="A322" s="86" t="n"/>
      <c r="B322" s="26" t="n"/>
      <c r="C322" s="26" t="n"/>
      <c r="D322" s="26" t="n"/>
      <c r="E322" s="26" t="n"/>
      <c r="F322" s="26" t="n"/>
      <c r="G322" s="26" t="n"/>
      <c r="H322" s="26" t="n"/>
      <c r="I322" s="26" t="n"/>
      <c r="J322" s="87" t="n"/>
      <c r="K322" s="87" t="n"/>
      <c r="L322" s="87" t="n"/>
      <c r="M322" s="87" t="n"/>
      <c r="N322" s="88" t="n"/>
      <c r="O322" s="88" t="n"/>
      <c r="P322" s="89" t="n"/>
      <c r="Q322" s="87" t="n"/>
      <c r="R322" s="87" t="n"/>
      <c r="S322" s="87" t="n"/>
      <c r="T322" s="87" t="n"/>
      <c r="U322" s="89" t="n"/>
      <c r="V322" s="89" t="n"/>
      <c r="W322" s="89" t="n"/>
      <c r="X322" s="87" t="n"/>
      <c r="Y322" s="87" t="n"/>
      <c r="Z322" s="88" t="n"/>
      <c r="AA322" s="26" t="n"/>
      <c r="AB322" s="86">
        <f>IF($A322="","",$A322-WEEKDAY($A322,2)+1)</f>
        <v/>
      </c>
      <c r="AC322" s="86">
        <f>IF($A322="","",DATE(YEAR($A322),MONTH($A322),1))</f>
        <v/>
      </c>
      <c r="AD322" s="90">
        <f>IF($A322="","",IFERROR($K322/$J322,0))</f>
        <v/>
      </c>
      <c r="AE322" s="90">
        <f>IF($A322="","",IFERROR($L322/$J322,0))</f>
        <v/>
      </c>
      <c r="AF322" s="90">
        <f>IF($A322="","",IFERROR($M322/$J322,0))</f>
        <v/>
      </c>
      <c r="AG322" s="88">
        <f>IF($A322="","",$N322-$O322)</f>
        <v/>
      </c>
      <c r="AH322" s="90">
        <f>IF($A322="","",IFERROR($AG322/$N322,0))</f>
        <v/>
      </c>
      <c r="AI322" s="89">
        <f>IF($A322="","",IFERROR($K322/$P322,0))</f>
        <v/>
      </c>
      <c r="AJ322" s="90">
        <f>IF($A322="","",IFERROR($S322/$R322,0))</f>
        <v/>
      </c>
      <c r="AK322" s="90">
        <f>IF($A322="","",IFERROR($T322/$J322,0))</f>
        <v/>
      </c>
      <c r="AL322" s="26">
        <f>IF($A322="","",IF(AND($AD322&gt;='01_Settings'!$B$9,$V322&lt;='01_Settings'!$B$10,$W322&lt;='01_Settings'!$B$11),"On track","Off track"))</f>
        <v/>
      </c>
      <c r="AM322" s="42">
        <f>IF($A322="","",IF($AD322&lt;'01_Settings'!$B$9,"Low completion rate; ","")&amp;IF($AE322&gt;'01_Settings'!$B$12,"High overdue rate; ","")&amp;IF($U322&lt;'01_Settings'!$B$13,"Low satisfaction; ","")&amp;IF($AH322&lt;'01_Settings'!$B$14,"Low gross margin; ","")&amp;IF($AJ322&lt;'01_Settings'!$B$15,"Low conversion rate; ","")&amp;IF($AK322&gt;'01_Settings'!$B$16,"High complaint rate; ",""))</f>
        <v/>
      </c>
    </row>
    <row r="323" ht="18" customHeight="1">
      <c r="A323" s="86" t="n"/>
      <c r="B323" s="26" t="n"/>
      <c r="C323" s="26" t="n"/>
      <c r="D323" s="26" t="n"/>
      <c r="E323" s="26" t="n"/>
      <c r="F323" s="26" t="n"/>
      <c r="G323" s="26" t="n"/>
      <c r="H323" s="26" t="n"/>
      <c r="I323" s="26" t="n"/>
      <c r="J323" s="87" t="n"/>
      <c r="K323" s="87" t="n"/>
      <c r="L323" s="87" t="n"/>
      <c r="M323" s="87" t="n"/>
      <c r="N323" s="88" t="n"/>
      <c r="O323" s="88" t="n"/>
      <c r="P323" s="89" t="n"/>
      <c r="Q323" s="87" t="n"/>
      <c r="R323" s="87" t="n"/>
      <c r="S323" s="87" t="n"/>
      <c r="T323" s="87" t="n"/>
      <c r="U323" s="89" t="n"/>
      <c r="V323" s="89" t="n"/>
      <c r="W323" s="89" t="n"/>
      <c r="X323" s="87" t="n"/>
      <c r="Y323" s="87" t="n"/>
      <c r="Z323" s="88" t="n"/>
      <c r="AA323" s="26" t="n"/>
      <c r="AB323" s="86">
        <f>IF($A323="","",$A323-WEEKDAY($A323,2)+1)</f>
        <v/>
      </c>
      <c r="AC323" s="86">
        <f>IF($A323="","",DATE(YEAR($A323),MONTH($A323),1))</f>
        <v/>
      </c>
      <c r="AD323" s="90">
        <f>IF($A323="","",IFERROR($K323/$J323,0))</f>
        <v/>
      </c>
      <c r="AE323" s="90">
        <f>IF($A323="","",IFERROR($L323/$J323,0))</f>
        <v/>
      </c>
      <c r="AF323" s="90">
        <f>IF($A323="","",IFERROR($M323/$J323,0))</f>
        <v/>
      </c>
      <c r="AG323" s="88">
        <f>IF($A323="","",$N323-$O323)</f>
        <v/>
      </c>
      <c r="AH323" s="90">
        <f>IF($A323="","",IFERROR($AG323/$N323,0))</f>
        <v/>
      </c>
      <c r="AI323" s="89">
        <f>IF($A323="","",IFERROR($K323/$P323,0))</f>
        <v/>
      </c>
      <c r="AJ323" s="90">
        <f>IF($A323="","",IFERROR($S323/$R323,0))</f>
        <v/>
      </c>
      <c r="AK323" s="90">
        <f>IF($A323="","",IFERROR($T323/$J323,0))</f>
        <v/>
      </c>
      <c r="AL323" s="26">
        <f>IF($A323="","",IF(AND($AD323&gt;='01_Settings'!$B$9,$V323&lt;='01_Settings'!$B$10,$W323&lt;='01_Settings'!$B$11),"On track","Off track"))</f>
        <v/>
      </c>
      <c r="AM323" s="42">
        <f>IF($A323="","",IF($AD323&lt;'01_Settings'!$B$9,"Low completion rate; ","")&amp;IF($AE323&gt;'01_Settings'!$B$12,"High overdue rate; ","")&amp;IF($U323&lt;'01_Settings'!$B$13,"Low satisfaction; ","")&amp;IF($AH323&lt;'01_Settings'!$B$14,"Low gross margin; ","")&amp;IF($AJ323&lt;'01_Settings'!$B$15,"Low conversion rate; ","")&amp;IF($AK323&gt;'01_Settings'!$B$16,"High complaint rate; ",""))</f>
        <v/>
      </c>
    </row>
    <row r="324" ht="18" customHeight="1">
      <c r="A324" s="86" t="n"/>
      <c r="B324" s="26" t="n"/>
      <c r="C324" s="26" t="n"/>
      <c r="D324" s="26" t="n"/>
      <c r="E324" s="26" t="n"/>
      <c r="F324" s="26" t="n"/>
      <c r="G324" s="26" t="n"/>
      <c r="H324" s="26" t="n"/>
      <c r="I324" s="26" t="n"/>
      <c r="J324" s="87" t="n"/>
      <c r="K324" s="87" t="n"/>
      <c r="L324" s="87" t="n"/>
      <c r="M324" s="87" t="n"/>
      <c r="N324" s="88" t="n"/>
      <c r="O324" s="88" t="n"/>
      <c r="P324" s="89" t="n"/>
      <c r="Q324" s="87" t="n"/>
      <c r="R324" s="87" t="n"/>
      <c r="S324" s="87" t="n"/>
      <c r="T324" s="87" t="n"/>
      <c r="U324" s="89" t="n"/>
      <c r="V324" s="89" t="n"/>
      <c r="W324" s="89" t="n"/>
      <c r="X324" s="87" t="n"/>
      <c r="Y324" s="87" t="n"/>
      <c r="Z324" s="88" t="n"/>
      <c r="AA324" s="26" t="n"/>
      <c r="AB324" s="86">
        <f>IF($A324="","",$A324-WEEKDAY($A324,2)+1)</f>
        <v/>
      </c>
      <c r="AC324" s="86">
        <f>IF($A324="","",DATE(YEAR($A324),MONTH($A324),1))</f>
        <v/>
      </c>
      <c r="AD324" s="90">
        <f>IF($A324="","",IFERROR($K324/$J324,0))</f>
        <v/>
      </c>
      <c r="AE324" s="90">
        <f>IF($A324="","",IFERROR($L324/$J324,0))</f>
        <v/>
      </c>
      <c r="AF324" s="90">
        <f>IF($A324="","",IFERROR($M324/$J324,0))</f>
        <v/>
      </c>
      <c r="AG324" s="88">
        <f>IF($A324="","",$N324-$O324)</f>
        <v/>
      </c>
      <c r="AH324" s="90">
        <f>IF($A324="","",IFERROR($AG324/$N324,0))</f>
        <v/>
      </c>
      <c r="AI324" s="89">
        <f>IF($A324="","",IFERROR($K324/$P324,0))</f>
        <v/>
      </c>
      <c r="AJ324" s="90">
        <f>IF($A324="","",IFERROR($S324/$R324,0))</f>
        <v/>
      </c>
      <c r="AK324" s="90">
        <f>IF($A324="","",IFERROR($T324/$J324,0))</f>
        <v/>
      </c>
      <c r="AL324" s="26">
        <f>IF($A324="","",IF(AND($AD324&gt;='01_Settings'!$B$9,$V324&lt;='01_Settings'!$B$10,$W324&lt;='01_Settings'!$B$11),"On track","Off track"))</f>
        <v/>
      </c>
      <c r="AM324" s="42">
        <f>IF($A324="","",IF($AD324&lt;'01_Settings'!$B$9,"Low completion rate; ","")&amp;IF($AE324&gt;'01_Settings'!$B$12,"High overdue rate; ","")&amp;IF($U324&lt;'01_Settings'!$B$13,"Low satisfaction; ","")&amp;IF($AH324&lt;'01_Settings'!$B$14,"Low gross margin; ","")&amp;IF($AJ324&lt;'01_Settings'!$B$15,"Low conversion rate; ","")&amp;IF($AK324&gt;'01_Settings'!$B$16,"High complaint rate; ",""))</f>
        <v/>
      </c>
    </row>
    <row r="325" ht="18" customHeight="1">
      <c r="A325" s="86" t="n"/>
      <c r="B325" s="26" t="n"/>
      <c r="C325" s="26" t="n"/>
      <c r="D325" s="26" t="n"/>
      <c r="E325" s="26" t="n"/>
      <c r="F325" s="26" t="n"/>
      <c r="G325" s="26" t="n"/>
      <c r="H325" s="26" t="n"/>
      <c r="I325" s="26" t="n"/>
      <c r="J325" s="87" t="n"/>
      <c r="K325" s="87" t="n"/>
      <c r="L325" s="87" t="n"/>
      <c r="M325" s="87" t="n"/>
      <c r="N325" s="88" t="n"/>
      <c r="O325" s="88" t="n"/>
      <c r="P325" s="89" t="n"/>
      <c r="Q325" s="87" t="n"/>
      <c r="R325" s="87" t="n"/>
      <c r="S325" s="87" t="n"/>
      <c r="T325" s="87" t="n"/>
      <c r="U325" s="89" t="n"/>
      <c r="V325" s="89" t="n"/>
      <c r="W325" s="89" t="n"/>
      <c r="X325" s="87" t="n"/>
      <c r="Y325" s="87" t="n"/>
      <c r="Z325" s="88" t="n"/>
      <c r="AA325" s="26" t="n"/>
      <c r="AB325" s="86">
        <f>IF($A325="","",$A325-WEEKDAY($A325,2)+1)</f>
        <v/>
      </c>
      <c r="AC325" s="86">
        <f>IF($A325="","",DATE(YEAR($A325),MONTH($A325),1))</f>
        <v/>
      </c>
      <c r="AD325" s="90">
        <f>IF($A325="","",IFERROR($K325/$J325,0))</f>
        <v/>
      </c>
      <c r="AE325" s="90">
        <f>IF($A325="","",IFERROR($L325/$J325,0))</f>
        <v/>
      </c>
      <c r="AF325" s="90">
        <f>IF($A325="","",IFERROR($M325/$J325,0))</f>
        <v/>
      </c>
      <c r="AG325" s="88">
        <f>IF($A325="","",$N325-$O325)</f>
        <v/>
      </c>
      <c r="AH325" s="90">
        <f>IF($A325="","",IFERROR($AG325/$N325,0))</f>
        <v/>
      </c>
      <c r="AI325" s="89">
        <f>IF($A325="","",IFERROR($K325/$P325,0))</f>
        <v/>
      </c>
      <c r="AJ325" s="90">
        <f>IF($A325="","",IFERROR($S325/$R325,0))</f>
        <v/>
      </c>
      <c r="AK325" s="90">
        <f>IF($A325="","",IFERROR($T325/$J325,0))</f>
        <v/>
      </c>
      <c r="AL325" s="26">
        <f>IF($A325="","",IF(AND($AD325&gt;='01_Settings'!$B$9,$V325&lt;='01_Settings'!$B$10,$W325&lt;='01_Settings'!$B$11),"On track","Off track"))</f>
        <v/>
      </c>
      <c r="AM325" s="42">
        <f>IF($A325="","",IF($AD325&lt;'01_Settings'!$B$9,"Low completion rate; ","")&amp;IF($AE325&gt;'01_Settings'!$B$12,"High overdue rate; ","")&amp;IF($U325&lt;'01_Settings'!$B$13,"Low satisfaction; ","")&amp;IF($AH325&lt;'01_Settings'!$B$14,"Low gross margin; ","")&amp;IF($AJ325&lt;'01_Settings'!$B$15,"Low conversion rate; ","")&amp;IF($AK325&gt;'01_Settings'!$B$16,"High complaint rate; ",""))</f>
        <v/>
      </c>
    </row>
    <row r="326" ht="18" customHeight="1">
      <c r="A326" s="86" t="n"/>
      <c r="B326" s="26" t="n"/>
      <c r="C326" s="26" t="n"/>
      <c r="D326" s="26" t="n"/>
      <c r="E326" s="26" t="n"/>
      <c r="F326" s="26" t="n"/>
      <c r="G326" s="26" t="n"/>
      <c r="H326" s="26" t="n"/>
      <c r="I326" s="26" t="n"/>
      <c r="J326" s="87" t="n"/>
      <c r="K326" s="87" t="n"/>
      <c r="L326" s="87" t="n"/>
      <c r="M326" s="87" t="n"/>
      <c r="N326" s="88" t="n"/>
      <c r="O326" s="88" t="n"/>
      <c r="P326" s="89" t="n"/>
      <c r="Q326" s="87" t="n"/>
      <c r="R326" s="87" t="n"/>
      <c r="S326" s="87" t="n"/>
      <c r="T326" s="87" t="n"/>
      <c r="U326" s="89" t="n"/>
      <c r="V326" s="89" t="n"/>
      <c r="W326" s="89" t="n"/>
      <c r="X326" s="87" t="n"/>
      <c r="Y326" s="87" t="n"/>
      <c r="Z326" s="88" t="n"/>
      <c r="AA326" s="26" t="n"/>
      <c r="AB326" s="86">
        <f>IF($A326="","",$A326-WEEKDAY($A326,2)+1)</f>
        <v/>
      </c>
      <c r="AC326" s="86">
        <f>IF($A326="","",DATE(YEAR($A326),MONTH($A326),1))</f>
        <v/>
      </c>
      <c r="AD326" s="90">
        <f>IF($A326="","",IFERROR($K326/$J326,0))</f>
        <v/>
      </c>
      <c r="AE326" s="90">
        <f>IF($A326="","",IFERROR($L326/$J326,0))</f>
        <v/>
      </c>
      <c r="AF326" s="90">
        <f>IF($A326="","",IFERROR($M326/$J326,0))</f>
        <v/>
      </c>
      <c r="AG326" s="88">
        <f>IF($A326="","",$N326-$O326)</f>
        <v/>
      </c>
      <c r="AH326" s="90">
        <f>IF($A326="","",IFERROR($AG326/$N326,0))</f>
        <v/>
      </c>
      <c r="AI326" s="89">
        <f>IF($A326="","",IFERROR($K326/$P326,0))</f>
        <v/>
      </c>
      <c r="AJ326" s="90">
        <f>IF($A326="","",IFERROR($S326/$R326,0))</f>
        <v/>
      </c>
      <c r="AK326" s="90">
        <f>IF($A326="","",IFERROR($T326/$J326,0))</f>
        <v/>
      </c>
      <c r="AL326" s="26">
        <f>IF($A326="","",IF(AND($AD326&gt;='01_Settings'!$B$9,$V326&lt;='01_Settings'!$B$10,$W326&lt;='01_Settings'!$B$11),"On track","Off track"))</f>
        <v/>
      </c>
      <c r="AM326" s="42">
        <f>IF($A326="","",IF($AD326&lt;'01_Settings'!$B$9,"Low completion rate; ","")&amp;IF($AE326&gt;'01_Settings'!$B$12,"High overdue rate; ","")&amp;IF($U326&lt;'01_Settings'!$B$13,"Low satisfaction; ","")&amp;IF($AH326&lt;'01_Settings'!$B$14,"Low gross margin; ","")&amp;IF($AJ326&lt;'01_Settings'!$B$15,"Low conversion rate; ","")&amp;IF($AK326&gt;'01_Settings'!$B$16,"High complaint rate; ",""))</f>
        <v/>
      </c>
    </row>
    <row r="327" ht="18" customHeight="1">
      <c r="A327" s="86" t="n"/>
      <c r="B327" s="26" t="n"/>
      <c r="C327" s="26" t="n"/>
      <c r="D327" s="26" t="n"/>
      <c r="E327" s="26" t="n"/>
      <c r="F327" s="26" t="n"/>
      <c r="G327" s="26" t="n"/>
      <c r="H327" s="26" t="n"/>
      <c r="I327" s="26" t="n"/>
      <c r="J327" s="87" t="n"/>
      <c r="K327" s="87" t="n"/>
      <c r="L327" s="87" t="n"/>
      <c r="M327" s="87" t="n"/>
      <c r="N327" s="88" t="n"/>
      <c r="O327" s="88" t="n"/>
      <c r="P327" s="89" t="n"/>
      <c r="Q327" s="87" t="n"/>
      <c r="R327" s="87" t="n"/>
      <c r="S327" s="87" t="n"/>
      <c r="T327" s="87" t="n"/>
      <c r="U327" s="89" t="n"/>
      <c r="V327" s="89" t="n"/>
      <c r="W327" s="89" t="n"/>
      <c r="X327" s="87" t="n"/>
      <c r="Y327" s="87" t="n"/>
      <c r="Z327" s="88" t="n"/>
      <c r="AA327" s="26" t="n"/>
      <c r="AB327" s="86">
        <f>IF($A327="","",$A327-WEEKDAY($A327,2)+1)</f>
        <v/>
      </c>
      <c r="AC327" s="86">
        <f>IF($A327="","",DATE(YEAR($A327),MONTH($A327),1))</f>
        <v/>
      </c>
      <c r="AD327" s="90">
        <f>IF($A327="","",IFERROR($K327/$J327,0))</f>
        <v/>
      </c>
      <c r="AE327" s="90">
        <f>IF($A327="","",IFERROR($L327/$J327,0))</f>
        <v/>
      </c>
      <c r="AF327" s="90">
        <f>IF($A327="","",IFERROR($M327/$J327,0))</f>
        <v/>
      </c>
      <c r="AG327" s="88">
        <f>IF($A327="","",$N327-$O327)</f>
        <v/>
      </c>
      <c r="AH327" s="90">
        <f>IF($A327="","",IFERROR($AG327/$N327,0))</f>
        <v/>
      </c>
      <c r="AI327" s="89">
        <f>IF($A327="","",IFERROR($K327/$P327,0))</f>
        <v/>
      </c>
      <c r="AJ327" s="90">
        <f>IF($A327="","",IFERROR($S327/$R327,0))</f>
        <v/>
      </c>
      <c r="AK327" s="90">
        <f>IF($A327="","",IFERROR($T327/$J327,0))</f>
        <v/>
      </c>
      <c r="AL327" s="26">
        <f>IF($A327="","",IF(AND($AD327&gt;='01_Settings'!$B$9,$V327&lt;='01_Settings'!$B$10,$W327&lt;='01_Settings'!$B$11),"On track","Off track"))</f>
        <v/>
      </c>
      <c r="AM327" s="42">
        <f>IF($A327="","",IF($AD327&lt;'01_Settings'!$B$9,"Low completion rate; ","")&amp;IF($AE327&gt;'01_Settings'!$B$12,"High overdue rate; ","")&amp;IF($U327&lt;'01_Settings'!$B$13,"Low satisfaction; ","")&amp;IF($AH327&lt;'01_Settings'!$B$14,"Low gross margin; ","")&amp;IF($AJ327&lt;'01_Settings'!$B$15,"Low conversion rate; ","")&amp;IF($AK327&gt;'01_Settings'!$B$16,"High complaint rate; ",""))</f>
        <v/>
      </c>
    </row>
    <row r="328" ht="18" customHeight="1">
      <c r="A328" s="86" t="n"/>
      <c r="B328" s="26" t="n"/>
      <c r="C328" s="26" t="n"/>
      <c r="D328" s="26" t="n"/>
      <c r="E328" s="26" t="n"/>
      <c r="F328" s="26" t="n"/>
      <c r="G328" s="26" t="n"/>
      <c r="H328" s="26" t="n"/>
      <c r="I328" s="26" t="n"/>
      <c r="J328" s="87" t="n"/>
      <c r="K328" s="87" t="n"/>
      <c r="L328" s="87" t="n"/>
      <c r="M328" s="87" t="n"/>
      <c r="N328" s="88" t="n"/>
      <c r="O328" s="88" t="n"/>
      <c r="P328" s="89" t="n"/>
      <c r="Q328" s="87" t="n"/>
      <c r="R328" s="87" t="n"/>
      <c r="S328" s="87" t="n"/>
      <c r="T328" s="87" t="n"/>
      <c r="U328" s="89" t="n"/>
      <c r="V328" s="89" t="n"/>
      <c r="W328" s="89" t="n"/>
      <c r="X328" s="87" t="n"/>
      <c r="Y328" s="87" t="n"/>
      <c r="Z328" s="88" t="n"/>
      <c r="AA328" s="26" t="n"/>
      <c r="AB328" s="86">
        <f>IF($A328="","",$A328-WEEKDAY($A328,2)+1)</f>
        <v/>
      </c>
      <c r="AC328" s="86">
        <f>IF($A328="","",DATE(YEAR($A328),MONTH($A328),1))</f>
        <v/>
      </c>
      <c r="AD328" s="90">
        <f>IF($A328="","",IFERROR($K328/$J328,0))</f>
        <v/>
      </c>
      <c r="AE328" s="90">
        <f>IF($A328="","",IFERROR($L328/$J328,0))</f>
        <v/>
      </c>
      <c r="AF328" s="90">
        <f>IF($A328="","",IFERROR($M328/$J328,0))</f>
        <v/>
      </c>
      <c r="AG328" s="88">
        <f>IF($A328="","",$N328-$O328)</f>
        <v/>
      </c>
      <c r="AH328" s="90">
        <f>IF($A328="","",IFERROR($AG328/$N328,0))</f>
        <v/>
      </c>
      <c r="AI328" s="89">
        <f>IF($A328="","",IFERROR($K328/$P328,0))</f>
        <v/>
      </c>
      <c r="AJ328" s="90">
        <f>IF($A328="","",IFERROR($S328/$R328,0))</f>
        <v/>
      </c>
      <c r="AK328" s="90">
        <f>IF($A328="","",IFERROR($T328/$J328,0))</f>
        <v/>
      </c>
      <c r="AL328" s="26">
        <f>IF($A328="","",IF(AND($AD328&gt;='01_Settings'!$B$9,$V328&lt;='01_Settings'!$B$10,$W328&lt;='01_Settings'!$B$11),"On track","Off track"))</f>
        <v/>
      </c>
      <c r="AM328" s="42">
        <f>IF($A328="","",IF($AD328&lt;'01_Settings'!$B$9,"Low completion rate; ","")&amp;IF($AE328&gt;'01_Settings'!$B$12,"High overdue rate; ","")&amp;IF($U328&lt;'01_Settings'!$B$13,"Low satisfaction; ","")&amp;IF($AH328&lt;'01_Settings'!$B$14,"Low gross margin; ","")&amp;IF($AJ328&lt;'01_Settings'!$B$15,"Low conversion rate; ","")&amp;IF($AK328&gt;'01_Settings'!$B$16,"High complaint rate; ",""))</f>
        <v/>
      </c>
    </row>
    <row r="329" ht="18" customHeight="1">
      <c r="A329" s="86" t="n"/>
      <c r="B329" s="26" t="n"/>
      <c r="C329" s="26" t="n"/>
      <c r="D329" s="26" t="n"/>
      <c r="E329" s="26" t="n"/>
      <c r="F329" s="26" t="n"/>
      <c r="G329" s="26" t="n"/>
      <c r="H329" s="26" t="n"/>
      <c r="I329" s="26" t="n"/>
      <c r="J329" s="87" t="n"/>
      <c r="K329" s="87" t="n"/>
      <c r="L329" s="87" t="n"/>
      <c r="M329" s="87" t="n"/>
      <c r="N329" s="88" t="n"/>
      <c r="O329" s="88" t="n"/>
      <c r="P329" s="89" t="n"/>
      <c r="Q329" s="87" t="n"/>
      <c r="R329" s="87" t="n"/>
      <c r="S329" s="87" t="n"/>
      <c r="T329" s="87" t="n"/>
      <c r="U329" s="89" t="n"/>
      <c r="V329" s="89" t="n"/>
      <c r="W329" s="89" t="n"/>
      <c r="X329" s="87" t="n"/>
      <c r="Y329" s="87" t="n"/>
      <c r="Z329" s="88" t="n"/>
      <c r="AA329" s="26" t="n"/>
      <c r="AB329" s="86">
        <f>IF($A329="","",$A329-WEEKDAY($A329,2)+1)</f>
        <v/>
      </c>
      <c r="AC329" s="86">
        <f>IF($A329="","",DATE(YEAR($A329),MONTH($A329),1))</f>
        <v/>
      </c>
      <c r="AD329" s="90">
        <f>IF($A329="","",IFERROR($K329/$J329,0))</f>
        <v/>
      </c>
      <c r="AE329" s="90">
        <f>IF($A329="","",IFERROR($L329/$J329,0))</f>
        <v/>
      </c>
      <c r="AF329" s="90">
        <f>IF($A329="","",IFERROR($M329/$J329,0))</f>
        <v/>
      </c>
      <c r="AG329" s="88">
        <f>IF($A329="","",$N329-$O329)</f>
        <v/>
      </c>
      <c r="AH329" s="90">
        <f>IF($A329="","",IFERROR($AG329/$N329,0))</f>
        <v/>
      </c>
      <c r="AI329" s="89">
        <f>IF($A329="","",IFERROR($K329/$P329,0))</f>
        <v/>
      </c>
      <c r="AJ329" s="90">
        <f>IF($A329="","",IFERROR($S329/$R329,0))</f>
        <v/>
      </c>
      <c r="AK329" s="90">
        <f>IF($A329="","",IFERROR($T329/$J329,0))</f>
        <v/>
      </c>
      <c r="AL329" s="26">
        <f>IF($A329="","",IF(AND($AD329&gt;='01_Settings'!$B$9,$V329&lt;='01_Settings'!$B$10,$W329&lt;='01_Settings'!$B$11),"On track","Off track"))</f>
        <v/>
      </c>
      <c r="AM329" s="42">
        <f>IF($A329="","",IF($AD329&lt;'01_Settings'!$B$9,"Low completion rate; ","")&amp;IF($AE329&gt;'01_Settings'!$B$12,"High overdue rate; ","")&amp;IF($U329&lt;'01_Settings'!$B$13,"Low satisfaction; ","")&amp;IF($AH329&lt;'01_Settings'!$B$14,"Low gross margin; ","")&amp;IF($AJ329&lt;'01_Settings'!$B$15,"Low conversion rate; ","")&amp;IF($AK329&gt;'01_Settings'!$B$16,"High complaint rate; ",""))</f>
        <v/>
      </c>
    </row>
    <row r="330" ht="18" customHeight="1">
      <c r="A330" s="86" t="n"/>
      <c r="B330" s="26" t="n"/>
      <c r="C330" s="26" t="n"/>
      <c r="D330" s="26" t="n"/>
      <c r="E330" s="26" t="n"/>
      <c r="F330" s="26" t="n"/>
      <c r="G330" s="26" t="n"/>
      <c r="H330" s="26" t="n"/>
      <c r="I330" s="26" t="n"/>
      <c r="J330" s="87" t="n"/>
      <c r="K330" s="87" t="n"/>
      <c r="L330" s="87" t="n"/>
      <c r="M330" s="87" t="n"/>
      <c r="N330" s="88" t="n"/>
      <c r="O330" s="88" t="n"/>
      <c r="P330" s="89" t="n"/>
      <c r="Q330" s="87" t="n"/>
      <c r="R330" s="87" t="n"/>
      <c r="S330" s="87" t="n"/>
      <c r="T330" s="87" t="n"/>
      <c r="U330" s="89" t="n"/>
      <c r="V330" s="89" t="n"/>
      <c r="W330" s="89" t="n"/>
      <c r="X330" s="87" t="n"/>
      <c r="Y330" s="87" t="n"/>
      <c r="Z330" s="88" t="n"/>
      <c r="AA330" s="26" t="n"/>
      <c r="AB330" s="86">
        <f>IF($A330="","",$A330-WEEKDAY($A330,2)+1)</f>
        <v/>
      </c>
      <c r="AC330" s="86">
        <f>IF($A330="","",DATE(YEAR($A330),MONTH($A330),1))</f>
        <v/>
      </c>
      <c r="AD330" s="90">
        <f>IF($A330="","",IFERROR($K330/$J330,0))</f>
        <v/>
      </c>
      <c r="AE330" s="90">
        <f>IF($A330="","",IFERROR($L330/$J330,0))</f>
        <v/>
      </c>
      <c r="AF330" s="90">
        <f>IF($A330="","",IFERROR($M330/$J330,0))</f>
        <v/>
      </c>
      <c r="AG330" s="88">
        <f>IF($A330="","",$N330-$O330)</f>
        <v/>
      </c>
      <c r="AH330" s="90">
        <f>IF($A330="","",IFERROR($AG330/$N330,0))</f>
        <v/>
      </c>
      <c r="AI330" s="89">
        <f>IF($A330="","",IFERROR($K330/$P330,0))</f>
        <v/>
      </c>
      <c r="AJ330" s="90">
        <f>IF($A330="","",IFERROR($S330/$R330,0))</f>
        <v/>
      </c>
      <c r="AK330" s="90">
        <f>IF($A330="","",IFERROR($T330/$J330,0))</f>
        <v/>
      </c>
      <c r="AL330" s="26">
        <f>IF($A330="","",IF(AND($AD330&gt;='01_Settings'!$B$9,$V330&lt;='01_Settings'!$B$10,$W330&lt;='01_Settings'!$B$11),"On track","Off track"))</f>
        <v/>
      </c>
      <c r="AM330" s="42">
        <f>IF($A330="","",IF($AD330&lt;'01_Settings'!$B$9,"Low completion rate; ","")&amp;IF($AE330&gt;'01_Settings'!$B$12,"High overdue rate; ","")&amp;IF($U330&lt;'01_Settings'!$B$13,"Low satisfaction; ","")&amp;IF($AH330&lt;'01_Settings'!$B$14,"Low gross margin; ","")&amp;IF($AJ330&lt;'01_Settings'!$B$15,"Low conversion rate; ","")&amp;IF($AK330&gt;'01_Settings'!$B$16,"High complaint rate; ",""))</f>
        <v/>
      </c>
    </row>
    <row r="331" ht="18" customHeight="1">
      <c r="A331" s="86" t="n"/>
      <c r="B331" s="26" t="n"/>
      <c r="C331" s="26" t="n"/>
      <c r="D331" s="26" t="n"/>
      <c r="E331" s="26" t="n"/>
      <c r="F331" s="26" t="n"/>
      <c r="G331" s="26" t="n"/>
      <c r="H331" s="26" t="n"/>
      <c r="I331" s="26" t="n"/>
      <c r="J331" s="87" t="n"/>
      <c r="K331" s="87" t="n"/>
      <c r="L331" s="87" t="n"/>
      <c r="M331" s="87" t="n"/>
      <c r="N331" s="88" t="n"/>
      <c r="O331" s="88" t="n"/>
      <c r="P331" s="89" t="n"/>
      <c r="Q331" s="87" t="n"/>
      <c r="R331" s="87" t="n"/>
      <c r="S331" s="87" t="n"/>
      <c r="T331" s="87" t="n"/>
      <c r="U331" s="89" t="n"/>
      <c r="V331" s="89" t="n"/>
      <c r="W331" s="89" t="n"/>
      <c r="X331" s="87" t="n"/>
      <c r="Y331" s="87" t="n"/>
      <c r="Z331" s="88" t="n"/>
      <c r="AA331" s="26" t="n"/>
      <c r="AB331" s="86">
        <f>IF($A331="","",$A331-WEEKDAY($A331,2)+1)</f>
        <v/>
      </c>
      <c r="AC331" s="86">
        <f>IF($A331="","",DATE(YEAR($A331),MONTH($A331),1))</f>
        <v/>
      </c>
      <c r="AD331" s="90">
        <f>IF($A331="","",IFERROR($K331/$J331,0))</f>
        <v/>
      </c>
      <c r="AE331" s="90">
        <f>IF($A331="","",IFERROR($L331/$J331,0))</f>
        <v/>
      </c>
      <c r="AF331" s="90">
        <f>IF($A331="","",IFERROR($M331/$J331,0))</f>
        <v/>
      </c>
      <c r="AG331" s="88">
        <f>IF($A331="","",$N331-$O331)</f>
        <v/>
      </c>
      <c r="AH331" s="90">
        <f>IF($A331="","",IFERROR($AG331/$N331,0))</f>
        <v/>
      </c>
      <c r="AI331" s="89">
        <f>IF($A331="","",IFERROR($K331/$P331,0))</f>
        <v/>
      </c>
      <c r="AJ331" s="90">
        <f>IF($A331="","",IFERROR($S331/$R331,0))</f>
        <v/>
      </c>
      <c r="AK331" s="90">
        <f>IF($A331="","",IFERROR($T331/$J331,0))</f>
        <v/>
      </c>
      <c r="AL331" s="26">
        <f>IF($A331="","",IF(AND($AD331&gt;='01_Settings'!$B$9,$V331&lt;='01_Settings'!$B$10,$W331&lt;='01_Settings'!$B$11),"On track","Off track"))</f>
        <v/>
      </c>
      <c r="AM331" s="42">
        <f>IF($A331="","",IF($AD331&lt;'01_Settings'!$B$9,"Low completion rate; ","")&amp;IF($AE331&gt;'01_Settings'!$B$12,"High overdue rate; ","")&amp;IF($U331&lt;'01_Settings'!$B$13,"Low satisfaction; ","")&amp;IF($AH331&lt;'01_Settings'!$B$14,"Low gross margin; ","")&amp;IF($AJ331&lt;'01_Settings'!$B$15,"Low conversion rate; ","")&amp;IF($AK331&gt;'01_Settings'!$B$16,"High complaint rate; ",""))</f>
        <v/>
      </c>
    </row>
    <row r="332" ht="18" customHeight="1">
      <c r="A332" s="86" t="n"/>
      <c r="B332" s="26" t="n"/>
      <c r="C332" s="26" t="n"/>
      <c r="D332" s="26" t="n"/>
      <c r="E332" s="26" t="n"/>
      <c r="F332" s="26" t="n"/>
      <c r="G332" s="26" t="n"/>
      <c r="H332" s="26" t="n"/>
      <c r="I332" s="26" t="n"/>
      <c r="J332" s="87" t="n"/>
      <c r="K332" s="87" t="n"/>
      <c r="L332" s="87" t="n"/>
      <c r="M332" s="87" t="n"/>
      <c r="N332" s="88" t="n"/>
      <c r="O332" s="88" t="n"/>
      <c r="P332" s="89" t="n"/>
      <c r="Q332" s="87" t="n"/>
      <c r="R332" s="87" t="n"/>
      <c r="S332" s="87" t="n"/>
      <c r="T332" s="87" t="n"/>
      <c r="U332" s="89" t="n"/>
      <c r="V332" s="89" t="n"/>
      <c r="W332" s="89" t="n"/>
      <c r="X332" s="87" t="n"/>
      <c r="Y332" s="87" t="n"/>
      <c r="Z332" s="88" t="n"/>
      <c r="AA332" s="26" t="n"/>
      <c r="AB332" s="86">
        <f>IF($A332="","",$A332-WEEKDAY($A332,2)+1)</f>
        <v/>
      </c>
      <c r="AC332" s="86">
        <f>IF($A332="","",DATE(YEAR($A332),MONTH($A332),1))</f>
        <v/>
      </c>
      <c r="AD332" s="90">
        <f>IF($A332="","",IFERROR($K332/$J332,0))</f>
        <v/>
      </c>
      <c r="AE332" s="90">
        <f>IF($A332="","",IFERROR($L332/$J332,0))</f>
        <v/>
      </c>
      <c r="AF332" s="90">
        <f>IF($A332="","",IFERROR($M332/$J332,0))</f>
        <v/>
      </c>
      <c r="AG332" s="88">
        <f>IF($A332="","",$N332-$O332)</f>
        <v/>
      </c>
      <c r="AH332" s="90">
        <f>IF($A332="","",IFERROR($AG332/$N332,0))</f>
        <v/>
      </c>
      <c r="AI332" s="89">
        <f>IF($A332="","",IFERROR($K332/$P332,0))</f>
        <v/>
      </c>
      <c r="AJ332" s="90">
        <f>IF($A332="","",IFERROR($S332/$R332,0))</f>
        <v/>
      </c>
      <c r="AK332" s="90">
        <f>IF($A332="","",IFERROR($T332/$J332,0))</f>
        <v/>
      </c>
      <c r="AL332" s="26">
        <f>IF($A332="","",IF(AND($AD332&gt;='01_Settings'!$B$9,$V332&lt;='01_Settings'!$B$10,$W332&lt;='01_Settings'!$B$11),"On track","Off track"))</f>
        <v/>
      </c>
      <c r="AM332" s="42">
        <f>IF($A332="","",IF($AD332&lt;'01_Settings'!$B$9,"Low completion rate; ","")&amp;IF($AE332&gt;'01_Settings'!$B$12,"High overdue rate; ","")&amp;IF($U332&lt;'01_Settings'!$B$13,"Low satisfaction; ","")&amp;IF($AH332&lt;'01_Settings'!$B$14,"Low gross margin; ","")&amp;IF($AJ332&lt;'01_Settings'!$B$15,"Low conversion rate; ","")&amp;IF($AK332&gt;'01_Settings'!$B$16,"High complaint rate; ",""))</f>
        <v/>
      </c>
    </row>
    <row r="333" ht="18" customHeight="1">
      <c r="A333" s="86" t="n"/>
      <c r="B333" s="26" t="n"/>
      <c r="C333" s="26" t="n"/>
      <c r="D333" s="26" t="n"/>
      <c r="E333" s="26" t="n"/>
      <c r="F333" s="26" t="n"/>
      <c r="G333" s="26" t="n"/>
      <c r="H333" s="26" t="n"/>
      <c r="I333" s="26" t="n"/>
      <c r="J333" s="87" t="n"/>
      <c r="K333" s="87" t="n"/>
      <c r="L333" s="87" t="n"/>
      <c r="M333" s="87" t="n"/>
      <c r="N333" s="88" t="n"/>
      <c r="O333" s="88" t="n"/>
      <c r="P333" s="89" t="n"/>
      <c r="Q333" s="87" t="n"/>
      <c r="R333" s="87" t="n"/>
      <c r="S333" s="87" t="n"/>
      <c r="T333" s="87" t="n"/>
      <c r="U333" s="89" t="n"/>
      <c r="V333" s="89" t="n"/>
      <c r="W333" s="89" t="n"/>
      <c r="X333" s="87" t="n"/>
      <c r="Y333" s="87" t="n"/>
      <c r="Z333" s="88" t="n"/>
      <c r="AA333" s="26" t="n"/>
      <c r="AB333" s="86">
        <f>IF($A333="","",$A333-WEEKDAY($A333,2)+1)</f>
        <v/>
      </c>
      <c r="AC333" s="86">
        <f>IF($A333="","",DATE(YEAR($A333),MONTH($A333),1))</f>
        <v/>
      </c>
      <c r="AD333" s="90">
        <f>IF($A333="","",IFERROR($K333/$J333,0))</f>
        <v/>
      </c>
      <c r="AE333" s="90">
        <f>IF($A333="","",IFERROR($L333/$J333,0))</f>
        <v/>
      </c>
      <c r="AF333" s="90">
        <f>IF($A333="","",IFERROR($M333/$J333,0))</f>
        <v/>
      </c>
      <c r="AG333" s="88">
        <f>IF($A333="","",$N333-$O333)</f>
        <v/>
      </c>
      <c r="AH333" s="90">
        <f>IF($A333="","",IFERROR($AG333/$N333,0))</f>
        <v/>
      </c>
      <c r="AI333" s="89">
        <f>IF($A333="","",IFERROR($K333/$P333,0))</f>
        <v/>
      </c>
      <c r="AJ333" s="90">
        <f>IF($A333="","",IFERROR($S333/$R333,0))</f>
        <v/>
      </c>
      <c r="AK333" s="90">
        <f>IF($A333="","",IFERROR($T333/$J333,0))</f>
        <v/>
      </c>
      <c r="AL333" s="26">
        <f>IF($A333="","",IF(AND($AD333&gt;='01_Settings'!$B$9,$V333&lt;='01_Settings'!$B$10,$W333&lt;='01_Settings'!$B$11),"On track","Off track"))</f>
        <v/>
      </c>
      <c r="AM333" s="42">
        <f>IF($A333="","",IF($AD333&lt;'01_Settings'!$B$9,"Low completion rate; ","")&amp;IF($AE333&gt;'01_Settings'!$B$12,"High overdue rate; ","")&amp;IF($U333&lt;'01_Settings'!$B$13,"Low satisfaction; ","")&amp;IF($AH333&lt;'01_Settings'!$B$14,"Low gross margin; ","")&amp;IF($AJ333&lt;'01_Settings'!$B$15,"Low conversion rate; ","")&amp;IF($AK333&gt;'01_Settings'!$B$16,"High complaint rate; ",""))</f>
        <v/>
      </c>
    </row>
    <row r="334" ht="18" customHeight="1">
      <c r="A334" s="86" t="n"/>
      <c r="B334" s="26" t="n"/>
      <c r="C334" s="26" t="n"/>
      <c r="D334" s="26" t="n"/>
      <c r="E334" s="26" t="n"/>
      <c r="F334" s="26" t="n"/>
      <c r="G334" s="26" t="n"/>
      <c r="H334" s="26" t="n"/>
      <c r="I334" s="26" t="n"/>
      <c r="J334" s="87" t="n"/>
      <c r="K334" s="87" t="n"/>
      <c r="L334" s="87" t="n"/>
      <c r="M334" s="87" t="n"/>
      <c r="N334" s="88" t="n"/>
      <c r="O334" s="88" t="n"/>
      <c r="P334" s="89" t="n"/>
      <c r="Q334" s="87" t="n"/>
      <c r="R334" s="87" t="n"/>
      <c r="S334" s="87" t="n"/>
      <c r="T334" s="87" t="n"/>
      <c r="U334" s="89" t="n"/>
      <c r="V334" s="89" t="n"/>
      <c r="W334" s="89" t="n"/>
      <c r="X334" s="87" t="n"/>
      <c r="Y334" s="87" t="n"/>
      <c r="Z334" s="88" t="n"/>
      <c r="AA334" s="26" t="n"/>
      <c r="AB334" s="86">
        <f>IF($A334="","",$A334-WEEKDAY($A334,2)+1)</f>
        <v/>
      </c>
      <c r="AC334" s="86">
        <f>IF($A334="","",DATE(YEAR($A334),MONTH($A334),1))</f>
        <v/>
      </c>
      <c r="AD334" s="90">
        <f>IF($A334="","",IFERROR($K334/$J334,0))</f>
        <v/>
      </c>
      <c r="AE334" s="90">
        <f>IF($A334="","",IFERROR($L334/$J334,0))</f>
        <v/>
      </c>
      <c r="AF334" s="90">
        <f>IF($A334="","",IFERROR($M334/$J334,0))</f>
        <v/>
      </c>
      <c r="AG334" s="88">
        <f>IF($A334="","",$N334-$O334)</f>
        <v/>
      </c>
      <c r="AH334" s="90">
        <f>IF($A334="","",IFERROR($AG334/$N334,0))</f>
        <v/>
      </c>
      <c r="AI334" s="89">
        <f>IF($A334="","",IFERROR($K334/$P334,0))</f>
        <v/>
      </c>
      <c r="AJ334" s="90">
        <f>IF($A334="","",IFERROR($S334/$R334,0))</f>
        <v/>
      </c>
      <c r="AK334" s="90">
        <f>IF($A334="","",IFERROR($T334/$J334,0))</f>
        <v/>
      </c>
      <c r="AL334" s="26">
        <f>IF($A334="","",IF(AND($AD334&gt;='01_Settings'!$B$9,$V334&lt;='01_Settings'!$B$10,$W334&lt;='01_Settings'!$B$11),"On track","Off track"))</f>
        <v/>
      </c>
      <c r="AM334" s="42">
        <f>IF($A334="","",IF($AD334&lt;'01_Settings'!$B$9,"Low completion rate; ","")&amp;IF($AE334&gt;'01_Settings'!$B$12,"High overdue rate; ","")&amp;IF($U334&lt;'01_Settings'!$B$13,"Low satisfaction; ","")&amp;IF($AH334&lt;'01_Settings'!$B$14,"Low gross margin; ","")&amp;IF($AJ334&lt;'01_Settings'!$B$15,"Low conversion rate; ","")&amp;IF($AK334&gt;'01_Settings'!$B$16,"High complaint rate; ",""))</f>
        <v/>
      </c>
    </row>
    <row r="335" ht="18" customHeight="1">
      <c r="A335" s="86" t="n"/>
      <c r="B335" s="26" t="n"/>
      <c r="C335" s="26" t="n"/>
      <c r="D335" s="26" t="n"/>
      <c r="E335" s="26" t="n"/>
      <c r="F335" s="26" t="n"/>
      <c r="G335" s="26" t="n"/>
      <c r="H335" s="26" t="n"/>
      <c r="I335" s="26" t="n"/>
      <c r="J335" s="87" t="n"/>
      <c r="K335" s="87" t="n"/>
      <c r="L335" s="87" t="n"/>
      <c r="M335" s="87" t="n"/>
      <c r="N335" s="88" t="n"/>
      <c r="O335" s="88" t="n"/>
      <c r="P335" s="89" t="n"/>
      <c r="Q335" s="87" t="n"/>
      <c r="R335" s="87" t="n"/>
      <c r="S335" s="87" t="n"/>
      <c r="T335" s="87" t="n"/>
      <c r="U335" s="89" t="n"/>
      <c r="V335" s="89" t="n"/>
      <c r="W335" s="89" t="n"/>
      <c r="X335" s="87" t="n"/>
      <c r="Y335" s="87" t="n"/>
      <c r="Z335" s="88" t="n"/>
      <c r="AA335" s="26" t="n"/>
      <c r="AB335" s="86">
        <f>IF($A335="","",$A335-WEEKDAY($A335,2)+1)</f>
        <v/>
      </c>
      <c r="AC335" s="86">
        <f>IF($A335="","",DATE(YEAR($A335),MONTH($A335),1))</f>
        <v/>
      </c>
      <c r="AD335" s="90">
        <f>IF($A335="","",IFERROR($K335/$J335,0))</f>
        <v/>
      </c>
      <c r="AE335" s="90">
        <f>IF($A335="","",IFERROR($L335/$J335,0))</f>
        <v/>
      </c>
      <c r="AF335" s="90">
        <f>IF($A335="","",IFERROR($M335/$J335,0))</f>
        <v/>
      </c>
      <c r="AG335" s="88">
        <f>IF($A335="","",$N335-$O335)</f>
        <v/>
      </c>
      <c r="AH335" s="90">
        <f>IF($A335="","",IFERROR($AG335/$N335,0))</f>
        <v/>
      </c>
      <c r="AI335" s="89">
        <f>IF($A335="","",IFERROR($K335/$P335,0))</f>
        <v/>
      </c>
      <c r="AJ335" s="90">
        <f>IF($A335="","",IFERROR($S335/$R335,0))</f>
        <v/>
      </c>
      <c r="AK335" s="90">
        <f>IF($A335="","",IFERROR($T335/$J335,0))</f>
        <v/>
      </c>
      <c r="AL335" s="26">
        <f>IF($A335="","",IF(AND($AD335&gt;='01_Settings'!$B$9,$V335&lt;='01_Settings'!$B$10,$W335&lt;='01_Settings'!$B$11),"On track","Off track"))</f>
        <v/>
      </c>
      <c r="AM335" s="42">
        <f>IF($A335="","",IF($AD335&lt;'01_Settings'!$B$9,"Low completion rate; ","")&amp;IF($AE335&gt;'01_Settings'!$B$12,"High overdue rate; ","")&amp;IF($U335&lt;'01_Settings'!$B$13,"Low satisfaction; ","")&amp;IF($AH335&lt;'01_Settings'!$B$14,"Low gross margin; ","")&amp;IF($AJ335&lt;'01_Settings'!$B$15,"Low conversion rate; ","")&amp;IF($AK335&gt;'01_Settings'!$B$16,"High complaint rate; ",""))</f>
        <v/>
      </c>
    </row>
    <row r="336" ht="18" customHeight="1">
      <c r="A336" s="86" t="n"/>
      <c r="B336" s="26" t="n"/>
      <c r="C336" s="26" t="n"/>
      <c r="D336" s="26" t="n"/>
      <c r="E336" s="26" t="n"/>
      <c r="F336" s="26" t="n"/>
      <c r="G336" s="26" t="n"/>
      <c r="H336" s="26" t="n"/>
      <c r="I336" s="26" t="n"/>
      <c r="J336" s="87" t="n"/>
      <c r="K336" s="87" t="n"/>
      <c r="L336" s="87" t="n"/>
      <c r="M336" s="87" t="n"/>
      <c r="N336" s="88" t="n"/>
      <c r="O336" s="88" t="n"/>
      <c r="P336" s="89" t="n"/>
      <c r="Q336" s="87" t="n"/>
      <c r="R336" s="87" t="n"/>
      <c r="S336" s="87" t="n"/>
      <c r="T336" s="87" t="n"/>
      <c r="U336" s="89" t="n"/>
      <c r="V336" s="89" t="n"/>
      <c r="W336" s="89" t="n"/>
      <c r="X336" s="87" t="n"/>
      <c r="Y336" s="87" t="n"/>
      <c r="Z336" s="88" t="n"/>
      <c r="AA336" s="26" t="n"/>
      <c r="AB336" s="86">
        <f>IF($A336="","",$A336-WEEKDAY($A336,2)+1)</f>
        <v/>
      </c>
      <c r="AC336" s="86">
        <f>IF($A336="","",DATE(YEAR($A336),MONTH($A336),1))</f>
        <v/>
      </c>
      <c r="AD336" s="90">
        <f>IF($A336="","",IFERROR($K336/$J336,0))</f>
        <v/>
      </c>
      <c r="AE336" s="90">
        <f>IF($A336="","",IFERROR($L336/$J336,0))</f>
        <v/>
      </c>
      <c r="AF336" s="90">
        <f>IF($A336="","",IFERROR($M336/$J336,0))</f>
        <v/>
      </c>
      <c r="AG336" s="88">
        <f>IF($A336="","",$N336-$O336)</f>
        <v/>
      </c>
      <c r="AH336" s="90">
        <f>IF($A336="","",IFERROR($AG336/$N336,0))</f>
        <v/>
      </c>
      <c r="AI336" s="89">
        <f>IF($A336="","",IFERROR($K336/$P336,0))</f>
        <v/>
      </c>
      <c r="AJ336" s="90">
        <f>IF($A336="","",IFERROR($S336/$R336,0))</f>
        <v/>
      </c>
      <c r="AK336" s="90">
        <f>IF($A336="","",IFERROR($T336/$J336,0))</f>
        <v/>
      </c>
      <c r="AL336" s="26">
        <f>IF($A336="","",IF(AND($AD336&gt;='01_Settings'!$B$9,$V336&lt;='01_Settings'!$B$10,$W336&lt;='01_Settings'!$B$11),"On track","Off track"))</f>
        <v/>
      </c>
      <c r="AM336" s="42">
        <f>IF($A336="","",IF($AD336&lt;'01_Settings'!$B$9,"Low completion rate; ","")&amp;IF($AE336&gt;'01_Settings'!$B$12,"High overdue rate; ","")&amp;IF($U336&lt;'01_Settings'!$B$13,"Low satisfaction; ","")&amp;IF($AH336&lt;'01_Settings'!$B$14,"Low gross margin; ","")&amp;IF($AJ336&lt;'01_Settings'!$B$15,"Low conversion rate; ","")&amp;IF($AK336&gt;'01_Settings'!$B$16,"High complaint rate; ",""))</f>
        <v/>
      </c>
    </row>
    <row r="337" ht="18" customHeight="1">
      <c r="A337" s="86" t="n"/>
      <c r="B337" s="26" t="n"/>
      <c r="C337" s="26" t="n"/>
      <c r="D337" s="26" t="n"/>
      <c r="E337" s="26" t="n"/>
      <c r="F337" s="26" t="n"/>
      <c r="G337" s="26" t="n"/>
      <c r="H337" s="26" t="n"/>
      <c r="I337" s="26" t="n"/>
      <c r="J337" s="87" t="n"/>
      <c r="K337" s="87" t="n"/>
      <c r="L337" s="87" t="n"/>
      <c r="M337" s="87" t="n"/>
      <c r="N337" s="88" t="n"/>
      <c r="O337" s="88" t="n"/>
      <c r="P337" s="89" t="n"/>
      <c r="Q337" s="87" t="n"/>
      <c r="R337" s="87" t="n"/>
      <c r="S337" s="87" t="n"/>
      <c r="T337" s="87" t="n"/>
      <c r="U337" s="89" t="n"/>
      <c r="V337" s="89" t="n"/>
      <c r="W337" s="89" t="n"/>
      <c r="X337" s="87" t="n"/>
      <c r="Y337" s="87" t="n"/>
      <c r="Z337" s="88" t="n"/>
      <c r="AA337" s="26" t="n"/>
      <c r="AB337" s="86">
        <f>IF($A337="","",$A337-WEEKDAY($A337,2)+1)</f>
        <v/>
      </c>
      <c r="AC337" s="86">
        <f>IF($A337="","",DATE(YEAR($A337),MONTH($A337),1))</f>
        <v/>
      </c>
      <c r="AD337" s="90">
        <f>IF($A337="","",IFERROR($K337/$J337,0))</f>
        <v/>
      </c>
      <c r="AE337" s="90">
        <f>IF($A337="","",IFERROR($L337/$J337,0))</f>
        <v/>
      </c>
      <c r="AF337" s="90">
        <f>IF($A337="","",IFERROR($M337/$J337,0))</f>
        <v/>
      </c>
      <c r="AG337" s="88">
        <f>IF($A337="","",$N337-$O337)</f>
        <v/>
      </c>
      <c r="AH337" s="90">
        <f>IF($A337="","",IFERROR($AG337/$N337,0))</f>
        <v/>
      </c>
      <c r="AI337" s="89">
        <f>IF($A337="","",IFERROR($K337/$P337,0))</f>
        <v/>
      </c>
      <c r="AJ337" s="90">
        <f>IF($A337="","",IFERROR($S337/$R337,0))</f>
        <v/>
      </c>
      <c r="AK337" s="90">
        <f>IF($A337="","",IFERROR($T337/$J337,0))</f>
        <v/>
      </c>
      <c r="AL337" s="26">
        <f>IF($A337="","",IF(AND($AD337&gt;='01_Settings'!$B$9,$V337&lt;='01_Settings'!$B$10,$W337&lt;='01_Settings'!$B$11),"On track","Off track"))</f>
        <v/>
      </c>
      <c r="AM337" s="42">
        <f>IF($A337="","",IF($AD337&lt;'01_Settings'!$B$9,"Low completion rate; ","")&amp;IF($AE337&gt;'01_Settings'!$B$12,"High overdue rate; ","")&amp;IF($U337&lt;'01_Settings'!$B$13,"Low satisfaction; ","")&amp;IF($AH337&lt;'01_Settings'!$B$14,"Low gross margin; ","")&amp;IF($AJ337&lt;'01_Settings'!$B$15,"Low conversion rate; ","")&amp;IF($AK337&gt;'01_Settings'!$B$16,"High complaint rate; ",""))</f>
        <v/>
      </c>
    </row>
    <row r="338" ht="18" customHeight="1">
      <c r="A338" s="86" t="n"/>
      <c r="B338" s="26" t="n"/>
      <c r="C338" s="26" t="n"/>
      <c r="D338" s="26" t="n"/>
      <c r="E338" s="26" t="n"/>
      <c r="F338" s="26" t="n"/>
      <c r="G338" s="26" t="n"/>
      <c r="H338" s="26" t="n"/>
      <c r="I338" s="26" t="n"/>
      <c r="J338" s="87" t="n"/>
      <c r="K338" s="87" t="n"/>
      <c r="L338" s="87" t="n"/>
      <c r="M338" s="87" t="n"/>
      <c r="N338" s="88" t="n"/>
      <c r="O338" s="88" t="n"/>
      <c r="P338" s="89" t="n"/>
      <c r="Q338" s="87" t="n"/>
      <c r="R338" s="87" t="n"/>
      <c r="S338" s="87" t="n"/>
      <c r="T338" s="87" t="n"/>
      <c r="U338" s="89" t="n"/>
      <c r="V338" s="89" t="n"/>
      <c r="W338" s="89" t="n"/>
      <c r="X338" s="87" t="n"/>
      <c r="Y338" s="87" t="n"/>
      <c r="Z338" s="88" t="n"/>
      <c r="AA338" s="26" t="n"/>
      <c r="AB338" s="86">
        <f>IF($A338="","",$A338-WEEKDAY($A338,2)+1)</f>
        <v/>
      </c>
      <c r="AC338" s="86">
        <f>IF($A338="","",DATE(YEAR($A338),MONTH($A338),1))</f>
        <v/>
      </c>
      <c r="AD338" s="90">
        <f>IF($A338="","",IFERROR($K338/$J338,0))</f>
        <v/>
      </c>
      <c r="AE338" s="90">
        <f>IF($A338="","",IFERROR($L338/$J338,0))</f>
        <v/>
      </c>
      <c r="AF338" s="90">
        <f>IF($A338="","",IFERROR($M338/$J338,0))</f>
        <v/>
      </c>
      <c r="AG338" s="88">
        <f>IF($A338="","",$N338-$O338)</f>
        <v/>
      </c>
      <c r="AH338" s="90">
        <f>IF($A338="","",IFERROR($AG338/$N338,0))</f>
        <v/>
      </c>
      <c r="AI338" s="89">
        <f>IF($A338="","",IFERROR($K338/$P338,0))</f>
        <v/>
      </c>
      <c r="AJ338" s="90">
        <f>IF($A338="","",IFERROR($S338/$R338,0))</f>
        <v/>
      </c>
      <c r="AK338" s="90">
        <f>IF($A338="","",IFERROR($T338/$J338,0))</f>
        <v/>
      </c>
      <c r="AL338" s="26">
        <f>IF($A338="","",IF(AND($AD338&gt;='01_Settings'!$B$9,$V338&lt;='01_Settings'!$B$10,$W338&lt;='01_Settings'!$B$11),"On track","Off track"))</f>
        <v/>
      </c>
      <c r="AM338" s="42">
        <f>IF($A338="","",IF($AD338&lt;'01_Settings'!$B$9,"Low completion rate; ","")&amp;IF($AE338&gt;'01_Settings'!$B$12,"High overdue rate; ","")&amp;IF($U338&lt;'01_Settings'!$B$13,"Low satisfaction; ","")&amp;IF($AH338&lt;'01_Settings'!$B$14,"Low gross margin; ","")&amp;IF($AJ338&lt;'01_Settings'!$B$15,"Low conversion rate; ","")&amp;IF($AK338&gt;'01_Settings'!$B$16,"High complaint rate; ",""))</f>
        <v/>
      </c>
    </row>
    <row r="339" ht="18" customHeight="1">
      <c r="A339" s="86" t="n"/>
      <c r="B339" s="26" t="n"/>
      <c r="C339" s="26" t="n"/>
      <c r="D339" s="26" t="n"/>
      <c r="E339" s="26" t="n"/>
      <c r="F339" s="26" t="n"/>
      <c r="G339" s="26" t="n"/>
      <c r="H339" s="26" t="n"/>
      <c r="I339" s="26" t="n"/>
      <c r="J339" s="87" t="n"/>
      <c r="K339" s="87" t="n"/>
      <c r="L339" s="87" t="n"/>
      <c r="M339" s="87" t="n"/>
      <c r="N339" s="88" t="n"/>
      <c r="O339" s="88" t="n"/>
      <c r="P339" s="89" t="n"/>
      <c r="Q339" s="87" t="n"/>
      <c r="R339" s="87" t="n"/>
      <c r="S339" s="87" t="n"/>
      <c r="T339" s="87" t="n"/>
      <c r="U339" s="89" t="n"/>
      <c r="V339" s="89" t="n"/>
      <c r="W339" s="89" t="n"/>
      <c r="X339" s="87" t="n"/>
      <c r="Y339" s="87" t="n"/>
      <c r="Z339" s="88" t="n"/>
      <c r="AA339" s="26" t="n"/>
      <c r="AB339" s="86">
        <f>IF($A339="","",$A339-WEEKDAY($A339,2)+1)</f>
        <v/>
      </c>
      <c r="AC339" s="86">
        <f>IF($A339="","",DATE(YEAR($A339),MONTH($A339),1))</f>
        <v/>
      </c>
      <c r="AD339" s="90">
        <f>IF($A339="","",IFERROR($K339/$J339,0))</f>
        <v/>
      </c>
      <c r="AE339" s="90">
        <f>IF($A339="","",IFERROR($L339/$J339,0))</f>
        <v/>
      </c>
      <c r="AF339" s="90">
        <f>IF($A339="","",IFERROR($M339/$J339,0))</f>
        <v/>
      </c>
      <c r="AG339" s="88">
        <f>IF($A339="","",$N339-$O339)</f>
        <v/>
      </c>
      <c r="AH339" s="90">
        <f>IF($A339="","",IFERROR($AG339/$N339,0))</f>
        <v/>
      </c>
      <c r="AI339" s="89">
        <f>IF($A339="","",IFERROR($K339/$P339,0))</f>
        <v/>
      </c>
      <c r="AJ339" s="90">
        <f>IF($A339="","",IFERROR($S339/$R339,0))</f>
        <v/>
      </c>
      <c r="AK339" s="90">
        <f>IF($A339="","",IFERROR($T339/$J339,0))</f>
        <v/>
      </c>
      <c r="AL339" s="26">
        <f>IF($A339="","",IF(AND($AD339&gt;='01_Settings'!$B$9,$V339&lt;='01_Settings'!$B$10,$W339&lt;='01_Settings'!$B$11),"On track","Off track"))</f>
        <v/>
      </c>
      <c r="AM339" s="42">
        <f>IF($A339="","",IF($AD339&lt;'01_Settings'!$B$9,"Low completion rate; ","")&amp;IF($AE339&gt;'01_Settings'!$B$12,"High overdue rate; ","")&amp;IF($U339&lt;'01_Settings'!$B$13,"Low satisfaction; ","")&amp;IF($AH339&lt;'01_Settings'!$B$14,"Low gross margin; ","")&amp;IF($AJ339&lt;'01_Settings'!$B$15,"Low conversion rate; ","")&amp;IF($AK339&gt;'01_Settings'!$B$16,"High complaint rate; ",""))</f>
        <v/>
      </c>
    </row>
    <row r="340" ht="18" customHeight="1">
      <c r="A340" s="86" t="n"/>
      <c r="B340" s="26" t="n"/>
      <c r="C340" s="26" t="n"/>
      <c r="D340" s="26" t="n"/>
      <c r="E340" s="26" t="n"/>
      <c r="F340" s="26" t="n"/>
      <c r="G340" s="26" t="n"/>
      <c r="H340" s="26" t="n"/>
      <c r="I340" s="26" t="n"/>
      <c r="J340" s="87" t="n"/>
      <c r="K340" s="87" t="n"/>
      <c r="L340" s="87" t="n"/>
      <c r="M340" s="87" t="n"/>
      <c r="N340" s="88" t="n"/>
      <c r="O340" s="88" t="n"/>
      <c r="P340" s="89" t="n"/>
      <c r="Q340" s="87" t="n"/>
      <c r="R340" s="87" t="n"/>
      <c r="S340" s="87" t="n"/>
      <c r="T340" s="87" t="n"/>
      <c r="U340" s="89" t="n"/>
      <c r="V340" s="89" t="n"/>
      <c r="W340" s="89" t="n"/>
      <c r="X340" s="87" t="n"/>
      <c r="Y340" s="87" t="n"/>
      <c r="Z340" s="88" t="n"/>
      <c r="AA340" s="26" t="n"/>
      <c r="AB340" s="86">
        <f>IF($A340="","",$A340-WEEKDAY($A340,2)+1)</f>
        <v/>
      </c>
      <c r="AC340" s="86">
        <f>IF($A340="","",DATE(YEAR($A340),MONTH($A340),1))</f>
        <v/>
      </c>
      <c r="AD340" s="90">
        <f>IF($A340="","",IFERROR($K340/$J340,0))</f>
        <v/>
      </c>
      <c r="AE340" s="90">
        <f>IF($A340="","",IFERROR($L340/$J340,0))</f>
        <v/>
      </c>
      <c r="AF340" s="90">
        <f>IF($A340="","",IFERROR($M340/$J340,0))</f>
        <v/>
      </c>
      <c r="AG340" s="88">
        <f>IF($A340="","",$N340-$O340)</f>
        <v/>
      </c>
      <c r="AH340" s="90">
        <f>IF($A340="","",IFERROR($AG340/$N340,0))</f>
        <v/>
      </c>
      <c r="AI340" s="89">
        <f>IF($A340="","",IFERROR($K340/$P340,0))</f>
        <v/>
      </c>
      <c r="AJ340" s="90">
        <f>IF($A340="","",IFERROR($S340/$R340,0))</f>
        <v/>
      </c>
      <c r="AK340" s="90">
        <f>IF($A340="","",IFERROR($T340/$J340,0))</f>
        <v/>
      </c>
      <c r="AL340" s="26">
        <f>IF($A340="","",IF(AND($AD340&gt;='01_Settings'!$B$9,$V340&lt;='01_Settings'!$B$10,$W340&lt;='01_Settings'!$B$11),"On track","Off track"))</f>
        <v/>
      </c>
      <c r="AM340" s="42">
        <f>IF($A340="","",IF($AD340&lt;'01_Settings'!$B$9,"Low completion rate; ","")&amp;IF($AE340&gt;'01_Settings'!$B$12,"High overdue rate; ","")&amp;IF($U340&lt;'01_Settings'!$B$13,"Low satisfaction; ","")&amp;IF($AH340&lt;'01_Settings'!$B$14,"Low gross margin; ","")&amp;IF($AJ340&lt;'01_Settings'!$B$15,"Low conversion rate; ","")&amp;IF($AK340&gt;'01_Settings'!$B$16,"High complaint rate; ",""))</f>
        <v/>
      </c>
    </row>
    <row r="341" ht="18" customHeight="1">
      <c r="A341" s="86" t="n"/>
      <c r="B341" s="26" t="n"/>
      <c r="C341" s="26" t="n"/>
      <c r="D341" s="26" t="n"/>
      <c r="E341" s="26" t="n"/>
      <c r="F341" s="26" t="n"/>
      <c r="G341" s="26" t="n"/>
      <c r="H341" s="26" t="n"/>
      <c r="I341" s="26" t="n"/>
      <c r="J341" s="87" t="n"/>
      <c r="K341" s="87" t="n"/>
      <c r="L341" s="87" t="n"/>
      <c r="M341" s="87" t="n"/>
      <c r="N341" s="88" t="n"/>
      <c r="O341" s="88" t="n"/>
      <c r="P341" s="89" t="n"/>
      <c r="Q341" s="87" t="n"/>
      <c r="R341" s="87" t="n"/>
      <c r="S341" s="87" t="n"/>
      <c r="T341" s="87" t="n"/>
      <c r="U341" s="89" t="n"/>
      <c r="V341" s="89" t="n"/>
      <c r="W341" s="89" t="n"/>
      <c r="X341" s="87" t="n"/>
      <c r="Y341" s="87" t="n"/>
      <c r="Z341" s="88" t="n"/>
      <c r="AA341" s="26" t="n"/>
      <c r="AB341" s="86">
        <f>IF($A341="","",$A341-WEEKDAY($A341,2)+1)</f>
        <v/>
      </c>
      <c r="AC341" s="86">
        <f>IF($A341="","",DATE(YEAR($A341),MONTH($A341),1))</f>
        <v/>
      </c>
      <c r="AD341" s="90">
        <f>IF($A341="","",IFERROR($K341/$J341,0))</f>
        <v/>
      </c>
      <c r="AE341" s="90">
        <f>IF($A341="","",IFERROR($L341/$J341,0))</f>
        <v/>
      </c>
      <c r="AF341" s="90">
        <f>IF($A341="","",IFERROR($M341/$J341,0))</f>
        <v/>
      </c>
      <c r="AG341" s="88">
        <f>IF($A341="","",$N341-$O341)</f>
        <v/>
      </c>
      <c r="AH341" s="90">
        <f>IF($A341="","",IFERROR($AG341/$N341,0))</f>
        <v/>
      </c>
      <c r="AI341" s="89">
        <f>IF($A341="","",IFERROR($K341/$P341,0))</f>
        <v/>
      </c>
      <c r="AJ341" s="90">
        <f>IF($A341="","",IFERROR($S341/$R341,0))</f>
        <v/>
      </c>
      <c r="AK341" s="90">
        <f>IF($A341="","",IFERROR($T341/$J341,0))</f>
        <v/>
      </c>
      <c r="AL341" s="26">
        <f>IF($A341="","",IF(AND($AD341&gt;='01_Settings'!$B$9,$V341&lt;='01_Settings'!$B$10,$W341&lt;='01_Settings'!$B$11),"On track","Off track"))</f>
        <v/>
      </c>
      <c r="AM341" s="42">
        <f>IF($A341="","",IF($AD341&lt;'01_Settings'!$B$9,"Low completion rate; ","")&amp;IF($AE341&gt;'01_Settings'!$B$12,"High overdue rate; ","")&amp;IF($U341&lt;'01_Settings'!$B$13,"Low satisfaction; ","")&amp;IF($AH341&lt;'01_Settings'!$B$14,"Low gross margin; ","")&amp;IF($AJ341&lt;'01_Settings'!$B$15,"Low conversion rate; ","")&amp;IF($AK341&gt;'01_Settings'!$B$16,"High complaint rate; ",""))</f>
        <v/>
      </c>
    </row>
    <row r="342" ht="18" customHeight="1">
      <c r="A342" s="86" t="n"/>
      <c r="B342" s="26" t="n"/>
      <c r="C342" s="26" t="n"/>
      <c r="D342" s="26" t="n"/>
      <c r="E342" s="26" t="n"/>
      <c r="F342" s="26" t="n"/>
      <c r="G342" s="26" t="n"/>
      <c r="H342" s="26" t="n"/>
      <c r="I342" s="26" t="n"/>
      <c r="J342" s="87" t="n"/>
      <c r="K342" s="87" t="n"/>
      <c r="L342" s="87" t="n"/>
      <c r="M342" s="87" t="n"/>
      <c r="N342" s="88" t="n"/>
      <c r="O342" s="88" t="n"/>
      <c r="P342" s="89" t="n"/>
      <c r="Q342" s="87" t="n"/>
      <c r="R342" s="87" t="n"/>
      <c r="S342" s="87" t="n"/>
      <c r="T342" s="87" t="n"/>
      <c r="U342" s="89" t="n"/>
      <c r="V342" s="89" t="n"/>
      <c r="W342" s="89" t="n"/>
      <c r="X342" s="87" t="n"/>
      <c r="Y342" s="87" t="n"/>
      <c r="Z342" s="88" t="n"/>
      <c r="AA342" s="26" t="n"/>
      <c r="AB342" s="86">
        <f>IF($A342="","",$A342-WEEKDAY($A342,2)+1)</f>
        <v/>
      </c>
      <c r="AC342" s="86">
        <f>IF($A342="","",DATE(YEAR($A342),MONTH($A342),1))</f>
        <v/>
      </c>
      <c r="AD342" s="90">
        <f>IF($A342="","",IFERROR($K342/$J342,0))</f>
        <v/>
      </c>
      <c r="AE342" s="90">
        <f>IF($A342="","",IFERROR($L342/$J342,0))</f>
        <v/>
      </c>
      <c r="AF342" s="90">
        <f>IF($A342="","",IFERROR($M342/$J342,0))</f>
        <v/>
      </c>
      <c r="AG342" s="88">
        <f>IF($A342="","",$N342-$O342)</f>
        <v/>
      </c>
      <c r="AH342" s="90">
        <f>IF($A342="","",IFERROR($AG342/$N342,0))</f>
        <v/>
      </c>
      <c r="AI342" s="89">
        <f>IF($A342="","",IFERROR($K342/$P342,0))</f>
        <v/>
      </c>
      <c r="AJ342" s="90">
        <f>IF($A342="","",IFERROR($S342/$R342,0))</f>
        <v/>
      </c>
      <c r="AK342" s="90">
        <f>IF($A342="","",IFERROR($T342/$J342,0))</f>
        <v/>
      </c>
      <c r="AL342" s="26">
        <f>IF($A342="","",IF(AND($AD342&gt;='01_Settings'!$B$9,$V342&lt;='01_Settings'!$B$10,$W342&lt;='01_Settings'!$B$11),"On track","Off track"))</f>
        <v/>
      </c>
      <c r="AM342" s="42">
        <f>IF($A342="","",IF($AD342&lt;'01_Settings'!$B$9,"Low completion rate; ","")&amp;IF($AE342&gt;'01_Settings'!$B$12,"High overdue rate; ","")&amp;IF($U342&lt;'01_Settings'!$B$13,"Low satisfaction; ","")&amp;IF($AH342&lt;'01_Settings'!$B$14,"Low gross margin; ","")&amp;IF($AJ342&lt;'01_Settings'!$B$15,"Low conversion rate; ","")&amp;IF($AK342&gt;'01_Settings'!$B$16,"High complaint rate; ",""))</f>
        <v/>
      </c>
    </row>
    <row r="343" ht="18" customHeight="1">
      <c r="A343" s="86" t="n"/>
      <c r="B343" s="26" t="n"/>
      <c r="C343" s="26" t="n"/>
      <c r="D343" s="26" t="n"/>
      <c r="E343" s="26" t="n"/>
      <c r="F343" s="26" t="n"/>
      <c r="G343" s="26" t="n"/>
      <c r="H343" s="26" t="n"/>
      <c r="I343" s="26" t="n"/>
      <c r="J343" s="87" t="n"/>
      <c r="K343" s="87" t="n"/>
      <c r="L343" s="87" t="n"/>
      <c r="M343" s="87" t="n"/>
      <c r="N343" s="88" t="n"/>
      <c r="O343" s="88" t="n"/>
      <c r="P343" s="89" t="n"/>
      <c r="Q343" s="87" t="n"/>
      <c r="R343" s="87" t="n"/>
      <c r="S343" s="87" t="n"/>
      <c r="T343" s="87" t="n"/>
      <c r="U343" s="89" t="n"/>
      <c r="V343" s="89" t="n"/>
      <c r="W343" s="89" t="n"/>
      <c r="X343" s="87" t="n"/>
      <c r="Y343" s="87" t="n"/>
      <c r="Z343" s="88" t="n"/>
      <c r="AA343" s="26" t="n"/>
      <c r="AB343" s="86">
        <f>IF($A343="","",$A343-WEEKDAY($A343,2)+1)</f>
        <v/>
      </c>
      <c r="AC343" s="86">
        <f>IF($A343="","",DATE(YEAR($A343),MONTH($A343),1))</f>
        <v/>
      </c>
      <c r="AD343" s="90">
        <f>IF($A343="","",IFERROR($K343/$J343,0))</f>
        <v/>
      </c>
      <c r="AE343" s="90">
        <f>IF($A343="","",IFERROR($L343/$J343,0))</f>
        <v/>
      </c>
      <c r="AF343" s="90">
        <f>IF($A343="","",IFERROR($M343/$J343,0))</f>
        <v/>
      </c>
      <c r="AG343" s="88">
        <f>IF($A343="","",$N343-$O343)</f>
        <v/>
      </c>
      <c r="AH343" s="90">
        <f>IF($A343="","",IFERROR($AG343/$N343,0))</f>
        <v/>
      </c>
      <c r="AI343" s="89">
        <f>IF($A343="","",IFERROR($K343/$P343,0))</f>
        <v/>
      </c>
      <c r="AJ343" s="90">
        <f>IF($A343="","",IFERROR($S343/$R343,0))</f>
        <v/>
      </c>
      <c r="AK343" s="90">
        <f>IF($A343="","",IFERROR($T343/$J343,0))</f>
        <v/>
      </c>
      <c r="AL343" s="26">
        <f>IF($A343="","",IF(AND($AD343&gt;='01_Settings'!$B$9,$V343&lt;='01_Settings'!$B$10,$W343&lt;='01_Settings'!$B$11),"On track","Off track"))</f>
        <v/>
      </c>
      <c r="AM343" s="42">
        <f>IF($A343="","",IF($AD343&lt;'01_Settings'!$B$9,"Low completion rate; ","")&amp;IF($AE343&gt;'01_Settings'!$B$12,"High overdue rate; ","")&amp;IF($U343&lt;'01_Settings'!$B$13,"Low satisfaction; ","")&amp;IF($AH343&lt;'01_Settings'!$B$14,"Low gross margin; ","")&amp;IF($AJ343&lt;'01_Settings'!$B$15,"Low conversion rate; ","")&amp;IF($AK343&gt;'01_Settings'!$B$16,"High complaint rate; ",""))</f>
        <v/>
      </c>
    </row>
    <row r="344" ht="18" customHeight="1">
      <c r="A344" s="86" t="n"/>
      <c r="B344" s="26" t="n"/>
      <c r="C344" s="26" t="n"/>
      <c r="D344" s="26" t="n"/>
      <c r="E344" s="26" t="n"/>
      <c r="F344" s="26" t="n"/>
      <c r="G344" s="26" t="n"/>
      <c r="H344" s="26" t="n"/>
      <c r="I344" s="26" t="n"/>
      <c r="J344" s="87" t="n"/>
      <c r="K344" s="87" t="n"/>
      <c r="L344" s="87" t="n"/>
      <c r="M344" s="87" t="n"/>
      <c r="N344" s="88" t="n"/>
      <c r="O344" s="88" t="n"/>
      <c r="P344" s="89" t="n"/>
      <c r="Q344" s="87" t="n"/>
      <c r="R344" s="87" t="n"/>
      <c r="S344" s="87" t="n"/>
      <c r="T344" s="87" t="n"/>
      <c r="U344" s="89" t="n"/>
      <c r="V344" s="89" t="n"/>
      <c r="W344" s="89" t="n"/>
      <c r="X344" s="87" t="n"/>
      <c r="Y344" s="87" t="n"/>
      <c r="Z344" s="88" t="n"/>
      <c r="AA344" s="26" t="n"/>
      <c r="AB344" s="86">
        <f>IF($A344="","",$A344-WEEKDAY($A344,2)+1)</f>
        <v/>
      </c>
      <c r="AC344" s="86">
        <f>IF($A344="","",DATE(YEAR($A344),MONTH($A344),1))</f>
        <v/>
      </c>
      <c r="AD344" s="90">
        <f>IF($A344="","",IFERROR($K344/$J344,0))</f>
        <v/>
      </c>
      <c r="AE344" s="90">
        <f>IF($A344="","",IFERROR($L344/$J344,0))</f>
        <v/>
      </c>
      <c r="AF344" s="90">
        <f>IF($A344="","",IFERROR($M344/$J344,0))</f>
        <v/>
      </c>
      <c r="AG344" s="88">
        <f>IF($A344="","",$N344-$O344)</f>
        <v/>
      </c>
      <c r="AH344" s="90">
        <f>IF($A344="","",IFERROR($AG344/$N344,0))</f>
        <v/>
      </c>
      <c r="AI344" s="89">
        <f>IF($A344="","",IFERROR($K344/$P344,0))</f>
        <v/>
      </c>
      <c r="AJ344" s="90">
        <f>IF($A344="","",IFERROR($S344/$R344,0))</f>
        <v/>
      </c>
      <c r="AK344" s="90">
        <f>IF($A344="","",IFERROR($T344/$J344,0))</f>
        <v/>
      </c>
      <c r="AL344" s="26">
        <f>IF($A344="","",IF(AND($AD344&gt;='01_Settings'!$B$9,$V344&lt;='01_Settings'!$B$10,$W344&lt;='01_Settings'!$B$11),"On track","Off track"))</f>
        <v/>
      </c>
      <c r="AM344" s="42">
        <f>IF($A344="","",IF($AD344&lt;'01_Settings'!$B$9,"Low completion rate; ","")&amp;IF($AE344&gt;'01_Settings'!$B$12,"High overdue rate; ","")&amp;IF($U344&lt;'01_Settings'!$B$13,"Low satisfaction; ","")&amp;IF($AH344&lt;'01_Settings'!$B$14,"Low gross margin; ","")&amp;IF($AJ344&lt;'01_Settings'!$B$15,"Low conversion rate; ","")&amp;IF($AK344&gt;'01_Settings'!$B$16,"High complaint rate; ",""))</f>
        <v/>
      </c>
    </row>
    <row r="345" ht="18" customHeight="1">
      <c r="A345" s="86" t="n"/>
      <c r="B345" s="26" t="n"/>
      <c r="C345" s="26" t="n"/>
      <c r="D345" s="26" t="n"/>
      <c r="E345" s="26" t="n"/>
      <c r="F345" s="26" t="n"/>
      <c r="G345" s="26" t="n"/>
      <c r="H345" s="26" t="n"/>
      <c r="I345" s="26" t="n"/>
      <c r="J345" s="87" t="n"/>
      <c r="K345" s="87" t="n"/>
      <c r="L345" s="87" t="n"/>
      <c r="M345" s="87" t="n"/>
      <c r="N345" s="88" t="n"/>
      <c r="O345" s="88" t="n"/>
      <c r="P345" s="89" t="n"/>
      <c r="Q345" s="87" t="n"/>
      <c r="R345" s="87" t="n"/>
      <c r="S345" s="87" t="n"/>
      <c r="T345" s="87" t="n"/>
      <c r="U345" s="89" t="n"/>
      <c r="V345" s="89" t="n"/>
      <c r="W345" s="89" t="n"/>
      <c r="X345" s="87" t="n"/>
      <c r="Y345" s="87" t="n"/>
      <c r="Z345" s="88" t="n"/>
      <c r="AA345" s="26" t="n"/>
      <c r="AB345" s="86">
        <f>IF($A345="","",$A345-WEEKDAY($A345,2)+1)</f>
        <v/>
      </c>
      <c r="AC345" s="86">
        <f>IF($A345="","",DATE(YEAR($A345),MONTH($A345),1))</f>
        <v/>
      </c>
      <c r="AD345" s="90">
        <f>IF($A345="","",IFERROR($K345/$J345,0))</f>
        <v/>
      </c>
      <c r="AE345" s="90">
        <f>IF($A345="","",IFERROR($L345/$J345,0))</f>
        <v/>
      </c>
      <c r="AF345" s="90">
        <f>IF($A345="","",IFERROR($M345/$J345,0))</f>
        <v/>
      </c>
      <c r="AG345" s="88">
        <f>IF($A345="","",$N345-$O345)</f>
        <v/>
      </c>
      <c r="AH345" s="90">
        <f>IF($A345="","",IFERROR($AG345/$N345,0))</f>
        <v/>
      </c>
      <c r="AI345" s="89">
        <f>IF($A345="","",IFERROR($K345/$P345,0))</f>
        <v/>
      </c>
      <c r="AJ345" s="90">
        <f>IF($A345="","",IFERROR($S345/$R345,0))</f>
        <v/>
      </c>
      <c r="AK345" s="90">
        <f>IF($A345="","",IFERROR($T345/$J345,0))</f>
        <v/>
      </c>
      <c r="AL345" s="26">
        <f>IF($A345="","",IF(AND($AD345&gt;='01_Settings'!$B$9,$V345&lt;='01_Settings'!$B$10,$W345&lt;='01_Settings'!$B$11),"On track","Off track"))</f>
        <v/>
      </c>
      <c r="AM345" s="42">
        <f>IF($A345="","",IF($AD345&lt;'01_Settings'!$B$9,"Low completion rate; ","")&amp;IF($AE345&gt;'01_Settings'!$B$12,"High overdue rate; ","")&amp;IF($U345&lt;'01_Settings'!$B$13,"Low satisfaction; ","")&amp;IF($AH345&lt;'01_Settings'!$B$14,"Low gross margin; ","")&amp;IF($AJ345&lt;'01_Settings'!$B$15,"Low conversion rate; ","")&amp;IF($AK345&gt;'01_Settings'!$B$16,"High complaint rate; ",""))</f>
        <v/>
      </c>
    </row>
    <row r="346" ht="18" customHeight="1">
      <c r="A346" s="86" t="n"/>
      <c r="B346" s="26" t="n"/>
      <c r="C346" s="26" t="n"/>
      <c r="D346" s="26" t="n"/>
      <c r="E346" s="26" t="n"/>
      <c r="F346" s="26" t="n"/>
      <c r="G346" s="26" t="n"/>
      <c r="H346" s="26" t="n"/>
      <c r="I346" s="26" t="n"/>
      <c r="J346" s="87" t="n"/>
      <c r="K346" s="87" t="n"/>
      <c r="L346" s="87" t="n"/>
      <c r="M346" s="87" t="n"/>
      <c r="N346" s="88" t="n"/>
      <c r="O346" s="88" t="n"/>
      <c r="P346" s="89" t="n"/>
      <c r="Q346" s="87" t="n"/>
      <c r="R346" s="87" t="n"/>
      <c r="S346" s="87" t="n"/>
      <c r="T346" s="87" t="n"/>
      <c r="U346" s="89" t="n"/>
      <c r="V346" s="89" t="n"/>
      <c r="W346" s="89" t="n"/>
      <c r="X346" s="87" t="n"/>
      <c r="Y346" s="87" t="n"/>
      <c r="Z346" s="88" t="n"/>
      <c r="AA346" s="26" t="n"/>
      <c r="AB346" s="86">
        <f>IF($A346="","",$A346-WEEKDAY($A346,2)+1)</f>
        <v/>
      </c>
      <c r="AC346" s="86">
        <f>IF($A346="","",DATE(YEAR($A346),MONTH($A346),1))</f>
        <v/>
      </c>
      <c r="AD346" s="90">
        <f>IF($A346="","",IFERROR($K346/$J346,0))</f>
        <v/>
      </c>
      <c r="AE346" s="90">
        <f>IF($A346="","",IFERROR($L346/$J346,0))</f>
        <v/>
      </c>
      <c r="AF346" s="90">
        <f>IF($A346="","",IFERROR($M346/$J346,0))</f>
        <v/>
      </c>
      <c r="AG346" s="88">
        <f>IF($A346="","",$N346-$O346)</f>
        <v/>
      </c>
      <c r="AH346" s="90">
        <f>IF($A346="","",IFERROR($AG346/$N346,0))</f>
        <v/>
      </c>
      <c r="AI346" s="89">
        <f>IF($A346="","",IFERROR($K346/$P346,0))</f>
        <v/>
      </c>
      <c r="AJ346" s="90">
        <f>IF($A346="","",IFERROR($S346/$R346,0))</f>
        <v/>
      </c>
      <c r="AK346" s="90">
        <f>IF($A346="","",IFERROR($T346/$J346,0))</f>
        <v/>
      </c>
      <c r="AL346" s="26">
        <f>IF($A346="","",IF(AND($AD346&gt;='01_Settings'!$B$9,$V346&lt;='01_Settings'!$B$10,$W346&lt;='01_Settings'!$B$11),"On track","Off track"))</f>
        <v/>
      </c>
      <c r="AM346" s="42">
        <f>IF($A346="","",IF($AD346&lt;'01_Settings'!$B$9,"Low completion rate; ","")&amp;IF($AE346&gt;'01_Settings'!$B$12,"High overdue rate; ","")&amp;IF($U346&lt;'01_Settings'!$B$13,"Low satisfaction; ","")&amp;IF($AH346&lt;'01_Settings'!$B$14,"Low gross margin; ","")&amp;IF($AJ346&lt;'01_Settings'!$B$15,"Low conversion rate; ","")&amp;IF($AK346&gt;'01_Settings'!$B$16,"High complaint rate; ",""))</f>
        <v/>
      </c>
    </row>
    <row r="347" ht="18" customHeight="1">
      <c r="A347" s="86" t="n"/>
      <c r="B347" s="26" t="n"/>
      <c r="C347" s="26" t="n"/>
      <c r="D347" s="26" t="n"/>
      <c r="E347" s="26" t="n"/>
      <c r="F347" s="26" t="n"/>
      <c r="G347" s="26" t="n"/>
      <c r="H347" s="26" t="n"/>
      <c r="I347" s="26" t="n"/>
      <c r="J347" s="87" t="n"/>
      <c r="K347" s="87" t="n"/>
      <c r="L347" s="87" t="n"/>
      <c r="M347" s="87" t="n"/>
      <c r="N347" s="88" t="n"/>
      <c r="O347" s="88" t="n"/>
      <c r="P347" s="89" t="n"/>
      <c r="Q347" s="87" t="n"/>
      <c r="R347" s="87" t="n"/>
      <c r="S347" s="87" t="n"/>
      <c r="T347" s="87" t="n"/>
      <c r="U347" s="89" t="n"/>
      <c r="V347" s="89" t="n"/>
      <c r="W347" s="89" t="n"/>
      <c r="X347" s="87" t="n"/>
      <c r="Y347" s="87" t="n"/>
      <c r="Z347" s="88" t="n"/>
      <c r="AA347" s="26" t="n"/>
      <c r="AB347" s="86">
        <f>IF($A347="","",$A347-WEEKDAY($A347,2)+1)</f>
        <v/>
      </c>
      <c r="AC347" s="86">
        <f>IF($A347="","",DATE(YEAR($A347),MONTH($A347),1))</f>
        <v/>
      </c>
      <c r="AD347" s="90">
        <f>IF($A347="","",IFERROR($K347/$J347,0))</f>
        <v/>
      </c>
      <c r="AE347" s="90">
        <f>IF($A347="","",IFERROR($L347/$J347,0))</f>
        <v/>
      </c>
      <c r="AF347" s="90">
        <f>IF($A347="","",IFERROR($M347/$J347,0))</f>
        <v/>
      </c>
      <c r="AG347" s="88">
        <f>IF($A347="","",$N347-$O347)</f>
        <v/>
      </c>
      <c r="AH347" s="90">
        <f>IF($A347="","",IFERROR($AG347/$N347,0))</f>
        <v/>
      </c>
      <c r="AI347" s="89">
        <f>IF($A347="","",IFERROR($K347/$P347,0))</f>
        <v/>
      </c>
      <c r="AJ347" s="90">
        <f>IF($A347="","",IFERROR($S347/$R347,0))</f>
        <v/>
      </c>
      <c r="AK347" s="90">
        <f>IF($A347="","",IFERROR($T347/$J347,0))</f>
        <v/>
      </c>
      <c r="AL347" s="26">
        <f>IF($A347="","",IF(AND($AD347&gt;='01_Settings'!$B$9,$V347&lt;='01_Settings'!$B$10,$W347&lt;='01_Settings'!$B$11),"On track","Off track"))</f>
        <v/>
      </c>
      <c r="AM347" s="42">
        <f>IF($A347="","",IF($AD347&lt;'01_Settings'!$B$9,"Low completion rate; ","")&amp;IF($AE347&gt;'01_Settings'!$B$12,"High overdue rate; ","")&amp;IF($U347&lt;'01_Settings'!$B$13,"Low satisfaction; ","")&amp;IF($AH347&lt;'01_Settings'!$B$14,"Low gross margin; ","")&amp;IF($AJ347&lt;'01_Settings'!$B$15,"Low conversion rate; ","")&amp;IF($AK347&gt;'01_Settings'!$B$16,"High complaint rate; ",""))</f>
        <v/>
      </c>
    </row>
    <row r="348" ht="18" customHeight="1">
      <c r="A348" s="86" t="n"/>
      <c r="B348" s="26" t="n"/>
      <c r="C348" s="26" t="n"/>
      <c r="D348" s="26" t="n"/>
      <c r="E348" s="26" t="n"/>
      <c r="F348" s="26" t="n"/>
      <c r="G348" s="26" t="n"/>
      <c r="H348" s="26" t="n"/>
      <c r="I348" s="26" t="n"/>
      <c r="J348" s="87" t="n"/>
      <c r="K348" s="87" t="n"/>
      <c r="L348" s="87" t="n"/>
      <c r="M348" s="87" t="n"/>
      <c r="N348" s="88" t="n"/>
      <c r="O348" s="88" t="n"/>
      <c r="P348" s="89" t="n"/>
      <c r="Q348" s="87" t="n"/>
      <c r="R348" s="87" t="n"/>
      <c r="S348" s="87" t="n"/>
      <c r="T348" s="87" t="n"/>
      <c r="U348" s="89" t="n"/>
      <c r="V348" s="89" t="n"/>
      <c r="W348" s="89" t="n"/>
      <c r="X348" s="87" t="n"/>
      <c r="Y348" s="87" t="n"/>
      <c r="Z348" s="88" t="n"/>
      <c r="AA348" s="26" t="n"/>
      <c r="AB348" s="86">
        <f>IF($A348="","",$A348-WEEKDAY($A348,2)+1)</f>
        <v/>
      </c>
      <c r="AC348" s="86">
        <f>IF($A348="","",DATE(YEAR($A348),MONTH($A348),1))</f>
        <v/>
      </c>
      <c r="AD348" s="90">
        <f>IF($A348="","",IFERROR($K348/$J348,0))</f>
        <v/>
      </c>
      <c r="AE348" s="90">
        <f>IF($A348="","",IFERROR($L348/$J348,0))</f>
        <v/>
      </c>
      <c r="AF348" s="90">
        <f>IF($A348="","",IFERROR($M348/$J348,0))</f>
        <v/>
      </c>
      <c r="AG348" s="88">
        <f>IF($A348="","",$N348-$O348)</f>
        <v/>
      </c>
      <c r="AH348" s="90">
        <f>IF($A348="","",IFERROR($AG348/$N348,0))</f>
        <v/>
      </c>
      <c r="AI348" s="89">
        <f>IF($A348="","",IFERROR($K348/$P348,0))</f>
        <v/>
      </c>
      <c r="AJ348" s="90">
        <f>IF($A348="","",IFERROR($S348/$R348,0))</f>
        <v/>
      </c>
      <c r="AK348" s="90">
        <f>IF($A348="","",IFERROR($T348/$J348,0))</f>
        <v/>
      </c>
      <c r="AL348" s="26">
        <f>IF($A348="","",IF(AND($AD348&gt;='01_Settings'!$B$9,$V348&lt;='01_Settings'!$B$10,$W348&lt;='01_Settings'!$B$11),"On track","Off track"))</f>
        <v/>
      </c>
      <c r="AM348" s="42">
        <f>IF($A348="","",IF($AD348&lt;'01_Settings'!$B$9,"Low completion rate; ","")&amp;IF($AE348&gt;'01_Settings'!$B$12,"High overdue rate; ","")&amp;IF($U348&lt;'01_Settings'!$B$13,"Low satisfaction; ","")&amp;IF($AH348&lt;'01_Settings'!$B$14,"Low gross margin; ","")&amp;IF($AJ348&lt;'01_Settings'!$B$15,"Low conversion rate; ","")&amp;IF($AK348&gt;'01_Settings'!$B$16,"High complaint rate; ",""))</f>
        <v/>
      </c>
    </row>
    <row r="349" ht="18" customHeight="1">
      <c r="A349" s="86" t="n"/>
      <c r="B349" s="26" t="n"/>
      <c r="C349" s="26" t="n"/>
      <c r="D349" s="26" t="n"/>
      <c r="E349" s="26" t="n"/>
      <c r="F349" s="26" t="n"/>
      <c r="G349" s="26" t="n"/>
      <c r="H349" s="26" t="n"/>
      <c r="I349" s="26" t="n"/>
      <c r="J349" s="87" t="n"/>
      <c r="K349" s="87" t="n"/>
      <c r="L349" s="87" t="n"/>
      <c r="M349" s="87" t="n"/>
      <c r="N349" s="88" t="n"/>
      <c r="O349" s="88" t="n"/>
      <c r="P349" s="89" t="n"/>
      <c r="Q349" s="87" t="n"/>
      <c r="R349" s="87" t="n"/>
      <c r="S349" s="87" t="n"/>
      <c r="T349" s="87" t="n"/>
      <c r="U349" s="89" t="n"/>
      <c r="V349" s="89" t="n"/>
      <c r="W349" s="89" t="n"/>
      <c r="X349" s="87" t="n"/>
      <c r="Y349" s="87" t="n"/>
      <c r="Z349" s="88" t="n"/>
      <c r="AA349" s="26" t="n"/>
      <c r="AB349" s="86">
        <f>IF($A349="","",$A349-WEEKDAY($A349,2)+1)</f>
        <v/>
      </c>
      <c r="AC349" s="86">
        <f>IF($A349="","",DATE(YEAR($A349),MONTH($A349),1))</f>
        <v/>
      </c>
      <c r="AD349" s="90">
        <f>IF($A349="","",IFERROR($K349/$J349,0))</f>
        <v/>
      </c>
      <c r="AE349" s="90">
        <f>IF($A349="","",IFERROR($L349/$J349,0))</f>
        <v/>
      </c>
      <c r="AF349" s="90">
        <f>IF($A349="","",IFERROR($M349/$J349,0))</f>
        <v/>
      </c>
      <c r="AG349" s="88">
        <f>IF($A349="","",$N349-$O349)</f>
        <v/>
      </c>
      <c r="AH349" s="90">
        <f>IF($A349="","",IFERROR($AG349/$N349,0))</f>
        <v/>
      </c>
      <c r="AI349" s="89">
        <f>IF($A349="","",IFERROR($K349/$P349,0))</f>
        <v/>
      </c>
      <c r="AJ349" s="90">
        <f>IF($A349="","",IFERROR($S349/$R349,0))</f>
        <v/>
      </c>
      <c r="AK349" s="90">
        <f>IF($A349="","",IFERROR($T349/$J349,0))</f>
        <v/>
      </c>
      <c r="AL349" s="26">
        <f>IF($A349="","",IF(AND($AD349&gt;='01_Settings'!$B$9,$V349&lt;='01_Settings'!$B$10,$W349&lt;='01_Settings'!$B$11),"On track","Off track"))</f>
        <v/>
      </c>
      <c r="AM349" s="42">
        <f>IF($A349="","",IF($AD349&lt;'01_Settings'!$B$9,"Low completion rate; ","")&amp;IF($AE349&gt;'01_Settings'!$B$12,"High overdue rate; ","")&amp;IF($U349&lt;'01_Settings'!$B$13,"Low satisfaction; ","")&amp;IF($AH349&lt;'01_Settings'!$B$14,"Low gross margin; ","")&amp;IF($AJ349&lt;'01_Settings'!$B$15,"Low conversion rate; ","")&amp;IF($AK349&gt;'01_Settings'!$B$16,"High complaint rate; ",""))</f>
        <v/>
      </c>
    </row>
    <row r="350" ht="18" customHeight="1">
      <c r="A350" s="86" t="n"/>
      <c r="B350" s="26" t="n"/>
      <c r="C350" s="26" t="n"/>
      <c r="D350" s="26" t="n"/>
      <c r="E350" s="26" t="n"/>
      <c r="F350" s="26" t="n"/>
      <c r="G350" s="26" t="n"/>
      <c r="H350" s="26" t="n"/>
      <c r="I350" s="26" t="n"/>
      <c r="J350" s="87" t="n"/>
      <c r="K350" s="87" t="n"/>
      <c r="L350" s="87" t="n"/>
      <c r="M350" s="87" t="n"/>
      <c r="N350" s="88" t="n"/>
      <c r="O350" s="88" t="n"/>
      <c r="P350" s="89" t="n"/>
      <c r="Q350" s="87" t="n"/>
      <c r="R350" s="87" t="n"/>
      <c r="S350" s="87" t="n"/>
      <c r="T350" s="87" t="n"/>
      <c r="U350" s="89" t="n"/>
      <c r="V350" s="89" t="n"/>
      <c r="W350" s="89" t="n"/>
      <c r="X350" s="87" t="n"/>
      <c r="Y350" s="87" t="n"/>
      <c r="Z350" s="88" t="n"/>
      <c r="AA350" s="26" t="n"/>
      <c r="AB350" s="86">
        <f>IF($A350="","",$A350-WEEKDAY($A350,2)+1)</f>
        <v/>
      </c>
      <c r="AC350" s="86">
        <f>IF($A350="","",DATE(YEAR($A350),MONTH($A350),1))</f>
        <v/>
      </c>
      <c r="AD350" s="90">
        <f>IF($A350="","",IFERROR($K350/$J350,0))</f>
        <v/>
      </c>
      <c r="AE350" s="90">
        <f>IF($A350="","",IFERROR($L350/$J350,0))</f>
        <v/>
      </c>
      <c r="AF350" s="90">
        <f>IF($A350="","",IFERROR($M350/$J350,0))</f>
        <v/>
      </c>
      <c r="AG350" s="88">
        <f>IF($A350="","",$N350-$O350)</f>
        <v/>
      </c>
      <c r="AH350" s="90">
        <f>IF($A350="","",IFERROR($AG350/$N350,0))</f>
        <v/>
      </c>
      <c r="AI350" s="89">
        <f>IF($A350="","",IFERROR($K350/$P350,0))</f>
        <v/>
      </c>
      <c r="AJ350" s="90">
        <f>IF($A350="","",IFERROR($S350/$R350,0))</f>
        <v/>
      </c>
      <c r="AK350" s="90">
        <f>IF($A350="","",IFERROR($T350/$J350,0))</f>
        <v/>
      </c>
      <c r="AL350" s="26">
        <f>IF($A350="","",IF(AND($AD350&gt;='01_Settings'!$B$9,$V350&lt;='01_Settings'!$B$10,$W350&lt;='01_Settings'!$B$11),"On track","Off track"))</f>
        <v/>
      </c>
      <c r="AM350" s="42">
        <f>IF($A350="","",IF($AD350&lt;'01_Settings'!$B$9,"Low completion rate; ","")&amp;IF($AE350&gt;'01_Settings'!$B$12,"High overdue rate; ","")&amp;IF($U350&lt;'01_Settings'!$B$13,"Low satisfaction; ","")&amp;IF($AH350&lt;'01_Settings'!$B$14,"Low gross margin; ","")&amp;IF($AJ350&lt;'01_Settings'!$B$15,"Low conversion rate; ","")&amp;IF($AK350&gt;'01_Settings'!$B$16,"High complaint rate; ",""))</f>
        <v/>
      </c>
    </row>
    <row r="351" ht="18" customHeight="1">
      <c r="A351" s="86" t="n"/>
      <c r="B351" s="26" t="n"/>
      <c r="C351" s="26" t="n"/>
      <c r="D351" s="26" t="n"/>
      <c r="E351" s="26" t="n"/>
      <c r="F351" s="26" t="n"/>
      <c r="G351" s="26" t="n"/>
      <c r="H351" s="26" t="n"/>
      <c r="I351" s="26" t="n"/>
      <c r="J351" s="87" t="n"/>
      <c r="K351" s="87" t="n"/>
      <c r="L351" s="87" t="n"/>
      <c r="M351" s="87" t="n"/>
      <c r="N351" s="88" t="n"/>
      <c r="O351" s="88" t="n"/>
      <c r="P351" s="89" t="n"/>
      <c r="Q351" s="87" t="n"/>
      <c r="R351" s="87" t="n"/>
      <c r="S351" s="87" t="n"/>
      <c r="T351" s="87" t="n"/>
      <c r="U351" s="89" t="n"/>
      <c r="V351" s="89" t="n"/>
      <c r="W351" s="89" t="n"/>
      <c r="X351" s="87" t="n"/>
      <c r="Y351" s="87" t="n"/>
      <c r="Z351" s="88" t="n"/>
      <c r="AA351" s="26" t="n"/>
      <c r="AB351" s="86">
        <f>IF($A351="","",$A351-WEEKDAY($A351,2)+1)</f>
        <v/>
      </c>
      <c r="AC351" s="86">
        <f>IF($A351="","",DATE(YEAR($A351),MONTH($A351),1))</f>
        <v/>
      </c>
      <c r="AD351" s="90">
        <f>IF($A351="","",IFERROR($K351/$J351,0))</f>
        <v/>
      </c>
      <c r="AE351" s="90">
        <f>IF($A351="","",IFERROR($L351/$J351,0))</f>
        <v/>
      </c>
      <c r="AF351" s="90">
        <f>IF($A351="","",IFERROR($M351/$J351,0))</f>
        <v/>
      </c>
      <c r="AG351" s="88">
        <f>IF($A351="","",$N351-$O351)</f>
        <v/>
      </c>
      <c r="AH351" s="90">
        <f>IF($A351="","",IFERROR($AG351/$N351,0))</f>
        <v/>
      </c>
      <c r="AI351" s="89">
        <f>IF($A351="","",IFERROR($K351/$P351,0))</f>
        <v/>
      </c>
      <c r="AJ351" s="90">
        <f>IF($A351="","",IFERROR($S351/$R351,0))</f>
        <v/>
      </c>
      <c r="AK351" s="90">
        <f>IF($A351="","",IFERROR($T351/$J351,0))</f>
        <v/>
      </c>
      <c r="AL351" s="26">
        <f>IF($A351="","",IF(AND($AD351&gt;='01_Settings'!$B$9,$V351&lt;='01_Settings'!$B$10,$W351&lt;='01_Settings'!$B$11),"On track","Off track"))</f>
        <v/>
      </c>
      <c r="AM351" s="42">
        <f>IF($A351="","",IF($AD351&lt;'01_Settings'!$B$9,"Low completion rate; ","")&amp;IF($AE351&gt;'01_Settings'!$B$12,"High overdue rate; ","")&amp;IF($U351&lt;'01_Settings'!$B$13,"Low satisfaction; ","")&amp;IF($AH351&lt;'01_Settings'!$B$14,"Low gross margin; ","")&amp;IF($AJ351&lt;'01_Settings'!$B$15,"Low conversion rate; ","")&amp;IF($AK351&gt;'01_Settings'!$B$16,"High complaint rate; ",""))</f>
        <v/>
      </c>
    </row>
    <row r="352" ht="18" customHeight="1">
      <c r="A352" s="86" t="n"/>
      <c r="B352" s="26" t="n"/>
      <c r="C352" s="26" t="n"/>
      <c r="D352" s="26" t="n"/>
      <c r="E352" s="26" t="n"/>
      <c r="F352" s="26" t="n"/>
      <c r="G352" s="26" t="n"/>
      <c r="H352" s="26" t="n"/>
      <c r="I352" s="26" t="n"/>
      <c r="J352" s="87" t="n"/>
      <c r="K352" s="87" t="n"/>
      <c r="L352" s="87" t="n"/>
      <c r="M352" s="87" t="n"/>
      <c r="N352" s="88" t="n"/>
      <c r="O352" s="88" t="n"/>
      <c r="P352" s="89" t="n"/>
      <c r="Q352" s="87" t="n"/>
      <c r="R352" s="87" t="n"/>
      <c r="S352" s="87" t="n"/>
      <c r="T352" s="87" t="n"/>
      <c r="U352" s="89" t="n"/>
      <c r="V352" s="89" t="n"/>
      <c r="W352" s="89" t="n"/>
      <c r="X352" s="87" t="n"/>
      <c r="Y352" s="87" t="n"/>
      <c r="Z352" s="88" t="n"/>
      <c r="AA352" s="26" t="n"/>
      <c r="AB352" s="86">
        <f>IF($A352="","",$A352-WEEKDAY($A352,2)+1)</f>
        <v/>
      </c>
      <c r="AC352" s="86">
        <f>IF($A352="","",DATE(YEAR($A352),MONTH($A352),1))</f>
        <v/>
      </c>
      <c r="AD352" s="90">
        <f>IF($A352="","",IFERROR($K352/$J352,0))</f>
        <v/>
      </c>
      <c r="AE352" s="90">
        <f>IF($A352="","",IFERROR($L352/$J352,0))</f>
        <v/>
      </c>
      <c r="AF352" s="90">
        <f>IF($A352="","",IFERROR($M352/$J352,0))</f>
        <v/>
      </c>
      <c r="AG352" s="88">
        <f>IF($A352="","",$N352-$O352)</f>
        <v/>
      </c>
      <c r="AH352" s="90">
        <f>IF($A352="","",IFERROR($AG352/$N352,0))</f>
        <v/>
      </c>
      <c r="AI352" s="89">
        <f>IF($A352="","",IFERROR($K352/$P352,0))</f>
        <v/>
      </c>
      <c r="AJ352" s="90">
        <f>IF($A352="","",IFERROR($S352/$R352,0))</f>
        <v/>
      </c>
      <c r="AK352" s="90">
        <f>IF($A352="","",IFERROR($T352/$J352,0))</f>
        <v/>
      </c>
      <c r="AL352" s="26">
        <f>IF($A352="","",IF(AND($AD352&gt;='01_Settings'!$B$9,$V352&lt;='01_Settings'!$B$10,$W352&lt;='01_Settings'!$B$11),"On track","Off track"))</f>
        <v/>
      </c>
      <c r="AM352" s="42">
        <f>IF($A352="","",IF($AD352&lt;'01_Settings'!$B$9,"Low completion rate; ","")&amp;IF($AE352&gt;'01_Settings'!$B$12,"High overdue rate; ","")&amp;IF($U352&lt;'01_Settings'!$B$13,"Low satisfaction; ","")&amp;IF($AH352&lt;'01_Settings'!$B$14,"Low gross margin; ","")&amp;IF($AJ352&lt;'01_Settings'!$B$15,"Low conversion rate; ","")&amp;IF($AK352&gt;'01_Settings'!$B$16,"High complaint rate; ",""))</f>
        <v/>
      </c>
    </row>
    <row r="353" ht="18" customHeight="1">
      <c r="A353" s="86" t="n"/>
      <c r="B353" s="26" t="n"/>
      <c r="C353" s="26" t="n"/>
      <c r="D353" s="26" t="n"/>
      <c r="E353" s="26" t="n"/>
      <c r="F353" s="26" t="n"/>
      <c r="G353" s="26" t="n"/>
      <c r="H353" s="26" t="n"/>
      <c r="I353" s="26" t="n"/>
      <c r="J353" s="87" t="n"/>
      <c r="K353" s="87" t="n"/>
      <c r="L353" s="87" t="n"/>
      <c r="M353" s="87" t="n"/>
      <c r="N353" s="88" t="n"/>
      <c r="O353" s="88" t="n"/>
      <c r="P353" s="89" t="n"/>
      <c r="Q353" s="87" t="n"/>
      <c r="R353" s="87" t="n"/>
      <c r="S353" s="87" t="n"/>
      <c r="T353" s="87" t="n"/>
      <c r="U353" s="89" t="n"/>
      <c r="V353" s="89" t="n"/>
      <c r="W353" s="89" t="n"/>
      <c r="X353" s="87" t="n"/>
      <c r="Y353" s="87" t="n"/>
      <c r="Z353" s="88" t="n"/>
      <c r="AA353" s="26" t="n"/>
      <c r="AB353" s="86">
        <f>IF($A353="","",$A353-WEEKDAY($A353,2)+1)</f>
        <v/>
      </c>
      <c r="AC353" s="86">
        <f>IF($A353="","",DATE(YEAR($A353),MONTH($A353),1))</f>
        <v/>
      </c>
      <c r="AD353" s="90">
        <f>IF($A353="","",IFERROR($K353/$J353,0))</f>
        <v/>
      </c>
      <c r="AE353" s="90">
        <f>IF($A353="","",IFERROR($L353/$J353,0))</f>
        <v/>
      </c>
      <c r="AF353" s="90">
        <f>IF($A353="","",IFERROR($M353/$J353,0))</f>
        <v/>
      </c>
      <c r="AG353" s="88">
        <f>IF($A353="","",$N353-$O353)</f>
        <v/>
      </c>
      <c r="AH353" s="90">
        <f>IF($A353="","",IFERROR($AG353/$N353,0))</f>
        <v/>
      </c>
      <c r="AI353" s="89">
        <f>IF($A353="","",IFERROR($K353/$P353,0))</f>
        <v/>
      </c>
      <c r="AJ353" s="90">
        <f>IF($A353="","",IFERROR($S353/$R353,0))</f>
        <v/>
      </c>
      <c r="AK353" s="90">
        <f>IF($A353="","",IFERROR($T353/$J353,0))</f>
        <v/>
      </c>
      <c r="AL353" s="26">
        <f>IF($A353="","",IF(AND($AD353&gt;='01_Settings'!$B$9,$V353&lt;='01_Settings'!$B$10,$W353&lt;='01_Settings'!$B$11),"On track","Off track"))</f>
        <v/>
      </c>
      <c r="AM353" s="42">
        <f>IF($A353="","",IF($AD353&lt;'01_Settings'!$B$9,"Low completion rate; ","")&amp;IF($AE353&gt;'01_Settings'!$B$12,"High overdue rate; ","")&amp;IF($U353&lt;'01_Settings'!$B$13,"Low satisfaction; ","")&amp;IF($AH353&lt;'01_Settings'!$B$14,"Low gross margin; ","")&amp;IF($AJ353&lt;'01_Settings'!$B$15,"Low conversion rate; ","")&amp;IF($AK353&gt;'01_Settings'!$B$16,"High complaint rate; ",""))</f>
        <v/>
      </c>
    </row>
    <row r="354" ht="18" customHeight="1">
      <c r="A354" s="86" t="n"/>
      <c r="B354" s="26" t="n"/>
      <c r="C354" s="26" t="n"/>
      <c r="D354" s="26" t="n"/>
      <c r="E354" s="26" t="n"/>
      <c r="F354" s="26" t="n"/>
      <c r="G354" s="26" t="n"/>
      <c r="H354" s="26" t="n"/>
      <c r="I354" s="26" t="n"/>
      <c r="J354" s="87" t="n"/>
      <c r="K354" s="87" t="n"/>
      <c r="L354" s="87" t="n"/>
      <c r="M354" s="87" t="n"/>
      <c r="N354" s="88" t="n"/>
      <c r="O354" s="88" t="n"/>
      <c r="P354" s="89" t="n"/>
      <c r="Q354" s="87" t="n"/>
      <c r="R354" s="87" t="n"/>
      <c r="S354" s="87" t="n"/>
      <c r="T354" s="87" t="n"/>
      <c r="U354" s="89" t="n"/>
      <c r="V354" s="89" t="n"/>
      <c r="W354" s="89" t="n"/>
      <c r="X354" s="87" t="n"/>
      <c r="Y354" s="87" t="n"/>
      <c r="Z354" s="88" t="n"/>
      <c r="AA354" s="26" t="n"/>
      <c r="AB354" s="86">
        <f>IF($A354="","",$A354-WEEKDAY($A354,2)+1)</f>
        <v/>
      </c>
      <c r="AC354" s="86">
        <f>IF($A354="","",DATE(YEAR($A354),MONTH($A354),1))</f>
        <v/>
      </c>
      <c r="AD354" s="90">
        <f>IF($A354="","",IFERROR($K354/$J354,0))</f>
        <v/>
      </c>
      <c r="AE354" s="90">
        <f>IF($A354="","",IFERROR($L354/$J354,0))</f>
        <v/>
      </c>
      <c r="AF354" s="90">
        <f>IF($A354="","",IFERROR($M354/$J354,0))</f>
        <v/>
      </c>
      <c r="AG354" s="88">
        <f>IF($A354="","",$N354-$O354)</f>
        <v/>
      </c>
      <c r="AH354" s="90">
        <f>IF($A354="","",IFERROR($AG354/$N354,0))</f>
        <v/>
      </c>
      <c r="AI354" s="89">
        <f>IF($A354="","",IFERROR($K354/$P354,0))</f>
        <v/>
      </c>
      <c r="AJ354" s="90">
        <f>IF($A354="","",IFERROR($S354/$R354,0))</f>
        <v/>
      </c>
      <c r="AK354" s="90">
        <f>IF($A354="","",IFERROR($T354/$J354,0))</f>
        <v/>
      </c>
      <c r="AL354" s="26">
        <f>IF($A354="","",IF(AND($AD354&gt;='01_Settings'!$B$9,$V354&lt;='01_Settings'!$B$10,$W354&lt;='01_Settings'!$B$11),"On track","Off track"))</f>
        <v/>
      </c>
      <c r="AM354" s="42">
        <f>IF($A354="","",IF($AD354&lt;'01_Settings'!$B$9,"Low completion rate; ","")&amp;IF($AE354&gt;'01_Settings'!$B$12,"High overdue rate; ","")&amp;IF($U354&lt;'01_Settings'!$B$13,"Low satisfaction; ","")&amp;IF($AH354&lt;'01_Settings'!$B$14,"Low gross margin; ","")&amp;IF($AJ354&lt;'01_Settings'!$B$15,"Low conversion rate; ","")&amp;IF($AK354&gt;'01_Settings'!$B$16,"High complaint rate; ",""))</f>
        <v/>
      </c>
    </row>
    <row r="355" ht="18" customHeight="1">
      <c r="A355" s="86" t="n"/>
      <c r="B355" s="26" t="n"/>
      <c r="C355" s="26" t="n"/>
      <c r="D355" s="26" t="n"/>
      <c r="E355" s="26" t="n"/>
      <c r="F355" s="26" t="n"/>
      <c r="G355" s="26" t="n"/>
      <c r="H355" s="26" t="n"/>
      <c r="I355" s="26" t="n"/>
      <c r="J355" s="87" t="n"/>
      <c r="K355" s="87" t="n"/>
      <c r="L355" s="87" t="n"/>
      <c r="M355" s="87" t="n"/>
      <c r="N355" s="88" t="n"/>
      <c r="O355" s="88" t="n"/>
      <c r="P355" s="89" t="n"/>
      <c r="Q355" s="87" t="n"/>
      <c r="R355" s="87" t="n"/>
      <c r="S355" s="87" t="n"/>
      <c r="T355" s="87" t="n"/>
      <c r="U355" s="89" t="n"/>
      <c r="V355" s="89" t="n"/>
      <c r="W355" s="89" t="n"/>
      <c r="X355" s="87" t="n"/>
      <c r="Y355" s="87" t="n"/>
      <c r="Z355" s="88" t="n"/>
      <c r="AA355" s="26" t="n"/>
      <c r="AB355" s="86">
        <f>IF($A355="","",$A355-WEEKDAY($A355,2)+1)</f>
        <v/>
      </c>
      <c r="AC355" s="86">
        <f>IF($A355="","",DATE(YEAR($A355),MONTH($A355),1))</f>
        <v/>
      </c>
      <c r="AD355" s="90">
        <f>IF($A355="","",IFERROR($K355/$J355,0))</f>
        <v/>
      </c>
      <c r="AE355" s="90">
        <f>IF($A355="","",IFERROR($L355/$J355,0))</f>
        <v/>
      </c>
      <c r="AF355" s="90">
        <f>IF($A355="","",IFERROR($M355/$J355,0))</f>
        <v/>
      </c>
      <c r="AG355" s="88">
        <f>IF($A355="","",$N355-$O355)</f>
        <v/>
      </c>
      <c r="AH355" s="90">
        <f>IF($A355="","",IFERROR($AG355/$N355,0))</f>
        <v/>
      </c>
      <c r="AI355" s="89">
        <f>IF($A355="","",IFERROR($K355/$P355,0))</f>
        <v/>
      </c>
      <c r="AJ355" s="90">
        <f>IF($A355="","",IFERROR($S355/$R355,0))</f>
        <v/>
      </c>
      <c r="AK355" s="90">
        <f>IF($A355="","",IFERROR($T355/$J355,0))</f>
        <v/>
      </c>
      <c r="AL355" s="26">
        <f>IF($A355="","",IF(AND($AD355&gt;='01_Settings'!$B$9,$V355&lt;='01_Settings'!$B$10,$W355&lt;='01_Settings'!$B$11),"On track","Off track"))</f>
        <v/>
      </c>
      <c r="AM355" s="42">
        <f>IF($A355="","",IF($AD355&lt;'01_Settings'!$B$9,"Low completion rate; ","")&amp;IF($AE355&gt;'01_Settings'!$B$12,"High overdue rate; ","")&amp;IF($U355&lt;'01_Settings'!$B$13,"Low satisfaction; ","")&amp;IF($AH355&lt;'01_Settings'!$B$14,"Low gross margin; ","")&amp;IF($AJ355&lt;'01_Settings'!$B$15,"Low conversion rate; ","")&amp;IF($AK355&gt;'01_Settings'!$B$16,"High complaint rate; ",""))</f>
        <v/>
      </c>
    </row>
    <row r="356" ht="18" customHeight="1">
      <c r="A356" s="86" t="n"/>
      <c r="B356" s="26" t="n"/>
      <c r="C356" s="26" t="n"/>
      <c r="D356" s="26" t="n"/>
      <c r="E356" s="26" t="n"/>
      <c r="F356" s="26" t="n"/>
      <c r="G356" s="26" t="n"/>
      <c r="H356" s="26" t="n"/>
      <c r="I356" s="26" t="n"/>
      <c r="J356" s="87" t="n"/>
      <c r="K356" s="87" t="n"/>
      <c r="L356" s="87" t="n"/>
      <c r="M356" s="87" t="n"/>
      <c r="N356" s="88" t="n"/>
      <c r="O356" s="88" t="n"/>
      <c r="P356" s="89" t="n"/>
      <c r="Q356" s="87" t="n"/>
      <c r="R356" s="87" t="n"/>
      <c r="S356" s="87" t="n"/>
      <c r="T356" s="87" t="n"/>
      <c r="U356" s="89" t="n"/>
      <c r="V356" s="89" t="n"/>
      <c r="W356" s="89" t="n"/>
      <c r="X356" s="87" t="n"/>
      <c r="Y356" s="87" t="n"/>
      <c r="Z356" s="88" t="n"/>
      <c r="AA356" s="26" t="n"/>
      <c r="AB356" s="86">
        <f>IF($A356="","",$A356-WEEKDAY($A356,2)+1)</f>
        <v/>
      </c>
      <c r="AC356" s="86">
        <f>IF($A356="","",DATE(YEAR($A356),MONTH($A356),1))</f>
        <v/>
      </c>
      <c r="AD356" s="90">
        <f>IF($A356="","",IFERROR($K356/$J356,0))</f>
        <v/>
      </c>
      <c r="AE356" s="90">
        <f>IF($A356="","",IFERROR($L356/$J356,0))</f>
        <v/>
      </c>
      <c r="AF356" s="90">
        <f>IF($A356="","",IFERROR($M356/$J356,0))</f>
        <v/>
      </c>
      <c r="AG356" s="88">
        <f>IF($A356="","",$N356-$O356)</f>
        <v/>
      </c>
      <c r="AH356" s="90">
        <f>IF($A356="","",IFERROR($AG356/$N356,0))</f>
        <v/>
      </c>
      <c r="AI356" s="89">
        <f>IF($A356="","",IFERROR($K356/$P356,0))</f>
        <v/>
      </c>
      <c r="AJ356" s="90">
        <f>IF($A356="","",IFERROR($S356/$R356,0))</f>
        <v/>
      </c>
      <c r="AK356" s="90">
        <f>IF($A356="","",IFERROR($T356/$J356,0))</f>
        <v/>
      </c>
      <c r="AL356" s="26">
        <f>IF($A356="","",IF(AND($AD356&gt;='01_Settings'!$B$9,$V356&lt;='01_Settings'!$B$10,$W356&lt;='01_Settings'!$B$11),"On track","Off track"))</f>
        <v/>
      </c>
      <c r="AM356" s="42">
        <f>IF($A356="","",IF($AD356&lt;'01_Settings'!$B$9,"Low completion rate; ","")&amp;IF($AE356&gt;'01_Settings'!$B$12,"High overdue rate; ","")&amp;IF($U356&lt;'01_Settings'!$B$13,"Low satisfaction; ","")&amp;IF($AH356&lt;'01_Settings'!$B$14,"Low gross margin; ","")&amp;IF($AJ356&lt;'01_Settings'!$B$15,"Low conversion rate; ","")&amp;IF($AK356&gt;'01_Settings'!$B$16,"High complaint rate; ",""))</f>
        <v/>
      </c>
    </row>
    <row r="357" ht="18" customHeight="1">
      <c r="A357" s="86" t="n"/>
      <c r="B357" s="26" t="n"/>
      <c r="C357" s="26" t="n"/>
      <c r="D357" s="26" t="n"/>
      <c r="E357" s="26" t="n"/>
      <c r="F357" s="26" t="n"/>
      <c r="G357" s="26" t="n"/>
      <c r="H357" s="26" t="n"/>
      <c r="I357" s="26" t="n"/>
      <c r="J357" s="87" t="n"/>
      <c r="K357" s="87" t="n"/>
      <c r="L357" s="87" t="n"/>
      <c r="M357" s="87" t="n"/>
      <c r="N357" s="88" t="n"/>
      <c r="O357" s="88" t="n"/>
      <c r="P357" s="89" t="n"/>
      <c r="Q357" s="87" t="n"/>
      <c r="R357" s="87" t="n"/>
      <c r="S357" s="87" t="n"/>
      <c r="T357" s="87" t="n"/>
      <c r="U357" s="89" t="n"/>
      <c r="V357" s="89" t="n"/>
      <c r="W357" s="89" t="n"/>
      <c r="X357" s="87" t="n"/>
      <c r="Y357" s="87" t="n"/>
      <c r="Z357" s="88" t="n"/>
      <c r="AA357" s="26" t="n"/>
      <c r="AB357" s="86">
        <f>IF($A357="","",$A357-WEEKDAY($A357,2)+1)</f>
        <v/>
      </c>
      <c r="AC357" s="86">
        <f>IF($A357="","",DATE(YEAR($A357),MONTH($A357),1))</f>
        <v/>
      </c>
      <c r="AD357" s="90">
        <f>IF($A357="","",IFERROR($K357/$J357,0))</f>
        <v/>
      </c>
      <c r="AE357" s="90">
        <f>IF($A357="","",IFERROR($L357/$J357,0))</f>
        <v/>
      </c>
      <c r="AF357" s="90">
        <f>IF($A357="","",IFERROR($M357/$J357,0))</f>
        <v/>
      </c>
      <c r="AG357" s="88">
        <f>IF($A357="","",$N357-$O357)</f>
        <v/>
      </c>
      <c r="AH357" s="90">
        <f>IF($A357="","",IFERROR($AG357/$N357,0))</f>
        <v/>
      </c>
      <c r="AI357" s="89">
        <f>IF($A357="","",IFERROR($K357/$P357,0))</f>
        <v/>
      </c>
      <c r="AJ357" s="90">
        <f>IF($A357="","",IFERROR($S357/$R357,0))</f>
        <v/>
      </c>
      <c r="AK357" s="90">
        <f>IF($A357="","",IFERROR($T357/$J357,0))</f>
        <v/>
      </c>
      <c r="AL357" s="26">
        <f>IF($A357="","",IF(AND($AD357&gt;='01_Settings'!$B$9,$V357&lt;='01_Settings'!$B$10,$W357&lt;='01_Settings'!$B$11),"On track","Off track"))</f>
        <v/>
      </c>
      <c r="AM357" s="42">
        <f>IF($A357="","",IF($AD357&lt;'01_Settings'!$B$9,"Low completion rate; ","")&amp;IF($AE357&gt;'01_Settings'!$B$12,"High overdue rate; ","")&amp;IF($U357&lt;'01_Settings'!$B$13,"Low satisfaction; ","")&amp;IF($AH357&lt;'01_Settings'!$B$14,"Low gross margin; ","")&amp;IF($AJ357&lt;'01_Settings'!$B$15,"Low conversion rate; ","")&amp;IF($AK357&gt;'01_Settings'!$B$16,"High complaint rate; ",""))</f>
        <v/>
      </c>
    </row>
    <row r="358" ht="18" customHeight="1">
      <c r="A358" s="86" t="n"/>
      <c r="B358" s="26" t="n"/>
      <c r="C358" s="26" t="n"/>
      <c r="D358" s="26" t="n"/>
      <c r="E358" s="26" t="n"/>
      <c r="F358" s="26" t="n"/>
      <c r="G358" s="26" t="n"/>
      <c r="H358" s="26" t="n"/>
      <c r="I358" s="26" t="n"/>
      <c r="J358" s="87" t="n"/>
      <c r="K358" s="87" t="n"/>
      <c r="L358" s="87" t="n"/>
      <c r="M358" s="87" t="n"/>
      <c r="N358" s="88" t="n"/>
      <c r="O358" s="88" t="n"/>
      <c r="P358" s="89" t="n"/>
      <c r="Q358" s="87" t="n"/>
      <c r="R358" s="87" t="n"/>
      <c r="S358" s="87" t="n"/>
      <c r="T358" s="87" t="n"/>
      <c r="U358" s="89" t="n"/>
      <c r="V358" s="89" t="n"/>
      <c r="W358" s="89" t="n"/>
      <c r="X358" s="87" t="n"/>
      <c r="Y358" s="87" t="n"/>
      <c r="Z358" s="88" t="n"/>
      <c r="AA358" s="26" t="n"/>
      <c r="AB358" s="86">
        <f>IF($A358="","",$A358-WEEKDAY($A358,2)+1)</f>
        <v/>
      </c>
      <c r="AC358" s="86">
        <f>IF($A358="","",DATE(YEAR($A358),MONTH($A358),1))</f>
        <v/>
      </c>
      <c r="AD358" s="90">
        <f>IF($A358="","",IFERROR($K358/$J358,0))</f>
        <v/>
      </c>
      <c r="AE358" s="90">
        <f>IF($A358="","",IFERROR($L358/$J358,0))</f>
        <v/>
      </c>
      <c r="AF358" s="90">
        <f>IF($A358="","",IFERROR($M358/$J358,0))</f>
        <v/>
      </c>
      <c r="AG358" s="88">
        <f>IF($A358="","",$N358-$O358)</f>
        <v/>
      </c>
      <c r="AH358" s="90">
        <f>IF($A358="","",IFERROR($AG358/$N358,0))</f>
        <v/>
      </c>
      <c r="AI358" s="89">
        <f>IF($A358="","",IFERROR($K358/$P358,0))</f>
        <v/>
      </c>
      <c r="AJ358" s="90">
        <f>IF($A358="","",IFERROR($S358/$R358,0))</f>
        <v/>
      </c>
      <c r="AK358" s="90">
        <f>IF($A358="","",IFERROR($T358/$J358,0))</f>
        <v/>
      </c>
      <c r="AL358" s="26">
        <f>IF($A358="","",IF(AND($AD358&gt;='01_Settings'!$B$9,$V358&lt;='01_Settings'!$B$10,$W358&lt;='01_Settings'!$B$11),"On track","Off track"))</f>
        <v/>
      </c>
      <c r="AM358" s="42">
        <f>IF($A358="","",IF($AD358&lt;'01_Settings'!$B$9,"Low completion rate; ","")&amp;IF($AE358&gt;'01_Settings'!$B$12,"High overdue rate; ","")&amp;IF($U358&lt;'01_Settings'!$B$13,"Low satisfaction; ","")&amp;IF($AH358&lt;'01_Settings'!$B$14,"Low gross margin; ","")&amp;IF($AJ358&lt;'01_Settings'!$B$15,"Low conversion rate; ","")&amp;IF($AK358&gt;'01_Settings'!$B$16,"High complaint rate; ",""))</f>
        <v/>
      </c>
    </row>
    <row r="359" ht="18" customHeight="1">
      <c r="A359" s="86" t="n"/>
      <c r="B359" s="26" t="n"/>
      <c r="C359" s="26" t="n"/>
      <c r="D359" s="26" t="n"/>
      <c r="E359" s="26" t="n"/>
      <c r="F359" s="26" t="n"/>
      <c r="G359" s="26" t="n"/>
      <c r="H359" s="26" t="n"/>
      <c r="I359" s="26" t="n"/>
      <c r="J359" s="87" t="n"/>
      <c r="K359" s="87" t="n"/>
      <c r="L359" s="87" t="n"/>
      <c r="M359" s="87" t="n"/>
      <c r="N359" s="88" t="n"/>
      <c r="O359" s="88" t="n"/>
      <c r="P359" s="89" t="n"/>
      <c r="Q359" s="87" t="n"/>
      <c r="R359" s="87" t="n"/>
      <c r="S359" s="87" t="n"/>
      <c r="T359" s="87" t="n"/>
      <c r="U359" s="89" t="n"/>
      <c r="V359" s="89" t="n"/>
      <c r="W359" s="89" t="n"/>
      <c r="X359" s="87" t="n"/>
      <c r="Y359" s="87" t="n"/>
      <c r="Z359" s="88" t="n"/>
      <c r="AA359" s="26" t="n"/>
      <c r="AB359" s="86">
        <f>IF($A359="","",$A359-WEEKDAY($A359,2)+1)</f>
        <v/>
      </c>
      <c r="AC359" s="86">
        <f>IF($A359="","",DATE(YEAR($A359),MONTH($A359),1))</f>
        <v/>
      </c>
      <c r="AD359" s="90">
        <f>IF($A359="","",IFERROR($K359/$J359,0))</f>
        <v/>
      </c>
      <c r="AE359" s="90">
        <f>IF($A359="","",IFERROR($L359/$J359,0))</f>
        <v/>
      </c>
      <c r="AF359" s="90">
        <f>IF($A359="","",IFERROR($M359/$J359,0))</f>
        <v/>
      </c>
      <c r="AG359" s="88">
        <f>IF($A359="","",$N359-$O359)</f>
        <v/>
      </c>
      <c r="AH359" s="90">
        <f>IF($A359="","",IFERROR($AG359/$N359,0))</f>
        <v/>
      </c>
      <c r="AI359" s="89">
        <f>IF($A359="","",IFERROR($K359/$P359,0))</f>
        <v/>
      </c>
      <c r="AJ359" s="90">
        <f>IF($A359="","",IFERROR($S359/$R359,0))</f>
        <v/>
      </c>
      <c r="AK359" s="90">
        <f>IF($A359="","",IFERROR($T359/$J359,0))</f>
        <v/>
      </c>
      <c r="AL359" s="26">
        <f>IF($A359="","",IF(AND($AD359&gt;='01_Settings'!$B$9,$V359&lt;='01_Settings'!$B$10,$W359&lt;='01_Settings'!$B$11),"On track","Off track"))</f>
        <v/>
      </c>
      <c r="AM359" s="42">
        <f>IF($A359="","",IF($AD359&lt;'01_Settings'!$B$9,"Low completion rate; ","")&amp;IF($AE359&gt;'01_Settings'!$B$12,"High overdue rate; ","")&amp;IF($U359&lt;'01_Settings'!$B$13,"Low satisfaction; ","")&amp;IF($AH359&lt;'01_Settings'!$B$14,"Low gross margin; ","")&amp;IF($AJ359&lt;'01_Settings'!$B$15,"Low conversion rate; ","")&amp;IF($AK359&gt;'01_Settings'!$B$16,"High complaint rate; ",""))</f>
        <v/>
      </c>
    </row>
    <row r="360" ht="18" customHeight="1">
      <c r="A360" s="86" t="n"/>
      <c r="B360" s="26" t="n"/>
      <c r="C360" s="26" t="n"/>
      <c r="D360" s="26" t="n"/>
      <c r="E360" s="26" t="n"/>
      <c r="F360" s="26" t="n"/>
      <c r="G360" s="26" t="n"/>
      <c r="H360" s="26" t="n"/>
      <c r="I360" s="26" t="n"/>
      <c r="J360" s="87" t="n"/>
      <c r="K360" s="87" t="n"/>
      <c r="L360" s="87" t="n"/>
      <c r="M360" s="87" t="n"/>
      <c r="N360" s="88" t="n"/>
      <c r="O360" s="88" t="n"/>
      <c r="P360" s="89" t="n"/>
      <c r="Q360" s="87" t="n"/>
      <c r="R360" s="87" t="n"/>
      <c r="S360" s="87" t="n"/>
      <c r="T360" s="87" t="n"/>
      <c r="U360" s="89" t="n"/>
      <c r="V360" s="89" t="n"/>
      <c r="W360" s="89" t="n"/>
      <c r="X360" s="87" t="n"/>
      <c r="Y360" s="87" t="n"/>
      <c r="Z360" s="88" t="n"/>
      <c r="AA360" s="26" t="n"/>
      <c r="AB360" s="86">
        <f>IF($A360="","",$A360-WEEKDAY($A360,2)+1)</f>
        <v/>
      </c>
      <c r="AC360" s="86">
        <f>IF($A360="","",DATE(YEAR($A360),MONTH($A360),1))</f>
        <v/>
      </c>
      <c r="AD360" s="90">
        <f>IF($A360="","",IFERROR($K360/$J360,0))</f>
        <v/>
      </c>
      <c r="AE360" s="90">
        <f>IF($A360="","",IFERROR($L360/$J360,0))</f>
        <v/>
      </c>
      <c r="AF360" s="90">
        <f>IF($A360="","",IFERROR($M360/$J360,0))</f>
        <v/>
      </c>
      <c r="AG360" s="88">
        <f>IF($A360="","",$N360-$O360)</f>
        <v/>
      </c>
      <c r="AH360" s="90">
        <f>IF($A360="","",IFERROR($AG360/$N360,0))</f>
        <v/>
      </c>
      <c r="AI360" s="89">
        <f>IF($A360="","",IFERROR($K360/$P360,0))</f>
        <v/>
      </c>
      <c r="AJ360" s="90">
        <f>IF($A360="","",IFERROR($S360/$R360,0))</f>
        <v/>
      </c>
      <c r="AK360" s="90">
        <f>IF($A360="","",IFERROR($T360/$J360,0))</f>
        <v/>
      </c>
      <c r="AL360" s="26">
        <f>IF($A360="","",IF(AND($AD360&gt;='01_Settings'!$B$9,$V360&lt;='01_Settings'!$B$10,$W360&lt;='01_Settings'!$B$11),"On track","Off track"))</f>
        <v/>
      </c>
      <c r="AM360" s="42">
        <f>IF($A360="","",IF($AD360&lt;'01_Settings'!$B$9,"Low completion rate; ","")&amp;IF($AE360&gt;'01_Settings'!$B$12,"High overdue rate; ","")&amp;IF($U360&lt;'01_Settings'!$B$13,"Low satisfaction; ","")&amp;IF($AH360&lt;'01_Settings'!$B$14,"Low gross margin; ","")&amp;IF($AJ360&lt;'01_Settings'!$B$15,"Low conversion rate; ","")&amp;IF($AK360&gt;'01_Settings'!$B$16,"High complaint rate; ",""))</f>
        <v/>
      </c>
    </row>
    <row r="361" ht="18" customHeight="1">
      <c r="A361" s="86" t="n"/>
      <c r="B361" s="26" t="n"/>
      <c r="C361" s="26" t="n"/>
      <c r="D361" s="26" t="n"/>
      <c r="E361" s="26" t="n"/>
      <c r="F361" s="26" t="n"/>
      <c r="G361" s="26" t="n"/>
      <c r="H361" s="26" t="n"/>
      <c r="I361" s="26" t="n"/>
      <c r="J361" s="87" t="n"/>
      <c r="K361" s="87" t="n"/>
      <c r="L361" s="87" t="n"/>
      <c r="M361" s="87" t="n"/>
      <c r="N361" s="88" t="n"/>
      <c r="O361" s="88" t="n"/>
      <c r="P361" s="89" t="n"/>
      <c r="Q361" s="87" t="n"/>
      <c r="R361" s="87" t="n"/>
      <c r="S361" s="87" t="n"/>
      <c r="T361" s="87" t="n"/>
      <c r="U361" s="89" t="n"/>
      <c r="V361" s="89" t="n"/>
      <c r="W361" s="89" t="n"/>
      <c r="X361" s="87" t="n"/>
      <c r="Y361" s="87" t="n"/>
      <c r="Z361" s="88" t="n"/>
      <c r="AA361" s="26" t="n"/>
      <c r="AB361" s="86">
        <f>IF($A361="","",$A361-WEEKDAY($A361,2)+1)</f>
        <v/>
      </c>
      <c r="AC361" s="86">
        <f>IF($A361="","",DATE(YEAR($A361),MONTH($A361),1))</f>
        <v/>
      </c>
      <c r="AD361" s="90">
        <f>IF($A361="","",IFERROR($K361/$J361,0))</f>
        <v/>
      </c>
      <c r="AE361" s="90">
        <f>IF($A361="","",IFERROR($L361/$J361,0))</f>
        <v/>
      </c>
      <c r="AF361" s="90">
        <f>IF($A361="","",IFERROR($M361/$J361,0))</f>
        <v/>
      </c>
      <c r="AG361" s="88">
        <f>IF($A361="","",$N361-$O361)</f>
        <v/>
      </c>
      <c r="AH361" s="90">
        <f>IF($A361="","",IFERROR($AG361/$N361,0))</f>
        <v/>
      </c>
      <c r="AI361" s="89">
        <f>IF($A361="","",IFERROR($K361/$P361,0))</f>
        <v/>
      </c>
      <c r="AJ361" s="90">
        <f>IF($A361="","",IFERROR($S361/$R361,0))</f>
        <v/>
      </c>
      <c r="AK361" s="90">
        <f>IF($A361="","",IFERROR($T361/$J361,0))</f>
        <v/>
      </c>
      <c r="AL361" s="26">
        <f>IF($A361="","",IF(AND($AD361&gt;='01_Settings'!$B$9,$V361&lt;='01_Settings'!$B$10,$W361&lt;='01_Settings'!$B$11),"On track","Off track"))</f>
        <v/>
      </c>
      <c r="AM361" s="42">
        <f>IF($A361="","",IF($AD361&lt;'01_Settings'!$B$9,"Low completion rate; ","")&amp;IF($AE361&gt;'01_Settings'!$B$12,"High overdue rate; ","")&amp;IF($U361&lt;'01_Settings'!$B$13,"Low satisfaction; ","")&amp;IF($AH361&lt;'01_Settings'!$B$14,"Low gross margin; ","")&amp;IF($AJ361&lt;'01_Settings'!$B$15,"Low conversion rate; ","")&amp;IF($AK361&gt;'01_Settings'!$B$16,"High complaint rate; ",""))</f>
        <v/>
      </c>
    </row>
    <row r="362" ht="18" customHeight="1">
      <c r="A362" s="86" t="n"/>
      <c r="B362" s="26" t="n"/>
      <c r="C362" s="26" t="n"/>
      <c r="D362" s="26" t="n"/>
      <c r="E362" s="26" t="n"/>
      <c r="F362" s="26" t="n"/>
      <c r="G362" s="26" t="n"/>
      <c r="H362" s="26" t="n"/>
      <c r="I362" s="26" t="n"/>
      <c r="J362" s="87" t="n"/>
      <c r="K362" s="87" t="n"/>
      <c r="L362" s="87" t="n"/>
      <c r="M362" s="87" t="n"/>
      <c r="N362" s="88" t="n"/>
      <c r="O362" s="88" t="n"/>
      <c r="P362" s="89" t="n"/>
      <c r="Q362" s="87" t="n"/>
      <c r="R362" s="87" t="n"/>
      <c r="S362" s="87" t="n"/>
      <c r="T362" s="87" t="n"/>
      <c r="U362" s="89" t="n"/>
      <c r="V362" s="89" t="n"/>
      <c r="W362" s="89" t="n"/>
      <c r="X362" s="87" t="n"/>
      <c r="Y362" s="87" t="n"/>
      <c r="Z362" s="88" t="n"/>
      <c r="AA362" s="26" t="n"/>
      <c r="AB362" s="86">
        <f>IF($A362="","",$A362-WEEKDAY($A362,2)+1)</f>
        <v/>
      </c>
      <c r="AC362" s="86">
        <f>IF($A362="","",DATE(YEAR($A362),MONTH($A362),1))</f>
        <v/>
      </c>
      <c r="AD362" s="90">
        <f>IF($A362="","",IFERROR($K362/$J362,0))</f>
        <v/>
      </c>
      <c r="AE362" s="90">
        <f>IF($A362="","",IFERROR($L362/$J362,0))</f>
        <v/>
      </c>
      <c r="AF362" s="90">
        <f>IF($A362="","",IFERROR($M362/$J362,0))</f>
        <v/>
      </c>
      <c r="AG362" s="88">
        <f>IF($A362="","",$N362-$O362)</f>
        <v/>
      </c>
      <c r="AH362" s="90">
        <f>IF($A362="","",IFERROR($AG362/$N362,0))</f>
        <v/>
      </c>
      <c r="AI362" s="89">
        <f>IF($A362="","",IFERROR($K362/$P362,0))</f>
        <v/>
      </c>
      <c r="AJ362" s="90">
        <f>IF($A362="","",IFERROR($S362/$R362,0))</f>
        <v/>
      </c>
      <c r="AK362" s="90">
        <f>IF($A362="","",IFERROR($T362/$J362,0))</f>
        <v/>
      </c>
      <c r="AL362" s="26">
        <f>IF($A362="","",IF(AND($AD362&gt;='01_Settings'!$B$9,$V362&lt;='01_Settings'!$B$10,$W362&lt;='01_Settings'!$B$11),"On track","Off track"))</f>
        <v/>
      </c>
      <c r="AM362" s="42">
        <f>IF($A362="","",IF($AD362&lt;'01_Settings'!$B$9,"Low completion rate; ","")&amp;IF($AE362&gt;'01_Settings'!$B$12,"High overdue rate; ","")&amp;IF($U362&lt;'01_Settings'!$B$13,"Low satisfaction; ","")&amp;IF($AH362&lt;'01_Settings'!$B$14,"Low gross margin; ","")&amp;IF($AJ362&lt;'01_Settings'!$B$15,"Low conversion rate; ","")&amp;IF($AK362&gt;'01_Settings'!$B$16,"High complaint rate; ",""))</f>
        <v/>
      </c>
    </row>
    <row r="363" ht="18" customHeight="1">
      <c r="A363" s="86" t="n"/>
      <c r="B363" s="26" t="n"/>
      <c r="C363" s="26" t="n"/>
      <c r="D363" s="26" t="n"/>
      <c r="E363" s="26" t="n"/>
      <c r="F363" s="26" t="n"/>
      <c r="G363" s="26" t="n"/>
      <c r="H363" s="26" t="n"/>
      <c r="I363" s="26" t="n"/>
      <c r="J363" s="87" t="n"/>
      <c r="K363" s="87" t="n"/>
      <c r="L363" s="87" t="n"/>
      <c r="M363" s="87" t="n"/>
      <c r="N363" s="88" t="n"/>
      <c r="O363" s="88" t="n"/>
      <c r="P363" s="89" t="n"/>
      <c r="Q363" s="87" t="n"/>
      <c r="R363" s="87" t="n"/>
      <c r="S363" s="87" t="n"/>
      <c r="T363" s="87" t="n"/>
      <c r="U363" s="89" t="n"/>
      <c r="V363" s="89" t="n"/>
      <c r="W363" s="89" t="n"/>
      <c r="X363" s="87" t="n"/>
      <c r="Y363" s="87" t="n"/>
      <c r="Z363" s="88" t="n"/>
      <c r="AA363" s="26" t="n"/>
      <c r="AB363" s="86">
        <f>IF($A363="","",$A363-WEEKDAY($A363,2)+1)</f>
        <v/>
      </c>
      <c r="AC363" s="86">
        <f>IF($A363="","",DATE(YEAR($A363),MONTH($A363),1))</f>
        <v/>
      </c>
      <c r="AD363" s="90">
        <f>IF($A363="","",IFERROR($K363/$J363,0))</f>
        <v/>
      </c>
      <c r="AE363" s="90">
        <f>IF($A363="","",IFERROR($L363/$J363,0))</f>
        <v/>
      </c>
      <c r="AF363" s="90">
        <f>IF($A363="","",IFERROR($M363/$J363,0))</f>
        <v/>
      </c>
      <c r="AG363" s="88">
        <f>IF($A363="","",$N363-$O363)</f>
        <v/>
      </c>
      <c r="AH363" s="90">
        <f>IF($A363="","",IFERROR($AG363/$N363,0))</f>
        <v/>
      </c>
      <c r="AI363" s="89">
        <f>IF($A363="","",IFERROR($K363/$P363,0))</f>
        <v/>
      </c>
      <c r="AJ363" s="90">
        <f>IF($A363="","",IFERROR($S363/$R363,0))</f>
        <v/>
      </c>
      <c r="AK363" s="90">
        <f>IF($A363="","",IFERROR($T363/$J363,0))</f>
        <v/>
      </c>
      <c r="AL363" s="26">
        <f>IF($A363="","",IF(AND($AD363&gt;='01_Settings'!$B$9,$V363&lt;='01_Settings'!$B$10,$W363&lt;='01_Settings'!$B$11),"On track","Off track"))</f>
        <v/>
      </c>
      <c r="AM363" s="42">
        <f>IF($A363="","",IF($AD363&lt;'01_Settings'!$B$9,"Low completion rate; ","")&amp;IF($AE363&gt;'01_Settings'!$B$12,"High overdue rate; ","")&amp;IF($U363&lt;'01_Settings'!$B$13,"Low satisfaction; ","")&amp;IF($AH363&lt;'01_Settings'!$B$14,"Low gross margin; ","")&amp;IF($AJ363&lt;'01_Settings'!$B$15,"Low conversion rate; ","")&amp;IF($AK363&gt;'01_Settings'!$B$16,"High complaint rate; ",""))</f>
        <v/>
      </c>
    </row>
    <row r="364" ht="18" customHeight="1">
      <c r="A364" s="86" t="n"/>
      <c r="B364" s="26" t="n"/>
      <c r="C364" s="26" t="n"/>
      <c r="D364" s="26" t="n"/>
      <c r="E364" s="26" t="n"/>
      <c r="F364" s="26" t="n"/>
      <c r="G364" s="26" t="n"/>
      <c r="H364" s="26" t="n"/>
      <c r="I364" s="26" t="n"/>
      <c r="J364" s="87" t="n"/>
      <c r="K364" s="87" t="n"/>
      <c r="L364" s="87" t="n"/>
      <c r="M364" s="87" t="n"/>
      <c r="N364" s="88" t="n"/>
      <c r="O364" s="88" t="n"/>
      <c r="P364" s="89" t="n"/>
      <c r="Q364" s="87" t="n"/>
      <c r="R364" s="87" t="n"/>
      <c r="S364" s="87" t="n"/>
      <c r="T364" s="87" t="n"/>
      <c r="U364" s="89" t="n"/>
      <c r="V364" s="89" t="n"/>
      <c r="W364" s="89" t="n"/>
      <c r="X364" s="87" t="n"/>
      <c r="Y364" s="87" t="n"/>
      <c r="Z364" s="88" t="n"/>
      <c r="AA364" s="26" t="n"/>
      <c r="AB364" s="86">
        <f>IF($A364="","",$A364-WEEKDAY($A364,2)+1)</f>
        <v/>
      </c>
      <c r="AC364" s="86">
        <f>IF($A364="","",DATE(YEAR($A364),MONTH($A364),1))</f>
        <v/>
      </c>
      <c r="AD364" s="90">
        <f>IF($A364="","",IFERROR($K364/$J364,0))</f>
        <v/>
      </c>
      <c r="AE364" s="90">
        <f>IF($A364="","",IFERROR($L364/$J364,0))</f>
        <v/>
      </c>
      <c r="AF364" s="90">
        <f>IF($A364="","",IFERROR($M364/$J364,0))</f>
        <v/>
      </c>
      <c r="AG364" s="88">
        <f>IF($A364="","",$N364-$O364)</f>
        <v/>
      </c>
      <c r="AH364" s="90">
        <f>IF($A364="","",IFERROR($AG364/$N364,0))</f>
        <v/>
      </c>
      <c r="AI364" s="89">
        <f>IF($A364="","",IFERROR($K364/$P364,0))</f>
        <v/>
      </c>
      <c r="AJ364" s="90">
        <f>IF($A364="","",IFERROR($S364/$R364,0))</f>
        <v/>
      </c>
      <c r="AK364" s="90">
        <f>IF($A364="","",IFERROR($T364/$J364,0))</f>
        <v/>
      </c>
      <c r="AL364" s="26">
        <f>IF($A364="","",IF(AND($AD364&gt;='01_Settings'!$B$9,$V364&lt;='01_Settings'!$B$10,$W364&lt;='01_Settings'!$B$11),"On track","Off track"))</f>
        <v/>
      </c>
      <c r="AM364" s="42">
        <f>IF($A364="","",IF($AD364&lt;'01_Settings'!$B$9,"Low completion rate; ","")&amp;IF($AE364&gt;'01_Settings'!$B$12,"High overdue rate; ","")&amp;IF($U364&lt;'01_Settings'!$B$13,"Low satisfaction; ","")&amp;IF($AH364&lt;'01_Settings'!$B$14,"Low gross margin; ","")&amp;IF($AJ364&lt;'01_Settings'!$B$15,"Low conversion rate; ","")&amp;IF($AK364&gt;'01_Settings'!$B$16,"High complaint rate; ",""))</f>
        <v/>
      </c>
    </row>
    <row r="365" ht="18" customHeight="1">
      <c r="A365" s="86" t="n"/>
      <c r="B365" s="26" t="n"/>
      <c r="C365" s="26" t="n"/>
      <c r="D365" s="26" t="n"/>
      <c r="E365" s="26" t="n"/>
      <c r="F365" s="26" t="n"/>
      <c r="G365" s="26" t="n"/>
      <c r="H365" s="26" t="n"/>
      <c r="I365" s="26" t="n"/>
      <c r="J365" s="87" t="n"/>
      <c r="K365" s="87" t="n"/>
      <c r="L365" s="87" t="n"/>
      <c r="M365" s="87" t="n"/>
      <c r="N365" s="88" t="n"/>
      <c r="O365" s="88" t="n"/>
      <c r="P365" s="89" t="n"/>
      <c r="Q365" s="87" t="n"/>
      <c r="R365" s="87" t="n"/>
      <c r="S365" s="87" t="n"/>
      <c r="T365" s="87" t="n"/>
      <c r="U365" s="89" t="n"/>
      <c r="V365" s="89" t="n"/>
      <c r="W365" s="89" t="n"/>
      <c r="X365" s="87" t="n"/>
      <c r="Y365" s="87" t="n"/>
      <c r="Z365" s="88" t="n"/>
      <c r="AA365" s="26" t="n"/>
      <c r="AB365" s="86">
        <f>IF($A365="","",$A365-WEEKDAY($A365,2)+1)</f>
        <v/>
      </c>
      <c r="AC365" s="86">
        <f>IF($A365="","",DATE(YEAR($A365),MONTH($A365),1))</f>
        <v/>
      </c>
      <c r="AD365" s="90">
        <f>IF($A365="","",IFERROR($K365/$J365,0))</f>
        <v/>
      </c>
      <c r="AE365" s="90">
        <f>IF($A365="","",IFERROR($L365/$J365,0))</f>
        <v/>
      </c>
      <c r="AF365" s="90">
        <f>IF($A365="","",IFERROR($M365/$J365,0))</f>
        <v/>
      </c>
      <c r="AG365" s="88">
        <f>IF($A365="","",$N365-$O365)</f>
        <v/>
      </c>
      <c r="AH365" s="90">
        <f>IF($A365="","",IFERROR($AG365/$N365,0))</f>
        <v/>
      </c>
      <c r="AI365" s="89">
        <f>IF($A365="","",IFERROR($K365/$P365,0))</f>
        <v/>
      </c>
      <c r="AJ365" s="90">
        <f>IF($A365="","",IFERROR($S365/$R365,0))</f>
        <v/>
      </c>
      <c r="AK365" s="90">
        <f>IF($A365="","",IFERROR($T365/$J365,0))</f>
        <v/>
      </c>
      <c r="AL365" s="26">
        <f>IF($A365="","",IF(AND($AD365&gt;='01_Settings'!$B$9,$V365&lt;='01_Settings'!$B$10,$W365&lt;='01_Settings'!$B$11),"On track","Off track"))</f>
        <v/>
      </c>
      <c r="AM365" s="42">
        <f>IF($A365="","",IF($AD365&lt;'01_Settings'!$B$9,"Low completion rate; ","")&amp;IF($AE365&gt;'01_Settings'!$B$12,"High overdue rate; ","")&amp;IF($U365&lt;'01_Settings'!$B$13,"Low satisfaction; ","")&amp;IF($AH365&lt;'01_Settings'!$B$14,"Low gross margin; ","")&amp;IF($AJ365&lt;'01_Settings'!$B$15,"Low conversion rate; ","")&amp;IF($AK365&gt;'01_Settings'!$B$16,"High complaint rate; ",""))</f>
        <v/>
      </c>
    </row>
    <row r="366" ht="18" customHeight="1">
      <c r="A366" s="86" t="n"/>
      <c r="B366" s="26" t="n"/>
      <c r="C366" s="26" t="n"/>
      <c r="D366" s="26" t="n"/>
      <c r="E366" s="26" t="n"/>
      <c r="F366" s="26" t="n"/>
      <c r="G366" s="26" t="n"/>
      <c r="H366" s="26" t="n"/>
      <c r="I366" s="26" t="n"/>
      <c r="J366" s="87" t="n"/>
      <c r="K366" s="87" t="n"/>
      <c r="L366" s="87" t="n"/>
      <c r="M366" s="87" t="n"/>
      <c r="N366" s="88" t="n"/>
      <c r="O366" s="88" t="n"/>
      <c r="P366" s="89" t="n"/>
      <c r="Q366" s="87" t="n"/>
      <c r="R366" s="87" t="n"/>
      <c r="S366" s="87" t="n"/>
      <c r="T366" s="87" t="n"/>
      <c r="U366" s="89" t="n"/>
      <c r="V366" s="89" t="n"/>
      <c r="W366" s="89" t="n"/>
      <c r="X366" s="87" t="n"/>
      <c r="Y366" s="87" t="n"/>
      <c r="Z366" s="88" t="n"/>
      <c r="AA366" s="26" t="n"/>
      <c r="AB366" s="86">
        <f>IF($A366="","",$A366-WEEKDAY($A366,2)+1)</f>
        <v/>
      </c>
      <c r="AC366" s="86">
        <f>IF($A366="","",DATE(YEAR($A366),MONTH($A366),1))</f>
        <v/>
      </c>
      <c r="AD366" s="90">
        <f>IF($A366="","",IFERROR($K366/$J366,0))</f>
        <v/>
      </c>
      <c r="AE366" s="90">
        <f>IF($A366="","",IFERROR($L366/$J366,0))</f>
        <v/>
      </c>
      <c r="AF366" s="90">
        <f>IF($A366="","",IFERROR($M366/$J366,0))</f>
        <v/>
      </c>
      <c r="AG366" s="88">
        <f>IF($A366="","",$N366-$O366)</f>
        <v/>
      </c>
      <c r="AH366" s="90">
        <f>IF($A366="","",IFERROR($AG366/$N366,0))</f>
        <v/>
      </c>
      <c r="AI366" s="89">
        <f>IF($A366="","",IFERROR($K366/$P366,0))</f>
        <v/>
      </c>
      <c r="AJ366" s="90">
        <f>IF($A366="","",IFERROR($S366/$R366,0))</f>
        <v/>
      </c>
      <c r="AK366" s="90">
        <f>IF($A366="","",IFERROR($T366/$J366,0))</f>
        <v/>
      </c>
      <c r="AL366" s="26">
        <f>IF($A366="","",IF(AND($AD366&gt;='01_Settings'!$B$9,$V366&lt;='01_Settings'!$B$10,$W366&lt;='01_Settings'!$B$11),"On track","Off track"))</f>
        <v/>
      </c>
      <c r="AM366" s="42">
        <f>IF($A366="","",IF($AD366&lt;'01_Settings'!$B$9,"Low completion rate; ","")&amp;IF($AE366&gt;'01_Settings'!$B$12,"High overdue rate; ","")&amp;IF($U366&lt;'01_Settings'!$B$13,"Low satisfaction; ","")&amp;IF($AH366&lt;'01_Settings'!$B$14,"Low gross margin; ","")&amp;IF($AJ366&lt;'01_Settings'!$B$15,"Low conversion rate; ","")&amp;IF($AK366&gt;'01_Settings'!$B$16,"High complaint rate; ",""))</f>
        <v/>
      </c>
    </row>
    <row r="367" ht="18" customHeight="1">
      <c r="A367" s="86" t="n"/>
      <c r="B367" s="26" t="n"/>
      <c r="C367" s="26" t="n"/>
      <c r="D367" s="26" t="n"/>
      <c r="E367" s="26" t="n"/>
      <c r="F367" s="26" t="n"/>
      <c r="G367" s="26" t="n"/>
      <c r="H367" s="26" t="n"/>
      <c r="I367" s="26" t="n"/>
      <c r="J367" s="87" t="n"/>
      <c r="K367" s="87" t="n"/>
      <c r="L367" s="87" t="n"/>
      <c r="M367" s="87" t="n"/>
      <c r="N367" s="88" t="n"/>
      <c r="O367" s="88" t="n"/>
      <c r="P367" s="89" t="n"/>
      <c r="Q367" s="87" t="n"/>
      <c r="R367" s="87" t="n"/>
      <c r="S367" s="87" t="n"/>
      <c r="T367" s="87" t="n"/>
      <c r="U367" s="89" t="n"/>
      <c r="V367" s="89" t="n"/>
      <c r="W367" s="89" t="n"/>
      <c r="X367" s="87" t="n"/>
      <c r="Y367" s="87" t="n"/>
      <c r="Z367" s="88" t="n"/>
      <c r="AA367" s="26" t="n"/>
      <c r="AB367" s="86">
        <f>IF($A367="","",$A367-WEEKDAY($A367,2)+1)</f>
        <v/>
      </c>
      <c r="AC367" s="86">
        <f>IF($A367="","",DATE(YEAR($A367),MONTH($A367),1))</f>
        <v/>
      </c>
      <c r="AD367" s="90">
        <f>IF($A367="","",IFERROR($K367/$J367,0))</f>
        <v/>
      </c>
      <c r="AE367" s="90">
        <f>IF($A367="","",IFERROR($L367/$J367,0))</f>
        <v/>
      </c>
      <c r="AF367" s="90">
        <f>IF($A367="","",IFERROR($M367/$J367,0))</f>
        <v/>
      </c>
      <c r="AG367" s="88">
        <f>IF($A367="","",$N367-$O367)</f>
        <v/>
      </c>
      <c r="AH367" s="90">
        <f>IF($A367="","",IFERROR($AG367/$N367,0))</f>
        <v/>
      </c>
      <c r="AI367" s="89">
        <f>IF($A367="","",IFERROR($K367/$P367,0))</f>
        <v/>
      </c>
      <c r="AJ367" s="90">
        <f>IF($A367="","",IFERROR($S367/$R367,0))</f>
        <v/>
      </c>
      <c r="AK367" s="90">
        <f>IF($A367="","",IFERROR($T367/$J367,0))</f>
        <v/>
      </c>
      <c r="AL367" s="26">
        <f>IF($A367="","",IF(AND($AD367&gt;='01_Settings'!$B$9,$V367&lt;='01_Settings'!$B$10,$W367&lt;='01_Settings'!$B$11),"On track","Off track"))</f>
        <v/>
      </c>
      <c r="AM367" s="42">
        <f>IF($A367="","",IF($AD367&lt;'01_Settings'!$B$9,"Low completion rate; ","")&amp;IF($AE367&gt;'01_Settings'!$B$12,"High overdue rate; ","")&amp;IF($U367&lt;'01_Settings'!$B$13,"Low satisfaction; ","")&amp;IF($AH367&lt;'01_Settings'!$B$14,"Low gross margin; ","")&amp;IF($AJ367&lt;'01_Settings'!$B$15,"Low conversion rate; ","")&amp;IF($AK367&gt;'01_Settings'!$B$16,"High complaint rate; ",""))</f>
        <v/>
      </c>
    </row>
    <row r="368" ht="18" customHeight="1">
      <c r="A368" s="86" t="n"/>
      <c r="B368" s="26" t="n"/>
      <c r="C368" s="26" t="n"/>
      <c r="D368" s="26" t="n"/>
      <c r="E368" s="26" t="n"/>
      <c r="F368" s="26" t="n"/>
      <c r="G368" s="26" t="n"/>
      <c r="H368" s="26" t="n"/>
      <c r="I368" s="26" t="n"/>
      <c r="J368" s="87" t="n"/>
      <c r="K368" s="87" t="n"/>
      <c r="L368" s="87" t="n"/>
      <c r="M368" s="87" t="n"/>
      <c r="N368" s="88" t="n"/>
      <c r="O368" s="88" t="n"/>
      <c r="P368" s="89" t="n"/>
      <c r="Q368" s="87" t="n"/>
      <c r="R368" s="87" t="n"/>
      <c r="S368" s="87" t="n"/>
      <c r="T368" s="87" t="n"/>
      <c r="U368" s="89" t="n"/>
      <c r="V368" s="89" t="n"/>
      <c r="W368" s="89" t="n"/>
      <c r="X368" s="87" t="n"/>
      <c r="Y368" s="87" t="n"/>
      <c r="Z368" s="88" t="n"/>
      <c r="AA368" s="26" t="n"/>
      <c r="AB368" s="86">
        <f>IF($A368="","",$A368-WEEKDAY($A368,2)+1)</f>
        <v/>
      </c>
      <c r="AC368" s="86">
        <f>IF($A368="","",DATE(YEAR($A368),MONTH($A368),1))</f>
        <v/>
      </c>
      <c r="AD368" s="90">
        <f>IF($A368="","",IFERROR($K368/$J368,0))</f>
        <v/>
      </c>
      <c r="AE368" s="90">
        <f>IF($A368="","",IFERROR($L368/$J368,0))</f>
        <v/>
      </c>
      <c r="AF368" s="90">
        <f>IF($A368="","",IFERROR($M368/$J368,0))</f>
        <v/>
      </c>
      <c r="AG368" s="88">
        <f>IF($A368="","",$N368-$O368)</f>
        <v/>
      </c>
      <c r="AH368" s="90">
        <f>IF($A368="","",IFERROR($AG368/$N368,0))</f>
        <v/>
      </c>
      <c r="AI368" s="89">
        <f>IF($A368="","",IFERROR($K368/$P368,0))</f>
        <v/>
      </c>
      <c r="AJ368" s="90">
        <f>IF($A368="","",IFERROR($S368/$R368,0))</f>
        <v/>
      </c>
      <c r="AK368" s="90">
        <f>IF($A368="","",IFERROR($T368/$J368,0))</f>
        <v/>
      </c>
      <c r="AL368" s="26">
        <f>IF($A368="","",IF(AND($AD368&gt;='01_Settings'!$B$9,$V368&lt;='01_Settings'!$B$10,$W368&lt;='01_Settings'!$B$11),"On track","Off track"))</f>
        <v/>
      </c>
      <c r="AM368" s="42">
        <f>IF($A368="","",IF($AD368&lt;'01_Settings'!$B$9,"Low completion rate; ","")&amp;IF($AE368&gt;'01_Settings'!$B$12,"High overdue rate; ","")&amp;IF($U368&lt;'01_Settings'!$B$13,"Low satisfaction; ","")&amp;IF($AH368&lt;'01_Settings'!$B$14,"Low gross margin; ","")&amp;IF($AJ368&lt;'01_Settings'!$B$15,"Low conversion rate; ","")&amp;IF($AK368&gt;'01_Settings'!$B$16,"High complaint rate; ",""))</f>
        <v/>
      </c>
    </row>
    <row r="369" ht="18" customHeight="1">
      <c r="A369" s="86" t="n"/>
      <c r="B369" s="26" t="n"/>
      <c r="C369" s="26" t="n"/>
      <c r="D369" s="26" t="n"/>
      <c r="E369" s="26" t="n"/>
      <c r="F369" s="26" t="n"/>
      <c r="G369" s="26" t="n"/>
      <c r="H369" s="26" t="n"/>
      <c r="I369" s="26" t="n"/>
      <c r="J369" s="87" t="n"/>
      <c r="K369" s="87" t="n"/>
      <c r="L369" s="87" t="n"/>
      <c r="M369" s="87" t="n"/>
      <c r="N369" s="88" t="n"/>
      <c r="O369" s="88" t="n"/>
      <c r="P369" s="89" t="n"/>
      <c r="Q369" s="87" t="n"/>
      <c r="R369" s="87" t="n"/>
      <c r="S369" s="87" t="n"/>
      <c r="T369" s="87" t="n"/>
      <c r="U369" s="89" t="n"/>
      <c r="V369" s="89" t="n"/>
      <c r="W369" s="89" t="n"/>
      <c r="X369" s="87" t="n"/>
      <c r="Y369" s="87" t="n"/>
      <c r="Z369" s="88" t="n"/>
      <c r="AA369" s="26" t="n"/>
      <c r="AB369" s="86">
        <f>IF($A369="","",$A369-WEEKDAY($A369,2)+1)</f>
        <v/>
      </c>
      <c r="AC369" s="86">
        <f>IF($A369="","",DATE(YEAR($A369),MONTH($A369),1))</f>
        <v/>
      </c>
      <c r="AD369" s="90">
        <f>IF($A369="","",IFERROR($K369/$J369,0))</f>
        <v/>
      </c>
      <c r="AE369" s="90">
        <f>IF($A369="","",IFERROR($L369/$J369,0))</f>
        <v/>
      </c>
      <c r="AF369" s="90">
        <f>IF($A369="","",IFERROR($M369/$J369,0))</f>
        <v/>
      </c>
      <c r="AG369" s="88">
        <f>IF($A369="","",$N369-$O369)</f>
        <v/>
      </c>
      <c r="AH369" s="90">
        <f>IF($A369="","",IFERROR($AG369/$N369,0))</f>
        <v/>
      </c>
      <c r="AI369" s="89">
        <f>IF($A369="","",IFERROR($K369/$P369,0))</f>
        <v/>
      </c>
      <c r="AJ369" s="90">
        <f>IF($A369="","",IFERROR($S369/$R369,0))</f>
        <v/>
      </c>
      <c r="AK369" s="90">
        <f>IF($A369="","",IFERROR($T369/$J369,0))</f>
        <v/>
      </c>
      <c r="AL369" s="26">
        <f>IF($A369="","",IF(AND($AD369&gt;='01_Settings'!$B$9,$V369&lt;='01_Settings'!$B$10,$W369&lt;='01_Settings'!$B$11),"On track","Off track"))</f>
        <v/>
      </c>
      <c r="AM369" s="42">
        <f>IF($A369="","",IF($AD369&lt;'01_Settings'!$B$9,"Low completion rate; ","")&amp;IF($AE369&gt;'01_Settings'!$B$12,"High overdue rate; ","")&amp;IF($U369&lt;'01_Settings'!$B$13,"Low satisfaction; ","")&amp;IF($AH369&lt;'01_Settings'!$B$14,"Low gross margin; ","")&amp;IF($AJ369&lt;'01_Settings'!$B$15,"Low conversion rate; ","")&amp;IF($AK369&gt;'01_Settings'!$B$16,"High complaint rate; ",""))</f>
        <v/>
      </c>
    </row>
    <row r="370" ht="18" customHeight="1">
      <c r="A370" s="86" t="n"/>
      <c r="B370" s="26" t="n"/>
      <c r="C370" s="26" t="n"/>
      <c r="D370" s="26" t="n"/>
      <c r="E370" s="26" t="n"/>
      <c r="F370" s="26" t="n"/>
      <c r="G370" s="26" t="n"/>
      <c r="H370" s="26" t="n"/>
      <c r="I370" s="26" t="n"/>
      <c r="J370" s="87" t="n"/>
      <c r="K370" s="87" t="n"/>
      <c r="L370" s="87" t="n"/>
      <c r="M370" s="87" t="n"/>
      <c r="N370" s="88" t="n"/>
      <c r="O370" s="88" t="n"/>
      <c r="P370" s="89" t="n"/>
      <c r="Q370" s="87" t="n"/>
      <c r="R370" s="87" t="n"/>
      <c r="S370" s="87" t="n"/>
      <c r="T370" s="87" t="n"/>
      <c r="U370" s="89" t="n"/>
      <c r="V370" s="89" t="n"/>
      <c r="W370" s="89" t="n"/>
      <c r="X370" s="87" t="n"/>
      <c r="Y370" s="87" t="n"/>
      <c r="Z370" s="88" t="n"/>
      <c r="AA370" s="26" t="n"/>
      <c r="AB370" s="86">
        <f>IF($A370="","",$A370-WEEKDAY($A370,2)+1)</f>
        <v/>
      </c>
      <c r="AC370" s="86">
        <f>IF($A370="","",DATE(YEAR($A370),MONTH($A370),1))</f>
        <v/>
      </c>
      <c r="AD370" s="90">
        <f>IF($A370="","",IFERROR($K370/$J370,0))</f>
        <v/>
      </c>
      <c r="AE370" s="90">
        <f>IF($A370="","",IFERROR($L370/$J370,0))</f>
        <v/>
      </c>
      <c r="AF370" s="90">
        <f>IF($A370="","",IFERROR($M370/$J370,0))</f>
        <v/>
      </c>
      <c r="AG370" s="88">
        <f>IF($A370="","",$N370-$O370)</f>
        <v/>
      </c>
      <c r="AH370" s="90">
        <f>IF($A370="","",IFERROR($AG370/$N370,0))</f>
        <v/>
      </c>
      <c r="AI370" s="89">
        <f>IF($A370="","",IFERROR($K370/$P370,0))</f>
        <v/>
      </c>
      <c r="AJ370" s="90">
        <f>IF($A370="","",IFERROR($S370/$R370,0))</f>
        <v/>
      </c>
      <c r="AK370" s="90">
        <f>IF($A370="","",IFERROR($T370/$J370,0))</f>
        <v/>
      </c>
      <c r="AL370" s="26">
        <f>IF($A370="","",IF(AND($AD370&gt;='01_Settings'!$B$9,$V370&lt;='01_Settings'!$B$10,$W370&lt;='01_Settings'!$B$11),"On track","Off track"))</f>
        <v/>
      </c>
      <c r="AM370" s="42">
        <f>IF($A370="","",IF($AD370&lt;'01_Settings'!$B$9,"Low completion rate; ","")&amp;IF($AE370&gt;'01_Settings'!$B$12,"High overdue rate; ","")&amp;IF($U370&lt;'01_Settings'!$B$13,"Low satisfaction; ","")&amp;IF($AH370&lt;'01_Settings'!$B$14,"Low gross margin; ","")&amp;IF($AJ370&lt;'01_Settings'!$B$15,"Low conversion rate; ","")&amp;IF($AK370&gt;'01_Settings'!$B$16,"High complaint rate; ",""))</f>
        <v/>
      </c>
    </row>
    <row r="371" ht="18" customHeight="1">
      <c r="A371" s="86" t="n"/>
      <c r="B371" s="26" t="n"/>
      <c r="C371" s="26" t="n"/>
      <c r="D371" s="26" t="n"/>
      <c r="E371" s="26" t="n"/>
      <c r="F371" s="26" t="n"/>
      <c r="G371" s="26" t="n"/>
      <c r="H371" s="26" t="n"/>
      <c r="I371" s="26" t="n"/>
      <c r="J371" s="87" t="n"/>
      <c r="K371" s="87" t="n"/>
      <c r="L371" s="87" t="n"/>
      <c r="M371" s="87" t="n"/>
      <c r="N371" s="88" t="n"/>
      <c r="O371" s="88" t="n"/>
      <c r="P371" s="89" t="n"/>
      <c r="Q371" s="87" t="n"/>
      <c r="R371" s="87" t="n"/>
      <c r="S371" s="87" t="n"/>
      <c r="T371" s="87" t="n"/>
      <c r="U371" s="89" t="n"/>
      <c r="V371" s="89" t="n"/>
      <c r="W371" s="89" t="n"/>
      <c r="X371" s="87" t="n"/>
      <c r="Y371" s="87" t="n"/>
      <c r="Z371" s="88" t="n"/>
      <c r="AA371" s="26" t="n"/>
      <c r="AB371" s="86">
        <f>IF($A371="","",$A371-WEEKDAY($A371,2)+1)</f>
        <v/>
      </c>
      <c r="AC371" s="86">
        <f>IF($A371="","",DATE(YEAR($A371),MONTH($A371),1))</f>
        <v/>
      </c>
      <c r="AD371" s="90">
        <f>IF($A371="","",IFERROR($K371/$J371,0))</f>
        <v/>
      </c>
      <c r="AE371" s="90">
        <f>IF($A371="","",IFERROR($L371/$J371,0))</f>
        <v/>
      </c>
      <c r="AF371" s="90">
        <f>IF($A371="","",IFERROR($M371/$J371,0))</f>
        <v/>
      </c>
      <c r="AG371" s="88">
        <f>IF($A371="","",$N371-$O371)</f>
        <v/>
      </c>
      <c r="AH371" s="90">
        <f>IF($A371="","",IFERROR($AG371/$N371,0))</f>
        <v/>
      </c>
      <c r="AI371" s="89">
        <f>IF($A371="","",IFERROR($K371/$P371,0))</f>
        <v/>
      </c>
      <c r="AJ371" s="90">
        <f>IF($A371="","",IFERROR($S371/$R371,0))</f>
        <v/>
      </c>
      <c r="AK371" s="90">
        <f>IF($A371="","",IFERROR($T371/$J371,0))</f>
        <v/>
      </c>
      <c r="AL371" s="26">
        <f>IF($A371="","",IF(AND($AD371&gt;='01_Settings'!$B$9,$V371&lt;='01_Settings'!$B$10,$W371&lt;='01_Settings'!$B$11),"On track","Off track"))</f>
        <v/>
      </c>
      <c r="AM371" s="42">
        <f>IF($A371="","",IF($AD371&lt;'01_Settings'!$B$9,"Low completion rate; ","")&amp;IF($AE371&gt;'01_Settings'!$B$12,"High overdue rate; ","")&amp;IF($U371&lt;'01_Settings'!$B$13,"Low satisfaction; ","")&amp;IF($AH371&lt;'01_Settings'!$B$14,"Low gross margin; ","")&amp;IF($AJ371&lt;'01_Settings'!$B$15,"Low conversion rate; ","")&amp;IF($AK371&gt;'01_Settings'!$B$16,"High complaint rate; ",""))</f>
        <v/>
      </c>
    </row>
    <row r="372" ht="18" customHeight="1">
      <c r="A372" s="86" t="n"/>
      <c r="B372" s="26" t="n"/>
      <c r="C372" s="26" t="n"/>
      <c r="D372" s="26" t="n"/>
      <c r="E372" s="26" t="n"/>
      <c r="F372" s="26" t="n"/>
      <c r="G372" s="26" t="n"/>
      <c r="H372" s="26" t="n"/>
      <c r="I372" s="26" t="n"/>
      <c r="J372" s="87" t="n"/>
      <c r="K372" s="87" t="n"/>
      <c r="L372" s="87" t="n"/>
      <c r="M372" s="87" t="n"/>
      <c r="N372" s="88" t="n"/>
      <c r="O372" s="88" t="n"/>
      <c r="P372" s="89" t="n"/>
      <c r="Q372" s="87" t="n"/>
      <c r="R372" s="87" t="n"/>
      <c r="S372" s="87" t="n"/>
      <c r="T372" s="87" t="n"/>
      <c r="U372" s="89" t="n"/>
      <c r="V372" s="89" t="n"/>
      <c r="W372" s="89" t="n"/>
      <c r="X372" s="87" t="n"/>
      <c r="Y372" s="87" t="n"/>
      <c r="Z372" s="88" t="n"/>
      <c r="AA372" s="26" t="n"/>
      <c r="AB372" s="86">
        <f>IF($A372="","",$A372-WEEKDAY($A372,2)+1)</f>
        <v/>
      </c>
      <c r="AC372" s="86">
        <f>IF($A372="","",DATE(YEAR($A372),MONTH($A372),1))</f>
        <v/>
      </c>
      <c r="AD372" s="90">
        <f>IF($A372="","",IFERROR($K372/$J372,0))</f>
        <v/>
      </c>
      <c r="AE372" s="90">
        <f>IF($A372="","",IFERROR($L372/$J372,0))</f>
        <v/>
      </c>
      <c r="AF372" s="90">
        <f>IF($A372="","",IFERROR($M372/$J372,0))</f>
        <v/>
      </c>
      <c r="AG372" s="88">
        <f>IF($A372="","",$N372-$O372)</f>
        <v/>
      </c>
      <c r="AH372" s="90">
        <f>IF($A372="","",IFERROR($AG372/$N372,0))</f>
        <v/>
      </c>
      <c r="AI372" s="89">
        <f>IF($A372="","",IFERROR($K372/$P372,0))</f>
        <v/>
      </c>
      <c r="AJ372" s="90">
        <f>IF($A372="","",IFERROR($S372/$R372,0))</f>
        <v/>
      </c>
      <c r="AK372" s="90">
        <f>IF($A372="","",IFERROR($T372/$J372,0))</f>
        <v/>
      </c>
      <c r="AL372" s="26">
        <f>IF($A372="","",IF(AND($AD372&gt;='01_Settings'!$B$9,$V372&lt;='01_Settings'!$B$10,$W372&lt;='01_Settings'!$B$11),"On track","Off track"))</f>
        <v/>
      </c>
      <c r="AM372" s="42">
        <f>IF($A372="","",IF($AD372&lt;'01_Settings'!$B$9,"Low completion rate; ","")&amp;IF($AE372&gt;'01_Settings'!$B$12,"High overdue rate; ","")&amp;IF($U372&lt;'01_Settings'!$B$13,"Low satisfaction; ","")&amp;IF($AH372&lt;'01_Settings'!$B$14,"Low gross margin; ","")&amp;IF($AJ372&lt;'01_Settings'!$B$15,"Low conversion rate; ","")&amp;IF($AK372&gt;'01_Settings'!$B$16,"High complaint rate; ",""))</f>
        <v/>
      </c>
    </row>
    <row r="373" ht="18" customHeight="1">
      <c r="A373" s="86" t="n"/>
      <c r="B373" s="26" t="n"/>
      <c r="C373" s="26" t="n"/>
      <c r="D373" s="26" t="n"/>
      <c r="E373" s="26" t="n"/>
      <c r="F373" s="26" t="n"/>
      <c r="G373" s="26" t="n"/>
      <c r="H373" s="26" t="n"/>
      <c r="I373" s="26" t="n"/>
      <c r="J373" s="87" t="n"/>
      <c r="K373" s="87" t="n"/>
      <c r="L373" s="87" t="n"/>
      <c r="M373" s="87" t="n"/>
      <c r="N373" s="88" t="n"/>
      <c r="O373" s="88" t="n"/>
      <c r="P373" s="89" t="n"/>
      <c r="Q373" s="87" t="n"/>
      <c r="R373" s="87" t="n"/>
      <c r="S373" s="87" t="n"/>
      <c r="T373" s="87" t="n"/>
      <c r="U373" s="89" t="n"/>
      <c r="V373" s="89" t="n"/>
      <c r="W373" s="89" t="n"/>
      <c r="X373" s="87" t="n"/>
      <c r="Y373" s="87" t="n"/>
      <c r="Z373" s="88" t="n"/>
      <c r="AA373" s="26" t="n"/>
      <c r="AB373" s="86">
        <f>IF($A373="","",$A373-WEEKDAY($A373,2)+1)</f>
        <v/>
      </c>
      <c r="AC373" s="86">
        <f>IF($A373="","",DATE(YEAR($A373),MONTH($A373),1))</f>
        <v/>
      </c>
      <c r="AD373" s="90">
        <f>IF($A373="","",IFERROR($K373/$J373,0))</f>
        <v/>
      </c>
      <c r="AE373" s="90">
        <f>IF($A373="","",IFERROR($L373/$J373,0))</f>
        <v/>
      </c>
      <c r="AF373" s="90">
        <f>IF($A373="","",IFERROR($M373/$J373,0))</f>
        <v/>
      </c>
      <c r="AG373" s="88">
        <f>IF($A373="","",$N373-$O373)</f>
        <v/>
      </c>
      <c r="AH373" s="90">
        <f>IF($A373="","",IFERROR($AG373/$N373,0))</f>
        <v/>
      </c>
      <c r="AI373" s="89">
        <f>IF($A373="","",IFERROR($K373/$P373,0))</f>
        <v/>
      </c>
      <c r="AJ373" s="90">
        <f>IF($A373="","",IFERROR($S373/$R373,0))</f>
        <v/>
      </c>
      <c r="AK373" s="90">
        <f>IF($A373="","",IFERROR($T373/$J373,0))</f>
        <v/>
      </c>
      <c r="AL373" s="26">
        <f>IF($A373="","",IF(AND($AD373&gt;='01_Settings'!$B$9,$V373&lt;='01_Settings'!$B$10,$W373&lt;='01_Settings'!$B$11),"On track","Off track"))</f>
        <v/>
      </c>
      <c r="AM373" s="42">
        <f>IF($A373="","",IF($AD373&lt;'01_Settings'!$B$9,"Low completion rate; ","")&amp;IF($AE373&gt;'01_Settings'!$B$12,"High overdue rate; ","")&amp;IF($U373&lt;'01_Settings'!$B$13,"Low satisfaction; ","")&amp;IF($AH373&lt;'01_Settings'!$B$14,"Low gross margin; ","")&amp;IF($AJ373&lt;'01_Settings'!$B$15,"Low conversion rate; ","")&amp;IF($AK373&gt;'01_Settings'!$B$16,"High complaint rate; ",""))</f>
        <v/>
      </c>
    </row>
    <row r="374" ht="18" customHeight="1">
      <c r="A374" s="86" t="n"/>
      <c r="B374" s="26" t="n"/>
      <c r="C374" s="26" t="n"/>
      <c r="D374" s="26" t="n"/>
      <c r="E374" s="26" t="n"/>
      <c r="F374" s="26" t="n"/>
      <c r="G374" s="26" t="n"/>
      <c r="H374" s="26" t="n"/>
      <c r="I374" s="26" t="n"/>
      <c r="J374" s="87" t="n"/>
      <c r="K374" s="87" t="n"/>
      <c r="L374" s="87" t="n"/>
      <c r="M374" s="87" t="n"/>
      <c r="N374" s="88" t="n"/>
      <c r="O374" s="88" t="n"/>
      <c r="P374" s="89" t="n"/>
      <c r="Q374" s="87" t="n"/>
      <c r="R374" s="87" t="n"/>
      <c r="S374" s="87" t="n"/>
      <c r="T374" s="87" t="n"/>
      <c r="U374" s="89" t="n"/>
      <c r="V374" s="89" t="n"/>
      <c r="W374" s="89" t="n"/>
      <c r="X374" s="87" t="n"/>
      <c r="Y374" s="87" t="n"/>
      <c r="Z374" s="88" t="n"/>
      <c r="AA374" s="26" t="n"/>
      <c r="AB374" s="86">
        <f>IF($A374="","",$A374-WEEKDAY($A374,2)+1)</f>
        <v/>
      </c>
      <c r="AC374" s="86">
        <f>IF($A374="","",DATE(YEAR($A374),MONTH($A374),1))</f>
        <v/>
      </c>
      <c r="AD374" s="90">
        <f>IF($A374="","",IFERROR($K374/$J374,0))</f>
        <v/>
      </c>
      <c r="AE374" s="90">
        <f>IF($A374="","",IFERROR($L374/$J374,0))</f>
        <v/>
      </c>
      <c r="AF374" s="90">
        <f>IF($A374="","",IFERROR($M374/$J374,0))</f>
        <v/>
      </c>
      <c r="AG374" s="88">
        <f>IF($A374="","",$N374-$O374)</f>
        <v/>
      </c>
      <c r="AH374" s="90">
        <f>IF($A374="","",IFERROR($AG374/$N374,0))</f>
        <v/>
      </c>
      <c r="AI374" s="89">
        <f>IF($A374="","",IFERROR($K374/$P374,0))</f>
        <v/>
      </c>
      <c r="AJ374" s="90">
        <f>IF($A374="","",IFERROR($S374/$R374,0))</f>
        <v/>
      </c>
      <c r="AK374" s="90">
        <f>IF($A374="","",IFERROR($T374/$J374,0))</f>
        <v/>
      </c>
      <c r="AL374" s="26">
        <f>IF($A374="","",IF(AND($AD374&gt;='01_Settings'!$B$9,$V374&lt;='01_Settings'!$B$10,$W374&lt;='01_Settings'!$B$11),"On track","Off track"))</f>
        <v/>
      </c>
      <c r="AM374" s="42">
        <f>IF($A374="","",IF($AD374&lt;'01_Settings'!$B$9,"Low completion rate; ","")&amp;IF($AE374&gt;'01_Settings'!$B$12,"High overdue rate; ","")&amp;IF($U374&lt;'01_Settings'!$B$13,"Low satisfaction; ","")&amp;IF($AH374&lt;'01_Settings'!$B$14,"Low gross margin; ","")&amp;IF($AJ374&lt;'01_Settings'!$B$15,"Low conversion rate; ","")&amp;IF($AK374&gt;'01_Settings'!$B$16,"High complaint rate; ",""))</f>
        <v/>
      </c>
    </row>
    <row r="375" ht="18" customHeight="1">
      <c r="A375" s="86" t="n"/>
      <c r="B375" s="26" t="n"/>
      <c r="C375" s="26" t="n"/>
      <c r="D375" s="26" t="n"/>
      <c r="E375" s="26" t="n"/>
      <c r="F375" s="26" t="n"/>
      <c r="G375" s="26" t="n"/>
      <c r="H375" s="26" t="n"/>
      <c r="I375" s="26" t="n"/>
      <c r="J375" s="87" t="n"/>
      <c r="K375" s="87" t="n"/>
      <c r="L375" s="87" t="n"/>
      <c r="M375" s="87" t="n"/>
      <c r="N375" s="88" t="n"/>
      <c r="O375" s="88" t="n"/>
      <c r="P375" s="89" t="n"/>
      <c r="Q375" s="87" t="n"/>
      <c r="R375" s="87" t="n"/>
      <c r="S375" s="87" t="n"/>
      <c r="T375" s="87" t="n"/>
      <c r="U375" s="89" t="n"/>
      <c r="V375" s="89" t="n"/>
      <c r="W375" s="89" t="n"/>
      <c r="X375" s="87" t="n"/>
      <c r="Y375" s="87" t="n"/>
      <c r="Z375" s="88" t="n"/>
      <c r="AA375" s="26" t="n"/>
      <c r="AB375" s="86">
        <f>IF($A375="","",$A375-WEEKDAY($A375,2)+1)</f>
        <v/>
      </c>
      <c r="AC375" s="86">
        <f>IF($A375="","",DATE(YEAR($A375),MONTH($A375),1))</f>
        <v/>
      </c>
      <c r="AD375" s="90">
        <f>IF($A375="","",IFERROR($K375/$J375,0))</f>
        <v/>
      </c>
      <c r="AE375" s="90">
        <f>IF($A375="","",IFERROR($L375/$J375,0))</f>
        <v/>
      </c>
      <c r="AF375" s="90">
        <f>IF($A375="","",IFERROR($M375/$J375,0))</f>
        <v/>
      </c>
      <c r="AG375" s="88">
        <f>IF($A375="","",$N375-$O375)</f>
        <v/>
      </c>
      <c r="AH375" s="90">
        <f>IF($A375="","",IFERROR($AG375/$N375,0))</f>
        <v/>
      </c>
      <c r="AI375" s="89">
        <f>IF($A375="","",IFERROR($K375/$P375,0))</f>
        <v/>
      </c>
      <c r="AJ375" s="90">
        <f>IF($A375="","",IFERROR($S375/$R375,0))</f>
        <v/>
      </c>
      <c r="AK375" s="90">
        <f>IF($A375="","",IFERROR($T375/$J375,0))</f>
        <v/>
      </c>
      <c r="AL375" s="26">
        <f>IF($A375="","",IF(AND($AD375&gt;='01_Settings'!$B$9,$V375&lt;='01_Settings'!$B$10,$W375&lt;='01_Settings'!$B$11),"On track","Off track"))</f>
        <v/>
      </c>
      <c r="AM375" s="42">
        <f>IF($A375="","",IF($AD375&lt;'01_Settings'!$B$9,"Low completion rate; ","")&amp;IF($AE375&gt;'01_Settings'!$B$12,"High overdue rate; ","")&amp;IF($U375&lt;'01_Settings'!$B$13,"Low satisfaction; ","")&amp;IF($AH375&lt;'01_Settings'!$B$14,"Low gross margin; ","")&amp;IF($AJ375&lt;'01_Settings'!$B$15,"Low conversion rate; ","")&amp;IF($AK375&gt;'01_Settings'!$B$16,"High complaint rate; ",""))</f>
        <v/>
      </c>
    </row>
    <row r="376" ht="18" customHeight="1">
      <c r="A376" s="86" t="n"/>
      <c r="B376" s="26" t="n"/>
      <c r="C376" s="26" t="n"/>
      <c r="D376" s="26" t="n"/>
      <c r="E376" s="26" t="n"/>
      <c r="F376" s="26" t="n"/>
      <c r="G376" s="26" t="n"/>
      <c r="H376" s="26" t="n"/>
      <c r="I376" s="26" t="n"/>
      <c r="J376" s="87" t="n"/>
      <c r="K376" s="87" t="n"/>
      <c r="L376" s="87" t="n"/>
      <c r="M376" s="87" t="n"/>
      <c r="N376" s="88" t="n"/>
      <c r="O376" s="88" t="n"/>
      <c r="P376" s="89" t="n"/>
      <c r="Q376" s="87" t="n"/>
      <c r="R376" s="87" t="n"/>
      <c r="S376" s="87" t="n"/>
      <c r="T376" s="87" t="n"/>
      <c r="U376" s="89" t="n"/>
      <c r="V376" s="89" t="n"/>
      <c r="W376" s="89" t="n"/>
      <c r="X376" s="87" t="n"/>
      <c r="Y376" s="87" t="n"/>
      <c r="Z376" s="88" t="n"/>
      <c r="AA376" s="26" t="n"/>
      <c r="AB376" s="86">
        <f>IF($A376="","",$A376-WEEKDAY($A376,2)+1)</f>
        <v/>
      </c>
      <c r="AC376" s="86">
        <f>IF($A376="","",DATE(YEAR($A376),MONTH($A376),1))</f>
        <v/>
      </c>
      <c r="AD376" s="90">
        <f>IF($A376="","",IFERROR($K376/$J376,0))</f>
        <v/>
      </c>
      <c r="AE376" s="90">
        <f>IF($A376="","",IFERROR($L376/$J376,0))</f>
        <v/>
      </c>
      <c r="AF376" s="90">
        <f>IF($A376="","",IFERROR($M376/$J376,0))</f>
        <v/>
      </c>
      <c r="AG376" s="88">
        <f>IF($A376="","",$N376-$O376)</f>
        <v/>
      </c>
      <c r="AH376" s="90">
        <f>IF($A376="","",IFERROR($AG376/$N376,0))</f>
        <v/>
      </c>
      <c r="AI376" s="89">
        <f>IF($A376="","",IFERROR($K376/$P376,0))</f>
        <v/>
      </c>
      <c r="AJ376" s="90">
        <f>IF($A376="","",IFERROR($S376/$R376,0))</f>
        <v/>
      </c>
      <c r="AK376" s="90">
        <f>IF($A376="","",IFERROR($T376/$J376,0))</f>
        <v/>
      </c>
      <c r="AL376" s="26">
        <f>IF($A376="","",IF(AND($AD376&gt;='01_Settings'!$B$9,$V376&lt;='01_Settings'!$B$10,$W376&lt;='01_Settings'!$B$11),"On track","Off track"))</f>
        <v/>
      </c>
      <c r="AM376" s="42">
        <f>IF($A376="","",IF($AD376&lt;'01_Settings'!$B$9,"Low completion rate; ","")&amp;IF($AE376&gt;'01_Settings'!$B$12,"High overdue rate; ","")&amp;IF($U376&lt;'01_Settings'!$B$13,"Low satisfaction; ","")&amp;IF($AH376&lt;'01_Settings'!$B$14,"Low gross margin; ","")&amp;IF($AJ376&lt;'01_Settings'!$B$15,"Low conversion rate; ","")&amp;IF($AK376&gt;'01_Settings'!$B$16,"High complaint rate; ",""))</f>
        <v/>
      </c>
    </row>
    <row r="377" ht="18" customHeight="1">
      <c r="A377" s="86" t="n"/>
      <c r="B377" s="26" t="n"/>
      <c r="C377" s="26" t="n"/>
      <c r="D377" s="26" t="n"/>
      <c r="E377" s="26" t="n"/>
      <c r="F377" s="26" t="n"/>
      <c r="G377" s="26" t="n"/>
      <c r="H377" s="26" t="n"/>
      <c r="I377" s="26" t="n"/>
      <c r="J377" s="87" t="n"/>
      <c r="K377" s="87" t="n"/>
      <c r="L377" s="87" t="n"/>
      <c r="M377" s="87" t="n"/>
      <c r="N377" s="88" t="n"/>
      <c r="O377" s="88" t="n"/>
      <c r="P377" s="89" t="n"/>
      <c r="Q377" s="87" t="n"/>
      <c r="R377" s="87" t="n"/>
      <c r="S377" s="87" t="n"/>
      <c r="T377" s="87" t="n"/>
      <c r="U377" s="89" t="n"/>
      <c r="V377" s="89" t="n"/>
      <c r="W377" s="89" t="n"/>
      <c r="X377" s="87" t="n"/>
      <c r="Y377" s="87" t="n"/>
      <c r="Z377" s="88" t="n"/>
      <c r="AA377" s="26" t="n"/>
      <c r="AB377" s="86">
        <f>IF($A377="","",$A377-WEEKDAY($A377,2)+1)</f>
        <v/>
      </c>
      <c r="AC377" s="86">
        <f>IF($A377="","",DATE(YEAR($A377),MONTH($A377),1))</f>
        <v/>
      </c>
      <c r="AD377" s="90">
        <f>IF($A377="","",IFERROR($K377/$J377,0))</f>
        <v/>
      </c>
      <c r="AE377" s="90">
        <f>IF($A377="","",IFERROR($L377/$J377,0))</f>
        <v/>
      </c>
      <c r="AF377" s="90">
        <f>IF($A377="","",IFERROR($M377/$J377,0))</f>
        <v/>
      </c>
      <c r="AG377" s="88">
        <f>IF($A377="","",$N377-$O377)</f>
        <v/>
      </c>
      <c r="AH377" s="90">
        <f>IF($A377="","",IFERROR($AG377/$N377,0))</f>
        <v/>
      </c>
      <c r="AI377" s="89">
        <f>IF($A377="","",IFERROR($K377/$P377,0))</f>
        <v/>
      </c>
      <c r="AJ377" s="90">
        <f>IF($A377="","",IFERROR($S377/$R377,0))</f>
        <v/>
      </c>
      <c r="AK377" s="90">
        <f>IF($A377="","",IFERROR($T377/$J377,0))</f>
        <v/>
      </c>
      <c r="AL377" s="26">
        <f>IF($A377="","",IF(AND($AD377&gt;='01_Settings'!$B$9,$V377&lt;='01_Settings'!$B$10,$W377&lt;='01_Settings'!$B$11),"On track","Off track"))</f>
        <v/>
      </c>
      <c r="AM377" s="42">
        <f>IF($A377="","",IF($AD377&lt;'01_Settings'!$B$9,"Low completion rate; ","")&amp;IF($AE377&gt;'01_Settings'!$B$12,"High overdue rate; ","")&amp;IF($U377&lt;'01_Settings'!$B$13,"Low satisfaction; ","")&amp;IF($AH377&lt;'01_Settings'!$B$14,"Low gross margin; ","")&amp;IF($AJ377&lt;'01_Settings'!$B$15,"Low conversion rate; ","")&amp;IF($AK377&gt;'01_Settings'!$B$16,"High complaint rate; ",""))</f>
        <v/>
      </c>
    </row>
    <row r="378" ht="18" customHeight="1">
      <c r="A378" s="86" t="n"/>
      <c r="B378" s="26" t="n"/>
      <c r="C378" s="26" t="n"/>
      <c r="D378" s="26" t="n"/>
      <c r="E378" s="26" t="n"/>
      <c r="F378" s="26" t="n"/>
      <c r="G378" s="26" t="n"/>
      <c r="H378" s="26" t="n"/>
      <c r="I378" s="26" t="n"/>
      <c r="J378" s="87" t="n"/>
      <c r="K378" s="87" t="n"/>
      <c r="L378" s="87" t="n"/>
      <c r="M378" s="87" t="n"/>
      <c r="N378" s="88" t="n"/>
      <c r="O378" s="88" t="n"/>
      <c r="P378" s="89" t="n"/>
      <c r="Q378" s="87" t="n"/>
      <c r="R378" s="87" t="n"/>
      <c r="S378" s="87" t="n"/>
      <c r="T378" s="87" t="n"/>
      <c r="U378" s="89" t="n"/>
      <c r="V378" s="89" t="n"/>
      <c r="W378" s="89" t="n"/>
      <c r="X378" s="87" t="n"/>
      <c r="Y378" s="87" t="n"/>
      <c r="Z378" s="88" t="n"/>
      <c r="AA378" s="26" t="n"/>
      <c r="AB378" s="86">
        <f>IF($A378="","",$A378-WEEKDAY($A378,2)+1)</f>
        <v/>
      </c>
      <c r="AC378" s="86">
        <f>IF($A378="","",DATE(YEAR($A378),MONTH($A378),1))</f>
        <v/>
      </c>
      <c r="AD378" s="90">
        <f>IF($A378="","",IFERROR($K378/$J378,0))</f>
        <v/>
      </c>
      <c r="AE378" s="90">
        <f>IF($A378="","",IFERROR($L378/$J378,0))</f>
        <v/>
      </c>
      <c r="AF378" s="90">
        <f>IF($A378="","",IFERROR($M378/$J378,0))</f>
        <v/>
      </c>
      <c r="AG378" s="88">
        <f>IF($A378="","",$N378-$O378)</f>
        <v/>
      </c>
      <c r="AH378" s="90">
        <f>IF($A378="","",IFERROR($AG378/$N378,0))</f>
        <v/>
      </c>
      <c r="AI378" s="89">
        <f>IF($A378="","",IFERROR($K378/$P378,0))</f>
        <v/>
      </c>
      <c r="AJ378" s="90">
        <f>IF($A378="","",IFERROR($S378/$R378,0))</f>
        <v/>
      </c>
      <c r="AK378" s="90">
        <f>IF($A378="","",IFERROR($T378/$J378,0))</f>
        <v/>
      </c>
      <c r="AL378" s="26">
        <f>IF($A378="","",IF(AND($AD378&gt;='01_Settings'!$B$9,$V378&lt;='01_Settings'!$B$10,$W378&lt;='01_Settings'!$B$11),"On track","Off track"))</f>
        <v/>
      </c>
      <c r="AM378" s="42">
        <f>IF($A378="","",IF($AD378&lt;'01_Settings'!$B$9,"Low completion rate; ","")&amp;IF($AE378&gt;'01_Settings'!$B$12,"High overdue rate; ","")&amp;IF($U378&lt;'01_Settings'!$B$13,"Low satisfaction; ","")&amp;IF($AH378&lt;'01_Settings'!$B$14,"Low gross margin; ","")&amp;IF($AJ378&lt;'01_Settings'!$B$15,"Low conversion rate; ","")&amp;IF($AK378&gt;'01_Settings'!$B$16,"High complaint rate; ",""))</f>
        <v/>
      </c>
    </row>
    <row r="379" ht="18" customHeight="1">
      <c r="A379" s="86" t="n"/>
      <c r="B379" s="26" t="n"/>
      <c r="C379" s="26" t="n"/>
      <c r="D379" s="26" t="n"/>
      <c r="E379" s="26" t="n"/>
      <c r="F379" s="26" t="n"/>
      <c r="G379" s="26" t="n"/>
      <c r="H379" s="26" t="n"/>
      <c r="I379" s="26" t="n"/>
      <c r="J379" s="87" t="n"/>
      <c r="K379" s="87" t="n"/>
      <c r="L379" s="87" t="n"/>
      <c r="M379" s="87" t="n"/>
      <c r="N379" s="88" t="n"/>
      <c r="O379" s="88" t="n"/>
      <c r="P379" s="89" t="n"/>
      <c r="Q379" s="87" t="n"/>
      <c r="R379" s="87" t="n"/>
      <c r="S379" s="87" t="n"/>
      <c r="T379" s="87" t="n"/>
      <c r="U379" s="89" t="n"/>
      <c r="V379" s="89" t="n"/>
      <c r="W379" s="89" t="n"/>
      <c r="X379" s="87" t="n"/>
      <c r="Y379" s="87" t="n"/>
      <c r="Z379" s="88" t="n"/>
      <c r="AA379" s="26" t="n"/>
      <c r="AB379" s="86">
        <f>IF($A379="","",$A379-WEEKDAY($A379,2)+1)</f>
        <v/>
      </c>
      <c r="AC379" s="86">
        <f>IF($A379="","",DATE(YEAR($A379),MONTH($A379),1))</f>
        <v/>
      </c>
      <c r="AD379" s="90">
        <f>IF($A379="","",IFERROR($K379/$J379,0))</f>
        <v/>
      </c>
      <c r="AE379" s="90">
        <f>IF($A379="","",IFERROR($L379/$J379,0))</f>
        <v/>
      </c>
      <c r="AF379" s="90">
        <f>IF($A379="","",IFERROR($M379/$J379,0))</f>
        <v/>
      </c>
      <c r="AG379" s="88">
        <f>IF($A379="","",$N379-$O379)</f>
        <v/>
      </c>
      <c r="AH379" s="90">
        <f>IF($A379="","",IFERROR($AG379/$N379,0))</f>
        <v/>
      </c>
      <c r="AI379" s="89">
        <f>IF($A379="","",IFERROR($K379/$P379,0))</f>
        <v/>
      </c>
      <c r="AJ379" s="90">
        <f>IF($A379="","",IFERROR($S379/$R379,0))</f>
        <v/>
      </c>
      <c r="AK379" s="90">
        <f>IF($A379="","",IFERROR($T379/$J379,0))</f>
        <v/>
      </c>
      <c r="AL379" s="26">
        <f>IF($A379="","",IF(AND($AD379&gt;='01_Settings'!$B$9,$V379&lt;='01_Settings'!$B$10,$W379&lt;='01_Settings'!$B$11),"On track","Off track"))</f>
        <v/>
      </c>
      <c r="AM379" s="42">
        <f>IF($A379="","",IF($AD379&lt;'01_Settings'!$B$9,"Low completion rate; ","")&amp;IF($AE379&gt;'01_Settings'!$B$12,"High overdue rate; ","")&amp;IF($U379&lt;'01_Settings'!$B$13,"Low satisfaction; ","")&amp;IF($AH379&lt;'01_Settings'!$B$14,"Low gross margin; ","")&amp;IF($AJ379&lt;'01_Settings'!$B$15,"Low conversion rate; ","")&amp;IF($AK379&gt;'01_Settings'!$B$16,"High complaint rate; ",""))</f>
        <v/>
      </c>
    </row>
    <row r="380" ht="18" customHeight="1">
      <c r="A380" s="86" t="n"/>
      <c r="B380" s="26" t="n"/>
      <c r="C380" s="26" t="n"/>
      <c r="D380" s="26" t="n"/>
      <c r="E380" s="26" t="n"/>
      <c r="F380" s="26" t="n"/>
      <c r="G380" s="26" t="n"/>
      <c r="H380" s="26" t="n"/>
      <c r="I380" s="26" t="n"/>
      <c r="J380" s="87" t="n"/>
      <c r="K380" s="87" t="n"/>
      <c r="L380" s="87" t="n"/>
      <c r="M380" s="87" t="n"/>
      <c r="N380" s="88" t="n"/>
      <c r="O380" s="88" t="n"/>
      <c r="P380" s="89" t="n"/>
      <c r="Q380" s="87" t="n"/>
      <c r="R380" s="87" t="n"/>
      <c r="S380" s="87" t="n"/>
      <c r="T380" s="87" t="n"/>
      <c r="U380" s="89" t="n"/>
      <c r="V380" s="89" t="n"/>
      <c r="W380" s="89" t="n"/>
      <c r="X380" s="87" t="n"/>
      <c r="Y380" s="87" t="n"/>
      <c r="Z380" s="88" t="n"/>
      <c r="AA380" s="26" t="n"/>
      <c r="AB380" s="86">
        <f>IF($A380="","",$A380-WEEKDAY($A380,2)+1)</f>
        <v/>
      </c>
      <c r="AC380" s="86">
        <f>IF($A380="","",DATE(YEAR($A380),MONTH($A380),1))</f>
        <v/>
      </c>
      <c r="AD380" s="90">
        <f>IF($A380="","",IFERROR($K380/$J380,0))</f>
        <v/>
      </c>
      <c r="AE380" s="90">
        <f>IF($A380="","",IFERROR($L380/$J380,0))</f>
        <v/>
      </c>
      <c r="AF380" s="90">
        <f>IF($A380="","",IFERROR($M380/$J380,0))</f>
        <v/>
      </c>
      <c r="AG380" s="88">
        <f>IF($A380="","",$N380-$O380)</f>
        <v/>
      </c>
      <c r="AH380" s="90">
        <f>IF($A380="","",IFERROR($AG380/$N380,0))</f>
        <v/>
      </c>
      <c r="AI380" s="89">
        <f>IF($A380="","",IFERROR($K380/$P380,0))</f>
        <v/>
      </c>
      <c r="AJ380" s="90">
        <f>IF($A380="","",IFERROR($S380/$R380,0))</f>
        <v/>
      </c>
      <c r="AK380" s="90">
        <f>IF($A380="","",IFERROR($T380/$J380,0))</f>
        <v/>
      </c>
      <c r="AL380" s="26">
        <f>IF($A380="","",IF(AND($AD380&gt;='01_Settings'!$B$9,$V380&lt;='01_Settings'!$B$10,$W380&lt;='01_Settings'!$B$11),"On track","Off track"))</f>
        <v/>
      </c>
      <c r="AM380" s="42">
        <f>IF($A380="","",IF($AD380&lt;'01_Settings'!$B$9,"Low completion rate; ","")&amp;IF($AE380&gt;'01_Settings'!$B$12,"High overdue rate; ","")&amp;IF($U380&lt;'01_Settings'!$B$13,"Low satisfaction; ","")&amp;IF($AH380&lt;'01_Settings'!$B$14,"Low gross margin; ","")&amp;IF($AJ380&lt;'01_Settings'!$B$15,"Low conversion rate; ","")&amp;IF($AK380&gt;'01_Settings'!$B$16,"High complaint rate; ",""))</f>
        <v/>
      </c>
    </row>
    <row r="381" ht="18" customHeight="1">
      <c r="A381" s="86" t="n"/>
      <c r="B381" s="26" t="n"/>
      <c r="C381" s="26" t="n"/>
      <c r="D381" s="26" t="n"/>
      <c r="E381" s="26" t="n"/>
      <c r="F381" s="26" t="n"/>
      <c r="G381" s="26" t="n"/>
      <c r="H381" s="26" t="n"/>
      <c r="I381" s="26" t="n"/>
      <c r="J381" s="87" t="n"/>
      <c r="K381" s="87" t="n"/>
      <c r="L381" s="87" t="n"/>
      <c r="M381" s="87" t="n"/>
      <c r="N381" s="88" t="n"/>
      <c r="O381" s="88" t="n"/>
      <c r="P381" s="89" t="n"/>
      <c r="Q381" s="87" t="n"/>
      <c r="R381" s="87" t="n"/>
      <c r="S381" s="87" t="n"/>
      <c r="T381" s="87" t="n"/>
      <c r="U381" s="89" t="n"/>
      <c r="V381" s="89" t="n"/>
      <c r="W381" s="89" t="n"/>
      <c r="X381" s="87" t="n"/>
      <c r="Y381" s="87" t="n"/>
      <c r="Z381" s="88" t="n"/>
      <c r="AA381" s="26" t="n"/>
      <c r="AB381" s="86">
        <f>IF($A381="","",$A381-WEEKDAY($A381,2)+1)</f>
        <v/>
      </c>
      <c r="AC381" s="86">
        <f>IF($A381="","",DATE(YEAR($A381),MONTH($A381),1))</f>
        <v/>
      </c>
      <c r="AD381" s="90">
        <f>IF($A381="","",IFERROR($K381/$J381,0))</f>
        <v/>
      </c>
      <c r="AE381" s="90">
        <f>IF($A381="","",IFERROR($L381/$J381,0))</f>
        <v/>
      </c>
      <c r="AF381" s="90">
        <f>IF($A381="","",IFERROR($M381/$J381,0))</f>
        <v/>
      </c>
      <c r="AG381" s="88">
        <f>IF($A381="","",$N381-$O381)</f>
        <v/>
      </c>
      <c r="AH381" s="90">
        <f>IF($A381="","",IFERROR($AG381/$N381,0))</f>
        <v/>
      </c>
      <c r="AI381" s="89">
        <f>IF($A381="","",IFERROR($K381/$P381,0))</f>
        <v/>
      </c>
      <c r="AJ381" s="90">
        <f>IF($A381="","",IFERROR($S381/$R381,0))</f>
        <v/>
      </c>
      <c r="AK381" s="90">
        <f>IF($A381="","",IFERROR($T381/$J381,0))</f>
        <v/>
      </c>
      <c r="AL381" s="26">
        <f>IF($A381="","",IF(AND($AD381&gt;='01_Settings'!$B$9,$V381&lt;='01_Settings'!$B$10,$W381&lt;='01_Settings'!$B$11),"On track","Off track"))</f>
        <v/>
      </c>
      <c r="AM381" s="42">
        <f>IF($A381="","",IF($AD381&lt;'01_Settings'!$B$9,"Low completion rate; ","")&amp;IF($AE381&gt;'01_Settings'!$B$12,"High overdue rate; ","")&amp;IF($U381&lt;'01_Settings'!$B$13,"Low satisfaction; ","")&amp;IF($AH381&lt;'01_Settings'!$B$14,"Low gross margin; ","")&amp;IF($AJ381&lt;'01_Settings'!$B$15,"Low conversion rate; ","")&amp;IF($AK381&gt;'01_Settings'!$B$16,"High complaint rate; ",""))</f>
        <v/>
      </c>
    </row>
    <row r="382" ht="18" customHeight="1">
      <c r="A382" s="86" t="n"/>
      <c r="B382" s="26" t="n"/>
      <c r="C382" s="26" t="n"/>
      <c r="D382" s="26" t="n"/>
      <c r="E382" s="26" t="n"/>
      <c r="F382" s="26" t="n"/>
      <c r="G382" s="26" t="n"/>
      <c r="H382" s="26" t="n"/>
      <c r="I382" s="26" t="n"/>
      <c r="J382" s="87" t="n"/>
      <c r="K382" s="87" t="n"/>
      <c r="L382" s="87" t="n"/>
      <c r="M382" s="87" t="n"/>
      <c r="N382" s="88" t="n"/>
      <c r="O382" s="88" t="n"/>
      <c r="P382" s="89" t="n"/>
      <c r="Q382" s="87" t="n"/>
      <c r="R382" s="87" t="n"/>
      <c r="S382" s="87" t="n"/>
      <c r="T382" s="87" t="n"/>
      <c r="U382" s="89" t="n"/>
      <c r="V382" s="89" t="n"/>
      <c r="W382" s="89" t="n"/>
      <c r="X382" s="87" t="n"/>
      <c r="Y382" s="87" t="n"/>
      <c r="Z382" s="88" t="n"/>
      <c r="AA382" s="26" t="n"/>
      <c r="AB382" s="86">
        <f>IF($A382="","",$A382-WEEKDAY($A382,2)+1)</f>
        <v/>
      </c>
      <c r="AC382" s="86">
        <f>IF($A382="","",DATE(YEAR($A382),MONTH($A382),1))</f>
        <v/>
      </c>
      <c r="AD382" s="90">
        <f>IF($A382="","",IFERROR($K382/$J382,0))</f>
        <v/>
      </c>
      <c r="AE382" s="90">
        <f>IF($A382="","",IFERROR($L382/$J382,0))</f>
        <v/>
      </c>
      <c r="AF382" s="90">
        <f>IF($A382="","",IFERROR($M382/$J382,0))</f>
        <v/>
      </c>
      <c r="AG382" s="88">
        <f>IF($A382="","",$N382-$O382)</f>
        <v/>
      </c>
      <c r="AH382" s="90">
        <f>IF($A382="","",IFERROR($AG382/$N382,0))</f>
        <v/>
      </c>
      <c r="AI382" s="89">
        <f>IF($A382="","",IFERROR($K382/$P382,0))</f>
        <v/>
      </c>
      <c r="AJ382" s="90">
        <f>IF($A382="","",IFERROR($S382/$R382,0))</f>
        <v/>
      </c>
      <c r="AK382" s="90">
        <f>IF($A382="","",IFERROR($T382/$J382,0))</f>
        <v/>
      </c>
      <c r="AL382" s="26">
        <f>IF($A382="","",IF(AND($AD382&gt;='01_Settings'!$B$9,$V382&lt;='01_Settings'!$B$10,$W382&lt;='01_Settings'!$B$11),"On track","Off track"))</f>
        <v/>
      </c>
      <c r="AM382" s="42">
        <f>IF($A382="","",IF($AD382&lt;'01_Settings'!$B$9,"Low completion rate; ","")&amp;IF($AE382&gt;'01_Settings'!$B$12,"High overdue rate; ","")&amp;IF($U382&lt;'01_Settings'!$B$13,"Low satisfaction; ","")&amp;IF($AH382&lt;'01_Settings'!$B$14,"Low gross margin; ","")&amp;IF($AJ382&lt;'01_Settings'!$B$15,"Low conversion rate; ","")&amp;IF($AK382&gt;'01_Settings'!$B$16,"High complaint rate; ",""))</f>
        <v/>
      </c>
    </row>
    <row r="383" ht="18" customHeight="1">
      <c r="A383" s="86" t="n"/>
      <c r="B383" s="26" t="n"/>
      <c r="C383" s="26" t="n"/>
      <c r="D383" s="26" t="n"/>
      <c r="E383" s="26" t="n"/>
      <c r="F383" s="26" t="n"/>
      <c r="G383" s="26" t="n"/>
      <c r="H383" s="26" t="n"/>
      <c r="I383" s="26" t="n"/>
      <c r="J383" s="87" t="n"/>
      <c r="K383" s="87" t="n"/>
      <c r="L383" s="87" t="n"/>
      <c r="M383" s="87" t="n"/>
      <c r="N383" s="88" t="n"/>
      <c r="O383" s="88" t="n"/>
      <c r="P383" s="89" t="n"/>
      <c r="Q383" s="87" t="n"/>
      <c r="R383" s="87" t="n"/>
      <c r="S383" s="87" t="n"/>
      <c r="T383" s="87" t="n"/>
      <c r="U383" s="89" t="n"/>
      <c r="V383" s="89" t="n"/>
      <c r="W383" s="89" t="n"/>
      <c r="X383" s="87" t="n"/>
      <c r="Y383" s="87" t="n"/>
      <c r="Z383" s="88" t="n"/>
      <c r="AA383" s="26" t="n"/>
      <c r="AB383" s="86">
        <f>IF($A383="","",$A383-WEEKDAY($A383,2)+1)</f>
        <v/>
      </c>
      <c r="AC383" s="86">
        <f>IF($A383="","",DATE(YEAR($A383),MONTH($A383),1))</f>
        <v/>
      </c>
      <c r="AD383" s="90">
        <f>IF($A383="","",IFERROR($K383/$J383,0))</f>
        <v/>
      </c>
      <c r="AE383" s="90">
        <f>IF($A383="","",IFERROR($L383/$J383,0))</f>
        <v/>
      </c>
      <c r="AF383" s="90">
        <f>IF($A383="","",IFERROR($M383/$J383,0))</f>
        <v/>
      </c>
      <c r="AG383" s="88">
        <f>IF($A383="","",$N383-$O383)</f>
        <v/>
      </c>
      <c r="AH383" s="90">
        <f>IF($A383="","",IFERROR($AG383/$N383,0))</f>
        <v/>
      </c>
      <c r="AI383" s="89">
        <f>IF($A383="","",IFERROR($K383/$P383,0))</f>
        <v/>
      </c>
      <c r="AJ383" s="90">
        <f>IF($A383="","",IFERROR($S383/$R383,0))</f>
        <v/>
      </c>
      <c r="AK383" s="90">
        <f>IF($A383="","",IFERROR($T383/$J383,0))</f>
        <v/>
      </c>
      <c r="AL383" s="26">
        <f>IF($A383="","",IF(AND($AD383&gt;='01_Settings'!$B$9,$V383&lt;='01_Settings'!$B$10,$W383&lt;='01_Settings'!$B$11),"On track","Off track"))</f>
        <v/>
      </c>
      <c r="AM383" s="42">
        <f>IF($A383="","",IF($AD383&lt;'01_Settings'!$B$9,"Low completion rate; ","")&amp;IF($AE383&gt;'01_Settings'!$B$12,"High overdue rate; ","")&amp;IF($U383&lt;'01_Settings'!$B$13,"Low satisfaction; ","")&amp;IF($AH383&lt;'01_Settings'!$B$14,"Low gross margin; ","")&amp;IF($AJ383&lt;'01_Settings'!$B$15,"Low conversion rate; ","")&amp;IF($AK383&gt;'01_Settings'!$B$16,"High complaint rate; ",""))</f>
        <v/>
      </c>
    </row>
    <row r="384" ht="18" customHeight="1">
      <c r="A384" s="86" t="n"/>
      <c r="B384" s="26" t="n"/>
      <c r="C384" s="26" t="n"/>
      <c r="D384" s="26" t="n"/>
      <c r="E384" s="26" t="n"/>
      <c r="F384" s="26" t="n"/>
      <c r="G384" s="26" t="n"/>
      <c r="H384" s="26" t="n"/>
      <c r="I384" s="26" t="n"/>
      <c r="J384" s="87" t="n"/>
      <c r="K384" s="87" t="n"/>
      <c r="L384" s="87" t="n"/>
      <c r="M384" s="87" t="n"/>
      <c r="N384" s="88" t="n"/>
      <c r="O384" s="88" t="n"/>
      <c r="P384" s="89" t="n"/>
      <c r="Q384" s="87" t="n"/>
      <c r="R384" s="87" t="n"/>
      <c r="S384" s="87" t="n"/>
      <c r="T384" s="87" t="n"/>
      <c r="U384" s="89" t="n"/>
      <c r="V384" s="89" t="n"/>
      <c r="W384" s="89" t="n"/>
      <c r="X384" s="87" t="n"/>
      <c r="Y384" s="87" t="n"/>
      <c r="Z384" s="88" t="n"/>
      <c r="AA384" s="26" t="n"/>
      <c r="AB384" s="86">
        <f>IF($A384="","",$A384-WEEKDAY($A384,2)+1)</f>
        <v/>
      </c>
      <c r="AC384" s="86">
        <f>IF($A384="","",DATE(YEAR($A384),MONTH($A384),1))</f>
        <v/>
      </c>
      <c r="AD384" s="90">
        <f>IF($A384="","",IFERROR($K384/$J384,0))</f>
        <v/>
      </c>
      <c r="AE384" s="90">
        <f>IF($A384="","",IFERROR($L384/$J384,0))</f>
        <v/>
      </c>
      <c r="AF384" s="90">
        <f>IF($A384="","",IFERROR($M384/$J384,0))</f>
        <v/>
      </c>
      <c r="AG384" s="88">
        <f>IF($A384="","",$N384-$O384)</f>
        <v/>
      </c>
      <c r="AH384" s="90">
        <f>IF($A384="","",IFERROR($AG384/$N384,0))</f>
        <v/>
      </c>
      <c r="AI384" s="89">
        <f>IF($A384="","",IFERROR($K384/$P384,0))</f>
        <v/>
      </c>
      <c r="AJ384" s="90">
        <f>IF($A384="","",IFERROR($S384/$R384,0))</f>
        <v/>
      </c>
      <c r="AK384" s="90">
        <f>IF($A384="","",IFERROR($T384/$J384,0))</f>
        <v/>
      </c>
      <c r="AL384" s="26">
        <f>IF($A384="","",IF(AND($AD384&gt;='01_Settings'!$B$9,$V384&lt;='01_Settings'!$B$10,$W384&lt;='01_Settings'!$B$11),"On track","Off track"))</f>
        <v/>
      </c>
      <c r="AM384" s="42">
        <f>IF($A384="","",IF($AD384&lt;'01_Settings'!$B$9,"Low completion rate; ","")&amp;IF($AE384&gt;'01_Settings'!$B$12,"High overdue rate; ","")&amp;IF($U384&lt;'01_Settings'!$B$13,"Low satisfaction; ","")&amp;IF($AH384&lt;'01_Settings'!$B$14,"Low gross margin; ","")&amp;IF($AJ384&lt;'01_Settings'!$B$15,"Low conversion rate; ","")&amp;IF($AK384&gt;'01_Settings'!$B$16,"High complaint rate; ",""))</f>
        <v/>
      </c>
    </row>
    <row r="385" ht="18" customHeight="1">
      <c r="A385" s="86" t="n"/>
      <c r="B385" s="26" t="n"/>
      <c r="C385" s="26" t="n"/>
      <c r="D385" s="26" t="n"/>
      <c r="E385" s="26" t="n"/>
      <c r="F385" s="26" t="n"/>
      <c r="G385" s="26" t="n"/>
      <c r="H385" s="26" t="n"/>
      <c r="I385" s="26" t="n"/>
      <c r="J385" s="87" t="n"/>
      <c r="K385" s="87" t="n"/>
      <c r="L385" s="87" t="n"/>
      <c r="M385" s="87" t="n"/>
      <c r="N385" s="88" t="n"/>
      <c r="O385" s="88" t="n"/>
      <c r="P385" s="89" t="n"/>
      <c r="Q385" s="87" t="n"/>
      <c r="R385" s="87" t="n"/>
      <c r="S385" s="87" t="n"/>
      <c r="T385" s="87" t="n"/>
      <c r="U385" s="89" t="n"/>
      <c r="V385" s="89" t="n"/>
      <c r="W385" s="89" t="n"/>
      <c r="X385" s="87" t="n"/>
      <c r="Y385" s="87" t="n"/>
      <c r="Z385" s="88" t="n"/>
      <c r="AA385" s="26" t="n"/>
      <c r="AB385" s="86">
        <f>IF($A385="","",$A385-WEEKDAY($A385,2)+1)</f>
        <v/>
      </c>
      <c r="AC385" s="86">
        <f>IF($A385="","",DATE(YEAR($A385),MONTH($A385),1))</f>
        <v/>
      </c>
      <c r="AD385" s="90">
        <f>IF($A385="","",IFERROR($K385/$J385,0))</f>
        <v/>
      </c>
      <c r="AE385" s="90">
        <f>IF($A385="","",IFERROR($L385/$J385,0))</f>
        <v/>
      </c>
      <c r="AF385" s="90">
        <f>IF($A385="","",IFERROR($M385/$J385,0))</f>
        <v/>
      </c>
      <c r="AG385" s="88">
        <f>IF($A385="","",$N385-$O385)</f>
        <v/>
      </c>
      <c r="AH385" s="90">
        <f>IF($A385="","",IFERROR($AG385/$N385,0))</f>
        <v/>
      </c>
      <c r="AI385" s="89">
        <f>IF($A385="","",IFERROR($K385/$P385,0))</f>
        <v/>
      </c>
      <c r="AJ385" s="90">
        <f>IF($A385="","",IFERROR($S385/$R385,0))</f>
        <v/>
      </c>
      <c r="AK385" s="90">
        <f>IF($A385="","",IFERROR($T385/$J385,0))</f>
        <v/>
      </c>
      <c r="AL385" s="26">
        <f>IF($A385="","",IF(AND($AD385&gt;='01_Settings'!$B$9,$V385&lt;='01_Settings'!$B$10,$W385&lt;='01_Settings'!$B$11),"On track","Off track"))</f>
        <v/>
      </c>
      <c r="AM385" s="42">
        <f>IF($A385="","",IF($AD385&lt;'01_Settings'!$B$9,"Low completion rate; ","")&amp;IF($AE385&gt;'01_Settings'!$B$12,"High overdue rate; ","")&amp;IF($U385&lt;'01_Settings'!$B$13,"Low satisfaction; ","")&amp;IF($AH385&lt;'01_Settings'!$B$14,"Low gross margin; ","")&amp;IF($AJ385&lt;'01_Settings'!$B$15,"Low conversion rate; ","")&amp;IF($AK385&gt;'01_Settings'!$B$16,"High complaint rate; ",""))</f>
        <v/>
      </c>
    </row>
    <row r="386" ht="18" customHeight="1">
      <c r="A386" s="86" t="n"/>
      <c r="B386" s="26" t="n"/>
      <c r="C386" s="26" t="n"/>
      <c r="D386" s="26" t="n"/>
      <c r="E386" s="26" t="n"/>
      <c r="F386" s="26" t="n"/>
      <c r="G386" s="26" t="n"/>
      <c r="H386" s="26" t="n"/>
      <c r="I386" s="26" t="n"/>
      <c r="J386" s="87" t="n"/>
      <c r="K386" s="87" t="n"/>
      <c r="L386" s="87" t="n"/>
      <c r="M386" s="87" t="n"/>
      <c r="N386" s="88" t="n"/>
      <c r="O386" s="88" t="n"/>
      <c r="P386" s="89" t="n"/>
      <c r="Q386" s="87" t="n"/>
      <c r="R386" s="87" t="n"/>
      <c r="S386" s="87" t="n"/>
      <c r="T386" s="87" t="n"/>
      <c r="U386" s="89" t="n"/>
      <c r="V386" s="89" t="n"/>
      <c r="W386" s="89" t="n"/>
      <c r="X386" s="87" t="n"/>
      <c r="Y386" s="87" t="n"/>
      <c r="Z386" s="88" t="n"/>
      <c r="AA386" s="26" t="n"/>
      <c r="AB386" s="86">
        <f>IF($A386="","",$A386-WEEKDAY($A386,2)+1)</f>
        <v/>
      </c>
      <c r="AC386" s="86">
        <f>IF($A386="","",DATE(YEAR($A386),MONTH($A386),1))</f>
        <v/>
      </c>
      <c r="AD386" s="90">
        <f>IF($A386="","",IFERROR($K386/$J386,0))</f>
        <v/>
      </c>
      <c r="AE386" s="90">
        <f>IF($A386="","",IFERROR($L386/$J386,0))</f>
        <v/>
      </c>
      <c r="AF386" s="90">
        <f>IF($A386="","",IFERROR($M386/$J386,0))</f>
        <v/>
      </c>
      <c r="AG386" s="88">
        <f>IF($A386="","",$N386-$O386)</f>
        <v/>
      </c>
      <c r="AH386" s="90">
        <f>IF($A386="","",IFERROR($AG386/$N386,0))</f>
        <v/>
      </c>
      <c r="AI386" s="89">
        <f>IF($A386="","",IFERROR($K386/$P386,0))</f>
        <v/>
      </c>
      <c r="AJ386" s="90">
        <f>IF($A386="","",IFERROR($S386/$R386,0))</f>
        <v/>
      </c>
      <c r="AK386" s="90">
        <f>IF($A386="","",IFERROR($T386/$J386,0))</f>
        <v/>
      </c>
      <c r="AL386" s="26">
        <f>IF($A386="","",IF(AND($AD386&gt;='01_Settings'!$B$9,$V386&lt;='01_Settings'!$B$10,$W386&lt;='01_Settings'!$B$11),"On track","Off track"))</f>
        <v/>
      </c>
      <c r="AM386" s="42">
        <f>IF($A386="","",IF($AD386&lt;'01_Settings'!$B$9,"Low completion rate; ","")&amp;IF($AE386&gt;'01_Settings'!$B$12,"High overdue rate; ","")&amp;IF($U386&lt;'01_Settings'!$B$13,"Low satisfaction; ","")&amp;IF($AH386&lt;'01_Settings'!$B$14,"Low gross margin; ","")&amp;IF($AJ386&lt;'01_Settings'!$B$15,"Low conversion rate; ","")&amp;IF($AK386&gt;'01_Settings'!$B$16,"High complaint rate; ",""))</f>
        <v/>
      </c>
    </row>
    <row r="387" ht="18" customHeight="1">
      <c r="A387" s="86" t="n"/>
      <c r="B387" s="26" t="n"/>
      <c r="C387" s="26" t="n"/>
      <c r="D387" s="26" t="n"/>
      <c r="E387" s="26" t="n"/>
      <c r="F387" s="26" t="n"/>
      <c r="G387" s="26" t="n"/>
      <c r="H387" s="26" t="n"/>
      <c r="I387" s="26" t="n"/>
      <c r="J387" s="87" t="n"/>
      <c r="K387" s="87" t="n"/>
      <c r="L387" s="87" t="n"/>
      <c r="M387" s="87" t="n"/>
      <c r="N387" s="88" t="n"/>
      <c r="O387" s="88" t="n"/>
      <c r="P387" s="89" t="n"/>
      <c r="Q387" s="87" t="n"/>
      <c r="R387" s="87" t="n"/>
      <c r="S387" s="87" t="n"/>
      <c r="T387" s="87" t="n"/>
      <c r="U387" s="89" t="n"/>
      <c r="V387" s="89" t="n"/>
      <c r="W387" s="89" t="n"/>
      <c r="X387" s="87" t="n"/>
      <c r="Y387" s="87" t="n"/>
      <c r="Z387" s="88" t="n"/>
      <c r="AA387" s="26" t="n"/>
      <c r="AB387" s="86">
        <f>IF($A387="","",$A387-WEEKDAY($A387,2)+1)</f>
        <v/>
      </c>
      <c r="AC387" s="86">
        <f>IF($A387="","",DATE(YEAR($A387),MONTH($A387),1))</f>
        <v/>
      </c>
      <c r="AD387" s="90">
        <f>IF($A387="","",IFERROR($K387/$J387,0))</f>
        <v/>
      </c>
      <c r="AE387" s="90">
        <f>IF($A387="","",IFERROR($L387/$J387,0))</f>
        <v/>
      </c>
      <c r="AF387" s="90">
        <f>IF($A387="","",IFERROR($M387/$J387,0))</f>
        <v/>
      </c>
      <c r="AG387" s="88">
        <f>IF($A387="","",$N387-$O387)</f>
        <v/>
      </c>
      <c r="AH387" s="90">
        <f>IF($A387="","",IFERROR($AG387/$N387,0))</f>
        <v/>
      </c>
      <c r="AI387" s="89">
        <f>IF($A387="","",IFERROR($K387/$P387,0))</f>
        <v/>
      </c>
      <c r="AJ387" s="90">
        <f>IF($A387="","",IFERROR($S387/$R387,0))</f>
        <v/>
      </c>
      <c r="AK387" s="90">
        <f>IF($A387="","",IFERROR($T387/$J387,0))</f>
        <v/>
      </c>
      <c r="AL387" s="26">
        <f>IF($A387="","",IF(AND($AD387&gt;='01_Settings'!$B$9,$V387&lt;='01_Settings'!$B$10,$W387&lt;='01_Settings'!$B$11),"On track","Off track"))</f>
        <v/>
      </c>
      <c r="AM387" s="42">
        <f>IF($A387="","",IF($AD387&lt;'01_Settings'!$B$9,"Low completion rate; ","")&amp;IF($AE387&gt;'01_Settings'!$B$12,"High overdue rate; ","")&amp;IF($U387&lt;'01_Settings'!$B$13,"Low satisfaction; ","")&amp;IF($AH387&lt;'01_Settings'!$B$14,"Low gross margin; ","")&amp;IF($AJ387&lt;'01_Settings'!$B$15,"Low conversion rate; ","")&amp;IF($AK387&gt;'01_Settings'!$B$16,"High complaint rate; ",""))</f>
        <v/>
      </c>
    </row>
    <row r="388" ht="18" customHeight="1">
      <c r="A388" s="86" t="n"/>
      <c r="B388" s="26" t="n"/>
      <c r="C388" s="26" t="n"/>
      <c r="D388" s="26" t="n"/>
      <c r="E388" s="26" t="n"/>
      <c r="F388" s="26" t="n"/>
      <c r="G388" s="26" t="n"/>
      <c r="H388" s="26" t="n"/>
      <c r="I388" s="26" t="n"/>
      <c r="J388" s="87" t="n"/>
      <c r="K388" s="87" t="n"/>
      <c r="L388" s="87" t="n"/>
      <c r="M388" s="87" t="n"/>
      <c r="N388" s="88" t="n"/>
      <c r="O388" s="88" t="n"/>
      <c r="P388" s="89" t="n"/>
      <c r="Q388" s="87" t="n"/>
      <c r="R388" s="87" t="n"/>
      <c r="S388" s="87" t="n"/>
      <c r="T388" s="87" t="n"/>
      <c r="U388" s="89" t="n"/>
      <c r="V388" s="89" t="n"/>
      <c r="W388" s="89" t="n"/>
      <c r="X388" s="87" t="n"/>
      <c r="Y388" s="87" t="n"/>
      <c r="Z388" s="88" t="n"/>
      <c r="AA388" s="26" t="n"/>
      <c r="AB388" s="86">
        <f>IF($A388="","",$A388-WEEKDAY($A388,2)+1)</f>
        <v/>
      </c>
      <c r="AC388" s="86">
        <f>IF($A388="","",DATE(YEAR($A388),MONTH($A388),1))</f>
        <v/>
      </c>
      <c r="AD388" s="90">
        <f>IF($A388="","",IFERROR($K388/$J388,0))</f>
        <v/>
      </c>
      <c r="AE388" s="90">
        <f>IF($A388="","",IFERROR($L388/$J388,0))</f>
        <v/>
      </c>
      <c r="AF388" s="90">
        <f>IF($A388="","",IFERROR($M388/$J388,0))</f>
        <v/>
      </c>
      <c r="AG388" s="88">
        <f>IF($A388="","",$N388-$O388)</f>
        <v/>
      </c>
      <c r="AH388" s="90">
        <f>IF($A388="","",IFERROR($AG388/$N388,0))</f>
        <v/>
      </c>
      <c r="AI388" s="89">
        <f>IF($A388="","",IFERROR($K388/$P388,0))</f>
        <v/>
      </c>
      <c r="AJ388" s="90">
        <f>IF($A388="","",IFERROR($S388/$R388,0))</f>
        <v/>
      </c>
      <c r="AK388" s="90">
        <f>IF($A388="","",IFERROR($T388/$J388,0))</f>
        <v/>
      </c>
      <c r="AL388" s="26">
        <f>IF($A388="","",IF(AND($AD388&gt;='01_Settings'!$B$9,$V388&lt;='01_Settings'!$B$10,$W388&lt;='01_Settings'!$B$11),"On track","Off track"))</f>
        <v/>
      </c>
      <c r="AM388" s="42">
        <f>IF($A388="","",IF($AD388&lt;'01_Settings'!$B$9,"Low completion rate; ","")&amp;IF($AE388&gt;'01_Settings'!$B$12,"High overdue rate; ","")&amp;IF($U388&lt;'01_Settings'!$B$13,"Low satisfaction; ","")&amp;IF($AH388&lt;'01_Settings'!$B$14,"Low gross margin; ","")&amp;IF($AJ388&lt;'01_Settings'!$B$15,"Low conversion rate; ","")&amp;IF($AK388&gt;'01_Settings'!$B$16,"High complaint rate; ",""))</f>
        <v/>
      </c>
    </row>
    <row r="389" ht="18" customHeight="1">
      <c r="A389" s="86" t="n"/>
      <c r="B389" s="26" t="n"/>
      <c r="C389" s="26" t="n"/>
      <c r="D389" s="26" t="n"/>
      <c r="E389" s="26" t="n"/>
      <c r="F389" s="26" t="n"/>
      <c r="G389" s="26" t="n"/>
      <c r="H389" s="26" t="n"/>
      <c r="I389" s="26" t="n"/>
      <c r="J389" s="87" t="n"/>
      <c r="K389" s="87" t="n"/>
      <c r="L389" s="87" t="n"/>
      <c r="M389" s="87" t="n"/>
      <c r="N389" s="88" t="n"/>
      <c r="O389" s="88" t="n"/>
      <c r="P389" s="89" t="n"/>
      <c r="Q389" s="87" t="n"/>
      <c r="R389" s="87" t="n"/>
      <c r="S389" s="87" t="n"/>
      <c r="T389" s="87" t="n"/>
      <c r="U389" s="89" t="n"/>
      <c r="V389" s="89" t="n"/>
      <c r="W389" s="89" t="n"/>
      <c r="X389" s="87" t="n"/>
      <c r="Y389" s="87" t="n"/>
      <c r="Z389" s="88" t="n"/>
      <c r="AA389" s="26" t="n"/>
      <c r="AB389" s="86">
        <f>IF($A389="","",$A389-WEEKDAY($A389,2)+1)</f>
        <v/>
      </c>
      <c r="AC389" s="86">
        <f>IF($A389="","",DATE(YEAR($A389),MONTH($A389),1))</f>
        <v/>
      </c>
      <c r="AD389" s="90">
        <f>IF($A389="","",IFERROR($K389/$J389,0))</f>
        <v/>
      </c>
      <c r="AE389" s="90">
        <f>IF($A389="","",IFERROR($L389/$J389,0))</f>
        <v/>
      </c>
      <c r="AF389" s="90">
        <f>IF($A389="","",IFERROR($M389/$J389,0))</f>
        <v/>
      </c>
      <c r="AG389" s="88">
        <f>IF($A389="","",$N389-$O389)</f>
        <v/>
      </c>
      <c r="AH389" s="90">
        <f>IF($A389="","",IFERROR($AG389/$N389,0))</f>
        <v/>
      </c>
      <c r="AI389" s="89">
        <f>IF($A389="","",IFERROR($K389/$P389,0))</f>
        <v/>
      </c>
      <c r="AJ389" s="90">
        <f>IF($A389="","",IFERROR($S389/$R389,0))</f>
        <v/>
      </c>
      <c r="AK389" s="90">
        <f>IF($A389="","",IFERROR($T389/$J389,0))</f>
        <v/>
      </c>
      <c r="AL389" s="26">
        <f>IF($A389="","",IF(AND($AD389&gt;='01_Settings'!$B$9,$V389&lt;='01_Settings'!$B$10,$W389&lt;='01_Settings'!$B$11),"On track","Off track"))</f>
        <v/>
      </c>
      <c r="AM389" s="42">
        <f>IF($A389="","",IF($AD389&lt;'01_Settings'!$B$9,"Low completion rate; ","")&amp;IF($AE389&gt;'01_Settings'!$B$12,"High overdue rate; ","")&amp;IF($U389&lt;'01_Settings'!$B$13,"Low satisfaction; ","")&amp;IF($AH389&lt;'01_Settings'!$B$14,"Low gross margin; ","")&amp;IF($AJ389&lt;'01_Settings'!$B$15,"Low conversion rate; ","")&amp;IF($AK389&gt;'01_Settings'!$B$16,"High complaint rate; ",""))</f>
        <v/>
      </c>
    </row>
    <row r="390" ht="18" customHeight="1">
      <c r="A390" s="86" t="n"/>
      <c r="B390" s="26" t="n"/>
      <c r="C390" s="26" t="n"/>
      <c r="D390" s="26" t="n"/>
      <c r="E390" s="26" t="n"/>
      <c r="F390" s="26" t="n"/>
      <c r="G390" s="26" t="n"/>
      <c r="H390" s="26" t="n"/>
      <c r="I390" s="26" t="n"/>
      <c r="J390" s="87" t="n"/>
      <c r="K390" s="87" t="n"/>
      <c r="L390" s="87" t="n"/>
      <c r="M390" s="87" t="n"/>
      <c r="N390" s="88" t="n"/>
      <c r="O390" s="88" t="n"/>
      <c r="P390" s="89" t="n"/>
      <c r="Q390" s="87" t="n"/>
      <c r="R390" s="87" t="n"/>
      <c r="S390" s="87" t="n"/>
      <c r="T390" s="87" t="n"/>
      <c r="U390" s="89" t="n"/>
      <c r="V390" s="89" t="n"/>
      <c r="W390" s="89" t="n"/>
      <c r="X390" s="87" t="n"/>
      <c r="Y390" s="87" t="n"/>
      <c r="Z390" s="88" t="n"/>
      <c r="AA390" s="26" t="n"/>
      <c r="AB390" s="86">
        <f>IF($A390="","",$A390-WEEKDAY($A390,2)+1)</f>
        <v/>
      </c>
      <c r="AC390" s="86">
        <f>IF($A390="","",DATE(YEAR($A390),MONTH($A390),1))</f>
        <v/>
      </c>
      <c r="AD390" s="90">
        <f>IF($A390="","",IFERROR($K390/$J390,0))</f>
        <v/>
      </c>
      <c r="AE390" s="90">
        <f>IF($A390="","",IFERROR($L390/$J390,0))</f>
        <v/>
      </c>
      <c r="AF390" s="90">
        <f>IF($A390="","",IFERROR($M390/$J390,0))</f>
        <v/>
      </c>
      <c r="AG390" s="88">
        <f>IF($A390="","",$N390-$O390)</f>
        <v/>
      </c>
      <c r="AH390" s="90">
        <f>IF($A390="","",IFERROR($AG390/$N390,0))</f>
        <v/>
      </c>
      <c r="AI390" s="89">
        <f>IF($A390="","",IFERROR($K390/$P390,0))</f>
        <v/>
      </c>
      <c r="AJ390" s="90">
        <f>IF($A390="","",IFERROR($S390/$R390,0))</f>
        <v/>
      </c>
      <c r="AK390" s="90">
        <f>IF($A390="","",IFERROR($T390/$J390,0))</f>
        <v/>
      </c>
      <c r="AL390" s="26">
        <f>IF($A390="","",IF(AND($AD390&gt;='01_Settings'!$B$9,$V390&lt;='01_Settings'!$B$10,$W390&lt;='01_Settings'!$B$11),"On track","Off track"))</f>
        <v/>
      </c>
      <c r="AM390" s="42">
        <f>IF($A390="","",IF($AD390&lt;'01_Settings'!$B$9,"Low completion rate; ","")&amp;IF($AE390&gt;'01_Settings'!$B$12,"High overdue rate; ","")&amp;IF($U390&lt;'01_Settings'!$B$13,"Low satisfaction; ","")&amp;IF($AH390&lt;'01_Settings'!$B$14,"Low gross margin; ","")&amp;IF($AJ390&lt;'01_Settings'!$B$15,"Low conversion rate; ","")&amp;IF($AK390&gt;'01_Settings'!$B$16,"High complaint rate; ",""))</f>
        <v/>
      </c>
    </row>
    <row r="391" ht="18" customHeight="1">
      <c r="A391" s="86" t="n"/>
      <c r="B391" s="26" t="n"/>
      <c r="C391" s="26" t="n"/>
      <c r="D391" s="26" t="n"/>
      <c r="E391" s="26" t="n"/>
      <c r="F391" s="26" t="n"/>
      <c r="G391" s="26" t="n"/>
      <c r="H391" s="26" t="n"/>
      <c r="I391" s="26" t="n"/>
      <c r="J391" s="87" t="n"/>
      <c r="K391" s="87" t="n"/>
      <c r="L391" s="87" t="n"/>
      <c r="M391" s="87" t="n"/>
      <c r="N391" s="88" t="n"/>
      <c r="O391" s="88" t="n"/>
      <c r="P391" s="89" t="n"/>
      <c r="Q391" s="87" t="n"/>
      <c r="R391" s="87" t="n"/>
      <c r="S391" s="87" t="n"/>
      <c r="T391" s="87" t="n"/>
      <c r="U391" s="89" t="n"/>
      <c r="V391" s="89" t="n"/>
      <c r="W391" s="89" t="n"/>
      <c r="X391" s="87" t="n"/>
      <c r="Y391" s="87" t="n"/>
      <c r="Z391" s="88" t="n"/>
      <c r="AA391" s="26" t="n"/>
      <c r="AB391" s="86">
        <f>IF($A391="","",$A391-WEEKDAY($A391,2)+1)</f>
        <v/>
      </c>
      <c r="AC391" s="86">
        <f>IF($A391="","",DATE(YEAR($A391),MONTH($A391),1))</f>
        <v/>
      </c>
      <c r="AD391" s="90">
        <f>IF($A391="","",IFERROR($K391/$J391,0))</f>
        <v/>
      </c>
      <c r="AE391" s="90">
        <f>IF($A391="","",IFERROR($L391/$J391,0))</f>
        <v/>
      </c>
      <c r="AF391" s="90">
        <f>IF($A391="","",IFERROR($M391/$J391,0))</f>
        <v/>
      </c>
      <c r="AG391" s="88">
        <f>IF($A391="","",$N391-$O391)</f>
        <v/>
      </c>
      <c r="AH391" s="90">
        <f>IF($A391="","",IFERROR($AG391/$N391,0))</f>
        <v/>
      </c>
      <c r="AI391" s="89">
        <f>IF($A391="","",IFERROR($K391/$P391,0))</f>
        <v/>
      </c>
      <c r="AJ391" s="90">
        <f>IF($A391="","",IFERROR($S391/$R391,0))</f>
        <v/>
      </c>
      <c r="AK391" s="90">
        <f>IF($A391="","",IFERROR($T391/$J391,0))</f>
        <v/>
      </c>
      <c r="AL391" s="26">
        <f>IF($A391="","",IF(AND($AD391&gt;='01_Settings'!$B$9,$V391&lt;='01_Settings'!$B$10,$W391&lt;='01_Settings'!$B$11),"On track","Off track"))</f>
        <v/>
      </c>
      <c r="AM391" s="42">
        <f>IF($A391="","",IF($AD391&lt;'01_Settings'!$B$9,"Low completion rate; ","")&amp;IF($AE391&gt;'01_Settings'!$B$12,"High overdue rate; ","")&amp;IF($U391&lt;'01_Settings'!$B$13,"Low satisfaction; ","")&amp;IF($AH391&lt;'01_Settings'!$B$14,"Low gross margin; ","")&amp;IF($AJ391&lt;'01_Settings'!$B$15,"Low conversion rate; ","")&amp;IF($AK391&gt;'01_Settings'!$B$16,"High complaint rate; ",""))</f>
        <v/>
      </c>
    </row>
    <row r="392" ht="18" customHeight="1">
      <c r="A392" s="86" t="n"/>
      <c r="B392" s="26" t="n"/>
      <c r="C392" s="26" t="n"/>
      <c r="D392" s="26" t="n"/>
      <c r="E392" s="26" t="n"/>
      <c r="F392" s="26" t="n"/>
      <c r="G392" s="26" t="n"/>
      <c r="H392" s="26" t="n"/>
      <c r="I392" s="26" t="n"/>
      <c r="J392" s="87" t="n"/>
      <c r="K392" s="87" t="n"/>
      <c r="L392" s="87" t="n"/>
      <c r="M392" s="87" t="n"/>
      <c r="N392" s="88" t="n"/>
      <c r="O392" s="88" t="n"/>
      <c r="P392" s="89" t="n"/>
      <c r="Q392" s="87" t="n"/>
      <c r="R392" s="87" t="n"/>
      <c r="S392" s="87" t="n"/>
      <c r="T392" s="87" t="n"/>
      <c r="U392" s="89" t="n"/>
      <c r="V392" s="89" t="n"/>
      <c r="W392" s="89" t="n"/>
      <c r="X392" s="87" t="n"/>
      <c r="Y392" s="87" t="n"/>
      <c r="Z392" s="88" t="n"/>
      <c r="AA392" s="26" t="n"/>
      <c r="AB392" s="86">
        <f>IF($A392="","",$A392-WEEKDAY($A392,2)+1)</f>
        <v/>
      </c>
      <c r="AC392" s="86">
        <f>IF($A392="","",DATE(YEAR($A392),MONTH($A392),1))</f>
        <v/>
      </c>
      <c r="AD392" s="90">
        <f>IF($A392="","",IFERROR($K392/$J392,0))</f>
        <v/>
      </c>
      <c r="AE392" s="90">
        <f>IF($A392="","",IFERROR($L392/$J392,0))</f>
        <v/>
      </c>
      <c r="AF392" s="90">
        <f>IF($A392="","",IFERROR($M392/$J392,0))</f>
        <v/>
      </c>
      <c r="AG392" s="88">
        <f>IF($A392="","",$N392-$O392)</f>
        <v/>
      </c>
      <c r="AH392" s="90">
        <f>IF($A392="","",IFERROR($AG392/$N392,0))</f>
        <v/>
      </c>
      <c r="AI392" s="89">
        <f>IF($A392="","",IFERROR($K392/$P392,0))</f>
        <v/>
      </c>
      <c r="AJ392" s="90">
        <f>IF($A392="","",IFERROR($S392/$R392,0))</f>
        <v/>
      </c>
      <c r="AK392" s="90">
        <f>IF($A392="","",IFERROR($T392/$J392,0))</f>
        <v/>
      </c>
      <c r="AL392" s="26">
        <f>IF($A392="","",IF(AND($AD392&gt;='01_Settings'!$B$9,$V392&lt;='01_Settings'!$B$10,$W392&lt;='01_Settings'!$B$11),"On track","Off track"))</f>
        <v/>
      </c>
      <c r="AM392" s="42">
        <f>IF($A392="","",IF($AD392&lt;'01_Settings'!$B$9,"Low completion rate; ","")&amp;IF($AE392&gt;'01_Settings'!$B$12,"High overdue rate; ","")&amp;IF($U392&lt;'01_Settings'!$B$13,"Low satisfaction; ","")&amp;IF($AH392&lt;'01_Settings'!$B$14,"Low gross margin; ","")&amp;IF($AJ392&lt;'01_Settings'!$B$15,"Low conversion rate; ","")&amp;IF($AK392&gt;'01_Settings'!$B$16,"High complaint rate; ",""))</f>
        <v/>
      </c>
    </row>
    <row r="393" ht="18" customHeight="1">
      <c r="A393" s="86" t="n"/>
      <c r="B393" s="26" t="n"/>
      <c r="C393" s="26" t="n"/>
      <c r="D393" s="26" t="n"/>
      <c r="E393" s="26" t="n"/>
      <c r="F393" s="26" t="n"/>
      <c r="G393" s="26" t="n"/>
      <c r="H393" s="26" t="n"/>
      <c r="I393" s="26" t="n"/>
      <c r="J393" s="87" t="n"/>
      <c r="K393" s="87" t="n"/>
      <c r="L393" s="87" t="n"/>
      <c r="M393" s="87" t="n"/>
      <c r="N393" s="88" t="n"/>
      <c r="O393" s="88" t="n"/>
      <c r="P393" s="89" t="n"/>
      <c r="Q393" s="87" t="n"/>
      <c r="R393" s="87" t="n"/>
      <c r="S393" s="87" t="n"/>
      <c r="T393" s="87" t="n"/>
      <c r="U393" s="89" t="n"/>
      <c r="V393" s="89" t="n"/>
      <c r="W393" s="89" t="n"/>
      <c r="X393" s="87" t="n"/>
      <c r="Y393" s="87" t="n"/>
      <c r="Z393" s="88" t="n"/>
      <c r="AA393" s="26" t="n"/>
      <c r="AB393" s="86">
        <f>IF($A393="","",$A393-WEEKDAY($A393,2)+1)</f>
        <v/>
      </c>
      <c r="AC393" s="86">
        <f>IF($A393="","",DATE(YEAR($A393),MONTH($A393),1))</f>
        <v/>
      </c>
      <c r="AD393" s="90">
        <f>IF($A393="","",IFERROR($K393/$J393,0))</f>
        <v/>
      </c>
      <c r="AE393" s="90">
        <f>IF($A393="","",IFERROR($L393/$J393,0))</f>
        <v/>
      </c>
      <c r="AF393" s="90">
        <f>IF($A393="","",IFERROR($M393/$J393,0))</f>
        <v/>
      </c>
      <c r="AG393" s="88">
        <f>IF($A393="","",$N393-$O393)</f>
        <v/>
      </c>
      <c r="AH393" s="90">
        <f>IF($A393="","",IFERROR($AG393/$N393,0))</f>
        <v/>
      </c>
      <c r="AI393" s="89">
        <f>IF($A393="","",IFERROR($K393/$P393,0))</f>
        <v/>
      </c>
      <c r="AJ393" s="90">
        <f>IF($A393="","",IFERROR($S393/$R393,0))</f>
        <v/>
      </c>
      <c r="AK393" s="90">
        <f>IF($A393="","",IFERROR($T393/$J393,0))</f>
        <v/>
      </c>
      <c r="AL393" s="26">
        <f>IF($A393="","",IF(AND($AD393&gt;='01_Settings'!$B$9,$V393&lt;='01_Settings'!$B$10,$W393&lt;='01_Settings'!$B$11),"On track","Off track"))</f>
        <v/>
      </c>
      <c r="AM393" s="42">
        <f>IF($A393="","",IF($AD393&lt;'01_Settings'!$B$9,"Low completion rate; ","")&amp;IF($AE393&gt;'01_Settings'!$B$12,"High overdue rate; ","")&amp;IF($U393&lt;'01_Settings'!$B$13,"Low satisfaction; ","")&amp;IF($AH393&lt;'01_Settings'!$B$14,"Low gross margin; ","")&amp;IF($AJ393&lt;'01_Settings'!$B$15,"Low conversion rate; ","")&amp;IF($AK393&gt;'01_Settings'!$B$16,"High complaint rate; ",""))</f>
        <v/>
      </c>
    </row>
    <row r="394" ht="18" customHeight="1">
      <c r="A394" s="86" t="n"/>
      <c r="B394" s="26" t="n"/>
      <c r="C394" s="26" t="n"/>
      <c r="D394" s="26" t="n"/>
      <c r="E394" s="26" t="n"/>
      <c r="F394" s="26" t="n"/>
      <c r="G394" s="26" t="n"/>
      <c r="H394" s="26" t="n"/>
      <c r="I394" s="26" t="n"/>
      <c r="J394" s="87" t="n"/>
      <c r="K394" s="87" t="n"/>
      <c r="L394" s="87" t="n"/>
      <c r="M394" s="87" t="n"/>
      <c r="N394" s="88" t="n"/>
      <c r="O394" s="88" t="n"/>
      <c r="P394" s="89" t="n"/>
      <c r="Q394" s="87" t="n"/>
      <c r="R394" s="87" t="n"/>
      <c r="S394" s="87" t="n"/>
      <c r="T394" s="87" t="n"/>
      <c r="U394" s="89" t="n"/>
      <c r="V394" s="89" t="n"/>
      <c r="W394" s="89" t="n"/>
      <c r="X394" s="87" t="n"/>
      <c r="Y394" s="87" t="n"/>
      <c r="Z394" s="88" t="n"/>
      <c r="AA394" s="26" t="n"/>
      <c r="AB394" s="86">
        <f>IF($A394="","",$A394-WEEKDAY($A394,2)+1)</f>
        <v/>
      </c>
      <c r="AC394" s="86">
        <f>IF($A394="","",DATE(YEAR($A394),MONTH($A394),1))</f>
        <v/>
      </c>
      <c r="AD394" s="90">
        <f>IF($A394="","",IFERROR($K394/$J394,0))</f>
        <v/>
      </c>
      <c r="AE394" s="90">
        <f>IF($A394="","",IFERROR($L394/$J394,0))</f>
        <v/>
      </c>
      <c r="AF394" s="90">
        <f>IF($A394="","",IFERROR($M394/$J394,0))</f>
        <v/>
      </c>
      <c r="AG394" s="88">
        <f>IF($A394="","",$N394-$O394)</f>
        <v/>
      </c>
      <c r="AH394" s="90">
        <f>IF($A394="","",IFERROR($AG394/$N394,0))</f>
        <v/>
      </c>
      <c r="AI394" s="89">
        <f>IF($A394="","",IFERROR($K394/$P394,0))</f>
        <v/>
      </c>
      <c r="AJ394" s="90">
        <f>IF($A394="","",IFERROR($S394/$R394,0))</f>
        <v/>
      </c>
      <c r="AK394" s="90">
        <f>IF($A394="","",IFERROR($T394/$J394,0))</f>
        <v/>
      </c>
      <c r="AL394" s="26">
        <f>IF($A394="","",IF(AND($AD394&gt;='01_Settings'!$B$9,$V394&lt;='01_Settings'!$B$10,$W394&lt;='01_Settings'!$B$11),"On track","Off track"))</f>
        <v/>
      </c>
      <c r="AM394" s="42">
        <f>IF($A394="","",IF($AD394&lt;'01_Settings'!$B$9,"Low completion rate; ","")&amp;IF($AE394&gt;'01_Settings'!$B$12,"High overdue rate; ","")&amp;IF($U394&lt;'01_Settings'!$B$13,"Low satisfaction; ","")&amp;IF($AH394&lt;'01_Settings'!$B$14,"Low gross margin; ","")&amp;IF($AJ394&lt;'01_Settings'!$B$15,"Low conversion rate; ","")&amp;IF($AK394&gt;'01_Settings'!$B$16,"High complaint rate; ",""))</f>
        <v/>
      </c>
    </row>
    <row r="395" ht="18" customHeight="1">
      <c r="A395" s="86" t="n"/>
      <c r="B395" s="26" t="n"/>
      <c r="C395" s="26" t="n"/>
      <c r="D395" s="26" t="n"/>
      <c r="E395" s="26" t="n"/>
      <c r="F395" s="26" t="n"/>
      <c r="G395" s="26" t="n"/>
      <c r="H395" s="26" t="n"/>
      <c r="I395" s="26" t="n"/>
      <c r="J395" s="87" t="n"/>
      <c r="K395" s="87" t="n"/>
      <c r="L395" s="87" t="n"/>
      <c r="M395" s="87" t="n"/>
      <c r="N395" s="88" t="n"/>
      <c r="O395" s="88" t="n"/>
      <c r="P395" s="89" t="n"/>
      <c r="Q395" s="87" t="n"/>
      <c r="R395" s="87" t="n"/>
      <c r="S395" s="87" t="n"/>
      <c r="T395" s="87" t="n"/>
      <c r="U395" s="89" t="n"/>
      <c r="V395" s="89" t="n"/>
      <c r="W395" s="89" t="n"/>
      <c r="X395" s="87" t="n"/>
      <c r="Y395" s="87" t="n"/>
      <c r="Z395" s="88" t="n"/>
      <c r="AA395" s="26" t="n"/>
      <c r="AB395" s="86">
        <f>IF($A395="","",$A395-WEEKDAY($A395,2)+1)</f>
        <v/>
      </c>
      <c r="AC395" s="86">
        <f>IF($A395="","",DATE(YEAR($A395),MONTH($A395),1))</f>
        <v/>
      </c>
      <c r="AD395" s="90">
        <f>IF($A395="","",IFERROR($K395/$J395,0))</f>
        <v/>
      </c>
      <c r="AE395" s="90">
        <f>IF($A395="","",IFERROR($L395/$J395,0))</f>
        <v/>
      </c>
      <c r="AF395" s="90">
        <f>IF($A395="","",IFERROR($M395/$J395,0))</f>
        <v/>
      </c>
      <c r="AG395" s="88">
        <f>IF($A395="","",$N395-$O395)</f>
        <v/>
      </c>
      <c r="AH395" s="90">
        <f>IF($A395="","",IFERROR($AG395/$N395,0))</f>
        <v/>
      </c>
      <c r="AI395" s="89">
        <f>IF($A395="","",IFERROR($K395/$P395,0))</f>
        <v/>
      </c>
      <c r="AJ395" s="90">
        <f>IF($A395="","",IFERROR($S395/$R395,0))</f>
        <v/>
      </c>
      <c r="AK395" s="90">
        <f>IF($A395="","",IFERROR($T395/$J395,0))</f>
        <v/>
      </c>
      <c r="AL395" s="26">
        <f>IF($A395="","",IF(AND($AD395&gt;='01_Settings'!$B$9,$V395&lt;='01_Settings'!$B$10,$W395&lt;='01_Settings'!$B$11),"On track","Off track"))</f>
        <v/>
      </c>
      <c r="AM395" s="42">
        <f>IF($A395="","",IF($AD395&lt;'01_Settings'!$B$9,"Low completion rate; ","")&amp;IF($AE395&gt;'01_Settings'!$B$12,"High overdue rate; ","")&amp;IF($U395&lt;'01_Settings'!$B$13,"Low satisfaction; ","")&amp;IF($AH395&lt;'01_Settings'!$B$14,"Low gross margin; ","")&amp;IF($AJ395&lt;'01_Settings'!$B$15,"Low conversion rate; ","")&amp;IF($AK395&gt;'01_Settings'!$B$16,"High complaint rate; ",""))</f>
        <v/>
      </c>
    </row>
    <row r="396" ht="18" customHeight="1">
      <c r="A396" s="86" t="n"/>
      <c r="B396" s="26" t="n"/>
      <c r="C396" s="26" t="n"/>
      <c r="D396" s="26" t="n"/>
      <c r="E396" s="26" t="n"/>
      <c r="F396" s="26" t="n"/>
      <c r="G396" s="26" t="n"/>
      <c r="H396" s="26" t="n"/>
      <c r="I396" s="26" t="n"/>
      <c r="J396" s="87" t="n"/>
      <c r="K396" s="87" t="n"/>
      <c r="L396" s="87" t="n"/>
      <c r="M396" s="87" t="n"/>
      <c r="N396" s="88" t="n"/>
      <c r="O396" s="88" t="n"/>
      <c r="P396" s="89" t="n"/>
      <c r="Q396" s="87" t="n"/>
      <c r="R396" s="87" t="n"/>
      <c r="S396" s="87" t="n"/>
      <c r="T396" s="87" t="n"/>
      <c r="U396" s="89" t="n"/>
      <c r="V396" s="89" t="n"/>
      <c r="W396" s="89" t="n"/>
      <c r="X396" s="87" t="n"/>
      <c r="Y396" s="87" t="n"/>
      <c r="Z396" s="88" t="n"/>
      <c r="AA396" s="26" t="n"/>
      <c r="AB396" s="86">
        <f>IF($A396="","",$A396-WEEKDAY($A396,2)+1)</f>
        <v/>
      </c>
      <c r="AC396" s="86">
        <f>IF($A396="","",DATE(YEAR($A396),MONTH($A396),1))</f>
        <v/>
      </c>
      <c r="AD396" s="90">
        <f>IF($A396="","",IFERROR($K396/$J396,0))</f>
        <v/>
      </c>
      <c r="AE396" s="90">
        <f>IF($A396="","",IFERROR($L396/$J396,0))</f>
        <v/>
      </c>
      <c r="AF396" s="90">
        <f>IF($A396="","",IFERROR($M396/$J396,0))</f>
        <v/>
      </c>
      <c r="AG396" s="88">
        <f>IF($A396="","",$N396-$O396)</f>
        <v/>
      </c>
      <c r="AH396" s="90">
        <f>IF($A396="","",IFERROR($AG396/$N396,0))</f>
        <v/>
      </c>
      <c r="AI396" s="89">
        <f>IF($A396="","",IFERROR($K396/$P396,0))</f>
        <v/>
      </c>
      <c r="AJ396" s="90">
        <f>IF($A396="","",IFERROR($S396/$R396,0))</f>
        <v/>
      </c>
      <c r="AK396" s="90">
        <f>IF($A396="","",IFERROR($T396/$J396,0))</f>
        <v/>
      </c>
      <c r="AL396" s="26">
        <f>IF($A396="","",IF(AND($AD396&gt;='01_Settings'!$B$9,$V396&lt;='01_Settings'!$B$10,$W396&lt;='01_Settings'!$B$11),"On track","Off track"))</f>
        <v/>
      </c>
      <c r="AM396" s="42">
        <f>IF($A396="","",IF($AD396&lt;'01_Settings'!$B$9,"Low completion rate; ","")&amp;IF($AE396&gt;'01_Settings'!$B$12,"High overdue rate; ","")&amp;IF($U396&lt;'01_Settings'!$B$13,"Low satisfaction; ","")&amp;IF($AH396&lt;'01_Settings'!$B$14,"Low gross margin; ","")&amp;IF($AJ396&lt;'01_Settings'!$B$15,"Low conversion rate; ","")&amp;IF($AK396&gt;'01_Settings'!$B$16,"High complaint rate; ",""))</f>
        <v/>
      </c>
    </row>
    <row r="397" ht="18" customHeight="1">
      <c r="A397" s="86" t="n"/>
      <c r="B397" s="26" t="n"/>
      <c r="C397" s="26" t="n"/>
      <c r="D397" s="26" t="n"/>
      <c r="E397" s="26" t="n"/>
      <c r="F397" s="26" t="n"/>
      <c r="G397" s="26" t="n"/>
      <c r="H397" s="26" t="n"/>
      <c r="I397" s="26" t="n"/>
      <c r="J397" s="87" t="n"/>
      <c r="K397" s="87" t="n"/>
      <c r="L397" s="87" t="n"/>
      <c r="M397" s="87" t="n"/>
      <c r="N397" s="88" t="n"/>
      <c r="O397" s="88" t="n"/>
      <c r="P397" s="89" t="n"/>
      <c r="Q397" s="87" t="n"/>
      <c r="R397" s="87" t="n"/>
      <c r="S397" s="87" t="n"/>
      <c r="T397" s="87" t="n"/>
      <c r="U397" s="89" t="n"/>
      <c r="V397" s="89" t="n"/>
      <c r="W397" s="89" t="n"/>
      <c r="X397" s="87" t="n"/>
      <c r="Y397" s="87" t="n"/>
      <c r="Z397" s="88" t="n"/>
      <c r="AA397" s="26" t="n"/>
      <c r="AB397" s="86">
        <f>IF($A397="","",$A397-WEEKDAY($A397,2)+1)</f>
        <v/>
      </c>
      <c r="AC397" s="86">
        <f>IF($A397="","",DATE(YEAR($A397),MONTH($A397),1))</f>
        <v/>
      </c>
      <c r="AD397" s="90">
        <f>IF($A397="","",IFERROR($K397/$J397,0))</f>
        <v/>
      </c>
      <c r="AE397" s="90">
        <f>IF($A397="","",IFERROR($L397/$J397,0))</f>
        <v/>
      </c>
      <c r="AF397" s="90">
        <f>IF($A397="","",IFERROR($M397/$J397,0))</f>
        <v/>
      </c>
      <c r="AG397" s="88">
        <f>IF($A397="","",$N397-$O397)</f>
        <v/>
      </c>
      <c r="AH397" s="90">
        <f>IF($A397="","",IFERROR($AG397/$N397,0))</f>
        <v/>
      </c>
      <c r="AI397" s="89">
        <f>IF($A397="","",IFERROR($K397/$P397,0))</f>
        <v/>
      </c>
      <c r="AJ397" s="90">
        <f>IF($A397="","",IFERROR($S397/$R397,0))</f>
        <v/>
      </c>
      <c r="AK397" s="90">
        <f>IF($A397="","",IFERROR($T397/$J397,0))</f>
        <v/>
      </c>
      <c r="AL397" s="26">
        <f>IF($A397="","",IF(AND($AD397&gt;='01_Settings'!$B$9,$V397&lt;='01_Settings'!$B$10,$W397&lt;='01_Settings'!$B$11),"On track","Off track"))</f>
        <v/>
      </c>
      <c r="AM397" s="42">
        <f>IF($A397="","",IF($AD397&lt;'01_Settings'!$B$9,"Low completion rate; ","")&amp;IF($AE397&gt;'01_Settings'!$B$12,"High overdue rate; ","")&amp;IF($U397&lt;'01_Settings'!$B$13,"Low satisfaction; ","")&amp;IF($AH397&lt;'01_Settings'!$B$14,"Low gross margin; ","")&amp;IF($AJ397&lt;'01_Settings'!$B$15,"Low conversion rate; ","")&amp;IF($AK397&gt;'01_Settings'!$B$16,"High complaint rate; ",""))</f>
        <v/>
      </c>
    </row>
    <row r="398" ht="18" customHeight="1">
      <c r="A398" s="86" t="n"/>
      <c r="B398" s="26" t="n"/>
      <c r="C398" s="26" t="n"/>
      <c r="D398" s="26" t="n"/>
      <c r="E398" s="26" t="n"/>
      <c r="F398" s="26" t="n"/>
      <c r="G398" s="26" t="n"/>
      <c r="H398" s="26" t="n"/>
      <c r="I398" s="26" t="n"/>
      <c r="J398" s="87" t="n"/>
      <c r="K398" s="87" t="n"/>
      <c r="L398" s="87" t="n"/>
      <c r="M398" s="87" t="n"/>
      <c r="N398" s="88" t="n"/>
      <c r="O398" s="88" t="n"/>
      <c r="P398" s="89" t="n"/>
      <c r="Q398" s="87" t="n"/>
      <c r="R398" s="87" t="n"/>
      <c r="S398" s="87" t="n"/>
      <c r="T398" s="87" t="n"/>
      <c r="U398" s="89" t="n"/>
      <c r="V398" s="89" t="n"/>
      <c r="W398" s="89" t="n"/>
      <c r="X398" s="87" t="n"/>
      <c r="Y398" s="87" t="n"/>
      <c r="Z398" s="88" t="n"/>
      <c r="AA398" s="26" t="n"/>
      <c r="AB398" s="86">
        <f>IF($A398="","",$A398-WEEKDAY($A398,2)+1)</f>
        <v/>
      </c>
      <c r="AC398" s="86">
        <f>IF($A398="","",DATE(YEAR($A398),MONTH($A398),1))</f>
        <v/>
      </c>
      <c r="AD398" s="90">
        <f>IF($A398="","",IFERROR($K398/$J398,0))</f>
        <v/>
      </c>
      <c r="AE398" s="90">
        <f>IF($A398="","",IFERROR($L398/$J398,0))</f>
        <v/>
      </c>
      <c r="AF398" s="90">
        <f>IF($A398="","",IFERROR($M398/$J398,0))</f>
        <v/>
      </c>
      <c r="AG398" s="88">
        <f>IF($A398="","",$N398-$O398)</f>
        <v/>
      </c>
      <c r="AH398" s="90">
        <f>IF($A398="","",IFERROR($AG398/$N398,0))</f>
        <v/>
      </c>
      <c r="AI398" s="89">
        <f>IF($A398="","",IFERROR($K398/$P398,0))</f>
        <v/>
      </c>
      <c r="AJ398" s="90">
        <f>IF($A398="","",IFERROR($S398/$R398,0))</f>
        <v/>
      </c>
      <c r="AK398" s="90">
        <f>IF($A398="","",IFERROR($T398/$J398,0))</f>
        <v/>
      </c>
      <c r="AL398" s="26">
        <f>IF($A398="","",IF(AND($AD398&gt;='01_Settings'!$B$9,$V398&lt;='01_Settings'!$B$10,$W398&lt;='01_Settings'!$B$11),"On track","Off track"))</f>
        <v/>
      </c>
      <c r="AM398" s="42">
        <f>IF($A398="","",IF($AD398&lt;'01_Settings'!$B$9,"Low completion rate; ","")&amp;IF($AE398&gt;'01_Settings'!$B$12,"High overdue rate; ","")&amp;IF($U398&lt;'01_Settings'!$B$13,"Low satisfaction; ","")&amp;IF($AH398&lt;'01_Settings'!$B$14,"Low gross margin; ","")&amp;IF($AJ398&lt;'01_Settings'!$B$15,"Low conversion rate; ","")&amp;IF($AK398&gt;'01_Settings'!$B$16,"High complaint rate; ",""))</f>
        <v/>
      </c>
    </row>
    <row r="399" ht="18" customHeight="1">
      <c r="A399" s="86" t="n"/>
      <c r="B399" s="26" t="n"/>
      <c r="C399" s="26" t="n"/>
      <c r="D399" s="26" t="n"/>
      <c r="E399" s="26" t="n"/>
      <c r="F399" s="26" t="n"/>
      <c r="G399" s="26" t="n"/>
      <c r="H399" s="26" t="n"/>
      <c r="I399" s="26" t="n"/>
      <c r="J399" s="87" t="n"/>
      <c r="K399" s="87" t="n"/>
      <c r="L399" s="87" t="n"/>
      <c r="M399" s="87" t="n"/>
      <c r="N399" s="88" t="n"/>
      <c r="O399" s="88" t="n"/>
      <c r="P399" s="89" t="n"/>
      <c r="Q399" s="87" t="n"/>
      <c r="R399" s="87" t="n"/>
      <c r="S399" s="87" t="n"/>
      <c r="T399" s="87" t="n"/>
      <c r="U399" s="89" t="n"/>
      <c r="V399" s="89" t="n"/>
      <c r="W399" s="89" t="n"/>
      <c r="X399" s="87" t="n"/>
      <c r="Y399" s="87" t="n"/>
      <c r="Z399" s="88" t="n"/>
      <c r="AA399" s="26" t="n"/>
      <c r="AB399" s="86">
        <f>IF($A399="","",$A399-WEEKDAY($A399,2)+1)</f>
        <v/>
      </c>
      <c r="AC399" s="86">
        <f>IF($A399="","",DATE(YEAR($A399),MONTH($A399),1))</f>
        <v/>
      </c>
      <c r="AD399" s="90">
        <f>IF($A399="","",IFERROR($K399/$J399,0))</f>
        <v/>
      </c>
      <c r="AE399" s="90">
        <f>IF($A399="","",IFERROR($L399/$J399,0))</f>
        <v/>
      </c>
      <c r="AF399" s="90">
        <f>IF($A399="","",IFERROR($M399/$J399,0))</f>
        <v/>
      </c>
      <c r="AG399" s="88">
        <f>IF($A399="","",$N399-$O399)</f>
        <v/>
      </c>
      <c r="AH399" s="90">
        <f>IF($A399="","",IFERROR($AG399/$N399,0))</f>
        <v/>
      </c>
      <c r="AI399" s="89">
        <f>IF($A399="","",IFERROR($K399/$P399,0))</f>
        <v/>
      </c>
      <c r="AJ399" s="90">
        <f>IF($A399="","",IFERROR($S399/$R399,0))</f>
        <v/>
      </c>
      <c r="AK399" s="90">
        <f>IF($A399="","",IFERROR($T399/$J399,0))</f>
        <v/>
      </c>
      <c r="AL399" s="26">
        <f>IF($A399="","",IF(AND($AD399&gt;='01_Settings'!$B$9,$V399&lt;='01_Settings'!$B$10,$W399&lt;='01_Settings'!$B$11),"On track","Off track"))</f>
        <v/>
      </c>
      <c r="AM399" s="42">
        <f>IF($A399="","",IF($AD399&lt;'01_Settings'!$B$9,"Low completion rate; ","")&amp;IF($AE399&gt;'01_Settings'!$B$12,"High overdue rate; ","")&amp;IF($U399&lt;'01_Settings'!$B$13,"Low satisfaction; ","")&amp;IF($AH399&lt;'01_Settings'!$B$14,"Low gross margin; ","")&amp;IF($AJ399&lt;'01_Settings'!$B$15,"Low conversion rate; ","")&amp;IF($AK399&gt;'01_Settings'!$B$16,"High complaint rate; ",""))</f>
        <v/>
      </c>
    </row>
    <row r="400" ht="18" customHeight="1">
      <c r="A400" s="86" t="n"/>
      <c r="B400" s="26" t="n"/>
      <c r="C400" s="26" t="n"/>
      <c r="D400" s="26" t="n"/>
      <c r="E400" s="26" t="n"/>
      <c r="F400" s="26" t="n"/>
      <c r="G400" s="26" t="n"/>
      <c r="H400" s="26" t="n"/>
      <c r="I400" s="26" t="n"/>
      <c r="J400" s="87" t="n"/>
      <c r="K400" s="87" t="n"/>
      <c r="L400" s="87" t="n"/>
      <c r="M400" s="87" t="n"/>
      <c r="N400" s="88" t="n"/>
      <c r="O400" s="88" t="n"/>
      <c r="P400" s="89" t="n"/>
      <c r="Q400" s="87" t="n"/>
      <c r="R400" s="87" t="n"/>
      <c r="S400" s="87" t="n"/>
      <c r="T400" s="87" t="n"/>
      <c r="U400" s="89" t="n"/>
      <c r="V400" s="89" t="n"/>
      <c r="W400" s="89" t="n"/>
      <c r="X400" s="87" t="n"/>
      <c r="Y400" s="87" t="n"/>
      <c r="Z400" s="88" t="n"/>
      <c r="AA400" s="26" t="n"/>
      <c r="AB400" s="86">
        <f>IF($A400="","",$A400-WEEKDAY($A400,2)+1)</f>
        <v/>
      </c>
      <c r="AC400" s="86">
        <f>IF($A400="","",DATE(YEAR($A400),MONTH($A400),1))</f>
        <v/>
      </c>
      <c r="AD400" s="90">
        <f>IF($A400="","",IFERROR($K400/$J400,0))</f>
        <v/>
      </c>
      <c r="AE400" s="90">
        <f>IF($A400="","",IFERROR($L400/$J400,0))</f>
        <v/>
      </c>
      <c r="AF400" s="90">
        <f>IF($A400="","",IFERROR($M400/$J400,0))</f>
        <v/>
      </c>
      <c r="AG400" s="88">
        <f>IF($A400="","",$N400-$O400)</f>
        <v/>
      </c>
      <c r="AH400" s="90">
        <f>IF($A400="","",IFERROR($AG400/$N400,0))</f>
        <v/>
      </c>
      <c r="AI400" s="89">
        <f>IF($A400="","",IFERROR($K400/$P400,0))</f>
        <v/>
      </c>
      <c r="AJ400" s="90">
        <f>IF($A400="","",IFERROR($S400/$R400,0))</f>
        <v/>
      </c>
      <c r="AK400" s="90">
        <f>IF($A400="","",IFERROR($T400/$J400,0))</f>
        <v/>
      </c>
      <c r="AL400" s="26">
        <f>IF($A400="","",IF(AND($AD400&gt;='01_Settings'!$B$9,$V400&lt;='01_Settings'!$B$10,$W400&lt;='01_Settings'!$B$11),"On track","Off track"))</f>
        <v/>
      </c>
      <c r="AM400" s="42">
        <f>IF($A400="","",IF($AD400&lt;'01_Settings'!$B$9,"Low completion rate; ","")&amp;IF($AE400&gt;'01_Settings'!$B$12,"High overdue rate; ","")&amp;IF($U400&lt;'01_Settings'!$B$13,"Low satisfaction; ","")&amp;IF($AH400&lt;'01_Settings'!$B$14,"Low gross margin; ","")&amp;IF($AJ400&lt;'01_Settings'!$B$15,"Low conversion rate; ","")&amp;IF($AK400&gt;'01_Settings'!$B$16,"High complaint rate; ",""))</f>
        <v/>
      </c>
    </row>
    <row r="401" ht="18" customHeight="1">
      <c r="A401" s="86" t="n"/>
      <c r="B401" s="26" t="n"/>
      <c r="C401" s="26" t="n"/>
      <c r="D401" s="26" t="n"/>
      <c r="E401" s="26" t="n"/>
      <c r="F401" s="26" t="n"/>
      <c r="G401" s="26" t="n"/>
      <c r="H401" s="26" t="n"/>
      <c r="I401" s="26" t="n"/>
      <c r="J401" s="87" t="n"/>
      <c r="K401" s="87" t="n"/>
      <c r="L401" s="87" t="n"/>
      <c r="M401" s="87" t="n"/>
      <c r="N401" s="88" t="n"/>
      <c r="O401" s="88" t="n"/>
      <c r="P401" s="89" t="n"/>
      <c r="Q401" s="87" t="n"/>
      <c r="R401" s="87" t="n"/>
      <c r="S401" s="87" t="n"/>
      <c r="T401" s="87" t="n"/>
      <c r="U401" s="89" t="n"/>
      <c r="V401" s="89" t="n"/>
      <c r="W401" s="89" t="n"/>
      <c r="X401" s="87" t="n"/>
      <c r="Y401" s="87" t="n"/>
      <c r="Z401" s="88" t="n"/>
      <c r="AA401" s="26" t="n"/>
      <c r="AB401" s="86">
        <f>IF($A401="","",$A401-WEEKDAY($A401,2)+1)</f>
        <v/>
      </c>
      <c r="AC401" s="86">
        <f>IF($A401="","",DATE(YEAR($A401),MONTH($A401),1))</f>
        <v/>
      </c>
      <c r="AD401" s="90">
        <f>IF($A401="","",IFERROR($K401/$J401,0))</f>
        <v/>
      </c>
      <c r="AE401" s="90">
        <f>IF($A401="","",IFERROR($L401/$J401,0))</f>
        <v/>
      </c>
      <c r="AF401" s="90">
        <f>IF($A401="","",IFERROR($M401/$J401,0))</f>
        <v/>
      </c>
      <c r="AG401" s="88">
        <f>IF($A401="","",$N401-$O401)</f>
        <v/>
      </c>
      <c r="AH401" s="90">
        <f>IF($A401="","",IFERROR($AG401/$N401,0))</f>
        <v/>
      </c>
      <c r="AI401" s="89">
        <f>IF($A401="","",IFERROR($K401/$P401,0))</f>
        <v/>
      </c>
      <c r="AJ401" s="90">
        <f>IF($A401="","",IFERROR($S401/$R401,0))</f>
        <v/>
      </c>
      <c r="AK401" s="90">
        <f>IF($A401="","",IFERROR($T401/$J401,0))</f>
        <v/>
      </c>
      <c r="AL401" s="26">
        <f>IF($A401="","",IF(AND($AD401&gt;='01_Settings'!$B$9,$V401&lt;='01_Settings'!$B$10,$W401&lt;='01_Settings'!$B$11),"On track","Off track"))</f>
        <v/>
      </c>
      <c r="AM401" s="42">
        <f>IF($A401="","",IF($AD401&lt;'01_Settings'!$B$9,"Low completion rate; ","")&amp;IF($AE401&gt;'01_Settings'!$B$12,"High overdue rate; ","")&amp;IF($U401&lt;'01_Settings'!$B$13,"Low satisfaction; ","")&amp;IF($AH401&lt;'01_Settings'!$B$14,"Low gross margin; ","")&amp;IF($AJ401&lt;'01_Settings'!$B$15,"Low conversion rate; ","")&amp;IF($AK401&gt;'01_Settings'!$B$16,"High complaint rate; ",""))</f>
        <v/>
      </c>
    </row>
    <row r="402" ht="18" customHeight="1">
      <c r="A402" s="86" t="n"/>
      <c r="B402" s="26" t="n"/>
      <c r="C402" s="26" t="n"/>
      <c r="D402" s="26" t="n"/>
      <c r="E402" s="26" t="n"/>
      <c r="F402" s="26" t="n"/>
      <c r="G402" s="26" t="n"/>
      <c r="H402" s="26" t="n"/>
      <c r="I402" s="26" t="n"/>
      <c r="J402" s="87" t="n"/>
      <c r="K402" s="87" t="n"/>
      <c r="L402" s="87" t="n"/>
      <c r="M402" s="87" t="n"/>
      <c r="N402" s="88" t="n"/>
      <c r="O402" s="88" t="n"/>
      <c r="P402" s="89" t="n"/>
      <c r="Q402" s="87" t="n"/>
      <c r="R402" s="87" t="n"/>
      <c r="S402" s="87" t="n"/>
      <c r="T402" s="87" t="n"/>
      <c r="U402" s="89" t="n"/>
      <c r="V402" s="89" t="n"/>
      <c r="W402" s="89" t="n"/>
      <c r="X402" s="87" t="n"/>
      <c r="Y402" s="87" t="n"/>
      <c r="Z402" s="88" t="n"/>
      <c r="AA402" s="26" t="n"/>
      <c r="AB402" s="86">
        <f>IF($A402="","",$A402-WEEKDAY($A402,2)+1)</f>
        <v/>
      </c>
      <c r="AC402" s="86">
        <f>IF($A402="","",DATE(YEAR($A402),MONTH($A402),1))</f>
        <v/>
      </c>
      <c r="AD402" s="90">
        <f>IF($A402="","",IFERROR($K402/$J402,0))</f>
        <v/>
      </c>
      <c r="AE402" s="90">
        <f>IF($A402="","",IFERROR($L402/$J402,0))</f>
        <v/>
      </c>
      <c r="AF402" s="90">
        <f>IF($A402="","",IFERROR($M402/$J402,0))</f>
        <v/>
      </c>
      <c r="AG402" s="88">
        <f>IF($A402="","",$N402-$O402)</f>
        <v/>
      </c>
      <c r="AH402" s="90">
        <f>IF($A402="","",IFERROR($AG402/$N402,0))</f>
        <v/>
      </c>
      <c r="AI402" s="89">
        <f>IF($A402="","",IFERROR($K402/$P402,0))</f>
        <v/>
      </c>
      <c r="AJ402" s="90">
        <f>IF($A402="","",IFERROR($S402/$R402,0))</f>
        <v/>
      </c>
      <c r="AK402" s="90">
        <f>IF($A402="","",IFERROR($T402/$J402,0))</f>
        <v/>
      </c>
      <c r="AL402" s="26">
        <f>IF($A402="","",IF(AND($AD402&gt;='01_Settings'!$B$9,$V402&lt;='01_Settings'!$B$10,$W402&lt;='01_Settings'!$B$11),"On track","Off track"))</f>
        <v/>
      </c>
      <c r="AM402" s="42">
        <f>IF($A402="","",IF($AD402&lt;'01_Settings'!$B$9,"Low completion rate; ","")&amp;IF($AE402&gt;'01_Settings'!$B$12,"High overdue rate; ","")&amp;IF($U402&lt;'01_Settings'!$B$13,"Low satisfaction; ","")&amp;IF($AH402&lt;'01_Settings'!$B$14,"Low gross margin; ","")&amp;IF($AJ402&lt;'01_Settings'!$B$15,"Low conversion rate; ","")&amp;IF($AK402&gt;'01_Settings'!$B$16,"High complaint rate; ",""))</f>
        <v/>
      </c>
    </row>
    <row r="403" ht="18" customHeight="1">
      <c r="A403" s="86" t="n"/>
      <c r="B403" s="26" t="n"/>
      <c r="C403" s="26" t="n"/>
      <c r="D403" s="26" t="n"/>
      <c r="E403" s="26" t="n"/>
      <c r="F403" s="26" t="n"/>
      <c r="G403" s="26" t="n"/>
      <c r="H403" s="26" t="n"/>
      <c r="I403" s="26" t="n"/>
      <c r="J403" s="87" t="n"/>
      <c r="K403" s="87" t="n"/>
      <c r="L403" s="87" t="n"/>
      <c r="M403" s="87" t="n"/>
      <c r="N403" s="88" t="n"/>
      <c r="O403" s="88" t="n"/>
      <c r="P403" s="89" t="n"/>
      <c r="Q403" s="87" t="n"/>
      <c r="R403" s="87" t="n"/>
      <c r="S403" s="87" t="n"/>
      <c r="T403" s="87" t="n"/>
      <c r="U403" s="89" t="n"/>
      <c r="V403" s="89" t="n"/>
      <c r="W403" s="89" t="n"/>
      <c r="X403" s="87" t="n"/>
      <c r="Y403" s="87" t="n"/>
      <c r="Z403" s="88" t="n"/>
      <c r="AA403" s="26" t="n"/>
      <c r="AB403" s="86">
        <f>IF($A403="","",$A403-WEEKDAY($A403,2)+1)</f>
        <v/>
      </c>
      <c r="AC403" s="86">
        <f>IF($A403="","",DATE(YEAR($A403),MONTH($A403),1))</f>
        <v/>
      </c>
      <c r="AD403" s="90">
        <f>IF($A403="","",IFERROR($K403/$J403,0))</f>
        <v/>
      </c>
      <c r="AE403" s="90">
        <f>IF($A403="","",IFERROR($L403/$J403,0))</f>
        <v/>
      </c>
      <c r="AF403" s="90">
        <f>IF($A403="","",IFERROR($M403/$J403,0))</f>
        <v/>
      </c>
      <c r="AG403" s="88">
        <f>IF($A403="","",$N403-$O403)</f>
        <v/>
      </c>
      <c r="AH403" s="90">
        <f>IF($A403="","",IFERROR($AG403/$N403,0))</f>
        <v/>
      </c>
      <c r="AI403" s="89">
        <f>IF($A403="","",IFERROR($K403/$P403,0))</f>
        <v/>
      </c>
      <c r="AJ403" s="90">
        <f>IF($A403="","",IFERROR($S403/$R403,0))</f>
        <v/>
      </c>
      <c r="AK403" s="90">
        <f>IF($A403="","",IFERROR($T403/$J403,0))</f>
        <v/>
      </c>
      <c r="AL403" s="26">
        <f>IF($A403="","",IF(AND($AD403&gt;='01_Settings'!$B$9,$V403&lt;='01_Settings'!$B$10,$W403&lt;='01_Settings'!$B$11),"On track","Off track"))</f>
        <v/>
      </c>
      <c r="AM403" s="42">
        <f>IF($A403="","",IF($AD403&lt;'01_Settings'!$B$9,"Low completion rate; ","")&amp;IF($AE403&gt;'01_Settings'!$B$12,"High overdue rate; ","")&amp;IF($U403&lt;'01_Settings'!$B$13,"Low satisfaction; ","")&amp;IF($AH403&lt;'01_Settings'!$B$14,"Low gross margin; ","")&amp;IF($AJ403&lt;'01_Settings'!$B$15,"Low conversion rate; ","")&amp;IF($AK403&gt;'01_Settings'!$B$16,"High complaint rate; ",""))</f>
        <v/>
      </c>
    </row>
    <row r="404" ht="18" customHeight="1">
      <c r="A404" s="86" t="n"/>
      <c r="B404" s="26" t="n"/>
      <c r="C404" s="26" t="n"/>
      <c r="D404" s="26" t="n"/>
      <c r="E404" s="26" t="n"/>
      <c r="F404" s="26" t="n"/>
      <c r="G404" s="26" t="n"/>
      <c r="H404" s="26" t="n"/>
      <c r="I404" s="26" t="n"/>
      <c r="J404" s="87" t="n"/>
      <c r="K404" s="87" t="n"/>
      <c r="L404" s="87" t="n"/>
      <c r="M404" s="87" t="n"/>
      <c r="N404" s="88" t="n"/>
      <c r="O404" s="88" t="n"/>
      <c r="P404" s="89" t="n"/>
      <c r="Q404" s="87" t="n"/>
      <c r="R404" s="87" t="n"/>
      <c r="S404" s="87" t="n"/>
      <c r="T404" s="87" t="n"/>
      <c r="U404" s="89" t="n"/>
      <c r="V404" s="89" t="n"/>
      <c r="W404" s="89" t="n"/>
      <c r="X404" s="87" t="n"/>
      <c r="Y404" s="87" t="n"/>
      <c r="Z404" s="88" t="n"/>
      <c r="AA404" s="26" t="n"/>
      <c r="AB404" s="86">
        <f>IF($A404="","",$A404-WEEKDAY($A404,2)+1)</f>
        <v/>
      </c>
      <c r="AC404" s="86">
        <f>IF($A404="","",DATE(YEAR($A404),MONTH($A404),1))</f>
        <v/>
      </c>
      <c r="AD404" s="90">
        <f>IF($A404="","",IFERROR($K404/$J404,0))</f>
        <v/>
      </c>
      <c r="AE404" s="90">
        <f>IF($A404="","",IFERROR($L404/$J404,0))</f>
        <v/>
      </c>
      <c r="AF404" s="90">
        <f>IF($A404="","",IFERROR($M404/$J404,0))</f>
        <v/>
      </c>
      <c r="AG404" s="88">
        <f>IF($A404="","",$N404-$O404)</f>
        <v/>
      </c>
      <c r="AH404" s="90">
        <f>IF($A404="","",IFERROR($AG404/$N404,0))</f>
        <v/>
      </c>
      <c r="AI404" s="89">
        <f>IF($A404="","",IFERROR($K404/$P404,0))</f>
        <v/>
      </c>
      <c r="AJ404" s="90">
        <f>IF($A404="","",IFERROR($S404/$R404,0))</f>
        <v/>
      </c>
      <c r="AK404" s="90">
        <f>IF($A404="","",IFERROR($T404/$J404,0))</f>
        <v/>
      </c>
      <c r="AL404" s="26">
        <f>IF($A404="","",IF(AND($AD404&gt;='01_Settings'!$B$9,$V404&lt;='01_Settings'!$B$10,$W404&lt;='01_Settings'!$B$11),"On track","Off track"))</f>
        <v/>
      </c>
      <c r="AM404" s="42">
        <f>IF($A404="","",IF($AD404&lt;'01_Settings'!$B$9,"Low completion rate; ","")&amp;IF($AE404&gt;'01_Settings'!$B$12,"High overdue rate; ","")&amp;IF($U404&lt;'01_Settings'!$B$13,"Low satisfaction; ","")&amp;IF($AH404&lt;'01_Settings'!$B$14,"Low gross margin; ","")&amp;IF($AJ404&lt;'01_Settings'!$B$15,"Low conversion rate; ","")&amp;IF($AK404&gt;'01_Settings'!$B$16,"High complaint rate; ",""))</f>
        <v/>
      </c>
    </row>
    <row r="405" ht="18" customHeight="1">
      <c r="A405" s="86" t="n"/>
      <c r="B405" s="26" t="n"/>
      <c r="C405" s="26" t="n"/>
      <c r="D405" s="26" t="n"/>
      <c r="E405" s="26" t="n"/>
      <c r="F405" s="26" t="n"/>
      <c r="G405" s="26" t="n"/>
      <c r="H405" s="26" t="n"/>
      <c r="I405" s="26" t="n"/>
      <c r="J405" s="87" t="n"/>
      <c r="K405" s="87" t="n"/>
      <c r="L405" s="87" t="n"/>
      <c r="M405" s="87" t="n"/>
      <c r="N405" s="88" t="n"/>
      <c r="O405" s="88" t="n"/>
      <c r="P405" s="89" t="n"/>
      <c r="Q405" s="87" t="n"/>
      <c r="R405" s="87" t="n"/>
      <c r="S405" s="87" t="n"/>
      <c r="T405" s="87" t="n"/>
      <c r="U405" s="89" t="n"/>
      <c r="V405" s="89" t="n"/>
      <c r="W405" s="89" t="n"/>
      <c r="X405" s="87" t="n"/>
      <c r="Y405" s="87" t="n"/>
      <c r="Z405" s="88" t="n"/>
      <c r="AA405" s="26" t="n"/>
      <c r="AB405" s="86">
        <f>IF($A405="","",$A405-WEEKDAY($A405,2)+1)</f>
        <v/>
      </c>
      <c r="AC405" s="86">
        <f>IF($A405="","",DATE(YEAR($A405),MONTH($A405),1))</f>
        <v/>
      </c>
      <c r="AD405" s="90">
        <f>IF($A405="","",IFERROR($K405/$J405,0))</f>
        <v/>
      </c>
      <c r="AE405" s="90">
        <f>IF($A405="","",IFERROR($L405/$J405,0))</f>
        <v/>
      </c>
      <c r="AF405" s="90">
        <f>IF($A405="","",IFERROR($M405/$J405,0))</f>
        <v/>
      </c>
      <c r="AG405" s="88">
        <f>IF($A405="","",$N405-$O405)</f>
        <v/>
      </c>
      <c r="AH405" s="90">
        <f>IF($A405="","",IFERROR($AG405/$N405,0))</f>
        <v/>
      </c>
      <c r="AI405" s="89">
        <f>IF($A405="","",IFERROR($K405/$P405,0))</f>
        <v/>
      </c>
      <c r="AJ405" s="90">
        <f>IF($A405="","",IFERROR($S405/$R405,0))</f>
        <v/>
      </c>
      <c r="AK405" s="90">
        <f>IF($A405="","",IFERROR($T405/$J405,0))</f>
        <v/>
      </c>
      <c r="AL405" s="26">
        <f>IF($A405="","",IF(AND($AD405&gt;='01_Settings'!$B$9,$V405&lt;='01_Settings'!$B$10,$W405&lt;='01_Settings'!$B$11),"On track","Off track"))</f>
        <v/>
      </c>
      <c r="AM405" s="42">
        <f>IF($A405="","",IF($AD405&lt;'01_Settings'!$B$9,"Low completion rate; ","")&amp;IF($AE405&gt;'01_Settings'!$B$12,"High overdue rate; ","")&amp;IF($U405&lt;'01_Settings'!$B$13,"Low satisfaction; ","")&amp;IF($AH405&lt;'01_Settings'!$B$14,"Low gross margin; ","")&amp;IF($AJ405&lt;'01_Settings'!$B$15,"Low conversion rate; ","")&amp;IF($AK405&gt;'01_Settings'!$B$16,"High complaint rate; ",""))</f>
        <v/>
      </c>
    </row>
    <row r="406" ht="18" customHeight="1">
      <c r="A406" s="86" t="n"/>
      <c r="B406" s="26" t="n"/>
      <c r="C406" s="26" t="n"/>
      <c r="D406" s="26" t="n"/>
      <c r="E406" s="26" t="n"/>
      <c r="F406" s="26" t="n"/>
      <c r="G406" s="26" t="n"/>
      <c r="H406" s="26" t="n"/>
      <c r="I406" s="26" t="n"/>
      <c r="J406" s="87" t="n"/>
      <c r="K406" s="87" t="n"/>
      <c r="L406" s="87" t="n"/>
      <c r="M406" s="87" t="n"/>
      <c r="N406" s="88" t="n"/>
      <c r="O406" s="88" t="n"/>
      <c r="P406" s="89" t="n"/>
      <c r="Q406" s="87" t="n"/>
      <c r="R406" s="87" t="n"/>
      <c r="S406" s="87" t="n"/>
      <c r="T406" s="87" t="n"/>
      <c r="U406" s="89" t="n"/>
      <c r="V406" s="89" t="n"/>
      <c r="W406" s="89" t="n"/>
      <c r="X406" s="87" t="n"/>
      <c r="Y406" s="87" t="n"/>
      <c r="Z406" s="88" t="n"/>
      <c r="AA406" s="26" t="n"/>
      <c r="AB406" s="86">
        <f>IF($A406="","",$A406-WEEKDAY($A406,2)+1)</f>
        <v/>
      </c>
      <c r="AC406" s="86">
        <f>IF($A406="","",DATE(YEAR($A406),MONTH($A406),1))</f>
        <v/>
      </c>
      <c r="AD406" s="90">
        <f>IF($A406="","",IFERROR($K406/$J406,0))</f>
        <v/>
      </c>
      <c r="AE406" s="90">
        <f>IF($A406="","",IFERROR($L406/$J406,0))</f>
        <v/>
      </c>
      <c r="AF406" s="90">
        <f>IF($A406="","",IFERROR($M406/$J406,0))</f>
        <v/>
      </c>
      <c r="AG406" s="88">
        <f>IF($A406="","",$N406-$O406)</f>
        <v/>
      </c>
      <c r="AH406" s="90">
        <f>IF($A406="","",IFERROR($AG406/$N406,0))</f>
        <v/>
      </c>
      <c r="AI406" s="89">
        <f>IF($A406="","",IFERROR($K406/$P406,0))</f>
        <v/>
      </c>
      <c r="AJ406" s="90">
        <f>IF($A406="","",IFERROR($S406/$R406,0))</f>
        <v/>
      </c>
      <c r="AK406" s="90">
        <f>IF($A406="","",IFERROR($T406/$J406,0))</f>
        <v/>
      </c>
      <c r="AL406" s="26">
        <f>IF($A406="","",IF(AND($AD406&gt;='01_Settings'!$B$9,$V406&lt;='01_Settings'!$B$10,$W406&lt;='01_Settings'!$B$11),"On track","Off track"))</f>
        <v/>
      </c>
      <c r="AM406" s="42">
        <f>IF($A406="","",IF($AD406&lt;'01_Settings'!$B$9,"Low completion rate; ","")&amp;IF($AE406&gt;'01_Settings'!$B$12,"High overdue rate; ","")&amp;IF($U406&lt;'01_Settings'!$B$13,"Low satisfaction; ","")&amp;IF($AH406&lt;'01_Settings'!$B$14,"Low gross margin; ","")&amp;IF($AJ406&lt;'01_Settings'!$B$15,"Low conversion rate; ","")&amp;IF($AK406&gt;'01_Settings'!$B$16,"High complaint rate; ",""))</f>
        <v/>
      </c>
    </row>
    <row r="407" ht="18" customHeight="1">
      <c r="A407" s="86" t="n"/>
      <c r="B407" s="26" t="n"/>
      <c r="C407" s="26" t="n"/>
      <c r="D407" s="26" t="n"/>
      <c r="E407" s="26" t="n"/>
      <c r="F407" s="26" t="n"/>
      <c r="G407" s="26" t="n"/>
      <c r="H407" s="26" t="n"/>
      <c r="I407" s="26" t="n"/>
      <c r="J407" s="87" t="n"/>
      <c r="K407" s="87" t="n"/>
      <c r="L407" s="87" t="n"/>
      <c r="M407" s="87" t="n"/>
      <c r="N407" s="88" t="n"/>
      <c r="O407" s="88" t="n"/>
      <c r="P407" s="89" t="n"/>
      <c r="Q407" s="87" t="n"/>
      <c r="R407" s="87" t="n"/>
      <c r="S407" s="87" t="n"/>
      <c r="T407" s="87" t="n"/>
      <c r="U407" s="89" t="n"/>
      <c r="V407" s="89" t="n"/>
      <c r="W407" s="89" t="n"/>
      <c r="X407" s="87" t="n"/>
      <c r="Y407" s="87" t="n"/>
      <c r="Z407" s="88" t="n"/>
      <c r="AA407" s="26" t="n"/>
      <c r="AB407" s="86">
        <f>IF($A407="","",$A407-WEEKDAY($A407,2)+1)</f>
        <v/>
      </c>
      <c r="AC407" s="86">
        <f>IF($A407="","",DATE(YEAR($A407),MONTH($A407),1))</f>
        <v/>
      </c>
      <c r="AD407" s="90">
        <f>IF($A407="","",IFERROR($K407/$J407,0))</f>
        <v/>
      </c>
      <c r="AE407" s="90">
        <f>IF($A407="","",IFERROR($L407/$J407,0))</f>
        <v/>
      </c>
      <c r="AF407" s="90">
        <f>IF($A407="","",IFERROR($M407/$J407,0))</f>
        <v/>
      </c>
      <c r="AG407" s="88">
        <f>IF($A407="","",$N407-$O407)</f>
        <v/>
      </c>
      <c r="AH407" s="90">
        <f>IF($A407="","",IFERROR($AG407/$N407,0))</f>
        <v/>
      </c>
      <c r="AI407" s="89">
        <f>IF($A407="","",IFERROR($K407/$P407,0))</f>
        <v/>
      </c>
      <c r="AJ407" s="90">
        <f>IF($A407="","",IFERROR($S407/$R407,0))</f>
        <v/>
      </c>
      <c r="AK407" s="90">
        <f>IF($A407="","",IFERROR($T407/$J407,0))</f>
        <v/>
      </c>
      <c r="AL407" s="26">
        <f>IF($A407="","",IF(AND($AD407&gt;='01_Settings'!$B$9,$V407&lt;='01_Settings'!$B$10,$W407&lt;='01_Settings'!$B$11),"On track","Off track"))</f>
        <v/>
      </c>
      <c r="AM407" s="42">
        <f>IF($A407="","",IF($AD407&lt;'01_Settings'!$B$9,"Low completion rate; ","")&amp;IF($AE407&gt;'01_Settings'!$B$12,"High overdue rate; ","")&amp;IF($U407&lt;'01_Settings'!$B$13,"Low satisfaction; ","")&amp;IF($AH407&lt;'01_Settings'!$B$14,"Low gross margin; ","")&amp;IF($AJ407&lt;'01_Settings'!$B$15,"Low conversion rate; ","")&amp;IF($AK407&gt;'01_Settings'!$B$16,"High complaint rate; ",""))</f>
        <v/>
      </c>
    </row>
    <row r="408" ht="18" customHeight="1">
      <c r="A408" s="86" t="n"/>
      <c r="B408" s="26" t="n"/>
      <c r="C408" s="26" t="n"/>
      <c r="D408" s="26" t="n"/>
      <c r="E408" s="26" t="n"/>
      <c r="F408" s="26" t="n"/>
      <c r="G408" s="26" t="n"/>
      <c r="H408" s="26" t="n"/>
      <c r="I408" s="26" t="n"/>
      <c r="J408" s="87" t="n"/>
      <c r="K408" s="87" t="n"/>
      <c r="L408" s="87" t="n"/>
      <c r="M408" s="87" t="n"/>
      <c r="N408" s="88" t="n"/>
      <c r="O408" s="88" t="n"/>
      <c r="P408" s="89" t="n"/>
      <c r="Q408" s="87" t="n"/>
      <c r="R408" s="87" t="n"/>
      <c r="S408" s="87" t="n"/>
      <c r="T408" s="87" t="n"/>
      <c r="U408" s="89" t="n"/>
      <c r="V408" s="89" t="n"/>
      <c r="W408" s="89" t="n"/>
      <c r="X408" s="87" t="n"/>
      <c r="Y408" s="87" t="n"/>
      <c r="Z408" s="88" t="n"/>
      <c r="AA408" s="26" t="n"/>
      <c r="AB408" s="86">
        <f>IF($A408="","",$A408-WEEKDAY($A408,2)+1)</f>
        <v/>
      </c>
      <c r="AC408" s="86">
        <f>IF($A408="","",DATE(YEAR($A408),MONTH($A408),1))</f>
        <v/>
      </c>
      <c r="AD408" s="90">
        <f>IF($A408="","",IFERROR($K408/$J408,0))</f>
        <v/>
      </c>
      <c r="AE408" s="90">
        <f>IF($A408="","",IFERROR($L408/$J408,0))</f>
        <v/>
      </c>
      <c r="AF408" s="90">
        <f>IF($A408="","",IFERROR($M408/$J408,0))</f>
        <v/>
      </c>
      <c r="AG408" s="88">
        <f>IF($A408="","",$N408-$O408)</f>
        <v/>
      </c>
      <c r="AH408" s="90">
        <f>IF($A408="","",IFERROR($AG408/$N408,0))</f>
        <v/>
      </c>
      <c r="AI408" s="89">
        <f>IF($A408="","",IFERROR($K408/$P408,0))</f>
        <v/>
      </c>
      <c r="AJ408" s="90">
        <f>IF($A408="","",IFERROR($S408/$R408,0))</f>
        <v/>
      </c>
      <c r="AK408" s="90">
        <f>IF($A408="","",IFERROR($T408/$J408,0))</f>
        <v/>
      </c>
      <c r="AL408" s="26">
        <f>IF($A408="","",IF(AND($AD408&gt;='01_Settings'!$B$9,$V408&lt;='01_Settings'!$B$10,$W408&lt;='01_Settings'!$B$11),"On track","Off track"))</f>
        <v/>
      </c>
      <c r="AM408" s="42">
        <f>IF($A408="","",IF($AD408&lt;'01_Settings'!$B$9,"Low completion rate; ","")&amp;IF($AE408&gt;'01_Settings'!$B$12,"High overdue rate; ","")&amp;IF($U408&lt;'01_Settings'!$B$13,"Low satisfaction; ","")&amp;IF($AH408&lt;'01_Settings'!$B$14,"Low gross margin; ","")&amp;IF($AJ408&lt;'01_Settings'!$B$15,"Low conversion rate; ","")&amp;IF($AK408&gt;'01_Settings'!$B$16,"High complaint rate; ",""))</f>
        <v/>
      </c>
    </row>
    <row r="409" ht="18" customHeight="1">
      <c r="A409" s="86" t="n"/>
      <c r="B409" s="26" t="n"/>
      <c r="C409" s="26" t="n"/>
      <c r="D409" s="26" t="n"/>
      <c r="E409" s="26" t="n"/>
      <c r="F409" s="26" t="n"/>
      <c r="G409" s="26" t="n"/>
      <c r="H409" s="26" t="n"/>
      <c r="I409" s="26" t="n"/>
      <c r="J409" s="87" t="n"/>
      <c r="K409" s="87" t="n"/>
      <c r="L409" s="87" t="n"/>
      <c r="M409" s="87" t="n"/>
      <c r="N409" s="88" t="n"/>
      <c r="O409" s="88" t="n"/>
      <c r="P409" s="89" t="n"/>
      <c r="Q409" s="87" t="n"/>
      <c r="R409" s="87" t="n"/>
      <c r="S409" s="87" t="n"/>
      <c r="T409" s="87" t="n"/>
      <c r="U409" s="89" t="n"/>
      <c r="V409" s="89" t="n"/>
      <c r="W409" s="89" t="n"/>
      <c r="X409" s="87" t="n"/>
      <c r="Y409" s="87" t="n"/>
      <c r="Z409" s="88" t="n"/>
      <c r="AA409" s="26" t="n"/>
      <c r="AB409" s="86">
        <f>IF($A409="","",$A409-WEEKDAY($A409,2)+1)</f>
        <v/>
      </c>
      <c r="AC409" s="86">
        <f>IF($A409="","",DATE(YEAR($A409),MONTH($A409),1))</f>
        <v/>
      </c>
      <c r="AD409" s="90">
        <f>IF($A409="","",IFERROR($K409/$J409,0))</f>
        <v/>
      </c>
      <c r="AE409" s="90">
        <f>IF($A409="","",IFERROR($L409/$J409,0))</f>
        <v/>
      </c>
      <c r="AF409" s="90">
        <f>IF($A409="","",IFERROR($M409/$J409,0))</f>
        <v/>
      </c>
      <c r="AG409" s="88">
        <f>IF($A409="","",$N409-$O409)</f>
        <v/>
      </c>
      <c r="AH409" s="90">
        <f>IF($A409="","",IFERROR($AG409/$N409,0))</f>
        <v/>
      </c>
      <c r="AI409" s="89">
        <f>IF($A409="","",IFERROR($K409/$P409,0))</f>
        <v/>
      </c>
      <c r="AJ409" s="90">
        <f>IF($A409="","",IFERROR($S409/$R409,0))</f>
        <v/>
      </c>
      <c r="AK409" s="90">
        <f>IF($A409="","",IFERROR($T409/$J409,0))</f>
        <v/>
      </c>
      <c r="AL409" s="26">
        <f>IF($A409="","",IF(AND($AD409&gt;='01_Settings'!$B$9,$V409&lt;='01_Settings'!$B$10,$W409&lt;='01_Settings'!$B$11),"On track","Off track"))</f>
        <v/>
      </c>
      <c r="AM409" s="42">
        <f>IF($A409="","",IF($AD409&lt;'01_Settings'!$B$9,"Low completion rate; ","")&amp;IF($AE409&gt;'01_Settings'!$B$12,"High overdue rate; ","")&amp;IF($U409&lt;'01_Settings'!$B$13,"Low satisfaction; ","")&amp;IF($AH409&lt;'01_Settings'!$B$14,"Low gross margin; ","")&amp;IF($AJ409&lt;'01_Settings'!$B$15,"Low conversion rate; ","")&amp;IF($AK409&gt;'01_Settings'!$B$16,"High complaint rate; ",""))</f>
        <v/>
      </c>
    </row>
    <row r="410" ht="18" customHeight="1">
      <c r="A410" s="86" t="n"/>
      <c r="B410" s="26" t="n"/>
      <c r="C410" s="26" t="n"/>
      <c r="D410" s="26" t="n"/>
      <c r="E410" s="26" t="n"/>
      <c r="F410" s="26" t="n"/>
      <c r="G410" s="26" t="n"/>
      <c r="H410" s="26" t="n"/>
      <c r="I410" s="26" t="n"/>
      <c r="J410" s="87" t="n"/>
      <c r="K410" s="87" t="n"/>
      <c r="L410" s="87" t="n"/>
      <c r="M410" s="87" t="n"/>
      <c r="N410" s="88" t="n"/>
      <c r="O410" s="88" t="n"/>
      <c r="P410" s="89" t="n"/>
      <c r="Q410" s="87" t="n"/>
      <c r="R410" s="87" t="n"/>
      <c r="S410" s="87" t="n"/>
      <c r="T410" s="87" t="n"/>
      <c r="U410" s="89" t="n"/>
      <c r="V410" s="89" t="n"/>
      <c r="W410" s="89" t="n"/>
      <c r="X410" s="87" t="n"/>
      <c r="Y410" s="87" t="n"/>
      <c r="Z410" s="88" t="n"/>
      <c r="AA410" s="26" t="n"/>
      <c r="AB410" s="86">
        <f>IF($A410="","",$A410-WEEKDAY($A410,2)+1)</f>
        <v/>
      </c>
      <c r="AC410" s="86">
        <f>IF($A410="","",DATE(YEAR($A410),MONTH($A410),1))</f>
        <v/>
      </c>
      <c r="AD410" s="90">
        <f>IF($A410="","",IFERROR($K410/$J410,0))</f>
        <v/>
      </c>
      <c r="AE410" s="90">
        <f>IF($A410="","",IFERROR($L410/$J410,0))</f>
        <v/>
      </c>
      <c r="AF410" s="90">
        <f>IF($A410="","",IFERROR($M410/$J410,0))</f>
        <v/>
      </c>
      <c r="AG410" s="88">
        <f>IF($A410="","",$N410-$O410)</f>
        <v/>
      </c>
      <c r="AH410" s="90">
        <f>IF($A410="","",IFERROR($AG410/$N410,0))</f>
        <v/>
      </c>
      <c r="AI410" s="89">
        <f>IF($A410="","",IFERROR($K410/$P410,0))</f>
        <v/>
      </c>
      <c r="AJ410" s="90">
        <f>IF($A410="","",IFERROR($S410/$R410,0))</f>
        <v/>
      </c>
      <c r="AK410" s="90">
        <f>IF($A410="","",IFERROR($T410/$J410,0))</f>
        <v/>
      </c>
      <c r="AL410" s="26">
        <f>IF($A410="","",IF(AND($AD410&gt;='01_Settings'!$B$9,$V410&lt;='01_Settings'!$B$10,$W410&lt;='01_Settings'!$B$11),"On track","Off track"))</f>
        <v/>
      </c>
      <c r="AM410" s="42">
        <f>IF($A410="","",IF($AD410&lt;'01_Settings'!$B$9,"Low completion rate; ","")&amp;IF($AE410&gt;'01_Settings'!$B$12,"High overdue rate; ","")&amp;IF($U410&lt;'01_Settings'!$B$13,"Low satisfaction; ","")&amp;IF($AH410&lt;'01_Settings'!$B$14,"Low gross margin; ","")&amp;IF($AJ410&lt;'01_Settings'!$B$15,"Low conversion rate; ","")&amp;IF($AK410&gt;'01_Settings'!$B$16,"High complaint rate; ",""))</f>
        <v/>
      </c>
    </row>
    <row r="411" ht="18" customHeight="1">
      <c r="A411" s="86" t="n"/>
      <c r="B411" s="26" t="n"/>
      <c r="C411" s="26" t="n"/>
      <c r="D411" s="26" t="n"/>
      <c r="E411" s="26" t="n"/>
      <c r="F411" s="26" t="n"/>
      <c r="G411" s="26" t="n"/>
      <c r="H411" s="26" t="n"/>
      <c r="I411" s="26" t="n"/>
      <c r="J411" s="87" t="n"/>
      <c r="K411" s="87" t="n"/>
      <c r="L411" s="87" t="n"/>
      <c r="M411" s="87" t="n"/>
      <c r="N411" s="88" t="n"/>
      <c r="O411" s="88" t="n"/>
      <c r="P411" s="89" t="n"/>
      <c r="Q411" s="87" t="n"/>
      <c r="R411" s="87" t="n"/>
      <c r="S411" s="87" t="n"/>
      <c r="T411" s="87" t="n"/>
      <c r="U411" s="89" t="n"/>
      <c r="V411" s="89" t="n"/>
      <c r="W411" s="89" t="n"/>
      <c r="X411" s="87" t="n"/>
      <c r="Y411" s="87" t="n"/>
      <c r="Z411" s="88" t="n"/>
      <c r="AA411" s="26" t="n"/>
      <c r="AB411" s="86">
        <f>IF($A411="","",$A411-WEEKDAY($A411,2)+1)</f>
        <v/>
      </c>
      <c r="AC411" s="86">
        <f>IF($A411="","",DATE(YEAR($A411),MONTH($A411),1))</f>
        <v/>
      </c>
      <c r="AD411" s="90">
        <f>IF($A411="","",IFERROR($K411/$J411,0))</f>
        <v/>
      </c>
      <c r="AE411" s="90">
        <f>IF($A411="","",IFERROR($L411/$J411,0))</f>
        <v/>
      </c>
      <c r="AF411" s="90">
        <f>IF($A411="","",IFERROR($M411/$J411,0))</f>
        <v/>
      </c>
      <c r="AG411" s="88">
        <f>IF($A411="","",$N411-$O411)</f>
        <v/>
      </c>
      <c r="AH411" s="90">
        <f>IF($A411="","",IFERROR($AG411/$N411,0))</f>
        <v/>
      </c>
      <c r="AI411" s="89">
        <f>IF($A411="","",IFERROR($K411/$P411,0))</f>
        <v/>
      </c>
      <c r="AJ411" s="90">
        <f>IF($A411="","",IFERROR($S411/$R411,0))</f>
        <v/>
      </c>
      <c r="AK411" s="90">
        <f>IF($A411="","",IFERROR($T411/$J411,0))</f>
        <v/>
      </c>
      <c r="AL411" s="26">
        <f>IF($A411="","",IF(AND($AD411&gt;='01_Settings'!$B$9,$V411&lt;='01_Settings'!$B$10,$W411&lt;='01_Settings'!$B$11),"On track","Off track"))</f>
        <v/>
      </c>
      <c r="AM411" s="42">
        <f>IF($A411="","",IF($AD411&lt;'01_Settings'!$B$9,"Low completion rate; ","")&amp;IF($AE411&gt;'01_Settings'!$B$12,"High overdue rate; ","")&amp;IF($U411&lt;'01_Settings'!$B$13,"Low satisfaction; ","")&amp;IF($AH411&lt;'01_Settings'!$B$14,"Low gross margin; ","")&amp;IF($AJ411&lt;'01_Settings'!$B$15,"Low conversion rate; ","")&amp;IF($AK411&gt;'01_Settings'!$B$16,"High complaint rate; ",""))</f>
        <v/>
      </c>
    </row>
    <row r="412" ht="18" customHeight="1">
      <c r="A412" s="86" t="n"/>
      <c r="B412" s="26" t="n"/>
      <c r="C412" s="26" t="n"/>
      <c r="D412" s="26" t="n"/>
      <c r="E412" s="26" t="n"/>
      <c r="F412" s="26" t="n"/>
      <c r="G412" s="26" t="n"/>
      <c r="H412" s="26" t="n"/>
      <c r="I412" s="26" t="n"/>
      <c r="J412" s="87" t="n"/>
      <c r="K412" s="87" t="n"/>
      <c r="L412" s="87" t="n"/>
      <c r="M412" s="87" t="n"/>
      <c r="N412" s="88" t="n"/>
      <c r="O412" s="88" t="n"/>
      <c r="P412" s="89" t="n"/>
      <c r="Q412" s="87" t="n"/>
      <c r="R412" s="87" t="n"/>
      <c r="S412" s="87" t="n"/>
      <c r="T412" s="87" t="n"/>
      <c r="U412" s="89" t="n"/>
      <c r="V412" s="89" t="n"/>
      <c r="W412" s="89" t="n"/>
      <c r="X412" s="87" t="n"/>
      <c r="Y412" s="87" t="n"/>
      <c r="Z412" s="88" t="n"/>
      <c r="AA412" s="26" t="n"/>
      <c r="AB412" s="86">
        <f>IF($A412="","",$A412-WEEKDAY($A412,2)+1)</f>
        <v/>
      </c>
      <c r="AC412" s="86">
        <f>IF($A412="","",DATE(YEAR($A412),MONTH($A412),1))</f>
        <v/>
      </c>
      <c r="AD412" s="90">
        <f>IF($A412="","",IFERROR($K412/$J412,0))</f>
        <v/>
      </c>
      <c r="AE412" s="90">
        <f>IF($A412="","",IFERROR($L412/$J412,0))</f>
        <v/>
      </c>
      <c r="AF412" s="90">
        <f>IF($A412="","",IFERROR($M412/$J412,0))</f>
        <v/>
      </c>
      <c r="AG412" s="88">
        <f>IF($A412="","",$N412-$O412)</f>
        <v/>
      </c>
      <c r="AH412" s="90">
        <f>IF($A412="","",IFERROR($AG412/$N412,0))</f>
        <v/>
      </c>
      <c r="AI412" s="89">
        <f>IF($A412="","",IFERROR($K412/$P412,0))</f>
        <v/>
      </c>
      <c r="AJ412" s="90">
        <f>IF($A412="","",IFERROR($S412/$R412,0))</f>
        <v/>
      </c>
      <c r="AK412" s="90">
        <f>IF($A412="","",IFERROR($T412/$J412,0))</f>
        <v/>
      </c>
      <c r="AL412" s="26">
        <f>IF($A412="","",IF(AND($AD412&gt;='01_Settings'!$B$9,$V412&lt;='01_Settings'!$B$10,$W412&lt;='01_Settings'!$B$11),"On track","Off track"))</f>
        <v/>
      </c>
      <c r="AM412" s="42">
        <f>IF($A412="","",IF($AD412&lt;'01_Settings'!$B$9,"Low completion rate; ","")&amp;IF($AE412&gt;'01_Settings'!$B$12,"High overdue rate; ","")&amp;IF($U412&lt;'01_Settings'!$B$13,"Low satisfaction; ","")&amp;IF($AH412&lt;'01_Settings'!$B$14,"Low gross margin; ","")&amp;IF($AJ412&lt;'01_Settings'!$B$15,"Low conversion rate; ","")&amp;IF($AK412&gt;'01_Settings'!$B$16,"High complaint rate; ",""))</f>
        <v/>
      </c>
    </row>
    <row r="413" ht="18" customHeight="1">
      <c r="A413" s="86" t="n"/>
      <c r="B413" s="26" t="n"/>
      <c r="C413" s="26" t="n"/>
      <c r="D413" s="26" t="n"/>
      <c r="E413" s="26" t="n"/>
      <c r="F413" s="26" t="n"/>
      <c r="G413" s="26" t="n"/>
      <c r="H413" s="26" t="n"/>
      <c r="I413" s="26" t="n"/>
      <c r="J413" s="87" t="n"/>
      <c r="K413" s="87" t="n"/>
      <c r="L413" s="87" t="n"/>
      <c r="M413" s="87" t="n"/>
      <c r="N413" s="88" t="n"/>
      <c r="O413" s="88" t="n"/>
      <c r="P413" s="89" t="n"/>
      <c r="Q413" s="87" t="n"/>
      <c r="R413" s="87" t="n"/>
      <c r="S413" s="87" t="n"/>
      <c r="T413" s="87" t="n"/>
      <c r="U413" s="89" t="n"/>
      <c r="V413" s="89" t="n"/>
      <c r="W413" s="89" t="n"/>
      <c r="X413" s="87" t="n"/>
      <c r="Y413" s="87" t="n"/>
      <c r="Z413" s="88" t="n"/>
      <c r="AA413" s="26" t="n"/>
      <c r="AB413" s="86">
        <f>IF($A413="","",$A413-WEEKDAY($A413,2)+1)</f>
        <v/>
      </c>
      <c r="AC413" s="86">
        <f>IF($A413="","",DATE(YEAR($A413),MONTH($A413),1))</f>
        <v/>
      </c>
      <c r="AD413" s="90">
        <f>IF($A413="","",IFERROR($K413/$J413,0))</f>
        <v/>
      </c>
      <c r="AE413" s="90">
        <f>IF($A413="","",IFERROR($L413/$J413,0))</f>
        <v/>
      </c>
      <c r="AF413" s="90">
        <f>IF($A413="","",IFERROR($M413/$J413,0))</f>
        <v/>
      </c>
      <c r="AG413" s="88">
        <f>IF($A413="","",$N413-$O413)</f>
        <v/>
      </c>
      <c r="AH413" s="90">
        <f>IF($A413="","",IFERROR($AG413/$N413,0))</f>
        <v/>
      </c>
      <c r="AI413" s="89">
        <f>IF($A413="","",IFERROR($K413/$P413,0))</f>
        <v/>
      </c>
      <c r="AJ413" s="90">
        <f>IF($A413="","",IFERROR($S413/$R413,0))</f>
        <v/>
      </c>
      <c r="AK413" s="90">
        <f>IF($A413="","",IFERROR($T413/$J413,0))</f>
        <v/>
      </c>
      <c r="AL413" s="26">
        <f>IF($A413="","",IF(AND($AD413&gt;='01_Settings'!$B$9,$V413&lt;='01_Settings'!$B$10,$W413&lt;='01_Settings'!$B$11),"On track","Off track"))</f>
        <v/>
      </c>
      <c r="AM413" s="42">
        <f>IF($A413="","",IF($AD413&lt;'01_Settings'!$B$9,"Low completion rate; ","")&amp;IF($AE413&gt;'01_Settings'!$B$12,"High overdue rate; ","")&amp;IF($U413&lt;'01_Settings'!$B$13,"Low satisfaction; ","")&amp;IF($AH413&lt;'01_Settings'!$B$14,"Low gross margin; ","")&amp;IF($AJ413&lt;'01_Settings'!$B$15,"Low conversion rate; ","")&amp;IF($AK413&gt;'01_Settings'!$B$16,"High complaint rate; ",""))</f>
        <v/>
      </c>
    </row>
    <row r="414" ht="18" customHeight="1">
      <c r="A414" s="86" t="n"/>
      <c r="B414" s="26" t="n"/>
      <c r="C414" s="26" t="n"/>
      <c r="D414" s="26" t="n"/>
      <c r="E414" s="26" t="n"/>
      <c r="F414" s="26" t="n"/>
      <c r="G414" s="26" t="n"/>
      <c r="H414" s="26" t="n"/>
      <c r="I414" s="26" t="n"/>
      <c r="J414" s="87" t="n"/>
      <c r="K414" s="87" t="n"/>
      <c r="L414" s="87" t="n"/>
      <c r="M414" s="87" t="n"/>
      <c r="N414" s="88" t="n"/>
      <c r="O414" s="88" t="n"/>
      <c r="P414" s="89" t="n"/>
      <c r="Q414" s="87" t="n"/>
      <c r="R414" s="87" t="n"/>
      <c r="S414" s="87" t="n"/>
      <c r="T414" s="87" t="n"/>
      <c r="U414" s="89" t="n"/>
      <c r="V414" s="89" t="n"/>
      <c r="W414" s="89" t="n"/>
      <c r="X414" s="87" t="n"/>
      <c r="Y414" s="87" t="n"/>
      <c r="Z414" s="88" t="n"/>
      <c r="AA414" s="26" t="n"/>
      <c r="AB414" s="86">
        <f>IF($A414="","",$A414-WEEKDAY($A414,2)+1)</f>
        <v/>
      </c>
      <c r="AC414" s="86">
        <f>IF($A414="","",DATE(YEAR($A414),MONTH($A414),1))</f>
        <v/>
      </c>
      <c r="AD414" s="90">
        <f>IF($A414="","",IFERROR($K414/$J414,0))</f>
        <v/>
      </c>
      <c r="AE414" s="90">
        <f>IF($A414="","",IFERROR($L414/$J414,0))</f>
        <v/>
      </c>
      <c r="AF414" s="90">
        <f>IF($A414="","",IFERROR($M414/$J414,0))</f>
        <v/>
      </c>
      <c r="AG414" s="88">
        <f>IF($A414="","",$N414-$O414)</f>
        <v/>
      </c>
      <c r="AH414" s="90">
        <f>IF($A414="","",IFERROR($AG414/$N414,0))</f>
        <v/>
      </c>
      <c r="AI414" s="89">
        <f>IF($A414="","",IFERROR($K414/$P414,0))</f>
        <v/>
      </c>
      <c r="AJ414" s="90">
        <f>IF($A414="","",IFERROR($S414/$R414,0))</f>
        <v/>
      </c>
      <c r="AK414" s="90">
        <f>IF($A414="","",IFERROR($T414/$J414,0))</f>
        <v/>
      </c>
      <c r="AL414" s="26">
        <f>IF($A414="","",IF(AND($AD414&gt;='01_Settings'!$B$9,$V414&lt;='01_Settings'!$B$10,$W414&lt;='01_Settings'!$B$11),"On track","Off track"))</f>
        <v/>
      </c>
      <c r="AM414" s="42">
        <f>IF($A414="","",IF($AD414&lt;'01_Settings'!$B$9,"Low completion rate; ","")&amp;IF($AE414&gt;'01_Settings'!$B$12,"High overdue rate; ","")&amp;IF($U414&lt;'01_Settings'!$B$13,"Low satisfaction; ","")&amp;IF($AH414&lt;'01_Settings'!$B$14,"Low gross margin; ","")&amp;IF($AJ414&lt;'01_Settings'!$B$15,"Low conversion rate; ","")&amp;IF($AK414&gt;'01_Settings'!$B$16,"High complaint rate; ",""))</f>
        <v/>
      </c>
    </row>
    <row r="415" ht="18" customHeight="1">
      <c r="A415" s="86" t="n"/>
      <c r="B415" s="26" t="n"/>
      <c r="C415" s="26" t="n"/>
      <c r="D415" s="26" t="n"/>
      <c r="E415" s="26" t="n"/>
      <c r="F415" s="26" t="n"/>
      <c r="G415" s="26" t="n"/>
      <c r="H415" s="26" t="n"/>
      <c r="I415" s="26" t="n"/>
      <c r="J415" s="87" t="n"/>
      <c r="K415" s="87" t="n"/>
      <c r="L415" s="87" t="n"/>
      <c r="M415" s="87" t="n"/>
      <c r="N415" s="88" t="n"/>
      <c r="O415" s="88" t="n"/>
      <c r="P415" s="89" t="n"/>
      <c r="Q415" s="87" t="n"/>
      <c r="R415" s="87" t="n"/>
      <c r="S415" s="87" t="n"/>
      <c r="T415" s="87" t="n"/>
      <c r="U415" s="89" t="n"/>
      <c r="V415" s="89" t="n"/>
      <c r="W415" s="89" t="n"/>
      <c r="X415" s="87" t="n"/>
      <c r="Y415" s="87" t="n"/>
      <c r="Z415" s="88" t="n"/>
      <c r="AA415" s="26" t="n"/>
      <c r="AB415" s="86">
        <f>IF($A415="","",$A415-WEEKDAY($A415,2)+1)</f>
        <v/>
      </c>
      <c r="AC415" s="86">
        <f>IF($A415="","",DATE(YEAR($A415),MONTH($A415),1))</f>
        <v/>
      </c>
      <c r="AD415" s="90">
        <f>IF($A415="","",IFERROR($K415/$J415,0))</f>
        <v/>
      </c>
      <c r="AE415" s="90">
        <f>IF($A415="","",IFERROR($L415/$J415,0))</f>
        <v/>
      </c>
      <c r="AF415" s="90">
        <f>IF($A415="","",IFERROR($M415/$J415,0))</f>
        <v/>
      </c>
      <c r="AG415" s="88">
        <f>IF($A415="","",$N415-$O415)</f>
        <v/>
      </c>
      <c r="AH415" s="90">
        <f>IF($A415="","",IFERROR($AG415/$N415,0))</f>
        <v/>
      </c>
      <c r="AI415" s="89">
        <f>IF($A415="","",IFERROR($K415/$P415,0))</f>
        <v/>
      </c>
      <c r="AJ415" s="90">
        <f>IF($A415="","",IFERROR($S415/$R415,0))</f>
        <v/>
      </c>
      <c r="AK415" s="90">
        <f>IF($A415="","",IFERROR($T415/$J415,0))</f>
        <v/>
      </c>
      <c r="AL415" s="26">
        <f>IF($A415="","",IF(AND($AD415&gt;='01_Settings'!$B$9,$V415&lt;='01_Settings'!$B$10,$W415&lt;='01_Settings'!$B$11),"On track","Off track"))</f>
        <v/>
      </c>
      <c r="AM415" s="42">
        <f>IF($A415="","",IF($AD415&lt;'01_Settings'!$B$9,"Low completion rate; ","")&amp;IF($AE415&gt;'01_Settings'!$B$12,"High overdue rate; ","")&amp;IF($U415&lt;'01_Settings'!$B$13,"Low satisfaction; ","")&amp;IF($AH415&lt;'01_Settings'!$B$14,"Low gross margin; ","")&amp;IF($AJ415&lt;'01_Settings'!$B$15,"Low conversion rate; ","")&amp;IF($AK415&gt;'01_Settings'!$B$16,"High complaint rate; ",""))</f>
        <v/>
      </c>
    </row>
    <row r="416" ht="18" customHeight="1">
      <c r="A416" s="86" t="n"/>
      <c r="B416" s="26" t="n"/>
      <c r="C416" s="26" t="n"/>
      <c r="D416" s="26" t="n"/>
      <c r="E416" s="26" t="n"/>
      <c r="F416" s="26" t="n"/>
      <c r="G416" s="26" t="n"/>
      <c r="H416" s="26" t="n"/>
      <c r="I416" s="26" t="n"/>
      <c r="J416" s="87" t="n"/>
      <c r="K416" s="87" t="n"/>
      <c r="L416" s="87" t="n"/>
      <c r="M416" s="87" t="n"/>
      <c r="N416" s="88" t="n"/>
      <c r="O416" s="88" t="n"/>
      <c r="P416" s="89" t="n"/>
      <c r="Q416" s="87" t="n"/>
      <c r="R416" s="87" t="n"/>
      <c r="S416" s="87" t="n"/>
      <c r="T416" s="87" t="n"/>
      <c r="U416" s="89" t="n"/>
      <c r="V416" s="89" t="n"/>
      <c r="W416" s="89" t="n"/>
      <c r="X416" s="87" t="n"/>
      <c r="Y416" s="87" t="n"/>
      <c r="Z416" s="88" t="n"/>
      <c r="AA416" s="26" t="n"/>
      <c r="AB416" s="86">
        <f>IF($A416="","",$A416-WEEKDAY($A416,2)+1)</f>
        <v/>
      </c>
      <c r="AC416" s="86">
        <f>IF($A416="","",DATE(YEAR($A416),MONTH($A416),1))</f>
        <v/>
      </c>
      <c r="AD416" s="90">
        <f>IF($A416="","",IFERROR($K416/$J416,0))</f>
        <v/>
      </c>
      <c r="AE416" s="90">
        <f>IF($A416="","",IFERROR($L416/$J416,0))</f>
        <v/>
      </c>
      <c r="AF416" s="90">
        <f>IF($A416="","",IFERROR($M416/$J416,0))</f>
        <v/>
      </c>
      <c r="AG416" s="88">
        <f>IF($A416="","",$N416-$O416)</f>
        <v/>
      </c>
      <c r="AH416" s="90">
        <f>IF($A416="","",IFERROR($AG416/$N416,0))</f>
        <v/>
      </c>
      <c r="AI416" s="89">
        <f>IF($A416="","",IFERROR($K416/$P416,0))</f>
        <v/>
      </c>
      <c r="AJ416" s="90">
        <f>IF($A416="","",IFERROR($S416/$R416,0))</f>
        <v/>
      </c>
      <c r="AK416" s="90">
        <f>IF($A416="","",IFERROR($T416/$J416,0))</f>
        <v/>
      </c>
      <c r="AL416" s="26">
        <f>IF($A416="","",IF(AND($AD416&gt;='01_Settings'!$B$9,$V416&lt;='01_Settings'!$B$10,$W416&lt;='01_Settings'!$B$11),"On track","Off track"))</f>
        <v/>
      </c>
      <c r="AM416" s="42">
        <f>IF($A416="","",IF($AD416&lt;'01_Settings'!$B$9,"Low completion rate; ","")&amp;IF($AE416&gt;'01_Settings'!$B$12,"High overdue rate; ","")&amp;IF($U416&lt;'01_Settings'!$B$13,"Low satisfaction; ","")&amp;IF($AH416&lt;'01_Settings'!$B$14,"Low gross margin; ","")&amp;IF($AJ416&lt;'01_Settings'!$B$15,"Low conversion rate; ","")&amp;IF($AK416&gt;'01_Settings'!$B$16,"High complaint rate; ",""))</f>
        <v/>
      </c>
    </row>
    <row r="417" ht="18" customHeight="1">
      <c r="A417" s="86" t="n"/>
      <c r="B417" s="26" t="n"/>
      <c r="C417" s="26" t="n"/>
      <c r="D417" s="26" t="n"/>
      <c r="E417" s="26" t="n"/>
      <c r="F417" s="26" t="n"/>
      <c r="G417" s="26" t="n"/>
      <c r="H417" s="26" t="n"/>
      <c r="I417" s="26" t="n"/>
      <c r="J417" s="87" t="n"/>
      <c r="K417" s="87" t="n"/>
      <c r="L417" s="87" t="n"/>
      <c r="M417" s="87" t="n"/>
      <c r="N417" s="88" t="n"/>
      <c r="O417" s="88" t="n"/>
      <c r="P417" s="89" t="n"/>
      <c r="Q417" s="87" t="n"/>
      <c r="R417" s="87" t="n"/>
      <c r="S417" s="87" t="n"/>
      <c r="T417" s="87" t="n"/>
      <c r="U417" s="89" t="n"/>
      <c r="V417" s="89" t="n"/>
      <c r="W417" s="89" t="n"/>
      <c r="X417" s="87" t="n"/>
      <c r="Y417" s="87" t="n"/>
      <c r="Z417" s="88" t="n"/>
      <c r="AA417" s="26" t="n"/>
      <c r="AB417" s="86">
        <f>IF($A417="","",$A417-WEEKDAY($A417,2)+1)</f>
        <v/>
      </c>
      <c r="AC417" s="86">
        <f>IF($A417="","",DATE(YEAR($A417),MONTH($A417),1))</f>
        <v/>
      </c>
      <c r="AD417" s="90">
        <f>IF($A417="","",IFERROR($K417/$J417,0))</f>
        <v/>
      </c>
      <c r="AE417" s="90">
        <f>IF($A417="","",IFERROR($L417/$J417,0))</f>
        <v/>
      </c>
      <c r="AF417" s="90">
        <f>IF($A417="","",IFERROR($M417/$J417,0))</f>
        <v/>
      </c>
      <c r="AG417" s="88">
        <f>IF($A417="","",$N417-$O417)</f>
        <v/>
      </c>
      <c r="AH417" s="90">
        <f>IF($A417="","",IFERROR($AG417/$N417,0))</f>
        <v/>
      </c>
      <c r="AI417" s="89">
        <f>IF($A417="","",IFERROR($K417/$P417,0))</f>
        <v/>
      </c>
      <c r="AJ417" s="90">
        <f>IF($A417="","",IFERROR($S417/$R417,0))</f>
        <v/>
      </c>
      <c r="AK417" s="90">
        <f>IF($A417="","",IFERROR($T417/$J417,0))</f>
        <v/>
      </c>
      <c r="AL417" s="26">
        <f>IF($A417="","",IF(AND($AD417&gt;='01_Settings'!$B$9,$V417&lt;='01_Settings'!$B$10,$W417&lt;='01_Settings'!$B$11),"On track","Off track"))</f>
        <v/>
      </c>
      <c r="AM417" s="42">
        <f>IF($A417="","",IF($AD417&lt;'01_Settings'!$B$9,"Low completion rate; ","")&amp;IF($AE417&gt;'01_Settings'!$B$12,"High overdue rate; ","")&amp;IF($U417&lt;'01_Settings'!$B$13,"Low satisfaction; ","")&amp;IF($AH417&lt;'01_Settings'!$B$14,"Low gross margin; ","")&amp;IF($AJ417&lt;'01_Settings'!$B$15,"Low conversion rate; ","")&amp;IF($AK417&gt;'01_Settings'!$B$16,"High complaint rate; ",""))</f>
        <v/>
      </c>
    </row>
    <row r="418" ht="18" customHeight="1">
      <c r="A418" s="86" t="n"/>
      <c r="B418" s="26" t="n"/>
      <c r="C418" s="26" t="n"/>
      <c r="D418" s="26" t="n"/>
      <c r="E418" s="26" t="n"/>
      <c r="F418" s="26" t="n"/>
      <c r="G418" s="26" t="n"/>
      <c r="H418" s="26" t="n"/>
      <c r="I418" s="26" t="n"/>
      <c r="J418" s="87" t="n"/>
      <c r="K418" s="87" t="n"/>
      <c r="L418" s="87" t="n"/>
      <c r="M418" s="87" t="n"/>
      <c r="N418" s="88" t="n"/>
      <c r="O418" s="88" t="n"/>
      <c r="P418" s="89" t="n"/>
      <c r="Q418" s="87" t="n"/>
      <c r="R418" s="87" t="n"/>
      <c r="S418" s="87" t="n"/>
      <c r="T418" s="87" t="n"/>
      <c r="U418" s="89" t="n"/>
      <c r="V418" s="89" t="n"/>
      <c r="W418" s="89" t="n"/>
      <c r="X418" s="87" t="n"/>
      <c r="Y418" s="87" t="n"/>
      <c r="Z418" s="88" t="n"/>
      <c r="AA418" s="26" t="n"/>
      <c r="AB418" s="86">
        <f>IF($A418="","",$A418-WEEKDAY($A418,2)+1)</f>
        <v/>
      </c>
      <c r="AC418" s="86">
        <f>IF($A418="","",DATE(YEAR($A418),MONTH($A418),1))</f>
        <v/>
      </c>
      <c r="AD418" s="90">
        <f>IF($A418="","",IFERROR($K418/$J418,0))</f>
        <v/>
      </c>
      <c r="AE418" s="90">
        <f>IF($A418="","",IFERROR($L418/$J418,0))</f>
        <v/>
      </c>
      <c r="AF418" s="90">
        <f>IF($A418="","",IFERROR($M418/$J418,0))</f>
        <v/>
      </c>
      <c r="AG418" s="88">
        <f>IF($A418="","",$N418-$O418)</f>
        <v/>
      </c>
      <c r="AH418" s="90">
        <f>IF($A418="","",IFERROR($AG418/$N418,0))</f>
        <v/>
      </c>
      <c r="AI418" s="89">
        <f>IF($A418="","",IFERROR($K418/$P418,0))</f>
        <v/>
      </c>
      <c r="AJ418" s="90">
        <f>IF($A418="","",IFERROR($S418/$R418,0))</f>
        <v/>
      </c>
      <c r="AK418" s="90">
        <f>IF($A418="","",IFERROR($T418/$J418,0))</f>
        <v/>
      </c>
      <c r="AL418" s="26">
        <f>IF($A418="","",IF(AND($AD418&gt;='01_Settings'!$B$9,$V418&lt;='01_Settings'!$B$10,$W418&lt;='01_Settings'!$B$11),"On track","Off track"))</f>
        <v/>
      </c>
      <c r="AM418" s="42">
        <f>IF($A418="","",IF($AD418&lt;'01_Settings'!$B$9,"Low completion rate; ","")&amp;IF($AE418&gt;'01_Settings'!$B$12,"High overdue rate; ","")&amp;IF($U418&lt;'01_Settings'!$B$13,"Low satisfaction; ","")&amp;IF($AH418&lt;'01_Settings'!$B$14,"Low gross margin; ","")&amp;IF($AJ418&lt;'01_Settings'!$B$15,"Low conversion rate; ","")&amp;IF($AK418&gt;'01_Settings'!$B$16,"High complaint rate; ",""))</f>
        <v/>
      </c>
    </row>
    <row r="419" ht="18" customHeight="1">
      <c r="A419" s="86" t="n"/>
      <c r="B419" s="26" t="n"/>
      <c r="C419" s="26" t="n"/>
      <c r="D419" s="26" t="n"/>
      <c r="E419" s="26" t="n"/>
      <c r="F419" s="26" t="n"/>
      <c r="G419" s="26" t="n"/>
      <c r="H419" s="26" t="n"/>
      <c r="I419" s="26" t="n"/>
      <c r="J419" s="87" t="n"/>
      <c r="K419" s="87" t="n"/>
      <c r="L419" s="87" t="n"/>
      <c r="M419" s="87" t="n"/>
      <c r="N419" s="88" t="n"/>
      <c r="O419" s="88" t="n"/>
      <c r="P419" s="89" t="n"/>
      <c r="Q419" s="87" t="n"/>
      <c r="R419" s="87" t="n"/>
      <c r="S419" s="87" t="n"/>
      <c r="T419" s="87" t="n"/>
      <c r="U419" s="89" t="n"/>
      <c r="V419" s="89" t="n"/>
      <c r="W419" s="89" t="n"/>
      <c r="X419" s="87" t="n"/>
      <c r="Y419" s="87" t="n"/>
      <c r="Z419" s="88" t="n"/>
      <c r="AA419" s="26" t="n"/>
      <c r="AB419" s="86">
        <f>IF($A419="","",$A419-WEEKDAY($A419,2)+1)</f>
        <v/>
      </c>
      <c r="AC419" s="86">
        <f>IF($A419="","",DATE(YEAR($A419),MONTH($A419),1))</f>
        <v/>
      </c>
      <c r="AD419" s="90">
        <f>IF($A419="","",IFERROR($K419/$J419,0))</f>
        <v/>
      </c>
      <c r="AE419" s="90">
        <f>IF($A419="","",IFERROR($L419/$J419,0))</f>
        <v/>
      </c>
      <c r="AF419" s="90">
        <f>IF($A419="","",IFERROR($M419/$J419,0))</f>
        <v/>
      </c>
      <c r="AG419" s="88">
        <f>IF($A419="","",$N419-$O419)</f>
        <v/>
      </c>
      <c r="AH419" s="90">
        <f>IF($A419="","",IFERROR($AG419/$N419,0))</f>
        <v/>
      </c>
      <c r="AI419" s="89">
        <f>IF($A419="","",IFERROR($K419/$P419,0))</f>
        <v/>
      </c>
      <c r="AJ419" s="90">
        <f>IF($A419="","",IFERROR($S419/$R419,0))</f>
        <v/>
      </c>
      <c r="AK419" s="90">
        <f>IF($A419="","",IFERROR($T419/$J419,0))</f>
        <v/>
      </c>
      <c r="AL419" s="26">
        <f>IF($A419="","",IF(AND($AD419&gt;='01_Settings'!$B$9,$V419&lt;='01_Settings'!$B$10,$W419&lt;='01_Settings'!$B$11),"On track","Off track"))</f>
        <v/>
      </c>
      <c r="AM419" s="42">
        <f>IF($A419="","",IF($AD419&lt;'01_Settings'!$B$9,"Low completion rate; ","")&amp;IF($AE419&gt;'01_Settings'!$B$12,"High overdue rate; ","")&amp;IF($U419&lt;'01_Settings'!$B$13,"Low satisfaction; ","")&amp;IF($AH419&lt;'01_Settings'!$B$14,"Low gross margin; ","")&amp;IF($AJ419&lt;'01_Settings'!$B$15,"Low conversion rate; ","")&amp;IF($AK419&gt;'01_Settings'!$B$16,"High complaint rate; ",""))</f>
        <v/>
      </c>
    </row>
    <row r="420" ht="18" customHeight="1">
      <c r="A420" s="86" t="n"/>
      <c r="B420" s="26" t="n"/>
      <c r="C420" s="26" t="n"/>
      <c r="D420" s="26" t="n"/>
      <c r="E420" s="26" t="n"/>
      <c r="F420" s="26" t="n"/>
      <c r="G420" s="26" t="n"/>
      <c r="H420" s="26" t="n"/>
      <c r="I420" s="26" t="n"/>
      <c r="J420" s="87" t="n"/>
      <c r="K420" s="87" t="n"/>
      <c r="L420" s="87" t="n"/>
      <c r="M420" s="87" t="n"/>
      <c r="N420" s="88" t="n"/>
      <c r="O420" s="88" t="n"/>
      <c r="P420" s="89" t="n"/>
      <c r="Q420" s="87" t="n"/>
      <c r="R420" s="87" t="n"/>
      <c r="S420" s="87" t="n"/>
      <c r="T420" s="87" t="n"/>
      <c r="U420" s="89" t="n"/>
      <c r="V420" s="89" t="n"/>
      <c r="W420" s="89" t="n"/>
      <c r="X420" s="87" t="n"/>
      <c r="Y420" s="87" t="n"/>
      <c r="Z420" s="88" t="n"/>
      <c r="AA420" s="26" t="n"/>
      <c r="AB420" s="86">
        <f>IF($A420="","",$A420-WEEKDAY($A420,2)+1)</f>
        <v/>
      </c>
      <c r="AC420" s="86">
        <f>IF($A420="","",DATE(YEAR($A420),MONTH($A420),1))</f>
        <v/>
      </c>
      <c r="AD420" s="90">
        <f>IF($A420="","",IFERROR($K420/$J420,0))</f>
        <v/>
      </c>
      <c r="AE420" s="90">
        <f>IF($A420="","",IFERROR($L420/$J420,0))</f>
        <v/>
      </c>
      <c r="AF420" s="90">
        <f>IF($A420="","",IFERROR($M420/$J420,0))</f>
        <v/>
      </c>
      <c r="AG420" s="88">
        <f>IF($A420="","",$N420-$O420)</f>
        <v/>
      </c>
      <c r="AH420" s="90">
        <f>IF($A420="","",IFERROR($AG420/$N420,0))</f>
        <v/>
      </c>
      <c r="AI420" s="89">
        <f>IF($A420="","",IFERROR($K420/$P420,0))</f>
        <v/>
      </c>
      <c r="AJ420" s="90">
        <f>IF($A420="","",IFERROR($S420/$R420,0))</f>
        <v/>
      </c>
      <c r="AK420" s="90">
        <f>IF($A420="","",IFERROR($T420/$J420,0))</f>
        <v/>
      </c>
      <c r="AL420" s="26">
        <f>IF($A420="","",IF(AND($AD420&gt;='01_Settings'!$B$9,$V420&lt;='01_Settings'!$B$10,$W420&lt;='01_Settings'!$B$11),"On track","Off track"))</f>
        <v/>
      </c>
      <c r="AM420" s="42">
        <f>IF($A420="","",IF($AD420&lt;'01_Settings'!$B$9,"Low completion rate; ","")&amp;IF($AE420&gt;'01_Settings'!$B$12,"High overdue rate; ","")&amp;IF($U420&lt;'01_Settings'!$B$13,"Low satisfaction; ","")&amp;IF($AH420&lt;'01_Settings'!$B$14,"Low gross margin; ","")&amp;IF($AJ420&lt;'01_Settings'!$B$15,"Low conversion rate; ","")&amp;IF($AK420&gt;'01_Settings'!$B$16,"High complaint rate; ",""))</f>
        <v/>
      </c>
    </row>
    <row r="421" ht="18" customHeight="1">
      <c r="A421" s="86" t="n"/>
      <c r="B421" s="26" t="n"/>
      <c r="C421" s="26" t="n"/>
      <c r="D421" s="26" t="n"/>
      <c r="E421" s="26" t="n"/>
      <c r="F421" s="26" t="n"/>
      <c r="G421" s="26" t="n"/>
      <c r="H421" s="26" t="n"/>
      <c r="I421" s="26" t="n"/>
      <c r="J421" s="87" t="n"/>
      <c r="K421" s="87" t="n"/>
      <c r="L421" s="87" t="n"/>
      <c r="M421" s="87" t="n"/>
      <c r="N421" s="88" t="n"/>
      <c r="O421" s="88" t="n"/>
      <c r="P421" s="89" t="n"/>
      <c r="Q421" s="87" t="n"/>
      <c r="R421" s="87" t="n"/>
      <c r="S421" s="87" t="n"/>
      <c r="T421" s="87" t="n"/>
      <c r="U421" s="89" t="n"/>
      <c r="V421" s="89" t="n"/>
      <c r="W421" s="89" t="n"/>
      <c r="X421" s="87" t="n"/>
      <c r="Y421" s="87" t="n"/>
      <c r="Z421" s="88" t="n"/>
      <c r="AA421" s="26" t="n"/>
      <c r="AB421" s="86">
        <f>IF($A421="","",$A421-WEEKDAY($A421,2)+1)</f>
        <v/>
      </c>
      <c r="AC421" s="86">
        <f>IF($A421="","",DATE(YEAR($A421),MONTH($A421),1))</f>
        <v/>
      </c>
      <c r="AD421" s="90">
        <f>IF($A421="","",IFERROR($K421/$J421,0))</f>
        <v/>
      </c>
      <c r="AE421" s="90">
        <f>IF($A421="","",IFERROR($L421/$J421,0))</f>
        <v/>
      </c>
      <c r="AF421" s="90">
        <f>IF($A421="","",IFERROR($M421/$J421,0))</f>
        <v/>
      </c>
      <c r="AG421" s="88">
        <f>IF($A421="","",$N421-$O421)</f>
        <v/>
      </c>
      <c r="AH421" s="90">
        <f>IF($A421="","",IFERROR($AG421/$N421,0))</f>
        <v/>
      </c>
      <c r="AI421" s="89">
        <f>IF($A421="","",IFERROR($K421/$P421,0))</f>
        <v/>
      </c>
      <c r="AJ421" s="90">
        <f>IF($A421="","",IFERROR($S421/$R421,0))</f>
        <v/>
      </c>
      <c r="AK421" s="90">
        <f>IF($A421="","",IFERROR($T421/$J421,0))</f>
        <v/>
      </c>
      <c r="AL421" s="26">
        <f>IF($A421="","",IF(AND($AD421&gt;='01_Settings'!$B$9,$V421&lt;='01_Settings'!$B$10,$W421&lt;='01_Settings'!$B$11),"On track","Off track"))</f>
        <v/>
      </c>
      <c r="AM421" s="42">
        <f>IF($A421="","",IF($AD421&lt;'01_Settings'!$B$9,"Low completion rate; ","")&amp;IF($AE421&gt;'01_Settings'!$B$12,"High overdue rate; ","")&amp;IF($U421&lt;'01_Settings'!$B$13,"Low satisfaction; ","")&amp;IF($AH421&lt;'01_Settings'!$B$14,"Low gross margin; ","")&amp;IF($AJ421&lt;'01_Settings'!$B$15,"Low conversion rate; ","")&amp;IF($AK421&gt;'01_Settings'!$B$16,"High complaint rate; ",""))</f>
        <v/>
      </c>
    </row>
    <row r="422" ht="18" customHeight="1">
      <c r="A422" s="86" t="n"/>
      <c r="B422" s="26" t="n"/>
      <c r="C422" s="26" t="n"/>
      <c r="D422" s="26" t="n"/>
      <c r="E422" s="26" t="n"/>
      <c r="F422" s="26" t="n"/>
      <c r="G422" s="26" t="n"/>
      <c r="H422" s="26" t="n"/>
      <c r="I422" s="26" t="n"/>
      <c r="J422" s="87" t="n"/>
      <c r="K422" s="87" t="n"/>
      <c r="L422" s="87" t="n"/>
      <c r="M422" s="87" t="n"/>
      <c r="N422" s="88" t="n"/>
      <c r="O422" s="88" t="n"/>
      <c r="P422" s="89" t="n"/>
      <c r="Q422" s="87" t="n"/>
      <c r="R422" s="87" t="n"/>
      <c r="S422" s="87" t="n"/>
      <c r="T422" s="87" t="n"/>
      <c r="U422" s="89" t="n"/>
      <c r="V422" s="89" t="n"/>
      <c r="W422" s="89" t="n"/>
      <c r="X422" s="87" t="n"/>
      <c r="Y422" s="87" t="n"/>
      <c r="Z422" s="88" t="n"/>
      <c r="AA422" s="26" t="n"/>
      <c r="AB422" s="86">
        <f>IF($A422="","",$A422-WEEKDAY($A422,2)+1)</f>
        <v/>
      </c>
      <c r="AC422" s="86">
        <f>IF($A422="","",DATE(YEAR($A422),MONTH($A422),1))</f>
        <v/>
      </c>
      <c r="AD422" s="90">
        <f>IF($A422="","",IFERROR($K422/$J422,0))</f>
        <v/>
      </c>
      <c r="AE422" s="90">
        <f>IF($A422="","",IFERROR($L422/$J422,0))</f>
        <v/>
      </c>
      <c r="AF422" s="90">
        <f>IF($A422="","",IFERROR($M422/$J422,0))</f>
        <v/>
      </c>
      <c r="AG422" s="88">
        <f>IF($A422="","",$N422-$O422)</f>
        <v/>
      </c>
      <c r="AH422" s="90">
        <f>IF($A422="","",IFERROR($AG422/$N422,0))</f>
        <v/>
      </c>
      <c r="AI422" s="89">
        <f>IF($A422="","",IFERROR($K422/$P422,0))</f>
        <v/>
      </c>
      <c r="AJ422" s="90">
        <f>IF($A422="","",IFERROR($S422/$R422,0))</f>
        <v/>
      </c>
      <c r="AK422" s="90">
        <f>IF($A422="","",IFERROR($T422/$J422,0))</f>
        <v/>
      </c>
      <c r="AL422" s="26">
        <f>IF($A422="","",IF(AND($AD422&gt;='01_Settings'!$B$9,$V422&lt;='01_Settings'!$B$10,$W422&lt;='01_Settings'!$B$11),"On track","Off track"))</f>
        <v/>
      </c>
      <c r="AM422" s="42">
        <f>IF($A422="","",IF($AD422&lt;'01_Settings'!$B$9,"Low completion rate; ","")&amp;IF($AE422&gt;'01_Settings'!$B$12,"High overdue rate; ","")&amp;IF($U422&lt;'01_Settings'!$B$13,"Low satisfaction; ","")&amp;IF($AH422&lt;'01_Settings'!$B$14,"Low gross margin; ","")&amp;IF($AJ422&lt;'01_Settings'!$B$15,"Low conversion rate; ","")&amp;IF($AK422&gt;'01_Settings'!$B$16,"High complaint rate; ",""))</f>
        <v/>
      </c>
    </row>
    <row r="423" ht="18" customHeight="1">
      <c r="A423" s="86" t="n"/>
      <c r="B423" s="26" t="n"/>
      <c r="C423" s="26" t="n"/>
      <c r="D423" s="26" t="n"/>
      <c r="E423" s="26" t="n"/>
      <c r="F423" s="26" t="n"/>
      <c r="G423" s="26" t="n"/>
      <c r="H423" s="26" t="n"/>
      <c r="I423" s="26" t="n"/>
      <c r="J423" s="87" t="n"/>
      <c r="K423" s="87" t="n"/>
      <c r="L423" s="87" t="n"/>
      <c r="M423" s="87" t="n"/>
      <c r="N423" s="88" t="n"/>
      <c r="O423" s="88" t="n"/>
      <c r="P423" s="89" t="n"/>
      <c r="Q423" s="87" t="n"/>
      <c r="R423" s="87" t="n"/>
      <c r="S423" s="87" t="n"/>
      <c r="T423" s="87" t="n"/>
      <c r="U423" s="89" t="n"/>
      <c r="V423" s="89" t="n"/>
      <c r="W423" s="89" t="n"/>
      <c r="X423" s="87" t="n"/>
      <c r="Y423" s="87" t="n"/>
      <c r="Z423" s="88" t="n"/>
      <c r="AA423" s="26" t="n"/>
      <c r="AB423" s="86">
        <f>IF($A423="","",$A423-WEEKDAY($A423,2)+1)</f>
        <v/>
      </c>
      <c r="AC423" s="86">
        <f>IF($A423="","",DATE(YEAR($A423),MONTH($A423),1))</f>
        <v/>
      </c>
      <c r="AD423" s="90">
        <f>IF($A423="","",IFERROR($K423/$J423,0))</f>
        <v/>
      </c>
      <c r="AE423" s="90">
        <f>IF($A423="","",IFERROR($L423/$J423,0))</f>
        <v/>
      </c>
      <c r="AF423" s="90">
        <f>IF($A423="","",IFERROR($M423/$J423,0))</f>
        <v/>
      </c>
      <c r="AG423" s="88">
        <f>IF($A423="","",$N423-$O423)</f>
        <v/>
      </c>
      <c r="AH423" s="90">
        <f>IF($A423="","",IFERROR($AG423/$N423,0))</f>
        <v/>
      </c>
      <c r="AI423" s="89">
        <f>IF($A423="","",IFERROR($K423/$P423,0))</f>
        <v/>
      </c>
      <c r="AJ423" s="90">
        <f>IF($A423="","",IFERROR($S423/$R423,0))</f>
        <v/>
      </c>
      <c r="AK423" s="90">
        <f>IF($A423="","",IFERROR($T423/$J423,0))</f>
        <v/>
      </c>
      <c r="AL423" s="26">
        <f>IF($A423="","",IF(AND($AD423&gt;='01_Settings'!$B$9,$V423&lt;='01_Settings'!$B$10,$W423&lt;='01_Settings'!$B$11),"On track","Off track"))</f>
        <v/>
      </c>
      <c r="AM423" s="42">
        <f>IF($A423="","",IF($AD423&lt;'01_Settings'!$B$9,"Low completion rate; ","")&amp;IF($AE423&gt;'01_Settings'!$B$12,"High overdue rate; ","")&amp;IF($U423&lt;'01_Settings'!$B$13,"Low satisfaction; ","")&amp;IF($AH423&lt;'01_Settings'!$B$14,"Low gross margin; ","")&amp;IF($AJ423&lt;'01_Settings'!$B$15,"Low conversion rate; ","")&amp;IF($AK423&gt;'01_Settings'!$B$16,"High complaint rate; ",""))</f>
        <v/>
      </c>
    </row>
    <row r="424" ht="18" customHeight="1">
      <c r="A424" s="86" t="n"/>
      <c r="B424" s="26" t="n"/>
      <c r="C424" s="26" t="n"/>
      <c r="D424" s="26" t="n"/>
      <c r="E424" s="26" t="n"/>
      <c r="F424" s="26" t="n"/>
      <c r="G424" s="26" t="n"/>
      <c r="H424" s="26" t="n"/>
      <c r="I424" s="26" t="n"/>
      <c r="J424" s="87" t="n"/>
      <c r="K424" s="87" t="n"/>
      <c r="L424" s="87" t="n"/>
      <c r="M424" s="87" t="n"/>
      <c r="N424" s="88" t="n"/>
      <c r="O424" s="88" t="n"/>
      <c r="P424" s="89" t="n"/>
      <c r="Q424" s="87" t="n"/>
      <c r="R424" s="87" t="n"/>
      <c r="S424" s="87" t="n"/>
      <c r="T424" s="87" t="n"/>
      <c r="U424" s="89" t="n"/>
      <c r="V424" s="89" t="n"/>
      <c r="W424" s="89" t="n"/>
      <c r="X424" s="87" t="n"/>
      <c r="Y424" s="87" t="n"/>
      <c r="Z424" s="88" t="n"/>
      <c r="AA424" s="26" t="n"/>
      <c r="AB424" s="86">
        <f>IF($A424="","",$A424-WEEKDAY($A424,2)+1)</f>
        <v/>
      </c>
      <c r="AC424" s="86">
        <f>IF($A424="","",DATE(YEAR($A424),MONTH($A424),1))</f>
        <v/>
      </c>
      <c r="AD424" s="90">
        <f>IF($A424="","",IFERROR($K424/$J424,0))</f>
        <v/>
      </c>
      <c r="AE424" s="90">
        <f>IF($A424="","",IFERROR($L424/$J424,0))</f>
        <v/>
      </c>
      <c r="AF424" s="90">
        <f>IF($A424="","",IFERROR($M424/$J424,0))</f>
        <v/>
      </c>
      <c r="AG424" s="88">
        <f>IF($A424="","",$N424-$O424)</f>
        <v/>
      </c>
      <c r="AH424" s="90">
        <f>IF($A424="","",IFERROR($AG424/$N424,0))</f>
        <v/>
      </c>
      <c r="AI424" s="89">
        <f>IF($A424="","",IFERROR($K424/$P424,0))</f>
        <v/>
      </c>
      <c r="AJ424" s="90">
        <f>IF($A424="","",IFERROR($S424/$R424,0))</f>
        <v/>
      </c>
      <c r="AK424" s="90">
        <f>IF($A424="","",IFERROR($T424/$J424,0))</f>
        <v/>
      </c>
      <c r="AL424" s="26">
        <f>IF($A424="","",IF(AND($AD424&gt;='01_Settings'!$B$9,$V424&lt;='01_Settings'!$B$10,$W424&lt;='01_Settings'!$B$11),"On track","Off track"))</f>
        <v/>
      </c>
      <c r="AM424" s="42">
        <f>IF($A424="","",IF($AD424&lt;'01_Settings'!$B$9,"Low completion rate; ","")&amp;IF($AE424&gt;'01_Settings'!$B$12,"High overdue rate; ","")&amp;IF($U424&lt;'01_Settings'!$B$13,"Low satisfaction; ","")&amp;IF($AH424&lt;'01_Settings'!$B$14,"Low gross margin; ","")&amp;IF($AJ424&lt;'01_Settings'!$B$15,"Low conversion rate; ","")&amp;IF($AK424&gt;'01_Settings'!$B$16,"High complaint rate; ",""))</f>
        <v/>
      </c>
    </row>
    <row r="425" ht="18" customHeight="1">
      <c r="A425" s="86" t="n"/>
      <c r="B425" s="26" t="n"/>
      <c r="C425" s="26" t="n"/>
      <c r="D425" s="26" t="n"/>
      <c r="E425" s="26" t="n"/>
      <c r="F425" s="26" t="n"/>
      <c r="G425" s="26" t="n"/>
      <c r="H425" s="26" t="n"/>
      <c r="I425" s="26" t="n"/>
      <c r="J425" s="87" t="n"/>
      <c r="K425" s="87" t="n"/>
      <c r="L425" s="87" t="n"/>
      <c r="M425" s="87" t="n"/>
      <c r="N425" s="88" t="n"/>
      <c r="O425" s="88" t="n"/>
      <c r="P425" s="89" t="n"/>
      <c r="Q425" s="87" t="n"/>
      <c r="R425" s="87" t="n"/>
      <c r="S425" s="87" t="n"/>
      <c r="T425" s="87" t="n"/>
      <c r="U425" s="89" t="n"/>
      <c r="V425" s="89" t="n"/>
      <c r="W425" s="89" t="n"/>
      <c r="X425" s="87" t="n"/>
      <c r="Y425" s="87" t="n"/>
      <c r="Z425" s="88" t="n"/>
      <c r="AA425" s="26" t="n"/>
      <c r="AB425" s="86">
        <f>IF($A425="","",$A425-WEEKDAY($A425,2)+1)</f>
        <v/>
      </c>
      <c r="AC425" s="86">
        <f>IF($A425="","",DATE(YEAR($A425),MONTH($A425),1))</f>
        <v/>
      </c>
      <c r="AD425" s="90">
        <f>IF($A425="","",IFERROR($K425/$J425,0))</f>
        <v/>
      </c>
      <c r="AE425" s="90">
        <f>IF($A425="","",IFERROR($L425/$J425,0))</f>
        <v/>
      </c>
      <c r="AF425" s="90">
        <f>IF($A425="","",IFERROR($M425/$J425,0))</f>
        <v/>
      </c>
      <c r="AG425" s="88">
        <f>IF($A425="","",$N425-$O425)</f>
        <v/>
      </c>
      <c r="AH425" s="90">
        <f>IF($A425="","",IFERROR($AG425/$N425,0))</f>
        <v/>
      </c>
      <c r="AI425" s="89">
        <f>IF($A425="","",IFERROR($K425/$P425,0))</f>
        <v/>
      </c>
      <c r="AJ425" s="90">
        <f>IF($A425="","",IFERROR($S425/$R425,0))</f>
        <v/>
      </c>
      <c r="AK425" s="90">
        <f>IF($A425="","",IFERROR($T425/$J425,0))</f>
        <v/>
      </c>
      <c r="AL425" s="26">
        <f>IF($A425="","",IF(AND($AD425&gt;='01_Settings'!$B$9,$V425&lt;='01_Settings'!$B$10,$W425&lt;='01_Settings'!$B$11),"On track","Off track"))</f>
        <v/>
      </c>
      <c r="AM425" s="42">
        <f>IF($A425="","",IF($AD425&lt;'01_Settings'!$B$9,"Low completion rate; ","")&amp;IF($AE425&gt;'01_Settings'!$B$12,"High overdue rate; ","")&amp;IF($U425&lt;'01_Settings'!$B$13,"Low satisfaction; ","")&amp;IF($AH425&lt;'01_Settings'!$B$14,"Low gross margin; ","")&amp;IF($AJ425&lt;'01_Settings'!$B$15,"Low conversion rate; ","")&amp;IF($AK425&gt;'01_Settings'!$B$16,"High complaint rate; ",""))</f>
        <v/>
      </c>
    </row>
    <row r="426" ht="18" customHeight="1">
      <c r="A426" s="86" t="n"/>
      <c r="B426" s="26" t="n"/>
      <c r="C426" s="26" t="n"/>
      <c r="D426" s="26" t="n"/>
      <c r="E426" s="26" t="n"/>
      <c r="F426" s="26" t="n"/>
      <c r="G426" s="26" t="n"/>
      <c r="H426" s="26" t="n"/>
      <c r="I426" s="26" t="n"/>
      <c r="J426" s="87" t="n"/>
      <c r="K426" s="87" t="n"/>
      <c r="L426" s="87" t="n"/>
      <c r="M426" s="87" t="n"/>
      <c r="N426" s="88" t="n"/>
      <c r="O426" s="88" t="n"/>
      <c r="P426" s="89" t="n"/>
      <c r="Q426" s="87" t="n"/>
      <c r="R426" s="87" t="n"/>
      <c r="S426" s="87" t="n"/>
      <c r="T426" s="87" t="n"/>
      <c r="U426" s="89" t="n"/>
      <c r="V426" s="89" t="n"/>
      <c r="W426" s="89" t="n"/>
      <c r="X426" s="87" t="n"/>
      <c r="Y426" s="87" t="n"/>
      <c r="Z426" s="88" t="n"/>
      <c r="AA426" s="26" t="n"/>
      <c r="AB426" s="86">
        <f>IF($A426="","",$A426-WEEKDAY($A426,2)+1)</f>
        <v/>
      </c>
      <c r="AC426" s="86">
        <f>IF($A426="","",DATE(YEAR($A426),MONTH($A426),1))</f>
        <v/>
      </c>
      <c r="AD426" s="90">
        <f>IF($A426="","",IFERROR($K426/$J426,0))</f>
        <v/>
      </c>
      <c r="AE426" s="90">
        <f>IF($A426="","",IFERROR($L426/$J426,0))</f>
        <v/>
      </c>
      <c r="AF426" s="90">
        <f>IF($A426="","",IFERROR($M426/$J426,0))</f>
        <v/>
      </c>
      <c r="AG426" s="88">
        <f>IF($A426="","",$N426-$O426)</f>
        <v/>
      </c>
      <c r="AH426" s="90">
        <f>IF($A426="","",IFERROR($AG426/$N426,0))</f>
        <v/>
      </c>
      <c r="AI426" s="89">
        <f>IF($A426="","",IFERROR($K426/$P426,0))</f>
        <v/>
      </c>
      <c r="AJ426" s="90">
        <f>IF($A426="","",IFERROR($S426/$R426,0))</f>
        <v/>
      </c>
      <c r="AK426" s="90">
        <f>IF($A426="","",IFERROR($T426/$J426,0))</f>
        <v/>
      </c>
      <c r="AL426" s="26">
        <f>IF($A426="","",IF(AND($AD426&gt;='01_Settings'!$B$9,$V426&lt;='01_Settings'!$B$10,$W426&lt;='01_Settings'!$B$11),"On track","Off track"))</f>
        <v/>
      </c>
      <c r="AM426" s="42">
        <f>IF($A426="","",IF($AD426&lt;'01_Settings'!$B$9,"Low completion rate; ","")&amp;IF($AE426&gt;'01_Settings'!$B$12,"High overdue rate; ","")&amp;IF($U426&lt;'01_Settings'!$B$13,"Low satisfaction; ","")&amp;IF($AH426&lt;'01_Settings'!$B$14,"Low gross margin; ","")&amp;IF($AJ426&lt;'01_Settings'!$B$15,"Low conversion rate; ","")&amp;IF($AK426&gt;'01_Settings'!$B$16,"High complaint rate; ",""))</f>
        <v/>
      </c>
    </row>
    <row r="427" ht="18" customHeight="1">
      <c r="A427" s="86" t="n"/>
      <c r="B427" s="26" t="n"/>
      <c r="C427" s="26" t="n"/>
      <c r="D427" s="26" t="n"/>
      <c r="E427" s="26" t="n"/>
      <c r="F427" s="26" t="n"/>
      <c r="G427" s="26" t="n"/>
      <c r="H427" s="26" t="n"/>
      <c r="I427" s="26" t="n"/>
      <c r="J427" s="87" t="n"/>
      <c r="K427" s="87" t="n"/>
      <c r="L427" s="87" t="n"/>
      <c r="M427" s="87" t="n"/>
      <c r="N427" s="88" t="n"/>
      <c r="O427" s="88" t="n"/>
      <c r="P427" s="89" t="n"/>
      <c r="Q427" s="87" t="n"/>
      <c r="R427" s="87" t="n"/>
      <c r="S427" s="87" t="n"/>
      <c r="T427" s="87" t="n"/>
      <c r="U427" s="89" t="n"/>
      <c r="V427" s="89" t="n"/>
      <c r="W427" s="89" t="n"/>
      <c r="X427" s="87" t="n"/>
      <c r="Y427" s="87" t="n"/>
      <c r="Z427" s="88" t="n"/>
      <c r="AA427" s="26" t="n"/>
      <c r="AB427" s="86">
        <f>IF($A427="","",$A427-WEEKDAY($A427,2)+1)</f>
        <v/>
      </c>
      <c r="AC427" s="86">
        <f>IF($A427="","",DATE(YEAR($A427),MONTH($A427),1))</f>
        <v/>
      </c>
      <c r="AD427" s="90">
        <f>IF($A427="","",IFERROR($K427/$J427,0))</f>
        <v/>
      </c>
      <c r="AE427" s="90">
        <f>IF($A427="","",IFERROR($L427/$J427,0))</f>
        <v/>
      </c>
      <c r="AF427" s="90">
        <f>IF($A427="","",IFERROR($M427/$J427,0))</f>
        <v/>
      </c>
      <c r="AG427" s="88">
        <f>IF($A427="","",$N427-$O427)</f>
        <v/>
      </c>
      <c r="AH427" s="90">
        <f>IF($A427="","",IFERROR($AG427/$N427,0))</f>
        <v/>
      </c>
      <c r="AI427" s="89">
        <f>IF($A427="","",IFERROR($K427/$P427,0))</f>
        <v/>
      </c>
      <c r="AJ427" s="90">
        <f>IF($A427="","",IFERROR($S427/$R427,0))</f>
        <v/>
      </c>
      <c r="AK427" s="90">
        <f>IF($A427="","",IFERROR($T427/$J427,0))</f>
        <v/>
      </c>
      <c r="AL427" s="26">
        <f>IF($A427="","",IF(AND($AD427&gt;='01_Settings'!$B$9,$V427&lt;='01_Settings'!$B$10,$W427&lt;='01_Settings'!$B$11),"On track","Off track"))</f>
        <v/>
      </c>
      <c r="AM427" s="42">
        <f>IF($A427="","",IF($AD427&lt;'01_Settings'!$B$9,"Low completion rate; ","")&amp;IF($AE427&gt;'01_Settings'!$B$12,"High overdue rate; ","")&amp;IF($U427&lt;'01_Settings'!$B$13,"Low satisfaction; ","")&amp;IF($AH427&lt;'01_Settings'!$B$14,"Low gross margin; ","")&amp;IF($AJ427&lt;'01_Settings'!$B$15,"Low conversion rate; ","")&amp;IF($AK427&gt;'01_Settings'!$B$16,"High complaint rate; ",""))</f>
        <v/>
      </c>
    </row>
    <row r="428" ht="18" customHeight="1">
      <c r="A428" s="86" t="n"/>
      <c r="B428" s="26" t="n"/>
      <c r="C428" s="26" t="n"/>
      <c r="D428" s="26" t="n"/>
      <c r="E428" s="26" t="n"/>
      <c r="F428" s="26" t="n"/>
      <c r="G428" s="26" t="n"/>
      <c r="H428" s="26" t="n"/>
      <c r="I428" s="26" t="n"/>
      <c r="J428" s="87" t="n"/>
      <c r="K428" s="87" t="n"/>
      <c r="L428" s="87" t="n"/>
      <c r="M428" s="87" t="n"/>
      <c r="N428" s="88" t="n"/>
      <c r="O428" s="88" t="n"/>
      <c r="P428" s="89" t="n"/>
      <c r="Q428" s="87" t="n"/>
      <c r="R428" s="87" t="n"/>
      <c r="S428" s="87" t="n"/>
      <c r="T428" s="87" t="n"/>
      <c r="U428" s="89" t="n"/>
      <c r="V428" s="89" t="n"/>
      <c r="W428" s="89" t="n"/>
      <c r="X428" s="87" t="n"/>
      <c r="Y428" s="87" t="n"/>
      <c r="Z428" s="88" t="n"/>
      <c r="AA428" s="26" t="n"/>
      <c r="AB428" s="86">
        <f>IF($A428="","",$A428-WEEKDAY($A428,2)+1)</f>
        <v/>
      </c>
      <c r="AC428" s="86">
        <f>IF($A428="","",DATE(YEAR($A428),MONTH($A428),1))</f>
        <v/>
      </c>
      <c r="AD428" s="90">
        <f>IF($A428="","",IFERROR($K428/$J428,0))</f>
        <v/>
      </c>
      <c r="AE428" s="90">
        <f>IF($A428="","",IFERROR($L428/$J428,0))</f>
        <v/>
      </c>
      <c r="AF428" s="90">
        <f>IF($A428="","",IFERROR($M428/$J428,0))</f>
        <v/>
      </c>
      <c r="AG428" s="88">
        <f>IF($A428="","",$N428-$O428)</f>
        <v/>
      </c>
      <c r="AH428" s="90">
        <f>IF($A428="","",IFERROR($AG428/$N428,0))</f>
        <v/>
      </c>
      <c r="AI428" s="89">
        <f>IF($A428="","",IFERROR($K428/$P428,0))</f>
        <v/>
      </c>
      <c r="AJ428" s="90">
        <f>IF($A428="","",IFERROR($S428/$R428,0))</f>
        <v/>
      </c>
      <c r="AK428" s="90">
        <f>IF($A428="","",IFERROR($T428/$J428,0))</f>
        <v/>
      </c>
      <c r="AL428" s="26">
        <f>IF($A428="","",IF(AND($AD428&gt;='01_Settings'!$B$9,$V428&lt;='01_Settings'!$B$10,$W428&lt;='01_Settings'!$B$11),"On track","Off track"))</f>
        <v/>
      </c>
      <c r="AM428" s="42">
        <f>IF($A428="","",IF($AD428&lt;'01_Settings'!$B$9,"Low completion rate; ","")&amp;IF($AE428&gt;'01_Settings'!$B$12,"High overdue rate; ","")&amp;IF($U428&lt;'01_Settings'!$B$13,"Low satisfaction; ","")&amp;IF($AH428&lt;'01_Settings'!$B$14,"Low gross margin; ","")&amp;IF($AJ428&lt;'01_Settings'!$B$15,"Low conversion rate; ","")&amp;IF($AK428&gt;'01_Settings'!$B$16,"High complaint rate; ",""))</f>
        <v/>
      </c>
    </row>
    <row r="429" ht="18" customHeight="1">
      <c r="A429" s="86" t="n"/>
      <c r="B429" s="26" t="n"/>
      <c r="C429" s="26" t="n"/>
      <c r="D429" s="26" t="n"/>
      <c r="E429" s="26" t="n"/>
      <c r="F429" s="26" t="n"/>
      <c r="G429" s="26" t="n"/>
      <c r="H429" s="26" t="n"/>
      <c r="I429" s="26" t="n"/>
      <c r="J429" s="87" t="n"/>
      <c r="K429" s="87" t="n"/>
      <c r="L429" s="87" t="n"/>
      <c r="M429" s="87" t="n"/>
      <c r="N429" s="88" t="n"/>
      <c r="O429" s="88" t="n"/>
      <c r="P429" s="89" t="n"/>
      <c r="Q429" s="87" t="n"/>
      <c r="R429" s="87" t="n"/>
      <c r="S429" s="87" t="n"/>
      <c r="T429" s="87" t="n"/>
      <c r="U429" s="89" t="n"/>
      <c r="V429" s="89" t="n"/>
      <c r="W429" s="89" t="n"/>
      <c r="X429" s="87" t="n"/>
      <c r="Y429" s="87" t="n"/>
      <c r="Z429" s="88" t="n"/>
      <c r="AA429" s="26" t="n"/>
      <c r="AB429" s="86">
        <f>IF($A429="","",$A429-WEEKDAY($A429,2)+1)</f>
        <v/>
      </c>
      <c r="AC429" s="86">
        <f>IF($A429="","",DATE(YEAR($A429),MONTH($A429),1))</f>
        <v/>
      </c>
      <c r="AD429" s="90">
        <f>IF($A429="","",IFERROR($K429/$J429,0))</f>
        <v/>
      </c>
      <c r="AE429" s="90">
        <f>IF($A429="","",IFERROR($L429/$J429,0))</f>
        <v/>
      </c>
      <c r="AF429" s="90">
        <f>IF($A429="","",IFERROR($M429/$J429,0))</f>
        <v/>
      </c>
      <c r="AG429" s="88">
        <f>IF($A429="","",$N429-$O429)</f>
        <v/>
      </c>
      <c r="AH429" s="90">
        <f>IF($A429="","",IFERROR($AG429/$N429,0))</f>
        <v/>
      </c>
      <c r="AI429" s="89">
        <f>IF($A429="","",IFERROR($K429/$P429,0))</f>
        <v/>
      </c>
      <c r="AJ429" s="90">
        <f>IF($A429="","",IFERROR($S429/$R429,0))</f>
        <v/>
      </c>
      <c r="AK429" s="90">
        <f>IF($A429="","",IFERROR($T429/$J429,0))</f>
        <v/>
      </c>
      <c r="AL429" s="26">
        <f>IF($A429="","",IF(AND($AD429&gt;='01_Settings'!$B$9,$V429&lt;='01_Settings'!$B$10,$W429&lt;='01_Settings'!$B$11),"On track","Off track"))</f>
        <v/>
      </c>
      <c r="AM429" s="42">
        <f>IF($A429="","",IF($AD429&lt;'01_Settings'!$B$9,"Low completion rate; ","")&amp;IF($AE429&gt;'01_Settings'!$B$12,"High overdue rate; ","")&amp;IF($U429&lt;'01_Settings'!$B$13,"Low satisfaction; ","")&amp;IF($AH429&lt;'01_Settings'!$B$14,"Low gross margin; ","")&amp;IF($AJ429&lt;'01_Settings'!$B$15,"Low conversion rate; ","")&amp;IF($AK429&gt;'01_Settings'!$B$16,"High complaint rate; ",""))</f>
        <v/>
      </c>
    </row>
    <row r="430" ht="18" customHeight="1">
      <c r="A430" s="86" t="n"/>
      <c r="B430" s="26" t="n"/>
      <c r="C430" s="26" t="n"/>
      <c r="D430" s="26" t="n"/>
      <c r="E430" s="26" t="n"/>
      <c r="F430" s="26" t="n"/>
      <c r="G430" s="26" t="n"/>
      <c r="H430" s="26" t="n"/>
      <c r="I430" s="26" t="n"/>
      <c r="J430" s="87" t="n"/>
      <c r="K430" s="87" t="n"/>
      <c r="L430" s="87" t="n"/>
      <c r="M430" s="87" t="n"/>
      <c r="N430" s="88" t="n"/>
      <c r="O430" s="88" t="n"/>
      <c r="P430" s="89" t="n"/>
      <c r="Q430" s="87" t="n"/>
      <c r="R430" s="87" t="n"/>
      <c r="S430" s="87" t="n"/>
      <c r="T430" s="87" t="n"/>
      <c r="U430" s="89" t="n"/>
      <c r="V430" s="89" t="n"/>
      <c r="W430" s="89" t="n"/>
      <c r="X430" s="87" t="n"/>
      <c r="Y430" s="87" t="n"/>
      <c r="Z430" s="88" t="n"/>
      <c r="AA430" s="26" t="n"/>
      <c r="AB430" s="86">
        <f>IF($A430="","",$A430-WEEKDAY($A430,2)+1)</f>
        <v/>
      </c>
      <c r="AC430" s="86">
        <f>IF($A430="","",DATE(YEAR($A430),MONTH($A430),1))</f>
        <v/>
      </c>
      <c r="AD430" s="90">
        <f>IF($A430="","",IFERROR($K430/$J430,0))</f>
        <v/>
      </c>
      <c r="AE430" s="90">
        <f>IF($A430="","",IFERROR($L430/$J430,0))</f>
        <v/>
      </c>
      <c r="AF430" s="90">
        <f>IF($A430="","",IFERROR($M430/$J430,0))</f>
        <v/>
      </c>
      <c r="AG430" s="88">
        <f>IF($A430="","",$N430-$O430)</f>
        <v/>
      </c>
      <c r="AH430" s="90">
        <f>IF($A430="","",IFERROR($AG430/$N430,0))</f>
        <v/>
      </c>
      <c r="AI430" s="89">
        <f>IF($A430="","",IFERROR($K430/$P430,0))</f>
        <v/>
      </c>
      <c r="AJ430" s="90">
        <f>IF($A430="","",IFERROR($S430/$R430,0))</f>
        <v/>
      </c>
      <c r="AK430" s="90">
        <f>IF($A430="","",IFERROR($T430/$J430,0))</f>
        <v/>
      </c>
      <c r="AL430" s="26">
        <f>IF($A430="","",IF(AND($AD430&gt;='01_Settings'!$B$9,$V430&lt;='01_Settings'!$B$10,$W430&lt;='01_Settings'!$B$11),"On track","Off track"))</f>
        <v/>
      </c>
      <c r="AM430" s="42">
        <f>IF($A430="","",IF($AD430&lt;'01_Settings'!$B$9,"Low completion rate; ","")&amp;IF($AE430&gt;'01_Settings'!$B$12,"High overdue rate; ","")&amp;IF($U430&lt;'01_Settings'!$B$13,"Low satisfaction; ","")&amp;IF($AH430&lt;'01_Settings'!$B$14,"Low gross margin; ","")&amp;IF($AJ430&lt;'01_Settings'!$B$15,"Low conversion rate; ","")&amp;IF($AK430&gt;'01_Settings'!$B$16,"High complaint rate; ",""))</f>
        <v/>
      </c>
    </row>
    <row r="431" ht="18" customHeight="1">
      <c r="A431" s="86" t="n"/>
      <c r="B431" s="26" t="n"/>
      <c r="C431" s="26" t="n"/>
      <c r="D431" s="26" t="n"/>
      <c r="E431" s="26" t="n"/>
      <c r="F431" s="26" t="n"/>
      <c r="G431" s="26" t="n"/>
      <c r="H431" s="26" t="n"/>
      <c r="I431" s="26" t="n"/>
      <c r="J431" s="87" t="n"/>
      <c r="K431" s="87" t="n"/>
      <c r="L431" s="87" t="n"/>
      <c r="M431" s="87" t="n"/>
      <c r="N431" s="88" t="n"/>
      <c r="O431" s="88" t="n"/>
      <c r="P431" s="89" t="n"/>
      <c r="Q431" s="87" t="n"/>
      <c r="R431" s="87" t="n"/>
      <c r="S431" s="87" t="n"/>
      <c r="T431" s="87" t="n"/>
      <c r="U431" s="89" t="n"/>
      <c r="V431" s="89" t="n"/>
      <c r="W431" s="89" t="n"/>
      <c r="X431" s="87" t="n"/>
      <c r="Y431" s="87" t="n"/>
      <c r="Z431" s="88" t="n"/>
      <c r="AA431" s="26" t="n"/>
      <c r="AB431" s="86">
        <f>IF($A431="","",$A431-WEEKDAY($A431,2)+1)</f>
        <v/>
      </c>
      <c r="AC431" s="86">
        <f>IF($A431="","",DATE(YEAR($A431),MONTH($A431),1))</f>
        <v/>
      </c>
      <c r="AD431" s="90">
        <f>IF($A431="","",IFERROR($K431/$J431,0))</f>
        <v/>
      </c>
      <c r="AE431" s="90">
        <f>IF($A431="","",IFERROR($L431/$J431,0))</f>
        <v/>
      </c>
      <c r="AF431" s="90">
        <f>IF($A431="","",IFERROR($M431/$J431,0))</f>
        <v/>
      </c>
      <c r="AG431" s="88">
        <f>IF($A431="","",$N431-$O431)</f>
        <v/>
      </c>
      <c r="AH431" s="90">
        <f>IF($A431="","",IFERROR($AG431/$N431,0))</f>
        <v/>
      </c>
      <c r="AI431" s="89">
        <f>IF($A431="","",IFERROR($K431/$P431,0))</f>
        <v/>
      </c>
      <c r="AJ431" s="90">
        <f>IF($A431="","",IFERROR($S431/$R431,0))</f>
        <v/>
      </c>
      <c r="AK431" s="90">
        <f>IF($A431="","",IFERROR($T431/$J431,0))</f>
        <v/>
      </c>
      <c r="AL431" s="26">
        <f>IF($A431="","",IF(AND($AD431&gt;='01_Settings'!$B$9,$V431&lt;='01_Settings'!$B$10,$W431&lt;='01_Settings'!$B$11),"On track","Off track"))</f>
        <v/>
      </c>
      <c r="AM431" s="42">
        <f>IF($A431="","",IF($AD431&lt;'01_Settings'!$B$9,"Low completion rate; ","")&amp;IF($AE431&gt;'01_Settings'!$B$12,"High overdue rate; ","")&amp;IF($U431&lt;'01_Settings'!$B$13,"Low satisfaction; ","")&amp;IF($AH431&lt;'01_Settings'!$B$14,"Low gross margin; ","")&amp;IF($AJ431&lt;'01_Settings'!$B$15,"Low conversion rate; ","")&amp;IF($AK431&gt;'01_Settings'!$B$16,"High complaint rate; ",""))</f>
        <v/>
      </c>
    </row>
    <row r="432" ht="18" customHeight="1">
      <c r="A432" s="86" t="n"/>
      <c r="B432" s="26" t="n"/>
      <c r="C432" s="26" t="n"/>
      <c r="D432" s="26" t="n"/>
      <c r="E432" s="26" t="n"/>
      <c r="F432" s="26" t="n"/>
      <c r="G432" s="26" t="n"/>
      <c r="H432" s="26" t="n"/>
      <c r="I432" s="26" t="n"/>
      <c r="J432" s="87" t="n"/>
      <c r="K432" s="87" t="n"/>
      <c r="L432" s="87" t="n"/>
      <c r="M432" s="87" t="n"/>
      <c r="N432" s="88" t="n"/>
      <c r="O432" s="88" t="n"/>
      <c r="P432" s="89" t="n"/>
      <c r="Q432" s="87" t="n"/>
      <c r="R432" s="87" t="n"/>
      <c r="S432" s="87" t="n"/>
      <c r="T432" s="87" t="n"/>
      <c r="U432" s="89" t="n"/>
      <c r="V432" s="89" t="n"/>
      <c r="W432" s="89" t="n"/>
      <c r="X432" s="87" t="n"/>
      <c r="Y432" s="87" t="n"/>
      <c r="Z432" s="88" t="n"/>
      <c r="AA432" s="26" t="n"/>
      <c r="AB432" s="86">
        <f>IF($A432="","",$A432-WEEKDAY($A432,2)+1)</f>
        <v/>
      </c>
      <c r="AC432" s="86">
        <f>IF($A432="","",DATE(YEAR($A432),MONTH($A432),1))</f>
        <v/>
      </c>
      <c r="AD432" s="90">
        <f>IF($A432="","",IFERROR($K432/$J432,0))</f>
        <v/>
      </c>
      <c r="AE432" s="90">
        <f>IF($A432="","",IFERROR($L432/$J432,0))</f>
        <v/>
      </c>
      <c r="AF432" s="90">
        <f>IF($A432="","",IFERROR($M432/$J432,0))</f>
        <v/>
      </c>
      <c r="AG432" s="88">
        <f>IF($A432="","",$N432-$O432)</f>
        <v/>
      </c>
      <c r="AH432" s="90">
        <f>IF($A432="","",IFERROR($AG432/$N432,0))</f>
        <v/>
      </c>
      <c r="AI432" s="89">
        <f>IF($A432="","",IFERROR($K432/$P432,0))</f>
        <v/>
      </c>
      <c r="AJ432" s="90">
        <f>IF($A432="","",IFERROR($S432/$R432,0))</f>
        <v/>
      </c>
      <c r="AK432" s="90">
        <f>IF($A432="","",IFERROR($T432/$J432,0))</f>
        <v/>
      </c>
      <c r="AL432" s="26">
        <f>IF($A432="","",IF(AND($AD432&gt;='01_Settings'!$B$9,$V432&lt;='01_Settings'!$B$10,$W432&lt;='01_Settings'!$B$11),"On track","Off track"))</f>
        <v/>
      </c>
      <c r="AM432" s="42">
        <f>IF($A432="","",IF($AD432&lt;'01_Settings'!$B$9,"Low completion rate; ","")&amp;IF($AE432&gt;'01_Settings'!$B$12,"High overdue rate; ","")&amp;IF($U432&lt;'01_Settings'!$B$13,"Low satisfaction; ","")&amp;IF($AH432&lt;'01_Settings'!$B$14,"Low gross margin; ","")&amp;IF($AJ432&lt;'01_Settings'!$B$15,"Low conversion rate; ","")&amp;IF($AK432&gt;'01_Settings'!$B$16,"High complaint rate; ",""))</f>
        <v/>
      </c>
    </row>
    <row r="433" ht="18" customHeight="1">
      <c r="A433" s="86" t="n"/>
      <c r="B433" s="26" t="n"/>
      <c r="C433" s="26" t="n"/>
      <c r="D433" s="26" t="n"/>
      <c r="E433" s="26" t="n"/>
      <c r="F433" s="26" t="n"/>
      <c r="G433" s="26" t="n"/>
      <c r="H433" s="26" t="n"/>
      <c r="I433" s="26" t="n"/>
      <c r="J433" s="87" t="n"/>
      <c r="K433" s="87" t="n"/>
      <c r="L433" s="87" t="n"/>
      <c r="M433" s="87" t="n"/>
      <c r="N433" s="88" t="n"/>
      <c r="O433" s="88" t="n"/>
      <c r="P433" s="89" t="n"/>
      <c r="Q433" s="87" t="n"/>
      <c r="R433" s="87" t="n"/>
      <c r="S433" s="87" t="n"/>
      <c r="T433" s="87" t="n"/>
      <c r="U433" s="89" t="n"/>
      <c r="V433" s="89" t="n"/>
      <c r="W433" s="89" t="n"/>
      <c r="X433" s="87" t="n"/>
      <c r="Y433" s="87" t="n"/>
      <c r="Z433" s="88" t="n"/>
      <c r="AA433" s="26" t="n"/>
      <c r="AB433" s="86">
        <f>IF($A433="","",$A433-WEEKDAY($A433,2)+1)</f>
        <v/>
      </c>
      <c r="AC433" s="86">
        <f>IF($A433="","",DATE(YEAR($A433),MONTH($A433),1))</f>
        <v/>
      </c>
      <c r="AD433" s="90">
        <f>IF($A433="","",IFERROR($K433/$J433,0))</f>
        <v/>
      </c>
      <c r="AE433" s="90">
        <f>IF($A433="","",IFERROR($L433/$J433,0))</f>
        <v/>
      </c>
      <c r="AF433" s="90">
        <f>IF($A433="","",IFERROR($M433/$J433,0))</f>
        <v/>
      </c>
      <c r="AG433" s="88">
        <f>IF($A433="","",$N433-$O433)</f>
        <v/>
      </c>
      <c r="AH433" s="90">
        <f>IF($A433="","",IFERROR($AG433/$N433,0))</f>
        <v/>
      </c>
      <c r="AI433" s="89">
        <f>IF($A433="","",IFERROR($K433/$P433,0))</f>
        <v/>
      </c>
      <c r="AJ433" s="90">
        <f>IF($A433="","",IFERROR($S433/$R433,0))</f>
        <v/>
      </c>
      <c r="AK433" s="90">
        <f>IF($A433="","",IFERROR($T433/$J433,0))</f>
        <v/>
      </c>
      <c r="AL433" s="26">
        <f>IF($A433="","",IF(AND($AD433&gt;='01_Settings'!$B$9,$V433&lt;='01_Settings'!$B$10,$W433&lt;='01_Settings'!$B$11),"On track","Off track"))</f>
        <v/>
      </c>
      <c r="AM433" s="42">
        <f>IF($A433="","",IF($AD433&lt;'01_Settings'!$B$9,"Low completion rate; ","")&amp;IF($AE433&gt;'01_Settings'!$B$12,"High overdue rate; ","")&amp;IF($U433&lt;'01_Settings'!$B$13,"Low satisfaction; ","")&amp;IF($AH433&lt;'01_Settings'!$B$14,"Low gross margin; ","")&amp;IF($AJ433&lt;'01_Settings'!$B$15,"Low conversion rate; ","")&amp;IF($AK433&gt;'01_Settings'!$B$16,"High complaint rate; ",""))</f>
        <v/>
      </c>
    </row>
    <row r="434" ht="18" customHeight="1">
      <c r="A434" s="86" t="n"/>
      <c r="B434" s="26" t="n"/>
      <c r="C434" s="26" t="n"/>
      <c r="D434" s="26" t="n"/>
      <c r="E434" s="26" t="n"/>
      <c r="F434" s="26" t="n"/>
      <c r="G434" s="26" t="n"/>
      <c r="H434" s="26" t="n"/>
      <c r="I434" s="26" t="n"/>
      <c r="J434" s="87" t="n"/>
      <c r="K434" s="87" t="n"/>
      <c r="L434" s="87" t="n"/>
      <c r="M434" s="87" t="n"/>
      <c r="N434" s="88" t="n"/>
      <c r="O434" s="88" t="n"/>
      <c r="P434" s="89" t="n"/>
      <c r="Q434" s="87" t="n"/>
      <c r="R434" s="87" t="n"/>
      <c r="S434" s="87" t="n"/>
      <c r="T434" s="87" t="n"/>
      <c r="U434" s="89" t="n"/>
      <c r="V434" s="89" t="n"/>
      <c r="W434" s="89" t="n"/>
      <c r="X434" s="87" t="n"/>
      <c r="Y434" s="87" t="n"/>
      <c r="Z434" s="88" t="n"/>
      <c r="AA434" s="26" t="n"/>
      <c r="AB434" s="86">
        <f>IF($A434="","",$A434-WEEKDAY($A434,2)+1)</f>
        <v/>
      </c>
      <c r="AC434" s="86">
        <f>IF($A434="","",DATE(YEAR($A434),MONTH($A434),1))</f>
        <v/>
      </c>
      <c r="AD434" s="90">
        <f>IF($A434="","",IFERROR($K434/$J434,0))</f>
        <v/>
      </c>
      <c r="AE434" s="90">
        <f>IF($A434="","",IFERROR($L434/$J434,0))</f>
        <v/>
      </c>
      <c r="AF434" s="90">
        <f>IF($A434="","",IFERROR($M434/$J434,0))</f>
        <v/>
      </c>
      <c r="AG434" s="88">
        <f>IF($A434="","",$N434-$O434)</f>
        <v/>
      </c>
      <c r="AH434" s="90">
        <f>IF($A434="","",IFERROR($AG434/$N434,0))</f>
        <v/>
      </c>
      <c r="AI434" s="89">
        <f>IF($A434="","",IFERROR($K434/$P434,0))</f>
        <v/>
      </c>
      <c r="AJ434" s="90">
        <f>IF($A434="","",IFERROR($S434/$R434,0))</f>
        <v/>
      </c>
      <c r="AK434" s="90">
        <f>IF($A434="","",IFERROR($T434/$J434,0))</f>
        <v/>
      </c>
      <c r="AL434" s="26">
        <f>IF($A434="","",IF(AND($AD434&gt;='01_Settings'!$B$9,$V434&lt;='01_Settings'!$B$10,$W434&lt;='01_Settings'!$B$11),"On track","Off track"))</f>
        <v/>
      </c>
      <c r="AM434" s="42">
        <f>IF($A434="","",IF($AD434&lt;'01_Settings'!$B$9,"Low completion rate; ","")&amp;IF($AE434&gt;'01_Settings'!$B$12,"High overdue rate; ","")&amp;IF($U434&lt;'01_Settings'!$B$13,"Low satisfaction; ","")&amp;IF($AH434&lt;'01_Settings'!$B$14,"Low gross margin; ","")&amp;IF($AJ434&lt;'01_Settings'!$B$15,"Low conversion rate; ","")&amp;IF($AK434&gt;'01_Settings'!$B$16,"High complaint rate; ",""))</f>
        <v/>
      </c>
    </row>
    <row r="435" ht="18" customHeight="1">
      <c r="A435" s="86" t="n"/>
      <c r="B435" s="26" t="n"/>
      <c r="C435" s="26" t="n"/>
      <c r="D435" s="26" t="n"/>
      <c r="E435" s="26" t="n"/>
      <c r="F435" s="26" t="n"/>
      <c r="G435" s="26" t="n"/>
      <c r="H435" s="26" t="n"/>
      <c r="I435" s="26" t="n"/>
      <c r="J435" s="87" t="n"/>
      <c r="K435" s="87" t="n"/>
      <c r="L435" s="87" t="n"/>
      <c r="M435" s="87" t="n"/>
      <c r="N435" s="88" t="n"/>
      <c r="O435" s="88" t="n"/>
      <c r="P435" s="89" t="n"/>
      <c r="Q435" s="87" t="n"/>
      <c r="R435" s="87" t="n"/>
      <c r="S435" s="87" t="n"/>
      <c r="T435" s="87" t="n"/>
      <c r="U435" s="89" t="n"/>
      <c r="V435" s="89" t="n"/>
      <c r="W435" s="89" t="n"/>
      <c r="X435" s="87" t="n"/>
      <c r="Y435" s="87" t="n"/>
      <c r="Z435" s="88" t="n"/>
      <c r="AA435" s="26" t="n"/>
      <c r="AB435" s="86">
        <f>IF($A435="","",$A435-WEEKDAY($A435,2)+1)</f>
        <v/>
      </c>
      <c r="AC435" s="86">
        <f>IF($A435="","",DATE(YEAR($A435),MONTH($A435),1))</f>
        <v/>
      </c>
      <c r="AD435" s="90">
        <f>IF($A435="","",IFERROR($K435/$J435,0))</f>
        <v/>
      </c>
      <c r="AE435" s="90">
        <f>IF($A435="","",IFERROR($L435/$J435,0))</f>
        <v/>
      </c>
      <c r="AF435" s="90">
        <f>IF($A435="","",IFERROR($M435/$J435,0))</f>
        <v/>
      </c>
      <c r="AG435" s="88">
        <f>IF($A435="","",$N435-$O435)</f>
        <v/>
      </c>
      <c r="AH435" s="90">
        <f>IF($A435="","",IFERROR($AG435/$N435,0))</f>
        <v/>
      </c>
      <c r="AI435" s="89">
        <f>IF($A435="","",IFERROR($K435/$P435,0))</f>
        <v/>
      </c>
      <c r="AJ435" s="90">
        <f>IF($A435="","",IFERROR($S435/$R435,0))</f>
        <v/>
      </c>
      <c r="AK435" s="90">
        <f>IF($A435="","",IFERROR($T435/$J435,0))</f>
        <v/>
      </c>
      <c r="AL435" s="26">
        <f>IF($A435="","",IF(AND($AD435&gt;='01_Settings'!$B$9,$V435&lt;='01_Settings'!$B$10,$W435&lt;='01_Settings'!$B$11),"On track","Off track"))</f>
        <v/>
      </c>
      <c r="AM435" s="42">
        <f>IF($A435="","",IF($AD435&lt;'01_Settings'!$B$9,"Low completion rate; ","")&amp;IF($AE435&gt;'01_Settings'!$B$12,"High overdue rate; ","")&amp;IF($U435&lt;'01_Settings'!$B$13,"Low satisfaction; ","")&amp;IF($AH435&lt;'01_Settings'!$B$14,"Low gross margin; ","")&amp;IF($AJ435&lt;'01_Settings'!$B$15,"Low conversion rate; ","")&amp;IF($AK435&gt;'01_Settings'!$B$16,"High complaint rate; ",""))</f>
        <v/>
      </c>
    </row>
    <row r="436" ht="18" customHeight="1">
      <c r="A436" s="86" t="n"/>
      <c r="B436" s="26" t="n"/>
      <c r="C436" s="26" t="n"/>
      <c r="D436" s="26" t="n"/>
      <c r="E436" s="26" t="n"/>
      <c r="F436" s="26" t="n"/>
      <c r="G436" s="26" t="n"/>
      <c r="H436" s="26" t="n"/>
      <c r="I436" s="26" t="n"/>
      <c r="J436" s="87" t="n"/>
      <c r="K436" s="87" t="n"/>
      <c r="L436" s="87" t="n"/>
      <c r="M436" s="87" t="n"/>
      <c r="N436" s="88" t="n"/>
      <c r="O436" s="88" t="n"/>
      <c r="P436" s="89" t="n"/>
      <c r="Q436" s="87" t="n"/>
      <c r="R436" s="87" t="n"/>
      <c r="S436" s="87" t="n"/>
      <c r="T436" s="87" t="n"/>
      <c r="U436" s="89" t="n"/>
      <c r="V436" s="89" t="n"/>
      <c r="W436" s="89" t="n"/>
      <c r="X436" s="87" t="n"/>
      <c r="Y436" s="87" t="n"/>
      <c r="Z436" s="88" t="n"/>
      <c r="AA436" s="26" t="n"/>
      <c r="AB436" s="86">
        <f>IF($A436="","",$A436-WEEKDAY($A436,2)+1)</f>
        <v/>
      </c>
      <c r="AC436" s="86">
        <f>IF($A436="","",DATE(YEAR($A436),MONTH($A436),1))</f>
        <v/>
      </c>
      <c r="AD436" s="90">
        <f>IF($A436="","",IFERROR($K436/$J436,0))</f>
        <v/>
      </c>
      <c r="AE436" s="90">
        <f>IF($A436="","",IFERROR($L436/$J436,0))</f>
        <v/>
      </c>
      <c r="AF436" s="90">
        <f>IF($A436="","",IFERROR($M436/$J436,0))</f>
        <v/>
      </c>
      <c r="AG436" s="88">
        <f>IF($A436="","",$N436-$O436)</f>
        <v/>
      </c>
      <c r="AH436" s="90">
        <f>IF($A436="","",IFERROR($AG436/$N436,0))</f>
        <v/>
      </c>
      <c r="AI436" s="89">
        <f>IF($A436="","",IFERROR($K436/$P436,0))</f>
        <v/>
      </c>
      <c r="AJ436" s="90">
        <f>IF($A436="","",IFERROR($S436/$R436,0))</f>
        <v/>
      </c>
      <c r="AK436" s="90">
        <f>IF($A436="","",IFERROR($T436/$J436,0))</f>
        <v/>
      </c>
      <c r="AL436" s="26">
        <f>IF($A436="","",IF(AND($AD436&gt;='01_Settings'!$B$9,$V436&lt;='01_Settings'!$B$10,$W436&lt;='01_Settings'!$B$11),"On track","Off track"))</f>
        <v/>
      </c>
      <c r="AM436" s="42">
        <f>IF($A436="","",IF($AD436&lt;'01_Settings'!$B$9,"Low completion rate; ","")&amp;IF($AE436&gt;'01_Settings'!$B$12,"High overdue rate; ","")&amp;IF($U436&lt;'01_Settings'!$B$13,"Low satisfaction; ","")&amp;IF($AH436&lt;'01_Settings'!$B$14,"Low gross margin; ","")&amp;IF($AJ436&lt;'01_Settings'!$B$15,"Low conversion rate; ","")&amp;IF($AK436&gt;'01_Settings'!$B$16,"High complaint rate; ",""))</f>
        <v/>
      </c>
    </row>
    <row r="437" ht="18" customHeight="1">
      <c r="A437" s="86" t="n"/>
      <c r="B437" s="26" t="n"/>
      <c r="C437" s="26" t="n"/>
      <c r="D437" s="26" t="n"/>
      <c r="E437" s="26" t="n"/>
      <c r="F437" s="26" t="n"/>
      <c r="G437" s="26" t="n"/>
      <c r="H437" s="26" t="n"/>
      <c r="I437" s="26" t="n"/>
      <c r="J437" s="87" t="n"/>
      <c r="K437" s="87" t="n"/>
      <c r="L437" s="87" t="n"/>
      <c r="M437" s="87" t="n"/>
      <c r="N437" s="88" t="n"/>
      <c r="O437" s="88" t="n"/>
      <c r="P437" s="89" t="n"/>
      <c r="Q437" s="87" t="n"/>
      <c r="R437" s="87" t="n"/>
      <c r="S437" s="87" t="n"/>
      <c r="T437" s="87" t="n"/>
      <c r="U437" s="89" t="n"/>
      <c r="V437" s="89" t="n"/>
      <c r="W437" s="89" t="n"/>
      <c r="X437" s="87" t="n"/>
      <c r="Y437" s="87" t="n"/>
      <c r="Z437" s="88" t="n"/>
      <c r="AA437" s="26" t="n"/>
      <c r="AB437" s="86">
        <f>IF($A437="","",$A437-WEEKDAY($A437,2)+1)</f>
        <v/>
      </c>
      <c r="AC437" s="86">
        <f>IF($A437="","",DATE(YEAR($A437),MONTH($A437),1))</f>
        <v/>
      </c>
      <c r="AD437" s="90">
        <f>IF($A437="","",IFERROR($K437/$J437,0))</f>
        <v/>
      </c>
      <c r="AE437" s="90">
        <f>IF($A437="","",IFERROR($L437/$J437,0))</f>
        <v/>
      </c>
      <c r="AF437" s="90">
        <f>IF($A437="","",IFERROR($M437/$J437,0))</f>
        <v/>
      </c>
      <c r="AG437" s="88">
        <f>IF($A437="","",$N437-$O437)</f>
        <v/>
      </c>
      <c r="AH437" s="90">
        <f>IF($A437="","",IFERROR($AG437/$N437,0))</f>
        <v/>
      </c>
      <c r="AI437" s="89">
        <f>IF($A437="","",IFERROR($K437/$P437,0))</f>
        <v/>
      </c>
      <c r="AJ437" s="90">
        <f>IF($A437="","",IFERROR($S437/$R437,0))</f>
        <v/>
      </c>
      <c r="AK437" s="90">
        <f>IF($A437="","",IFERROR($T437/$J437,0))</f>
        <v/>
      </c>
      <c r="AL437" s="26">
        <f>IF($A437="","",IF(AND($AD437&gt;='01_Settings'!$B$9,$V437&lt;='01_Settings'!$B$10,$W437&lt;='01_Settings'!$B$11),"On track","Off track"))</f>
        <v/>
      </c>
      <c r="AM437" s="42">
        <f>IF($A437="","",IF($AD437&lt;'01_Settings'!$B$9,"Low completion rate; ","")&amp;IF($AE437&gt;'01_Settings'!$B$12,"High overdue rate; ","")&amp;IF($U437&lt;'01_Settings'!$B$13,"Low satisfaction; ","")&amp;IF($AH437&lt;'01_Settings'!$B$14,"Low gross margin; ","")&amp;IF($AJ437&lt;'01_Settings'!$B$15,"Low conversion rate; ","")&amp;IF($AK437&gt;'01_Settings'!$B$16,"High complaint rate; ",""))</f>
        <v/>
      </c>
    </row>
    <row r="438" ht="18" customHeight="1">
      <c r="A438" s="86" t="n"/>
      <c r="B438" s="26" t="n"/>
      <c r="C438" s="26" t="n"/>
      <c r="D438" s="26" t="n"/>
      <c r="E438" s="26" t="n"/>
      <c r="F438" s="26" t="n"/>
      <c r="G438" s="26" t="n"/>
      <c r="H438" s="26" t="n"/>
      <c r="I438" s="26" t="n"/>
      <c r="J438" s="87" t="n"/>
      <c r="K438" s="87" t="n"/>
      <c r="L438" s="87" t="n"/>
      <c r="M438" s="87" t="n"/>
      <c r="N438" s="88" t="n"/>
      <c r="O438" s="88" t="n"/>
      <c r="P438" s="89" t="n"/>
      <c r="Q438" s="87" t="n"/>
      <c r="R438" s="87" t="n"/>
      <c r="S438" s="87" t="n"/>
      <c r="T438" s="87" t="n"/>
      <c r="U438" s="89" t="n"/>
      <c r="V438" s="89" t="n"/>
      <c r="W438" s="89" t="n"/>
      <c r="X438" s="87" t="n"/>
      <c r="Y438" s="87" t="n"/>
      <c r="Z438" s="88" t="n"/>
      <c r="AA438" s="26" t="n"/>
      <c r="AB438" s="86">
        <f>IF($A438="","",$A438-WEEKDAY($A438,2)+1)</f>
        <v/>
      </c>
      <c r="AC438" s="86">
        <f>IF($A438="","",DATE(YEAR($A438),MONTH($A438),1))</f>
        <v/>
      </c>
      <c r="AD438" s="90">
        <f>IF($A438="","",IFERROR($K438/$J438,0))</f>
        <v/>
      </c>
      <c r="AE438" s="90">
        <f>IF($A438="","",IFERROR($L438/$J438,0))</f>
        <v/>
      </c>
      <c r="AF438" s="90">
        <f>IF($A438="","",IFERROR($M438/$J438,0))</f>
        <v/>
      </c>
      <c r="AG438" s="88">
        <f>IF($A438="","",$N438-$O438)</f>
        <v/>
      </c>
      <c r="AH438" s="90">
        <f>IF($A438="","",IFERROR($AG438/$N438,0))</f>
        <v/>
      </c>
      <c r="AI438" s="89">
        <f>IF($A438="","",IFERROR($K438/$P438,0))</f>
        <v/>
      </c>
      <c r="AJ438" s="90">
        <f>IF($A438="","",IFERROR($S438/$R438,0))</f>
        <v/>
      </c>
      <c r="AK438" s="90">
        <f>IF($A438="","",IFERROR($T438/$J438,0))</f>
        <v/>
      </c>
      <c r="AL438" s="26">
        <f>IF($A438="","",IF(AND($AD438&gt;='01_Settings'!$B$9,$V438&lt;='01_Settings'!$B$10,$W438&lt;='01_Settings'!$B$11),"On track","Off track"))</f>
        <v/>
      </c>
      <c r="AM438" s="42">
        <f>IF($A438="","",IF($AD438&lt;'01_Settings'!$B$9,"Low completion rate; ","")&amp;IF($AE438&gt;'01_Settings'!$B$12,"High overdue rate; ","")&amp;IF($U438&lt;'01_Settings'!$B$13,"Low satisfaction; ","")&amp;IF($AH438&lt;'01_Settings'!$B$14,"Low gross margin; ","")&amp;IF($AJ438&lt;'01_Settings'!$B$15,"Low conversion rate; ","")&amp;IF($AK438&gt;'01_Settings'!$B$16,"High complaint rate; ",""))</f>
        <v/>
      </c>
    </row>
    <row r="439" ht="18" customHeight="1">
      <c r="A439" s="86" t="n"/>
      <c r="B439" s="26" t="n"/>
      <c r="C439" s="26" t="n"/>
      <c r="D439" s="26" t="n"/>
      <c r="E439" s="26" t="n"/>
      <c r="F439" s="26" t="n"/>
      <c r="G439" s="26" t="n"/>
      <c r="H439" s="26" t="n"/>
      <c r="I439" s="26" t="n"/>
      <c r="J439" s="87" t="n"/>
      <c r="K439" s="87" t="n"/>
      <c r="L439" s="87" t="n"/>
      <c r="M439" s="87" t="n"/>
      <c r="N439" s="88" t="n"/>
      <c r="O439" s="88" t="n"/>
      <c r="P439" s="89" t="n"/>
      <c r="Q439" s="87" t="n"/>
      <c r="R439" s="87" t="n"/>
      <c r="S439" s="87" t="n"/>
      <c r="T439" s="87" t="n"/>
      <c r="U439" s="89" t="n"/>
      <c r="V439" s="89" t="n"/>
      <c r="W439" s="89" t="n"/>
      <c r="X439" s="87" t="n"/>
      <c r="Y439" s="87" t="n"/>
      <c r="Z439" s="88" t="n"/>
      <c r="AA439" s="26" t="n"/>
      <c r="AB439" s="86">
        <f>IF($A439="","",$A439-WEEKDAY($A439,2)+1)</f>
        <v/>
      </c>
      <c r="AC439" s="86">
        <f>IF($A439="","",DATE(YEAR($A439),MONTH($A439),1))</f>
        <v/>
      </c>
      <c r="AD439" s="90">
        <f>IF($A439="","",IFERROR($K439/$J439,0))</f>
        <v/>
      </c>
      <c r="AE439" s="90">
        <f>IF($A439="","",IFERROR($L439/$J439,0))</f>
        <v/>
      </c>
      <c r="AF439" s="90">
        <f>IF($A439="","",IFERROR($M439/$J439,0))</f>
        <v/>
      </c>
      <c r="AG439" s="88">
        <f>IF($A439="","",$N439-$O439)</f>
        <v/>
      </c>
      <c r="AH439" s="90">
        <f>IF($A439="","",IFERROR($AG439/$N439,0))</f>
        <v/>
      </c>
      <c r="AI439" s="89">
        <f>IF($A439="","",IFERROR($K439/$P439,0))</f>
        <v/>
      </c>
      <c r="AJ439" s="90">
        <f>IF($A439="","",IFERROR($S439/$R439,0))</f>
        <v/>
      </c>
      <c r="AK439" s="90">
        <f>IF($A439="","",IFERROR($T439/$J439,0))</f>
        <v/>
      </c>
      <c r="AL439" s="26">
        <f>IF($A439="","",IF(AND($AD439&gt;='01_Settings'!$B$9,$V439&lt;='01_Settings'!$B$10,$W439&lt;='01_Settings'!$B$11),"On track","Off track"))</f>
        <v/>
      </c>
      <c r="AM439" s="42">
        <f>IF($A439="","",IF($AD439&lt;'01_Settings'!$B$9,"Low completion rate; ","")&amp;IF($AE439&gt;'01_Settings'!$B$12,"High overdue rate; ","")&amp;IF($U439&lt;'01_Settings'!$B$13,"Low satisfaction; ","")&amp;IF($AH439&lt;'01_Settings'!$B$14,"Low gross margin; ","")&amp;IF($AJ439&lt;'01_Settings'!$B$15,"Low conversion rate; ","")&amp;IF($AK439&gt;'01_Settings'!$B$16,"High complaint rate; ",""))</f>
        <v/>
      </c>
    </row>
    <row r="440" ht="18" customHeight="1">
      <c r="A440" s="86" t="n"/>
      <c r="B440" s="26" t="n"/>
      <c r="C440" s="26" t="n"/>
      <c r="D440" s="26" t="n"/>
      <c r="E440" s="26" t="n"/>
      <c r="F440" s="26" t="n"/>
      <c r="G440" s="26" t="n"/>
      <c r="H440" s="26" t="n"/>
      <c r="I440" s="26" t="n"/>
      <c r="J440" s="87" t="n"/>
      <c r="K440" s="87" t="n"/>
      <c r="L440" s="87" t="n"/>
      <c r="M440" s="87" t="n"/>
      <c r="N440" s="88" t="n"/>
      <c r="O440" s="88" t="n"/>
      <c r="P440" s="89" t="n"/>
      <c r="Q440" s="87" t="n"/>
      <c r="R440" s="87" t="n"/>
      <c r="S440" s="87" t="n"/>
      <c r="T440" s="87" t="n"/>
      <c r="U440" s="89" t="n"/>
      <c r="V440" s="89" t="n"/>
      <c r="W440" s="89" t="n"/>
      <c r="X440" s="87" t="n"/>
      <c r="Y440" s="87" t="n"/>
      <c r="Z440" s="88" t="n"/>
      <c r="AA440" s="26" t="n"/>
      <c r="AB440" s="86">
        <f>IF($A440="","",$A440-WEEKDAY($A440,2)+1)</f>
        <v/>
      </c>
      <c r="AC440" s="86">
        <f>IF($A440="","",DATE(YEAR($A440),MONTH($A440),1))</f>
        <v/>
      </c>
      <c r="AD440" s="90">
        <f>IF($A440="","",IFERROR($K440/$J440,0))</f>
        <v/>
      </c>
      <c r="AE440" s="90">
        <f>IF($A440="","",IFERROR($L440/$J440,0))</f>
        <v/>
      </c>
      <c r="AF440" s="90">
        <f>IF($A440="","",IFERROR($M440/$J440,0))</f>
        <v/>
      </c>
      <c r="AG440" s="88">
        <f>IF($A440="","",$N440-$O440)</f>
        <v/>
      </c>
      <c r="AH440" s="90">
        <f>IF($A440="","",IFERROR($AG440/$N440,0))</f>
        <v/>
      </c>
      <c r="AI440" s="89">
        <f>IF($A440="","",IFERROR($K440/$P440,0))</f>
        <v/>
      </c>
      <c r="AJ440" s="90">
        <f>IF($A440="","",IFERROR($S440/$R440,0))</f>
        <v/>
      </c>
      <c r="AK440" s="90">
        <f>IF($A440="","",IFERROR($T440/$J440,0))</f>
        <v/>
      </c>
      <c r="AL440" s="26">
        <f>IF($A440="","",IF(AND($AD440&gt;='01_Settings'!$B$9,$V440&lt;='01_Settings'!$B$10,$W440&lt;='01_Settings'!$B$11),"On track","Off track"))</f>
        <v/>
      </c>
      <c r="AM440" s="42">
        <f>IF($A440="","",IF($AD440&lt;'01_Settings'!$B$9,"Low completion rate; ","")&amp;IF($AE440&gt;'01_Settings'!$B$12,"High overdue rate; ","")&amp;IF($U440&lt;'01_Settings'!$B$13,"Low satisfaction; ","")&amp;IF($AH440&lt;'01_Settings'!$B$14,"Low gross margin; ","")&amp;IF($AJ440&lt;'01_Settings'!$B$15,"Low conversion rate; ","")&amp;IF($AK440&gt;'01_Settings'!$B$16,"High complaint rate; ",""))</f>
        <v/>
      </c>
    </row>
    <row r="441" ht="18" customHeight="1">
      <c r="A441" s="86" t="n"/>
      <c r="B441" s="26" t="n"/>
      <c r="C441" s="26" t="n"/>
      <c r="D441" s="26" t="n"/>
      <c r="E441" s="26" t="n"/>
      <c r="F441" s="26" t="n"/>
      <c r="G441" s="26" t="n"/>
      <c r="H441" s="26" t="n"/>
      <c r="I441" s="26" t="n"/>
      <c r="J441" s="87" t="n"/>
      <c r="K441" s="87" t="n"/>
      <c r="L441" s="87" t="n"/>
      <c r="M441" s="87" t="n"/>
      <c r="N441" s="88" t="n"/>
      <c r="O441" s="88" t="n"/>
      <c r="P441" s="89" t="n"/>
      <c r="Q441" s="87" t="n"/>
      <c r="R441" s="87" t="n"/>
      <c r="S441" s="87" t="n"/>
      <c r="T441" s="87" t="n"/>
      <c r="U441" s="89" t="n"/>
      <c r="V441" s="89" t="n"/>
      <c r="W441" s="89" t="n"/>
      <c r="X441" s="87" t="n"/>
      <c r="Y441" s="87" t="n"/>
      <c r="Z441" s="88" t="n"/>
      <c r="AA441" s="26" t="n"/>
      <c r="AB441" s="86">
        <f>IF($A441="","",$A441-WEEKDAY($A441,2)+1)</f>
        <v/>
      </c>
      <c r="AC441" s="86">
        <f>IF($A441="","",DATE(YEAR($A441),MONTH($A441),1))</f>
        <v/>
      </c>
      <c r="AD441" s="90">
        <f>IF($A441="","",IFERROR($K441/$J441,0))</f>
        <v/>
      </c>
      <c r="AE441" s="90">
        <f>IF($A441="","",IFERROR($L441/$J441,0))</f>
        <v/>
      </c>
      <c r="AF441" s="90">
        <f>IF($A441="","",IFERROR($M441/$J441,0))</f>
        <v/>
      </c>
      <c r="AG441" s="88">
        <f>IF($A441="","",$N441-$O441)</f>
        <v/>
      </c>
      <c r="AH441" s="90">
        <f>IF($A441="","",IFERROR($AG441/$N441,0))</f>
        <v/>
      </c>
      <c r="AI441" s="89">
        <f>IF($A441="","",IFERROR($K441/$P441,0))</f>
        <v/>
      </c>
      <c r="AJ441" s="90">
        <f>IF($A441="","",IFERROR($S441/$R441,0))</f>
        <v/>
      </c>
      <c r="AK441" s="90">
        <f>IF($A441="","",IFERROR($T441/$J441,0))</f>
        <v/>
      </c>
      <c r="AL441" s="26">
        <f>IF($A441="","",IF(AND($AD441&gt;='01_Settings'!$B$9,$V441&lt;='01_Settings'!$B$10,$W441&lt;='01_Settings'!$B$11),"On track","Off track"))</f>
        <v/>
      </c>
      <c r="AM441" s="42">
        <f>IF($A441="","",IF($AD441&lt;'01_Settings'!$B$9,"Low completion rate; ","")&amp;IF($AE441&gt;'01_Settings'!$B$12,"High overdue rate; ","")&amp;IF($U441&lt;'01_Settings'!$B$13,"Low satisfaction; ","")&amp;IF($AH441&lt;'01_Settings'!$B$14,"Low gross margin; ","")&amp;IF($AJ441&lt;'01_Settings'!$B$15,"Low conversion rate; ","")&amp;IF($AK441&gt;'01_Settings'!$B$16,"High complaint rate; ",""))</f>
        <v/>
      </c>
    </row>
    <row r="442" ht="18" customHeight="1">
      <c r="A442" s="86" t="n"/>
      <c r="B442" s="26" t="n"/>
      <c r="C442" s="26" t="n"/>
      <c r="D442" s="26" t="n"/>
      <c r="E442" s="26" t="n"/>
      <c r="F442" s="26" t="n"/>
      <c r="G442" s="26" t="n"/>
      <c r="H442" s="26" t="n"/>
      <c r="I442" s="26" t="n"/>
      <c r="J442" s="87" t="n"/>
      <c r="K442" s="87" t="n"/>
      <c r="L442" s="87" t="n"/>
      <c r="M442" s="87" t="n"/>
      <c r="N442" s="88" t="n"/>
      <c r="O442" s="88" t="n"/>
      <c r="P442" s="89" t="n"/>
      <c r="Q442" s="87" t="n"/>
      <c r="R442" s="87" t="n"/>
      <c r="S442" s="87" t="n"/>
      <c r="T442" s="87" t="n"/>
      <c r="U442" s="89" t="n"/>
      <c r="V442" s="89" t="n"/>
      <c r="W442" s="89" t="n"/>
      <c r="X442" s="87" t="n"/>
      <c r="Y442" s="87" t="n"/>
      <c r="Z442" s="88" t="n"/>
      <c r="AA442" s="26" t="n"/>
      <c r="AB442" s="86">
        <f>IF($A442="","",$A442-WEEKDAY($A442,2)+1)</f>
        <v/>
      </c>
      <c r="AC442" s="86">
        <f>IF($A442="","",DATE(YEAR($A442),MONTH($A442),1))</f>
        <v/>
      </c>
      <c r="AD442" s="90">
        <f>IF($A442="","",IFERROR($K442/$J442,0))</f>
        <v/>
      </c>
      <c r="AE442" s="90">
        <f>IF($A442="","",IFERROR($L442/$J442,0))</f>
        <v/>
      </c>
      <c r="AF442" s="90">
        <f>IF($A442="","",IFERROR($M442/$J442,0))</f>
        <v/>
      </c>
      <c r="AG442" s="88">
        <f>IF($A442="","",$N442-$O442)</f>
        <v/>
      </c>
      <c r="AH442" s="90">
        <f>IF($A442="","",IFERROR($AG442/$N442,0))</f>
        <v/>
      </c>
      <c r="AI442" s="89">
        <f>IF($A442="","",IFERROR($K442/$P442,0))</f>
        <v/>
      </c>
      <c r="AJ442" s="90">
        <f>IF($A442="","",IFERROR($S442/$R442,0))</f>
        <v/>
      </c>
      <c r="AK442" s="90">
        <f>IF($A442="","",IFERROR($T442/$J442,0))</f>
        <v/>
      </c>
      <c r="AL442" s="26">
        <f>IF($A442="","",IF(AND($AD442&gt;='01_Settings'!$B$9,$V442&lt;='01_Settings'!$B$10,$W442&lt;='01_Settings'!$B$11),"On track","Off track"))</f>
        <v/>
      </c>
      <c r="AM442" s="42">
        <f>IF($A442="","",IF($AD442&lt;'01_Settings'!$B$9,"Low completion rate; ","")&amp;IF($AE442&gt;'01_Settings'!$B$12,"High overdue rate; ","")&amp;IF($U442&lt;'01_Settings'!$B$13,"Low satisfaction; ","")&amp;IF($AH442&lt;'01_Settings'!$B$14,"Low gross margin; ","")&amp;IF($AJ442&lt;'01_Settings'!$B$15,"Low conversion rate; ","")&amp;IF($AK442&gt;'01_Settings'!$B$16,"High complaint rate; ",""))</f>
        <v/>
      </c>
    </row>
    <row r="443" ht="18" customHeight="1">
      <c r="A443" s="86" t="n"/>
      <c r="B443" s="26" t="n"/>
      <c r="C443" s="26" t="n"/>
      <c r="D443" s="26" t="n"/>
      <c r="E443" s="26" t="n"/>
      <c r="F443" s="26" t="n"/>
      <c r="G443" s="26" t="n"/>
      <c r="H443" s="26" t="n"/>
      <c r="I443" s="26" t="n"/>
      <c r="J443" s="87" t="n"/>
      <c r="K443" s="87" t="n"/>
      <c r="L443" s="87" t="n"/>
      <c r="M443" s="87" t="n"/>
      <c r="N443" s="88" t="n"/>
      <c r="O443" s="88" t="n"/>
      <c r="P443" s="89" t="n"/>
      <c r="Q443" s="87" t="n"/>
      <c r="R443" s="87" t="n"/>
      <c r="S443" s="87" t="n"/>
      <c r="T443" s="87" t="n"/>
      <c r="U443" s="89" t="n"/>
      <c r="V443" s="89" t="n"/>
      <c r="W443" s="89" t="n"/>
      <c r="X443" s="87" t="n"/>
      <c r="Y443" s="87" t="n"/>
      <c r="Z443" s="88" t="n"/>
      <c r="AA443" s="26" t="n"/>
      <c r="AB443" s="86">
        <f>IF($A443="","",$A443-WEEKDAY($A443,2)+1)</f>
        <v/>
      </c>
      <c r="AC443" s="86">
        <f>IF($A443="","",DATE(YEAR($A443),MONTH($A443),1))</f>
        <v/>
      </c>
      <c r="AD443" s="90">
        <f>IF($A443="","",IFERROR($K443/$J443,0))</f>
        <v/>
      </c>
      <c r="AE443" s="90">
        <f>IF($A443="","",IFERROR($L443/$J443,0))</f>
        <v/>
      </c>
      <c r="AF443" s="90">
        <f>IF($A443="","",IFERROR($M443/$J443,0))</f>
        <v/>
      </c>
      <c r="AG443" s="88">
        <f>IF($A443="","",$N443-$O443)</f>
        <v/>
      </c>
      <c r="AH443" s="90">
        <f>IF($A443="","",IFERROR($AG443/$N443,0))</f>
        <v/>
      </c>
      <c r="AI443" s="89">
        <f>IF($A443="","",IFERROR($K443/$P443,0))</f>
        <v/>
      </c>
      <c r="AJ443" s="90">
        <f>IF($A443="","",IFERROR($S443/$R443,0))</f>
        <v/>
      </c>
      <c r="AK443" s="90">
        <f>IF($A443="","",IFERROR($T443/$J443,0))</f>
        <v/>
      </c>
      <c r="AL443" s="26">
        <f>IF($A443="","",IF(AND($AD443&gt;='01_Settings'!$B$9,$V443&lt;='01_Settings'!$B$10,$W443&lt;='01_Settings'!$B$11),"On track","Off track"))</f>
        <v/>
      </c>
      <c r="AM443" s="42">
        <f>IF($A443="","",IF($AD443&lt;'01_Settings'!$B$9,"Low completion rate; ","")&amp;IF($AE443&gt;'01_Settings'!$B$12,"High overdue rate; ","")&amp;IF($U443&lt;'01_Settings'!$B$13,"Low satisfaction; ","")&amp;IF($AH443&lt;'01_Settings'!$B$14,"Low gross margin; ","")&amp;IF($AJ443&lt;'01_Settings'!$B$15,"Low conversion rate; ","")&amp;IF($AK443&gt;'01_Settings'!$B$16,"High complaint rate; ",""))</f>
        <v/>
      </c>
    </row>
    <row r="444" ht="18" customHeight="1">
      <c r="A444" s="86" t="n"/>
      <c r="B444" s="26" t="n"/>
      <c r="C444" s="26" t="n"/>
      <c r="D444" s="26" t="n"/>
      <c r="E444" s="26" t="n"/>
      <c r="F444" s="26" t="n"/>
      <c r="G444" s="26" t="n"/>
      <c r="H444" s="26" t="n"/>
      <c r="I444" s="26" t="n"/>
      <c r="J444" s="87" t="n"/>
      <c r="K444" s="87" t="n"/>
      <c r="L444" s="87" t="n"/>
      <c r="M444" s="87" t="n"/>
      <c r="N444" s="88" t="n"/>
      <c r="O444" s="88" t="n"/>
      <c r="P444" s="89" t="n"/>
      <c r="Q444" s="87" t="n"/>
      <c r="R444" s="87" t="n"/>
      <c r="S444" s="87" t="n"/>
      <c r="T444" s="87" t="n"/>
      <c r="U444" s="89" t="n"/>
      <c r="V444" s="89" t="n"/>
      <c r="W444" s="89" t="n"/>
      <c r="X444" s="87" t="n"/>
      <c r="Y444" s="87" t="n"/>
      <c r="Z444" s="88" t="n"/>
      <c r="AA444" s="26" t="n"/>
      <c r="AB444" s="86">
        <f>IF($A444="","",$A444-WEEKDAY($A444,2)+1)</f>
        <v/>
      </c>
      <c r="AC444" s="86">
        <f>IF($A444="","",DATE(YEAR($A444),MONTH($A444),1))</f>
        <v/>
      </c>
      <c r="AD444" s="90">
        <f>IF($A444="","",IFERROR($K444/$J444,0))</f>
        <v/>
      </c>
      <c r="AE444" s="90">
        <f>IF($A444="","",IFERROR($L444/$J444,0))</f>
        <v/>
      </c>
      <c r="AF444" s="90">
        <f>IF($A444="","",IFERROR($M444/$J444,0))</f>
        <v/>
      </c>
      <c r="AG444" s="88">
        <f>IF($A444="","",$N444-$O444)</f>
        <v/>
      </c>
      <c r="AH444" s="90">
        <f>IF($A444="","",IFERROR($AG444/$N444,0))</f>
        <v/>
      </c>
      <c r="AI444" s="89">
        <f>IF($A444="","",IFERROR($K444/$P444,0))</f>
        <v/>
      </c>
      <c r="AJ444" s="90">
        <f>IF($A444="","",IFERROR($S444/$R444,0))</f>
        <v/>
      </c>
      <c r="AK444" s="90">
        <f>IF($A444="","",IFERROR($T444/$J444,0))</f>
        <v/>
      </c>
      <c r="AL444" s="26">
        <f>IF($A444="","",IF(AND($AD444&gt;='01_Settings'!$B$9,$V444&lt;='01_Settings'!$B$10,$W444&lt;='01_Settings'!$B$11),"On track","Off track"))</f>
        <v/>
      </c>
      <c r="AM444" s="42">
        <f>IF($A444="","",IF($AD444&lt;'01_Settings'!$B$9,"Low completion rate; ","")&amp;IF($AE444&gt;'01_Settings'!$B$12,"High overdue rate; ","")&amp;IF($U444&lt;'01_Settings'!$B$13,"Low satisfaction; ","")&amp;IF($AH444&lt;'01_Settings'!$B$14,"Low gross margin; ","")&amp;IF($AJ444&lt;'01_Settings'!$B$15,"Low conversion rate; ","")&amp;IF($AK444&gt;'01_Settings'!$B$16,"High complaint rate; ",""))</f>
        <v/>
      </c>
    </row>
    <row r="445" ht="18" customHeight="1">
      <c r="A445" s="86" t="n"/>
      <c r="B445" s="26" t="n"/>
      <c r="C445" s="26" t="n"/>
      <c r="D445" s="26" t="n"/>
      <c r="E445" s="26" t="n"/>
      <c r="F445" s="26" t="n"/>
      <c r="G445" s="26" t="n"/>
      <c r="H445" s="26" t="n"/>
      <c r="I445" s="26" t="n"/>
      <c r="J445" s="87" t="n"/>
      <c r="K445" s="87" t="n"/>
      <c r="L445" s="87" t="n"/>
      <c r="M445" s="87" t="n"/>
      <c r="N445" s="88" t="n"/>
      <c r="O445" s="88" t="n"/>
      <c r="P445" s="89" t="n"/>
      <c r="Q445" s="87" t="n"/>
      <c r="R445" s="87" t="n"/>
      <c r="S445" s="87" t="n"/>
      <c r="T445" s="87" t="n"/>
      <c r="U445" s="89" t="n"/>
      <c r="V445" s="89" t="n"/>
      <c r="W445" s="89" t="n"/>
      <c r="X445" s="87" t="n"/>
      <c r="Y445" s="87" t="n"/>
      <c r="Z445" s="88" t="n"/>
      <c r="AA445" s="26" t="n"/>
      <c r="AB445" s="86">
        <f>IF($A445="","",$A445-WEEKDAY($A445,2)+1)</f>
        <v/>
      </c>
      <c r="AC445" s="86">
        <f>IF($A445="","",DATE(YEAR($A445),MONTH($A445),1))</f>
        <v/>
      </c>
      <c r="AD445" s="90">
        <f>IF($A445="","",IFERROR($K445/$J445,0))</f>
        <v/>
      </c>
      <c r="AE445" s="90">
        <f>IF($A445="","",IFERROR($L445/$J445,0))</f>
        <v/>
      </c>
      <c r="AF445" s="90">
        <f>IF($A445="","",IFERROR($M445/$J445,0))</f>
        <v/>
      </c>
      <c r="AG445" s="88">
        <f>IF($A445="","",$N445-$O445)</f>
        <v/>
      </c>
      <c r="AH445" s="90">
        <f>IF($A445="","",IFERROR($AG445/$N445,0))</f>
        <v/>
      </c>
      <c r="AI445" s="89">
        <f>IF($A445="","",IFERROR($K445/$P445,0))</f>
        <v/>
      </c>
      <c r="AJ445" s="90">
        <f>IF($A445="","",IFERROR($S445/$R445,0))</f>
        <v/>
      </c>
      <c r="AK445" s="90">
        <f>IF($A445="","",IFERROR($T445/$J445,0))</f>
        <v/>
      </c>
      <c r="AL445" s="26">
        <f>IF($A445="","",IF(AND($AD445&gt;='01_Settings'!$B$9,$V445&lt;='01_Settings'!$B$10,$W445&lt;='01_Settings'!$B$11),"On track","Off track"))</f>
        <v/>
      </c>
      <c r="AM445" s="42">
        <f>IF($A445="","",IF($AD445&lt;'01_Settings'!$B$9,"Low completion rate; ","")&amp;IF($AE445&gt;'01_Settings'!$B$12,"High overdue rate; ","")&amp;IF($U445&lt;'01_Settings'!$B$13,"Low satisfaction; ","")&amp;IF($AH445&lt;'01_Settings'!$B$14,"Low gross margin; ","")&amp;IF($AJ445&lt;'01_Settings'!$B$15,"Low conversion rate; ","")&amp;IF($AK445&gt;'01_Settings'!$B$16,"High complaint rate; ",""))</f>
        <v/>
      </c>
    </row>
    <row r="446" ht="18" customHeight="1">
      <c r="A446" s="86" t="n"/>
      <c r="B446" s="26" t="n"/>
      <c r="C446" s="26" t="n"/>
      <c r="D446" s="26" t="n"/>
      <c r="E446" s="26" t="n"/>
      <c r="F446" s="26" t="n"/>
      <c r="G446" s="26" t="n"/>
      <c r="H446" s="26" t="n"/>
      <c r="I446" s="26" t="n"/>
      <c r="J446" s="87" t="n"/>
      <c r="K446" s="87" t="n"/>
      <c r="L446" s="87" t="n"/>
      <c r="M446" s="87" t="n"/>
      <c r="N446" s="88" t="n"/>
      <c r="O446" s="88" t="n"/>
      <c r="P446" s="89" t="n"/>
      <c r="Q446" s="87" t="n"/>
      <c r="R446" s="87" t="n"/>
      <c r="S446" s="87" t="n"/>
      <c r="T446" s="87" t="n"/>
      <c r="U446" s="89" t="n"/>
      <c r="V446" s="89" t="n"/>
      <c r="W446" s="89" t="n"/>
      <c r="X446" s="87" t="n"/>
      <c r="Y446" s="87" t="n"/>
      <c r="Z446" s="88" t="n"/>
      <c r="AA446" s="26" t="n"/>
      <c r="AB446" s="86">
        <f>IF($A446="","",$A446-WEEKDAY($A446,2)+1)</f>
        <v/>
      </c>
      <c r="AC446" s="86">
        <f>IF($A446="","",DATE(YEAR($A446),MONTH($A446),1))</f>
        <v/>
      </c>
      <c r="AD446" s="90">
        <f>IF($A446="","",IFERROR($K446/$J446,0))</f>
        <v/>
      </c>
      <c r="AE446" s="90">
        <f>IF($A446="","",IFERROR($L446/$J446,0))</f>
        <v/>
      </c>
      <c r="AF446" s="90">
        <f>IF($A446="","",IFERROR($M446/$J446,0))</f>
        <v/>
      </c>
      <c r="AG446" s="88">
        <f>IF($A446="","",$N446-$O446)</f>
        <v/>
      </c>
      <c r="AH446" s="90">
        <f>IF($A446="","",IFERROR($AG446/$N446,0))</f>
        <v/>
      </c>
      <c r="AI446" s="89">
        <f>IF($A446="","",IFERROR($K446/$P446,0))</f>
        <v/>
      </c>
      <c r="AJ446" s="90">
        <f>IF($A446="","",IFERROR($S446/$R446,0))</f>
        <v/>
      </c>
      <c r="AK446" s="90">
        <f>IF($A446="","",IFERROR($T446/$J446,0))</f>
        <v/>
      </c>
      <c r="AL446" s="26">
        <f>IF($A446="","",IF(AND($AD446&gt;='01_Settings'!$B$9,$V446&lt;='01_Settings'!$B$10,$W446&lt;='01_Settings'!$B$11),"On track","Off track"))</f>
        <v/>
      </c>
      <c r="AM446" s="42">
        <f>IF($A446="","",IF($AD446&lt;'01_Settings'!$B$9,"Low completion rate; ","")&amp;IF($AE446&gt;'01_Settings'!$B$12,"High overdue rate; ","")&amp;IF($U446&lt;'01_Settings'!$B$13,"Low satisfaction; ","")&amp;IF($AH446&lt;'01_Settings'!$B$14,"Low gross margin; ","")&amp;IF($AJ446&lt;'01_Settings'!$B$15,"Low conversion rate; ","")&amp;IF($AK446&gt;'01_Settings'!$B$16,"High complaint rate; ",""))</f>
        <v/>
      </c>
    </row>
    <row r="447" ht="18" customHeight="1">
      <c r="A447" s="86" t="n"/>
      <c r="B447" s="26" t="n"/>
      <c r="C447" s="26" t="n"/>
      <c r="D447" s="26" t="n"/>
      <c r="E447" s="26" t="n"/>
      <c r="F447" s="26" t="n"/>
      <c r="G447" s="26" t="n"/>
      <c r="H447" s="26" t="n"/>
      <c r="I447" s="26" t="n"/>
      <c r="J447" s="87" t="n"/>
      <c r="K447" s="87" t="n"/>
      <c r="L447" s="87" t="n"/>
      <c r="M447" s="87" t="n"/>
      <c r="N447" s="88" t="n"/>
      <c r="O447" s="88" t="n"/>
      <c r="P447" s="89" t="n"/>
      <c r="Q447" s="87" t="n"/>
      <c r="R447" s="87" t="n"/>
      <c r="S447" s="87" t="n"/>
      <c r="T447" s="87" t="n"/>
      <c r="U447" s="89" t="n"/>
      <c r="V447" s="89" t="n"/>
      <c r="W447" s="89" t="n"/>
      <c r="X447" s="87" t="n"/>
      <c r="Y447" s="87" t="n"/>
      <c r="Z447" s="88" t="n"/>
      <c r="AA447" s="26" t="n"/>
      <c r="AB447" s="86">
        <f>IF($A447="","",$A447-WEEKDAY($A447,2)+1)</f>
        <v/>
      </c>
      <c r="AC447" s="86">
        <f>IF($A447="","",DATE(YEAR($A447),MONTH($A447),1))</f>
        <v/>
      </c>
      <c r="AD447" s="90">
        <f>IF($A447="","",IFERROR($K447/$J447,0))</f>
        <v/>
      </c>
      <c r="AE447" s="90">
        <f>IF($A447="","",IFERROR($L447/$J447,0))</f>
        <v/>
      </c>
      <c r="AF447" s="90">
        <f>IF($A447="","",IFERROR($M447/$J447,0))</f>
        <v/>
      </c>
      <c r="AG447" s="88">
        <f>IF($A447="","",$N447-$O447)</f>
        <v/>
      </c>
      <c r="AH447" s="90">
        <f>IF($A447="","",IFERROR($AG447/$N447,0))</f>
        <v/>
      </c>
      <c r="AI447" s="89">
        <f>IF($A447="","",IFERROR($K447/$P447,0))</f>
        <v/>
      </c>
      <c r="AJ447" s="90">
        <f>IF($A447="","",IFERROR($S447/$R447,0))</f>
        <v/>
      </c>
      <c r="AK447" s="90">
        <f>IF($A447="","",IFERROR($T447/$J447,0))</f>
        <v/>
      </c>
      <c r="AL447" s="26">
        <f>IF($A447="","",IF(AND($AD447&gt;='01_Settings'!$B$9,$V447&lt;='01_Settings'!$B$10,$W447&lt;='01_Settings'!$B$11),"On track","Off track"))</f>
        <v/>
      </c>
      <c r="AM447" s="42">
        <f>IF($A447="","",IF($AD447&lt;'01_Settings'!$B$9,"Low completion rate; ","")&amp;IF($AE447&gt;'01_Settings'!$B$12,"High overdue rate; ","")&amp;IF($U447&lt;'01_Settings'!$B$13,"Low satisfaction; ","")&amp;IF($AH447&lt;'01_Settings'!$B$14,"Low gross margin; ","")&amp;IF($AJ447&lt;'01_Settings'!$B$15,"Low conversion rate; ","")&amp;IF($AK447&gt;'01_Settings'!$B$16,"High complaint rate; ",""))</f>
        <v/>
      </c>
    </row>
    <row r="448" ht="18" customHeight="1">
      <c r="A448" s="86" t="n"/>
      <c r="B448" s="26" t="n"/>
      <c r="C448" s="26" t="n"/>
      <c r="D448" s="26" t="n"/>
      <c r="E448" s="26" t="n"/>
      <c r="F448" s="26" t="n"/>
      <c r="G448" s="26" t="n"/>
      <c r="H448" s="26" t="n"/>
      <c r="I448" s="26" t="n"/>
      <c r="J448" s="87" t="n"/>
      <c r="K448" s="87" t="n"/>
      <c r="L448" s="87" t="n"/>
      <c r="M448" s="87" t="n"/>
      <c r="N448" s="88" t="n"/>
      <c r="O448" s="88" t="n"/>
      <c r="P448" s="89" t="n"/>
      <c r="Q448" s="87" t="n"/>
      <c r="R448" s="87" t="n"/>
      <c r="S448" s="87" t="n"/>
      <c r="T448" s="87" t="n"/>
      <c r="U448" s="89" t="n"/>
      <c r="V448" s="89" t="n"/>
      <c r="W448" s="89" t="n"/>
      <c r="X448" s="87" t="n"/>
      <c r="Y448" s="87" t="n"/>
      <c r="Z448" s="88" t="n"/>
      <c r="AA448" s="26" t="n"/>
      <c r="AB448" s="86">
        <f>IF($A448="","",$A448-WEEKDAY($A448,2)+1)</f>
        <v/>
      </c>
      <c r="AC448" s="86">
        <f>IF($A448="","",DATE(YEAR($A448),MONTH($A448),1))</f>
        <v/>
      </c>
      <c r="AD448" s="90">
        <f>IF($A448="","",IFERROR($K448/$J448,0))</f>
        <v/>
      </c>
      <c r="AE448" s="90">
        <f>IF($A448="","",IFERROR($L448/$J448,0))</f>
        <v/>
      </c>
      <c r="AF448" s="90">
        <f>IF($A448="","",IFERROR($M448/$J448,0))</f>
        <v/>
      </c>
      <c r="AG448" s="88">
        <f>IF($A448="","",$N448-$O448)</f>
        <v/>
      </c>
      <c r="AH448" s="90">
        <f>IF($A448="","",IFERROR($AG448/$N448,0))</f>
        <v/>
      </c>
      <c r="AI448" s="89">
        <f>IF($A448="","",IFERROR($K448/$P448,0))</f>
        <v/>
      </c>
      <c r="AJ448" s="90">
        <f>IF($A448="","",IFERROR($S448/$R448,0))</f>
        <v/>
      </c>
      <c r="AK448" s="90">
        <f>IF($A448="","",IFERROR($T448/$J448,0))</f>
        <v/>
      </c>
      <c r="AL448" s="26">
        <f>IF($A448="","",IF(AND($AD448&gt;='01_Settings'!$B$9,$V448&lt;='01_Settings'!$B$10,$W448&lt;='01_Settings'!$B$11),"On track","Off track"))</f>
        <v/>
      </c>
      <c r="AM448" s="42">
        <f>IF($A448="","",IF($AD448&lt;'01_Settings'!$B$9,"Low completion rate; ","")&amp;IF($AE448&gt;'01_Settings'!$B$12,"High overdue rate; ","")&amp;IF($U448&lt;'01_Settings'!$B$13,"Low satisfaction; ","")&amp;IF($AH448&lt;'01_Settings'!$B$14,"Low gross margin; ","")&amp;IF($AJ448&lt;'01_Settings'!$B$15,"Low conversion rate; ","")&amp;IF($AK448&gt;'01_Settings'!$B$16,"High complaint rate; ",""))</f>
        <v/>
      </c>
    </row>
    <row r="449" ht="18" customHeight="1">
      <c r="A449" s="86" t="n"/>
      <c r="B449" s="26" t="n"/>
      <c r="C449" s="26" t="n"/>
      <c r="D449" s="26" t="n"/>
      <c r="E449" s="26" t="n"/>
      <c r="F449" s="26" t="n"/>
      <c r="G449" s="26" t="n"/>
      <c r="H449" s="26" t="n"/>
      <c r="I449" s="26" t="n"/>
      <c r="J449" s="87" t="n"/>
      <c r="K449" s="87" t="n"/>
      <c r="L449" s="87" t="n"/>
      <c r="M449" s="87" t="n"/>
      <c r="N449" s="88" t="n"/>
      <c r="O449" s="88" t="n"/>
      <c r="P449" s="89" t="n"/>
      <c r="Q449" s="87" t="n"/>
      <c r="R449" s="87" t="n"/>
      <c r="S449" s="87" t="n"/>
      <c r="T449" s="87" t="n"/>
      <c r="U449" s="89" t="n"/>
      <c r="V449" s="89" t="n"/>
      <c r="W449" s="89" t="n"/>
      <c r="X449" s="87" t="n"/>
      <c r="Y449" s="87" t="n"/>
      <c r="Z449" s="88" t="n"/>
      <c r="AA449" s="26" t="n"/>
      <c r="AB449" s="86">
        <f>IF($A449="","",$A449-WEEKDAY($A449,2)+1)</f>
        <v/>
      </c>
      <c r="AC449" s="86">
        <f>IF($A449="","",DATE(YEAR($A449),MONTH($A449),1))</f>
        <v/>
      </c>
      <c r="AD449" s="90">
        <f>IF($A449="","",IFERROR($K449/$J449,0))</f>
        <v/>
      </c>
      <c r="AE449" s="90">
        <f>IF($A449="","",IFERROR($L449/$J449,0))</f>
        <v/>
      </c>
      <c r="AF449" s="90">
        <f>IF($A449="","",IFERROR($M449/$J449,0))</f>
        <v/>
      </c>
      <c r="AG449" s="88">
        <f>IF($A449="","",$N449-$O449)</f>
        <v/>
      </c>
      <c r="AH449" s="90">
        <f>IF($A449="","",IFERROR($AG449/$N449,0))</f>
        <v/>
      </c>
      <c r="AI449" s="89">
        <f>IF($A449="","",IFERROR($K449/$P449,0))</f>
        <v/>
      </c>
      <c r="AJ449" s="90">
        <f>IF($A449="","",IFERROR($S449/$R449,0))</f>
        <v/>
      </c>
      <c r="AK449" s="90">
        <f>IF($A449="","",IFERROR($T449/$J449,0))</f>
        <v/>
      </c>
      <c r="AL449" s="26">
        <f>IF($A449="","",IF(AND($AD449&gt;='01_Settings'!$B$9,$V449&lt;='01_Settings'!$B$10,$W449&lt;='01_Settings'!$B$11),"On track","Off track"))</f>
        <v/>
      </c>
      <c r="AM449" s="42">
        <f>IF($A449="","",IF($AD449&lt;'01_Settings'!$B$9,"Low completion rate; ","")&amp;IF($AE449&gt;'01_Settings'!$B$12,"High overdue rate; ","")&amp;IF($U449&lt;'01_Settings'!$B$13,"Low satisfaction; ","")&amp;IF($AH449&lt;'01_Settings'!$B$14,"Low gross margin; ","")&amp;IF($AJ449&lt;'01_Settings'!$B$15,"Low conversion rate; ","")&amp;IF($AK449&gt;'01_Settings'!$B$16,"High complaint rate; ",""))</f>
        <v/>
      </c>
    </row>
    <row r="450" ht="18" customHeight="1">
      <c r="A450" s="86" t="n"/>
      <c r="B450" s="26" t="n"/>
      <c r="C450" s="26" t="n"/>
      <c r="D450" s="26" t="n"/>
      <c r="E450" s="26" t="n"/>
      <c r="F450" s="26" t="n"/>
      <c r="G450" s="26" t="n"/>
      <c r="H450" s="26" t="n"/>
      <c r="I450" s="26" t="n"/>
      <c r="J450" s="87" t="n"/>
      <c r="K450" s="87" t="n"/>
      <c r="L450" s="87" t="n"/>
      <c r="M450" s="87" t="n"/>
      <c r="N450" s="88" t="n"/>
      <c r="O450" s="88" t="n"/>
      <c r="P450" s="89" t="n"/>
      <c r="Q450" s="87" t="n"/>
      <c r="R450" s="87" t="n"/>
      <c r="S450" s="87" t="n"/>
      <c r="T450" s="87" t="n"/>
      <c r="U450" s="89" t="n"/>
      <c r="V450" s="89" t="n"/>
      <c r="W450" s="89" t="n"/>
      <c r="X450" s="87" t="n"/>
      <c r="Y450" s="87" t="n"/>
      <c r="Z450" s="88" t="n"/>
      <c r="AA450" s="26" t="n"/>
      <c r="AB450" s="86">
        <f>IF($A450="","",$A450-WEEKDAY($A450,2)+1)</f>
        <v/>
      </c>
      <c r="AC450" s="86">
        <f>IF($A450="","",DATE(YEAR($A450),MONTH($A450),1))</f>
        <v/>
      </c>
      <c r="AD450" s="90">
        <f>IF($A450="","",IFERROR($K450/$J450,0))</f>
        <v/>
      </c>
      <c r="AE450" s="90">
        <f>IF($A450="","",IFERROR($L450/$J450,0))</f>
        <v/>
      </c>
      <c r="AF450" s="90">
        <f>IF($A450="","",IFERROR($M450/$J450,0))</f>
        <v/>
      </c>
      <c r="AG450" s="88">
        <f>IF($A450="","",$N450-$O450)</f>
        <v/>
      </c>
      <c r="AH450" s="90">
        <f>IF($A450="","",IFERROR($AG450/$N450,0))</f>
        <v/>
      </c>
      <c r="AI450" s="89">
        <f>IF($A450="","",IFERROR($K450/$P450,0))</f>
        <v/>
      </c>
      <c r="AJ450" s="90">
        <f>IF($A450="","",IFERROR($S450/$R450,0))</f>
        <v/>
      </c>
      <c r="AK450" s="90">
        <f>IF($A450="","",IFERROR($T450/$J450,0))</f>
        <v/>
      </c>
      <c r="AL450" s="26">
        <f>IF($A450="","",IF(AND($AD450&gt;='01_Settings'!$B$9,$V450&lt;='01_Settings'!$B$10,$W450&lt;='01_Settings'!$B$11),"On track","Off track"))</f>
        <v/>
      </c>
      <c r="AM450" s="42">
        <f>IF($A450="","",IF($AD450&lt;'01_Settings'!$B$9,"Low completion rate; ","")&amp;IF($AE450&gt;'01_Settings'!$B$12,"High overdue rate; ","")&amp;IF($U450&lt;'01_Settings'!$B$13,"Low satisfaction; ","")&amp;IF($AH450&lt;'01_Settings'!$B$14,"Low gross margin; ","")&amp;IF($AJ450&lt;'01_Settings'!$B$15,"Low conversion rate; ","")&amp;IF($AK450&gt;'01_Settings'!$B$16,"High complaint rate; ",""))</f>
        <v/>
      </c>
    </row>
    <row r="451" ht="18" customHeight="1">
      <c r="A451" s="86" t="n"/>
      <c r="B451" s="26" t="n"/>
      <c r="C451" s="26" t="n"/>
      <c r="D451" s="26" t="n"/>
      <c r="E451" s="26" t="n"/>
      <c r="F451" s="26" t="n"/>
      <c r="G451" s="26" t="n"/>
      <c r="H451" s="26" t="n"/>
      <c r="I451" s="26" t="n"/>
      <c r="J451" s="87" t="n"/>
      <c r="K451" s="87" t="n"/>
      <c r="L451" s="87" t="n"/>
      <c r="M451" s="87" t="n"/>
      <c r="N451" s="88" t="n"/>
      <c r="O451" s="88" t="n"/>
      <c r="P451" s="89" t="n"/>
      <c r="Q451" s="87" t="n"/>
      <c r="R451" s="87" t="n"/>
      <c r="S451" s="87" t="n"/>
      <c r="T451" s="87" t="n"/>
      <c r="U451" s="89" t="n"/>
      <c r="V451" s="89" t="n"/>
      <c r="W451" s="89" t="n"/>
      <c r="X451" s="87" t="n"/>
      <c r="Y451" s="87" t="n"/>
      <c r="Z451" s="88" t="n"/>
      <c r="AA451" s="26" t="n"/>
      <c r="AB451" s="86">
        <f>IF($A451="","",$A451-WEEKDAY($A451,2)+1)</f>
        <v/>
      </c>
      <c r="AC451" s="86">
        <f>IF($A451="","",DATE(YEAR($A451),MONTH($A451),1))</f>
        <v/>
      </c>
      <c r="AD451" s="90">
        <f>IF($A451="","",IFERROR($K451/$J451,0))</f>
        <v/>
      </c>
      <c r="AE451" s="90">
        <f>IF($A451="","",IFERROR($L451/$J451,0))</f>
        <v/>
      </c>
      <c r="AF451" s="90">
        <f>IF($A451="","",IFERROR($M451/$J451,0))</f>
        <v/>
      </c>
      <c r="AG451" s="88">
        <f>IF($A451="","",$N451-$O451)</f>
        <v/>
      </c>
      <c r="AH451" s="90">
        <f>IF($A451="","",IFERROR($AG451/$N451,0))</f>
        <v/>
      </c>
      <c r="AI451" s="89">
        <f>IF($A451="","",IFERROR($K451/$P451,0))</f>
        <v/>
      </c>
      <c r="AJ451" s="90">
        <f>IF($A451="","",IFERROR($S451/$R451,0))</f>
        <v/>
      </c>
      <c r="AK451" s="90">
        <f>IF($A451="","",IFERROR($T451/$J451,0))</f>
        <v/>
      </c>
      <c r="AL451" s="26">
        <f>IF($A451="","",IF(AND($AD451&gt;='01_Settings'!$B$9,$V451&lt;='01_Settings'!$B$10,$W451&lt;='01_Settings'!$B$11),"On track","Off track"))</f>
        <v/>
      </c>
      <c r="AM451" s="42">
        <f>IF($A451="","",IF($AD451&lt;'01_Settings'!$B$9,"Low completion rate; ","")&amp;IF($AE451&gt;'01_Settings'!$B$12,"High overdue rate; ","")&amp;IF($U451&lt;'01_Settings'!$B$13,"Low satisfaction; ","")&amp;IF($AH451&lt;'01_Settings'!$B$14,"Low gross margin; ","")&amp;IF($AJ451&lt;'01_Settings'!$B$15,"Low conversion rate; ","")&amp;IF($AK451&gt;'01_Settings'!$B$16,"High complaint rate; ",""))</f>
        <v/>
      </c>
    </row>
    <row r="452" ht="18" customHeight="1">
      <c r="A452" s="86" t="n"/>
      <c r="B452" s="26" t="n"/>
      <c r="C452" s="26" t="n"/>
      <c r="D452" s="26" t="n"/>
      <c r="E452" s="26" t="n"/>
      <c r="F452" s="26" t="n"/>
      <c r="G452" s="26" t="n"/>
      <c r="H452" s="26" t="n"/>
      <c r="I452" s="26" t="n"/>
      <c r="J452" s="87" t="n"/>
      <c r="K452" s="87" t="n"/>
      <c r="L452" s="87" t="n"/>
      <c r="M452" s="87" t="n"/>
      <c r="N452" s="88" t="n"/>
      <c r="O452" s="88" t="n"/>
      <c r="P452" s="89" t="n"/>
      <c r="Q452" s="87" t="n"/>
      <c r="R452" s="87" t="n"/>
      <c r="S452" s="87" t="n"/>
      <c r="T452" s="87" t="n"/>
      <c r="U452" s="89" t="n"/>
      <c r="V452" s="89" t="n"/>
      <c r="W452" s="89" t="n"/>
      <c r="X452" s="87" t="n"/>
      <c r="Y452" s="87" t="n"/>
      <c r="Z452" s="88" t="n"/>
      <c r="AA452" s="26" t="n"/>
      <c r="AB452" s="86">
        <f>IF($A452="","",$A452-WEEKDAY($A452,2)+1)</f>
        <v/>
      </c>
      <c r="AC452" s="86">
        <f>IF($A452="","",DATE(YEAR($A452),MONTH($A452),1))</f>
        <v/>
      </c>
      <c r="AD452" s="90">
        <f>IF($A452="","",IFERROR($K452/$J452,0))</f>
        <v/>
      </c>
      <c r="AE452" s="90">
        <f>IF($A452="","",IFERROR($L452/$J452,0))</f>
        <v/>
      </c>
      <c r="AF452" s="90">
        <f>IF($A452="","",IFERROR($M452/$J452,0))</f>
        <v/>
      </c>
      <c r="AG452" s="88">
        <f>IF($A452="","",$N452-$O452)</f>
        <v/>
      </c>
      <c r="AH452" s="90">
        <f>IF($A452="","",IFERROR($AG452/$N452,0))</f>
        <v/>
      </c>
      <c r="AI452" s="89">
        <f>IF($A452="","",IFERROR($K452/$P452,0))</f>
        <v/>
      </c>
      <c r="AJ452" s="90">
        <f>IF($A452="","",IFERROR($S452/$R452,0))</f>
        <v/>
      </c>
      <c r="AK452" s="90">
        <f>IF($A452="","",IFERROR($T452/$J452,0))</f>
        <v/>
      </c>
      <c r="AL452" s="26">
        <f>IF($A452="","",IF(AND($AD452&gt;='01_Settings'!$B$9,$V452&lt;='01_Settings'!$B$10,$W452&lt;='01_Settings'!$B$11),"On track","Off track"))</f>
        <v/>
      </c>
      <c r="AM452" s="42">
        <f>IF($A452="","",IF($AD452&lt;'01_Settings'!$B$9,"Low completion rate; ","")&amp;IF($AE452&gt;'01_Settings'!$B$12,"High overdue rate; ","")&amp;IF($U452&lt;'01_Settings'!$B$13,"Low satisfaction; ","")&amp;IF($AH452&lt;'01_Settings'!$B$14,"Low gross margin; ","")&amp;IF($AJ452&lt;'01_Settings'!$B$15,"Low conversion rate; ","")&amp;IF($AK452&gt;'01_Settings'!$B$16,"High complaint rate; ",""))</f>
        <v/>
      </c>
    </row>
    <row r="453" ht="18" customHeight="1">
      <c r="A453" s="86" t="n"/>
      <c r="B453" s="26" t="n"/>
      <c r="C453" s="26" t="n"/>
      <c r="D453" s="26" t="n"/>
      <c r="E453" s="26" t="n"/>
      <c r="F453" s="26" t="n"/>
      <c r="G453" s="26" t="n"/>
      <c r="H453" s="26" t="n"/>
      <c r="I453" s="26" t="n"/>
      <c r="J453" s="87" t="n"/>
      <c r="K453" s="87" t="n"/>
      <c r="L453" s="87" t="n"/>
      <c r="M453" s="87" t="n"/>
      <c r="N453" s="88" t="n"/>
      <c r="O453" s="88" t="n"/>
      <c r="P453" s="89" t="n"/>
      <c r="Q453" s="87" t="n"/>
      <c r="R453" s="87" t="n"/>
      <c r="S453" s="87" t="n"/>
      <c r="T453" s="87" t="n"/>
      <c r="U453" s="89" t="n"/>
      <c r="V453" s="89" t="n"/>
      <c r="W453" s="89" t="n"/>
      <c r="X453" s="87" t="n"/>
      <c r="Y453" s="87" t="n"/>
      <c r="Z453" s="88" t="n"/>
      <c r="AA453" s="26" t="n"/>
      <c r="AB453" s="86">
        <f>IF($A453="","",$A453-WEEKDAY($A453,2)+1)</f>
        <v/>
      </c>
      <c r="AC453" s="86">
        <f>IF($A453="","",DATE(YEAR($A453),MONTH($A453),1))</f>
        <v/>
      </c>
      <c r="AD453" s="90">
        <f>IF($A453="","",IFERROR($K453/$J453,0))</f>
        <v/>
      </c>
      <c r="AE453" s="90">
        <f>IF($A453="","",IFERROR($L453/$J453,0))</f>
        <v/>
      </c>
      <c r="AF453" s="90">
        <f>IF($A453="","",IFERROR($M453/$J453,0))</f>
        <v/>
      </c>
      <c r="AG453" s="88">
        <f>IF($A453="","",$N453-$O453)</f>
        <v/>
      </c>
      <c r="AH453" s="90">
        <f>IF($A453="","",IFERROR($AG453/$N453,0))</f>
        <v/>
      </c>
      <c r="AI453" s="89">
        <f>IF($A453="","",IFERROR($K453/$P453,0))</f>
        <v/>
      </c>
      <c r="AJ453" s="90">
        <f>IF($A453="","",IFERROR($S453/$R453,0))</f>
        <v/>
      </c>
      <c r="AK453" s="90">
        <f>IF($A453="","",IFERROR($T453/$J453,0))</f>
        <v/>
      </c>
      <c r="AL453" s="26">
        <f>IF($A453="","",IF(AND($AD453&gt;='01_Settings'!$B$9,$V453&lt;='01_Settings'!$B$10,$W453&lt;='01_Settings'!$B$11),"On track","Off track"))</f>
        <v/>
      </c>
      <c r="AM453" s="42">
        <f>IF($A453="","",IF($AD453&lt;'01_Settings'!$B$9,"Low completion rate; ","")&amp;IF($AE453&gt;'01_Settings'!$B$12,"High overdue rate; ","")&amp;IF($U453&lt;'01_Settings'!$B$13,"Low satisfaction; ","")&amp;IF($AH453&lt;'01_Settings'!$B$14,"Low gross margin; ","")&amp;IF($AJ453&lt;'01_Settings'!$B$15,"Low conversion rate; ","")&amp;IF($AK453&gt;'01_Settings'!$B$16,"High complaint rate; ",""))</f>
        <v/>
      </c>
    </row>
    <row r="454" ht="18" customHeight="1">
      <c r="A454" s="86" t="n"/>
      <c r="B454" s="26" t="n"/>
      <c r="C454" s="26" t="n"/>
      <c r="D454" s="26" t="n"/>
      <c r="E454" s="26" t="n"/>
      <c r="F454" s="26" t="n"/>
      <c r="G454" s="26" t="n"/>
      <c r="H454" s="26" t="n"/>
      <c r="I454" s="26" t="n"/>
      <c r="J454" s="87" t="n"/>
      <c r="K454" s="87" t="n"/>
      <c r="L454" s="87" t="n"/>
      <c r="M454" s="87" t="n"/>
      <c r="N454" s="88" t="n"/>
      <c r="O454" s="88" t="n"/>
      <c r="P454" s="89" t="n"/>
      <c r="Q454" s="87" t="n"/>
      <c r="R454" s="87" t="n"/>
      <c r="S454" s="87" t="n"/>
      <c r="T454" s="87" t="n"/>
      <c r="U454" s="89" t="n"/>
      <c r="V454" s="89" t="n"/>
      <c r="W454" s="89" t="n"/>
      <c r="X454" s="87" t="n"/>
      <c r="Y454" s="87" t="n"/>
      <c r="Z454" s="88" t="n"/>
      <c r="AA454" s="26" t="n"/>
      <c r="AB454" s="86">
        <f>IF($A454="","",$A454-WEEKDAY($A454,2)+1)</f>
        <v/>
      </c>
      <c r="AC454" s="86">
        <f>IF($A454="","",DATE(YEAR($A454),MONTH($A454),1))</f>
        <v/>
      </c>
      <c r="AD454" s="90">
        <f>IF($A454="","",IFERROR($K454/$J454,0))</f>
        <v/>
      </c>
      <c r="AE454" s="90">
        <f>IF($A454="","",IFERROR($L454/$J454,0))</f>
        <v/>
      </c>
      <c r="AF454" s="90">
        <f>IF($A454="","",IFERROR($M454/$J454,0))</f>
        <v/>
      </c>
      <c r="AG454" s="88">
        <f>IF($A454="","",$N454-$O454)</f>
        <v/>
      </c>
      <c r="AH454" s="90">
        <f>IF($A454="","",IFERROR($AG454/$N454,0))</f>
        <v/>
      </c>
      <c r="AI454" s="89">
        <f>IF($A454="","",IFERROR($K454/$P454,0))</f>
        <v/>
      </c>
      <c r="AJ454" s="90">
        <f>IF($A454="","",IFERROR($S454/$R454,0))</f>
        <v/>
      </c>
      <c r="AK454" s="90">
        <f>IF($A454="","",IFERROR($T454/$J454,0))</f>
        <v/>
      </c>
      <c r="AL454" s="26">
        <f>IF($A454="","",IF(AND($AD454&gt;='01_Settings'!$B$9,$V454&lt;='01_Settings'!$B$10,$W454&lt;='01_Settings'!$B$11),"On track","Off track"))</f>
        <v/>
      </c>
      <c r="AM454" s="42">
        <f>IF($A454="","",IF($AD454&lt;'01_Settings'!$B$9,"Low completion rate; ","")&amp;IF($AE454&gt;'01_Settings'!$B$12,"High overdue rate; ","")&amp;IF($U454&lt;'01_Settings'!$B$13,"Low satisfaction; ","")&amp;IF($AH454&lt;'01_Settings'!$B$14,"Low gross margin; ","")&amp;IF($AJ454&lt;'01_Settings'!$B$15,"Low conversion rate; ","")&amp;IF($AK454&gt;'01_Settings'!$B$16,"High complaint rate; ",""))</f>
        <v/>
      </c>
    </row>
    <row r="455" ht="18" customHeight="1">
      <c r="A455" s="86" t="n"/>
      <c r="B455" s="26" t="n"/>
      <c r="C455" s="26" t="n"/>
      <c r="D455" s="26" t="n"/>
      <c r="E455" s="26" t="n"/>
      <c r="F455" s="26" t="n"/>
      <c r="G455" s="26" t="n"/>
      <c r="H455" s="26" t="n"/>
      <c r="I455" s="26" t="n"/>
      <c r="J455" s="87" t="n"/>
      <c r="K455" s="87" t="n"/>
      <c r="L455" s="87" t="n"/>
      <c r="M455" s="87" t="n"/>
      <c r="N455" s="88" t="n"/>
      <c r="O455" s="88" t="n"/>
      <c r="P455" s="89" t="n"/>
      <c r="Q455" s="87" t="n"/>
      <c r="R455" s="87" t="n"/>
      <c r="S455" s="87" t="n"/>
      <c r="T455" s="87" t="n"/>
      <c r="U455" s="89" t="n"/>
      <c r="V455" s="89" t="n"/>
      <c r="W455" s="89" t="n"/>
      <c r="X455" s="87" t="n"/>
      <c r="Y455" s="87" t="n"/>
      <c r="Z455" s="88" t="n"/>
      <c r="AA455" s="26" t="n"/>
      <c r="AB455" s="86">
        <f>IF($A455="","",$A455-WEEKDAY($A455,2)+1)</f>
        <v/>
      </c>
      <c r="AC455" s="86">
        <f>IF($A455="","",DATE(YEAR($A455),MONTH($A455),1))</f>
        <v/>
      </c>
      <c r="AD455" s="90">
        <f>IF($A455="","",IFERROR($K455/$J455,0))</f>
        <v/>
      </c>
      <c r="AE455" s="90">
        <f>IF($A455="","",IFERROR($L455/$J455,0))</f>
        <v/>
      </c>
      <c r="AF455" s="90">
        <f>IF($A455="","",IFERROR($M455/$J455,0))</f>
        <v/>
      </c>
      <c r="AG455" s="88">
        <f>IF($A455="","",$N455-$O455)</f>
        <v/>
      </c>
      <c r="AH455" s="90">
        <f>IF($A455="","",IFERROR($AG455/$N455,0))</f>
        <v/>
      </c>
      <c r="AI455" s="89">
        <f>IF($A455="","",IFERROR($K455/$P455,0))</f>
        <v/>
      </c>
      <c r="AJ455" s="90">
        <f>IF($A455="","",IFERROR($S455/$R455,0))</f>
        <v/>
      </c>
      <c r="AK455" s="90">
        <f>IF($A455="","",IFERROR($T455/$J455,0))</f>
        <v/>
      </c>
      <c r="AL455" s="26">
        <f>IF($A455="","",IF(AND($AD455&gt;='01_Settings'!$B$9,$V455&lt;='01_Settings'!$B$10,$W455&lt;='01_Settings'!$B$11),"On track","Off track"))</f>
        <v/>
      </c>
      <c r="AM455" s="42">
        <f>IF($A455="","",IF($AD455&lt;'01_Settings'!$B$9,"Low completion rate; ","")&amp;IF($AE455&gt;'01_Settings'!$B$12,"High overdue rate; ","")&amp;IF($U455&lt;'01_Settings'!$B$13,"Low satisfaction; ","")&amp;IF($AH455&lt;'01_Settings'!$B$14,"Low gross margin; ","")&amp;IF($AJ455&lt;'01_Settings'!$B$15,"Low conversion rate; ","")&amp;IF($AK455&gt;'01_Settings'!$B$16,"High complaint rate; ",""))</f>
        <v/>
      </c>
    </row>
    <row r="456" ht="18" customHeight="1">
      <c r="A456" s="86" t="n"/>
      <c r="B456" s="26" t="n"/>
      <c r="C456" s="26" t="n"/>
      <c r="D456" s="26" t="n"/>
      <c r="E456" s="26" t="n"/>
      <c r="F456" s="26" t="n"/>
      <c r="G456" s="26" t="n"/>
      <c r="H456" s="26" t="n"/>
      <c r="I456" s="26" t="n"/>
      <c r="J456" s="87" t="n"/>
      <c r="K456" s="87" t="n"/>
      <c r="L456" s="87" t="n"/>
      <c r="M456" s="87" t="n"/>
      <c r="N456" s="88" t="n"/>
      <c r="O456" s="88" t="n"/>
      <c r="P456" s="89" t="n"/>
      <c r="Q456" s="87" t="n"/>
      <c r="R456" s="87" t="n"/>
      <c r="S456" s="87" t="n"/>
      <c r="T456" s="87" t="n"/>
      <c r="U456" s="89" t="n"/>
      <c r="V456" s="89" t="n"/>
      <c r="W456" s="89" t="n"/>
      <c r="X456" s="87" t="n"/>
      <c r="Y456" s="87" t="n"/>
      <c r="Z456" s="88" t="n"/>
      <c r="AA456" s="26" t="n"/>
      <c r="AB456" s="86">
        <f>IF($A456="","",$A456-WEEKDAY($A456,2)+1)</f>
        <v/>
      </c>
      <c r="AC456" s="86">
        <f>IF($A456="","",DATE(YEAR($A456),MONTH($A456),1))</f>
        <v/>
      </c>
      <c r="AD456" s="90">
        <f>IF($A456="","",IFERROR($K456/$J456,0))</f>
        <v/>
      </c>
      <c r="AE456" s="90">
        <f>IF($A456="","",IFERROR($L456/$J456,0))</f>
        <v/>
      </c>
      <c r="AF456" s="90">
        <f>IF($A456="","",IFERROR($M456/$J456,0))</f>
        <v/>
      </c>
      <c r="AG456" s="88">
        <f>IF($A456="","",$N456-$O456)</f>
        <v/>
      </c>
      <c r="AH456" s="90">
        <f>IF($A456="","",IFERROR($AG456/$N456,0))</f>
        <v/>
      </c>
      <c r="AI456" s="89">
        <f>IF($A456="","",IFERROR($K456/$P456,0))</f>
        <v/>
      </c>
      <c r="AJ456" s="90">
        <f>IF($A456="","",IFERROR($S456/$R456,0))</f>
        <v/>
      </c>
      <c r="AK456" s="90">
        <f>IF($A456="","",IFERROR($T456/$J456,0))</f>
        <v/>
      </c>
      <c r="AL456" s="26">
        <f>IF($A456="","",IF(AND($AD456&gt;='01_Settings'!$B$9,$V456&lt;='01_Settings'!$B$10,$W456&lt;='01_Settings'!$B$11),"On track","Off track"))</f>
        <v/>
      </c>
      <c r="AM456" s="42">
        <f>IF($A456="","",IF($AD456&lt;'01_Settings'!$B$9,"Low completion rate; ","")&amp;IF($AE456&gt;'01_Settings'!$B$12,"High overdue rate; ","")&amp;IF($U456&lt;'01_Settings'!$B$13,"Low satisfaction; ","")&amp;IF($AH456&lt;'01_Settings'!$B$14,"Low gross margin; ","")&amp;IF($AJ456&lt;'01_Settings'!$B$15,"Low conversion rate; ","")&amp;IF($AK456&gt;'01_Settings'!$B$16,"High complaint rate; ",""))</f>
        <v/>
      </c>
    </row>
    <row r="457" ht="18" customHeight="1">
      <c r="A457" s="86" t="n"/>
      <c r="B457" s="26" t="n"/>
      <c r="C457" s="26" t="n"/>
      <c r="D457" s="26" t="n"/>
      <c r="E457" s="26" t="n"/>
      <c r="F457" s="26" t="n"/>
      <c r="G457" s="26" t="n"/>
      <c r="H457" s="26" t="n"/>
      <c r="I457" s="26" t="n"/>
      <c r="J457" s="87" t="n"/>
      <c r="K457" s="87" t="n"/>
      <c r="L457" s="87" t="n"/>
      <c r="M457" s="87" t="n"/>
      <c r="N457" s="88" t="n"/>
      <c r="O457" s="88" t="n"/>
      <c r="P457" s="89" t="n"/>
      <c r="Q457" s="87" t="n"/>
      <c r="R457" s="87" t="n"/>
      <c r="S457" s="87" t="n"/>
      <c r="T457" s="87" t="n"/>
      <c r="U457" s="89" t="n"/>
      <c r="V457" s="89" t="n"/>
      <c r="W457" s="89" t="n"/>
      <c r="X457" s="87" t="n"/>
      <c r="Y457" s="87" t="n"/>
      <c r="Z457" s="88" t="n"/>
      <c r="AA457" s="26" t="n"/>
      <c r="AB457" s="86">
        <f>IF($A457="","",$A457-WEEKDAY($A457,2)+1)</f>
        <v/>
      </c>
      <c r="AC457" s="86">
        <f>IF($A457="","",DATE(YEAR($A457),MONTH($A457),1))</f>
        <v/>
      </c>
      <c r="AD457" s="90">
        <f>IF($A457="","",IFERROR($K457/$J457,0))</f>
        <v/>
      </c>
      <c r="AE457" s="90">
        <f>IF($A457="","",IFERROR($L457/$J457,0))</f>
        <v/>
      </c>
      <c r="AF457" s="90">
        <f>IF($A457="","",IFERROR($M457/$J457,0))</f>
        <v/>
      </c>
      <c r="AG457" s="88">
        <f>IF($A457="","",$N457-$O457)</f>
        <v/>
      </c>
      <c r="AH457" s="90">
        <f>IF($A457="","",IFERROR($AG457/$N457,0))</f>
        <v/>
      </c>
      <c r="AI457" s="89">
        <f>IF($A457="","",IFERROR($K457/$P457,0))</f>
        <v/>
      </c>
      <c r="AJ457" s="90">
        <f>IF($A457="","",IFERROR($S457/$R457,0))</f>
        <v/>
      </c>
      <c r="AK457" s="90">
        <f>IF($A457="","",IFERROR($T457/$J457,0))</f>
        <v/>
      </c>
      <c r="AL457" s="26">
        <f>IF($A457="","",IF(AND($AD457&gt;='01_Settings'!$B$9,$V457&lt;='01_Settings'!$B$10,$W457&lt;='01_Settings'!$B$11),"On track","Off track"))</f>
        <v/>
      </c>
      <c r="AM457" s="42">
        <f>IF($A457="","",IF($AD457&lt;'01_Settings'!$B$9,"Low completion rate; ","")&amp;IF($AE457&gt;'01_Settings'!$B$12,"High overdue rate; ","")&amp;IF($U457&lt;'01_Settings'!$B$13,"Low satisfaction; ","")&amp;IF($AH457&lt;'01_Settings'!$B$14,"Low gross margin; ","")&amp;IF($AJ457&lt;'01_Settings'!$B$15,"Low conversion rate; ","")&amp;IF($AK457&gt;'01_Settings'!$B$16,"High complaint rate; ",""))</f>
        <v/>
      </c>
    </row>
    <row r="458" ht="18" customHeight="1">
      <c r="A458" s="86" t="n"/>
      <c r="B458" s="26" t="n"/>
      <c r="C458" s="26" t="n"/>
      <c r="D458" s="26" t="n"/>
      <c r="E458" s="26" t="n"/>
      <c r="F458" s="26" t="n"/>
      <c r="G458" s="26" t="n"/>
      <c r="H458" s="26" t="n"/>
      <c r="I458" s="26" t="n"/>
      <c r="J458" s="87" t="n"/>
      <c r="K458" s="87" t="n"/>
      <c r="L458" s="87" t="n"/>
      <c r="M458" s="87" t="n"/>
      <c r="N458" s="88" t="n"/>
      <c r="O458" s="88" t="n"/>
      <c r="P458" s="89" t="n"/>
      <c r="Q458" s="87" t="n"/>
      <c r="R458" s="87" t="n"/>
      <c r="S458" s="87" t="n"/>
      <c r="T458" s="87" t="n"/>
      <c r="U458" s="89" t="n"/>
      <c r="V458" s="89" t="n"/>
      <c r="W458" s="89" t="n"/>
      <c r="X458" s="87" t="n"/>
      <c r="Y458" s="87" t="n"/>
      <c r="Z458" s="88" t="n"/>
      <c r="AA458" s="26" t="n"/>
      <c r="AB458" s="86">
        <f>IF($A458="","",$A458-WEEKDAY($A458,2)+1)</f>
        <v/>
      </c>
      <c r="AC458" s="86">
        <f>IF($A458="","",DATE(YEAR($A458),MONTH($A458),1))</f>
        <v/>
      </c>
      <c r="AD458" s="90">
        <f>IF($A458="","",IFERROR($K458/$J458,0))</f>
        <v/>
      </c>
      <c r="AE458" s="90">
        <f>IF($A458="","",IFERROR($L458/$J458,0))</f>
        <v/>
      </c>
      <c r="AF458" s="90">
        <f>IF($A458="","",IFERROR($M458/$J458,0))</f>
        <v/>
      </c>
      <c r="AG458" s="88">
        <f>IF($A458="","",$N458-$O458)</f>
        <v/>
      </c>
      <c r="AH458" s="90">
        <f>IF($A458="","",IFERROR($AG458/$N458,0))</f>
        <v/>
      </c>
      <c r="AI458" s="89">
        <f>IF($A458="","",IFERROR($K458/$P458,0))</f>
        <v/>
      </c>
      <c r="AJ458" s="90">
        <f>IF($A458="","",IFERROR($S458/$R458,0))</f>
        <v/>
      </c>
      <c r="AK458" s="90">
        <f>IF($A458="","",IFERROR($T458/$J458,0))</f>
        <v/>
      </c>
      <c r="AL458" s="26">
        <f>IF($A458="","",IF(AND($AD458&gt;='01_Settings'!$B$9,$V458&lt;='01_Settings'!$B$10,$W458&lt;='01_Settings'!$B$11),"On track","Off track"))</f>
        <v/>
      </c>
      <c r="AM458" s="42">
        <f>IF($A458="","",IF($AD458&lt;'01_Settings'!$B$9,"Low completion rate; ","")&amp;IF($AE458&gt;'01_Settings'!$B$12,"High overdue rate; ","")&amp;IF($U458&lt;'01_Settings'!$B$13,"Low satisfaction; ","")&amp;IF($AH458&lt;'01_Settings'!$B$14,"Low gross margin; ","")&amp;IF($AJ458&lt;'01_Settings'!$B$15,"Low conversion rate; ","")&amp;IF($AK458&gt;'01_Settings'!$B$16,"High complaint rate; ",""))</f>
        <v/>
      </c>
    </row>
    <row r="459" ht="18" customHeight="1">
      <c r="A459" s="86" t="n"/>
      <c r="B459" s="26" t="n"/>
      <c r="C459" s="26" t="n"/>
      <c r="D459" s="26" t="n"/>
      <c r="E459" s="26" t="n"/>
      <c r="F459" s="26" t="n"/>
      <c r="G459" s="26" t="n"/>
      <c r="H459" s="26" t="n"/>
      <c r="I459" s="26" t="n"/>
      <c r="J459" s="87" t="n"/>
      <c r="K459" s="87" t="n"/>
      <c r="L459" s="87" t="n"/>
      <c r="M459" s="87" t="n"/>
      <c r="N459" s="88" t="n"/>
      <c r="O459" s="88" t="n"/>
      <c r="P459" s="89" t="n"/>
      <c r="Q459" s="87" t="n"/>
      <c r="R459" s="87" t="n"/>
      <c r="S459" s="87" t="n"/>
      <c r="T459" s="87" t="n"/>
      <c r="U459" s="89" t="n"/>
      <c r="V459" s="89" t="n"/>
      <c r="W459" s="89" t="n"/>
      <c r="X459" s="87" t="n"/>
      <c r="Y459" s="87" t="n"/>
      <c r="Z459" s="88" t="n"/>
      <c r="AA459" s="26" t="n"/>
      <c r="AB459" s="86">
        <f>IF($A459="","",$A459-WEEKDAY($A459,2)+1)</f>
        <v/>
      </c>
      <c r="AC459" s="86">
        <f>IF($A459="","",DATE(YEAR($A459),MONTH($A459),1))</f>
        <v/>
      </c>
      <c r="AD459" s="90">
        <f>IF($A459="","",IFERROR($K459/$J459,0))</f>
        <v/>
      </c>
      <c r="AE459" s="90">
        <f>IF($A459="","",IFERROR($L459/$J459,0))</f>
        <v/>
      </c>
      <c r="AF459" s="90">
        <f>IF($A459="","",IFERROR($M459/$J459,0))</f>
        <v/>
      </c>
      <c r="AG459" s="88">
        <f>IF($A459="","",$N459-$O459)</f>
        <v/>
      </c>
      <c r="AH459" s="90">
        <f>IF($A459="","",IFERROR($AG459/$N459,0))</f>
        <v/>
      </c>
      <c r="AI459" s="89">
        <f>IF($A459="","",IFERROR($K459/$P459,0))</f>
        <v/>
      </c>
      <c r="AJ459" s="90">
        <f>IF($A459="","",IFERROR($S459/$R459,0))</f>
        <v/>
      </c>
      <c r="AK459" s="90">
        <f>IF($A459="","",IFERROR($T459/$J459,0))</f>
        <v/>
      </c>
      <c r="AL459" s="26">
        <f>IF($A459="","",IF(AND($AD459&gt;='01_Settings'!$B$9,$V459&lt;='01_Settings'!$B$10,$W459&lt;='01_Settings'!$B$11),"On track","Off track"))</f>
        <v/>
      </c>
      <c r="AM459" s="42">
        <f>IF($A459="","",IF($AD459&lt;'01_Settings'!$B$9,"Low completion rate; ","")&amp;IF($AE459&gt;'01_Settings'!$B$12,"High overdue rate; ","")&amp;IF($U459&lt;'01_Settings'!$B$13,"Low satisfaction; ","")&amp;IF($AH459&lt;'01_Settings'!$B$14,"Low gross margin; ","")&amp;IF($AJ459&lt;'01_Settings'!$B$15,"Low conversion rate; ","")&amp;IF($AK459&gt;'01_Settings'!$B$16,"High complaint rate; ",""))</f>
        <v/>
      </c>
    </row>
    <row r="460" ht="18" customHeight="1">
      <c r="A460" s="86" t="n"/>
      <c r="B460" s="26" t="n"/>
      <c r="C460" s="26" t="n"/>
      <c r="D460" s="26" t="n"/>
      <c r="E460" s="26" t="n"/>
      <c r="F460" s="26" t="n"/>
      <c r="G460" s="26" t="n"/>
      <c r="H460" s="26" t="n"/>
      <c r="I460" s="26" t="n"/>
      <c r="J460" s="87" t="n"/>
      <c r="K460" s="87" t="n"/>
      <c r="L460" s="87" t="n"/>
      <c r="M460" s="87" t="n"/>
      <c r="N460" s="88" t="n"/>
      <c r="O460" s="88" t="n"/>
      <c r="P460" s="89" t="n"/>
      <c r="Q460" s="87" t="n"/>
      <c r="R460" s="87" t="n"/>
      <c r="S460" s="87" t="n"/>
      <c r="T460" s="87" t="n"/>
      <c r="U460" s="89" t="n"/>
      <c r="V460" s="89" t="n"/>
      <c r="W460" s="89" t="n"/>
      <c r="X460" s="87" t="n"/>
      <c r="Y460" s="87" t="n"/>
      <c r="Z460" s="88" t="n"/>
      <c r="AA460" s="26" t="n"/>
      <c r="AB460" s="86">
        <f>IF($A460="","",$A460-WEEKDAY($A460,2)+1)</f>
        <v/>
      </c>
      <c r="AC460" s="86">
        <f>IF($A460="","",DATE(YEAR($A460),MONTH($A460),1))</f>
        <v/>
      </c>
      <c r="AD460" s="90">
        <f>IF($A460="","",IFERROR($K460/$J460,0))</f>
        <v/>
      </c>
      <c r="AE460" s="90">
        <f>IF($A460="","",IFERROR($L460/$J460,0))</f>
        <v/>
      </c>
      <c r="AF460" s="90">
        <f>IF($A460="","",IFERROR($M460/$J460,0))</f>
        <v/>
      </c>
      <c r="AG460" s="88">
        <f>IF($A460="","",$N460-$O460)</f>
        <v/>
      </c>
      <c r="AH460" s="90">
        <f>IF($A460="","",IFERROR($AG460/$N460,0))</f>
        <v/>
      </c>
      <c r="AI460" s="89">
        <f>IF($A460="","",IFERROR($K460/$P460,0))</f>
        <v/>
      </c>
      <c r="AJ460" s="90">
        <f>IF($A460="","",IFERROR($S460/$R460,0))</f>
        <v/>
      </c>
      <c r="AK460" s="90">
        <f>IF($A460="","",IFERROR($T460/$J460,0))</f>
        <v/>
      </c>
      <c r="AL460" s="26">
        <f>IF($A460="","",IF(AND($AD460&gt;='01_Settings'!$B$9,$V460&lt;='01_Settings'!$B$10,$W460&lt;='01_Settings'!$B$11),"On track","Off track"))</f>
        <v/>
      </c>
      <c r="AM460" s="42">
        <f>IF($A460="","",IF($AD460&lt;'01_Settings'!$B$9,"Low completion rate; ","")&amp;IF($AE460&gt;'01_Settings'!$B$12,"High overdue rate; ","")&amp;IF($U460&lt;'01_Settings'!$B$13,"Low satisfaction; ","")&amp;IF($AH460&lt;'01_Settings'!$B$14,"Low gross margin; ","")&amp;IF($AJ460&lt;'01_Settings'!$B$15,"Low conversion rate; ","")&amp;IF($AK460&gt;'01_Settings'!$B$16,"High complaint rate; ",""))</f>
        <v/>
      </c>
    </row>
    <row r="461" ht="18" customHeight="1">
      <c r="A461" s="86" t="n"/>
      <c r="B461" s="26" t="n"/>
      <c r="C461" s="26" t="n"/>
      <c r="D461" s="26" t="n"/>
      <c r="E461" s="26" t="n"/>
      <c r="F461" s="26" t="n"/>
      <c r="G461" s="26" t="n"/>
      <c r="H461" s="26" t="n"/>
      <c r="I461" s="26" t="n"/>
      <c r="J461" s="87" t="n"/>
      <c r="K461" s="87" t="n"/>
      <c r="L461" s="87" t="n"/>
      <c r="M461" s="87" t="n"/>
      <c r="N461" s="88" t="n"/>
      <c r="O461" s="88" t="n"/>
      <c r="P461" s="89" t="n"/>
      <c r="Q461" s="87" t="n"/>
      <c r="R461" s="87" t="n"/>
      <c r="S461" s="87" t="n"/>
      <c r="T461" s="87" t="n"/>
      <c r="U461" s="89" t="n"/>
      <c r="V461" s="89" t="n"/>
      <c r="W461" s="89" t="n"/>
      <c r="X461" s="87" t="n"/>
      <c r="Y461" s="87" t="n"/>
      <c r="Z461" s="88" t="n"/>
      <c r="AA461" s="26" t="n"/>
      <c r="AB461" s="86">
        <f>IF($A461="","",$A461-WEEKDAY($A461,2)+1)</f>
        <v/>
      </c>
      <c r="AC461" s="86">
        <f>IF($A461="","",DATE(YEAR($A461),MONTH($A461),1))</f>
        <v/>
      </c>
      <c r="AD461" s="90">
        <f>IF($A461="","",IFERROR($K461/$J461,0))</f>
        <v/>
      </c>
      <c r="AE461" s="90">
        <f>IF($A461="","",IFERROR($L461/$J461,0))</f>
        <v/>
      </c>
      <c r="AF461" s="90">
        <f>IF($A461="","",IFERROR($M461/$J461,0))</f>
        <v/>
      </c>
      <c r="AG461" s="88">
        <f>IF($A461="","",$N461-$O461)</f>
        <v/>
      </c>
      <c r="AH461" s="90">
        <f>IF($A461="","",IFERROR($AG461/$N461,0))</f>
        <v/>
      </c>
      <c r="AI461" s="89">
        <f>IF($A461="","",IFERROR($K461/$P461,0))</f>
        <v/>
      </c>
      <c r="AJ461" s="90">
        <f>IF($A461="","",IFERROR($S461/$R461,0))</f>
        <v/>
      </c>
      <c r="AK461" s="90">
        <f>IF($A461="","",IFERROR($T461/$J461,0))</f>
        <v/>
      </c>
      <c r="AL461" s="26">
        <f>IF($A461="","",IF(AND($AD461&gt;='01_Settings'!$B$9,$V461&lt;='01_Settings'!$B$10,$W461&lt;='01_Settings'!$B$11),"On track","Off track"))</f>
        <v/>
      </c>
      <c r="AM461" s="42">
        <f>IF($A461="","",IF($AD461&lt;'01_Settings'!$B$9,"Low completion rate; ","")&amp;IF($AE461&gt;'01_Settings'!$B$12,"High overdue rate; ","")&amp;IF($U461&lt;'01_Settings'!$B$13,"Low satisfaction; ","")&amp;IF($AH461&lt;'01_Settings'!$B$14,"Low gross margin; ","")&amp;IF($AJ461&lt;'01_Settings'!$B$15,"Low conversion rate; ","")&amp;IF($AK461&gt;'01_Settings'!$B$16,"High complaint rate; ",""))</f>
        <v/>
      </c>
    </row>
    <row r="462" ht="18" customHeight="1">
      <c r="A462" s="86" t="n"/>
      <c r="B462" s="26" t="n"/>
      <c r="C462" s="26" t="n"/>
      <c r="D462" s="26" t="n"/>
      <c r="E462" s="26" t="n"/>
      <c r="F462" s="26" t="n"/>
      <c r="G462" s="26" t="n"/>
      <c r="H462" s="26" t="n"/>
      <c r="I462" s="26" t="n"/>
      <c r="J462" s="87" t="n"/>
      <c r="K462" s="87" t="n"/>
      <c r="L462" s="87" t="n"/>
      <c r="M462" s="87" t="n"/>
      <c r="N462" s="88" t="n"/>
      <c r="O462" s="88" t="n"/>
      <c r="P462" s="89" t="n"/>
      <c r="Q462" s="87" t="n"/>
      <c r="R462" s="87" t="n"/>
      <c r="S462" s="87" t="n"/>
      <c r="T462" s="87" t="n"/>
      <c r="U462" s="89" t="n"/>
      <c r="V462" s="89" t="n"/>
      <c r="W462" s="89" t="n"/>
      <c r="X462" s="87" t="n"/>
      <c r="Y462" s="87" t="n"/>
      <c r="Z462" s="88" t="n"/>
      <c r="AA462" s="26" t="n"/>
      <c r="AB462" s="86">
        <f>IF($A462="","",$A462-WEEKDAY($A462,2)+1)</f>
        <v/>
      </c>
      <c r="AC462" s="86">
        <f>IF($A462="","",DATE(YEAR($A462),MONTH($A462),1))</f>
        <v/>
      </c>
      <c r="AD462" s="90">
        <f>IF($A462="","",IFERROR($K462/$J462,0))</f>
        <v/>
      </c>
      <c r="AE462" s="90">
        <f>IF($A462="","",IFERROR($L462/$J462,0))</f>
        <v/>
      </c>
      <c r="AF462" s="90">
        <f>IF($A462="","",IFERROR($M462/$J462,0))</f>
        <v/>
      </c>
      <c r="AG462" s="88">
        <f>IF($A462="","",$N462-$O462)</f>
        <v/>
      </c>
      <c r="AH462" s="90">
        <f>IF($A462="","",IFERROR($AG462/$N462,0))</f>
        <v/>
      </c>
      <c r="AI462" s="89">
        <f>IF($A462="","",IFERROR($K462/$P462,0))</f>
        <v/>
      </c>
      <c r="AJ462" s="90">
        <f>IF($A462="","",IFERROR($S462/$R462,0))</f>
        <v/>
      </c>
      <c r="AK462" s="90">
        <f>IF($A462="","",IFERROR($T462/$J462,0))</f>
        <v/>
      </c>
      <c r="AL462" s="26">
        <f>IF($A462="","",IF(AND($AD462&gt;='01_Settings'!$B$9,$V462&lt;='01_Settings'!$B$10,$W462&lt;='01_Settings'!$B$11),"On track","Off track"))</f>
        <v/>
      </c>
      <c r="AM462" s="42">
        <f>IF($A462="","",IF($AD462&lt;'01_Settings'!$B$9,"Low completion rate; ","")&amp;IF($AE462&gt;'01_Settings'!$B$12,"High overdue rate; ","")&amp;IF($U462&lt;'01_Settings'!$B$13,"Low satisfaction; ","")&amp;IF($AH462&lt;'01_Settings'!$B$14,"Low gross margin; ","")&amp;IF($AJ462&lt;'01_Settings'!$B$15,"Low conversion rate; ","")&amp;IF($AK462&gt;'01_Settings'!$B$16,"High complaint rate; ",""))</f>
        <v/>
      </c>
    </row>
    <row r="463" ht="18" customHeight="1">
      <c r="A463" s="86" t="n"/>
      <c r="B463" s="26" t="n"/>
      <c r="C463" s="26" t="n"/>
      <c r="D463" s="26" t="n"/>
      <c r="E463" s="26" t="n"/>
      <c r="F463" s="26" t="n"/>
      <c r="G463" s="26" t="n"/>
      <c r="H463" s="26" t="n"/>
      <c r="I463" s="26" t="n"/>
      <c r="J463" s="87" t="n"/>
      <c r="K463" s="87" t="n"/>
      <c r="L463" s="87" t="n"/>
      <c r="M463" s="87" t="n"/>
      <c r="N463" s="88" t="n"/>
      <c r="O463" s="88" t="n"/>
      <c r="P463" s="89" t="n"/>
      <c r="Q463" s="87" t="n"/>
      <c r="R463" s="87" t="n"/>
      <c r="S463" s="87" t="n"/>
      <c r="T463" s="87" t="n"/>
      <c r="U463" s="89" t="n"/>
      <c r="V463" s="89" t="n"/>
      <c r="W463" s="89" t="n"/>
      <c r="X463" s="87" t="n"/>
      <c r="Y463" s="87" t="n"/>
      <c r="Z463" s="88" t="n"/>
      <c r="AA463" s="26" t="n"/>
      <c r="AB463" s="86">
        <f>IF($A463="","",$A463-WEEKDAY($A463,2)+1)</f>
        <v/>
      </c>
      <c r="AC463" s="86">
        <f>IF($A463="","",DATE(YEAR($A463),MONTH($A463),1))</f>
        <v/>
      </c>
      <c r="AD463" s="90">
        <f>IF($A463="","",IFERROR($K463/$J463,0))</f>
        <v/>
      </c>
      <c r="AE463" s="90">
        <f>IF($A463="","",IFERROR($L463/$J463,0))</f>
        <v/>
      </c>
      <c r="AF463" s="90">
        <f>IF($A463="","",IFERROR($M463/$J463,0))</f>
        <v/>
      </c>
      <c r="AG463" s="88">
        <f>IF($A463="","",$N463-$O463)</f>
        <v/>
      </c>
      <c r="AH463" s="90">
        <f>IF($A463="","",IFERROR($AG463/$N463,0))</f>
        <v/>
      </c>
      <c r="AI463" s="89">
        <f>IF($A463="","",IFERROR($K463/$P463,0))</f>
        <v/>
      </c>
      <c r="AJ463" s="90">
        <f>IF($A463="","",IFERROR($S463/$R463,0))</f>
        <v/>
      </c>
      <c r="AK463" s="90">
        <f>IF($A463="","",IFERROR($T463/$J463,0))</f>
        <v/>
      </c>
      <c r="AL463" s="26">
        <f>IF($A463="","",IF(AND($AD463&gt;='01_Settings'!$B$9,$V463&lt;='01_Settings'!$B$10,$W463&lt;='01_Settings'!$B$11),"On track","Off track"))</f>
        <v/>
      </c>
      <c r="AM463" s="42">
        <f>IF($A463="","",IF($AD463&lt;'01_Settings'!$B$9,"Low completion rate; ","")&amp;IF($AE463&gt;'01_Settings'!$B$12,"High overdue rate; ","")&amp;IF($U463&lt;'01_Settings'!$B$13,"Low satisfaction; ","")&amp;IF($AH463&lt;'01_Settings'!$B$14,"Low gross margin; ","")&amp;IF($AJ463&lt;'01_Settings'!$B$15,"Low conversion rate; ","")&amp;IF($AK463&gt;'01_Settings'!$B$16,"High complaint rate; ",""))</f>
        <v/>
      </c>
    </row>
    <row r="464" ht="18" customHeight="1">
      <c r="A464" s="86" t="n"/>
      <c r="B464" s="26" t="n"/>
      <c r="C464" s="26" t="n"/>
      <c r="D464" s="26" t="n"/>
      <c r="E464" s="26" t="n"/>
      <c r="F464" s="26" t="n"/>
      <c r="G464" s="26" t="n"/>
      <c r="H464" s="26" t="n"/>
      <c r="I464" s="26" t="n"/>
      <c r="J464" s="87" t="n"/>
      <c r="K464" s="87" t="n"/>
      <c r="L464" s="87" t="n"/>
      <c r="M464" s="87" t="n"/>
      <c r="N464" s="88" t="n"/>
      <c r="O464" s="88" t="n"/>
      <c r="P464" s="89" t="n"/>
      <c r="Q464" s="87" t="n"/>
      <c r="R464" s="87" t="n"/>
      <c r="S464" s="87" t="n"/>
      <c r="T464" s="87" t="n"/>
      <c r="U464" s="89" t="n"/>
      <c r="V464" s="89" t="n"/>
      <c r="W464" s="89" t="n"/>
      <c r="X464" s="87" t="n"/>
      <c r="Y464" s="87" t="n"/>
      <c r="Z464" s="88" t="n"/>
      <c r="AA464" s="26" t="n"/>
      <c r="AB464" s="86">
        <f>IF($A464="","",$A464-WEEKDAY($A464,2)+1)</f>
        <v/>
      </c>
      <c r="AC464" s="86">
        <f>IF($A464="","",DATE(YEAR($A464),MONTH($A464),1))</f>
        <v/>
      </c>
      <c r="AD464" s="90">
        <f>IF($A464="","",IFERROR($K464/$J464,0))</f>
        <v/>
      </c>
      <c r="AE464" s="90">
        <f>IF($A464="","",IFERROR($L464/$J464,0))</f>
        <v/>
      </c>
      <c r="AF464" s="90">
        <f>IF($A464="","",IFERROR($M464/$J464,0))</f>
        <v/>
      </c>
      <c r="AG464" s="88">
        <f>IF($A464="","",$N464-$O464)</f>
        <v/>
      </c>
      <c r="AH464" s="90">
        <f>IF($A464="","",IFERROR($AG464/$N464,0))</f>
        <v/>
      </c>
      <c r="AI464" s="89">
        <f>IF($A464="","",IFERROR($K464/$P464,0))</f>
        <v/>
      </c>
      <c r="AJ464" s="90">
        <f>IF($A464="","",IFERROR($S464/$R464,0))</f>
        <v/>
      </c>
      <c r="AK464" s="90">
        <f>IF($A464="","",IFERROR($T464/$J464,0))</f>
        <v/>
      </c>
      <c r="AL464" s="26">
        <f>IF($A464="","",IF(AND($AD464&gt;='01_Settings'!$B$9,$V464&lt;='01_Settings'!$B$10,$W464&lt;='01_Settings'!$B$11),"On track","Off track"))</f>
        <v/>
      </c>
      <c r="AM464" s="42">
        <f>IF($A464="","",IF($AD464&lt;'01_Settings'!$B$9,"Low completion rate; ","")&amp;IF($AE464&gt;'01_Settings'!$B$12,"High overdue rate; ","")&amp;IF($U464&lt;'01_Settings'!$B$13,"Low satisfaction; ","")&amp;IF($AH464&lt;'01_Settings'!$B$14,"Low gross margin; ","")&amp;IF($AJ464&lt;'01_Settings'!$B$15,"Low conversion rate; ","")&amp;IF($AK464&gt;'01_Settings'!$B$16,"High complaint rate; ",""))</f>
        <v/>
      </c>
    </row>
    <row r="465" ht="18" customHeight="1">
      <c r="A465" s="86" t="n"/>
      <c r="B465" s="26" t="n"/>
      <c r="C465" s="26" t="n"/>
      <c r="D465" s="26" t="n"/>
      <c r="E465" s="26" t="n"/>
      <c r="F465" s="26" t="n"/>
      <c r="G465" s="26" t="n"/>
      <c r="H465" s="26" t="n"/>
      <c r="I465" s="26" t="n"/>
      <c r="J465" s="87" t="n"/>
      <c r="K465" s="87" t="n"/>
      <c r="L465" s="87" t="n"/>
      <c r="M465" s="87" t="n"/>
      <c r="N465" s="88" t="n"/>
      <c r="O465" s="88" t="n"/>
      <c r="P465" s="89" t="n"/>
      <c r="Q465" s="87" t="n"/>
      <c r="R465" s="87" t="n"/>
      <c r="S465" s="87" t="n"/>
      <c r="T465" s="87" t="n"/>
      <c r="U465" s="89" t="n"/>
      <c r="V465" s="89" t="n"/>
      <c r="W465" s="89" t="n"/>
      <c r="X465" s="87" t="n"/>
      <c r="Y465" s="87" t="n"/>
      <c r="Z465" s="88" t="n"/>
      <c r="AA465" s="26" t="n"/>
      <c r="AB465" s="86">
        <f>IF($A465="","",$A465-WEEKDAY($A465,2)+1)</f>
        <v/>
      </c>
      <c r="AC465" s="86">
        <f>IF($A465="","",DATE(YEAR($A465),MONTH($A465),1))</f>
        <v/>
      </c>
      <c r="AD465" s="90">
        <f>IF($A465="","",IFERROR($K465/$J465,0))</f>
        <v/>
      </c>
      <c r="AE465" s="90">
        <f>IF($A465="","",IFERROR($L465/$J465,0))</f>
        <v/>
      </c>
      <c r="AF465" s="90">
        <f>IF($A465="","",IFERROR($M465/$J465,0))</f>
        <v/>
      </c>
      <c r="AG465" s="88">
        <f>IF($A465="","",$N465-$O465)</f>
        <v/>
      </c>
      <c r="AH465" s="90">
        <f>IF($A465="","",IFERROR($AG465/$N465,0))</f>
        <v/>
      </c>
      <c r="AI465" s="89">
        <f>IF($A465="","",IFERROR($K465/$P465,0))</f>
        <v/>
      </c>
      <c r="AJ465" s="90">
        <f>IF($A465="","",IFERROR($S465/$R465,0))</f>
        <v/>
      </c>
      <c r="AK465" s="90">
        <f>IF($A465="","",IFERROR($T465/$J465,0))</f>
        <v/>
      </c>
      <c r="AL465" s="26">
        <f>IF($A465="","",IF(AND($AD465&gt;='01_Settings'!$B$9,$V465&lt;='01_Settings'!$B$10,$W465&lt;='01_Settings'!$B$11),"On track","Off track"))</f>
        <v/>
      </c>
      <c r="AM465" s="42">
        <f>IF($A465="","",IF($AD465&lt;'01_Settings'!$B$9,"Low completion rate; ","")&amp;IF($AE465&gt;'01_Settings'!$B$12,"High overdue rate; ","")&amp;IF($U465&lt;'01_Settings'!$B$13,"Low satisfaction; ","")&amp;IF($AH465&lt;'01_Settings'!$B$14,"Low gross margin; ","")&amp;IF($AJ465&lt;'01_Settings'!$B$15,"Low conversion rate; ","")&amp;IF($AK465&gt;'01_Settings'!$B$16,"High complaint rate; ",""))</f>
        <v/>
      </c>
    </row>
    <row r="466" ht="18" customHeight="1">
      <c r="A466" s="86" t="n"/>
      <c r="B466" s="26" t="n"/>
      <c r="C466" s="26" t="n"/>
      <c r="D466" s="26" t="n"/>
      <c r="E466" s="26" t="n"/>
      <c r="F466" s="26" t="n"/>
      <c r="G466" s="26" t="n"/>
      <c r="H466" s="26" t="n"/>
      <c r="I466" s="26" t="n"/>
      <c r="J466" s="87" t="n"/>
      <c r="K466" s="87" t="n"/>
      <c r="L466" s="87" t="n"/>
      <c r="M466" s="87" t="n"/>
      <c r="N466" s="88" t="n"/>
      <c r="O466" s="88" t="n"/>
      <c r="P466" s="89" t="n"/>
      <c r="Q466" s="87" t="n"/>
      <c r="R466" s="87" t="n"/>
      <c r="S466" s="87" t="n"/>
      <c r="T466" s="87" t="n"/>
      <c r="U466" s="89" t="n"/>
      <c r="V466" s="89" t="n"/>
      <c r="W466" s="89" t="n"/>
      <c r="X466" s="87" t="n"/>
      <c r="Y466" s="87" t="n"/>
      <c r="Z466" s="88" t="n"/>
      <c r="AA466" s="26" t="n"/>
      <c r="AB466" s="86">
        <f>IF($A466="","",$A466-WEEKDAY($A466,2)+1)</f>
        <v/>
      </c>
      <c r="AC466" s="86">
        <f>IF($A466="","",DATE(YEAR($A466),MONTH($A466),1))</f>
        <v/>
      </c>
      <c r="AD466" s="90">
        <f>IF($A466="","",IFERROR($K466/$J466,0))</f>
        <v/>
      </c>
      <c r="AE466" s="90">
        <f>IF($A466="","",IFERROR($L466/$J466,0))</f>
        <v/>
      </c>
      <c r="AF466" s="90">
        <f>IF($A466="","",IFERROR($M466/$J466,0))</f>
        <v/>
      </c>
      <c r="AG466" s="88">
        <f>IF($A466="","",$N466-$O466)</f>
        <v/>
      </c>
      <c r="AH466" s="90">
        <f>IF($A466="","",IFERROR($AG466/$N466,0))</f>
        <v/>
      </c>
      <c r="AI466" s="89">
        <f>IF($A466="","",IFERROR($K466/$P466,0))</f>
        <v/>
      </c>
      <c r="AJ466" s="90">
        <f>IF($A466="","",IFERROR($S466/$R466,0))</f>
        <v/>
      </c>
      <c r="AK466" s="90">
        <f>IF($A466="","",IFERROR($T466/$J466,0))</f>
        <v/>
      </c>
      <c r="AL466" s="26">
        <f>IF($A466="","",IF(AND($AD466&gt;='01_Settings'!$B$9,$V466&lt;='01_Settings'!$B$10,$W466&lt;='01_Settings'!$B$11),"On track","Off track"))</f>
        <v/>
      </c>
      <c r="AM466" s="42">
        <f>IF($A466="","",IF($AD466&lt;'01_Settings'!$B$9,"Low completion rate; ","")&amp;IF($AE466&gt;'01_Settings'!$B$12,"High overdue rate; ","")&amp;IF($U466&lt;'01_Settings'!$B$13,"Low satisfaction; ","")&amp;IF($AH466&lt;'01_Settings'!$B$14,"Low gross margin; ","")&amp;IF($AJ466&lt;'01_Settings'!$B$15,"Low conversion rate; ","")&amp;IF($AK466&gt;'01_Settings'!$B$16,"High complaint rate; ",""))</f>
        <v/>
      </c>
    </row>
    <row r="467" ht="18" customHeight="1">
      <c r="A467" s="86" t="n"/>
      <c r="B467" s="26" t="n"/>
      <c r="C467" s="26" t="n"/>
      <c r="D467" s="26" t="n"/>
      <c r="E467" s="26" t="n"/>
      <c r="F467" s="26" t="n"/>
      <c r="G467" s="26" t="n"/>
      <c r="H467" s="26" t="n"/>
      <c r="I467" s="26" t="n"/>
      <c r="J467" s="87" t="n"/>
      <c r="K467" s="87" t="n"/>
      <c r="L467" s="87" t="n"/>
      <c r="M467" s="87" t="n"/>
      <c r="N467" s="88" t="n"/>
      <c r="O467" s="88" t="n"/>
      <c r="P467" s="89" t="n"/>
      <c r="Q467" s="87" t="n"/>
      <c r="R467" s="87" t="n"/>
      <c r="S467" s="87" t="n"/>
      <c r="T467" s="87" t="n"/>
      <c r="U467" s="89" t="n"/>
      <c r="V467" s="89" t="n"/>
      <c r="W467" s="89" t="n"/>
      <c r="X467" s="87" t="n"/>
      <c r="Y467" s="87" t="n"/>
      <c r="Z467" s="88" t="n"/>
      <c r="AA467" s="26" t="n"/>
      <c r="AB467" s="86">
        <f>IF($A467="","",$A467-WEEKDAY($A467,2)+1)</f>
        <v/>
      </c>
      <c r="AC467" s="86">
        <f>IF($A467="","",DATE(YEAR($A467),MONTH($A467),1))</f>
        <v/>
      </c>
      <c r="AD467" s="90">
        <f>IF($A467="","",IFERROR($K467/$J467,0))</f>
        <v/>
      </c>
      <c r="AE467" s="90">
        <f>IF($A467="","",IFERROR($L467/$J467,0))</f>
        <v/>
      </c>
      <c r="AF467" s="90">
        <f>IF($A467="","",IFERROR($M467/$J467,0))</f>
        <v/>
      </c>
      <c r="AG467" s="88">
        <f>IF($A467="","",$N467-$O467)</f>
        <v/>
      </c>
      <c r="AH467" s="90">
        <f>IF($A467="","",IFERROR($AG467/$N467,0))</f>
        <v/>
      </c>
      <c r="AI467" s="89">
        <f>IF($A467="","",IFERROR($K467/$P467,0))</f>
        <v/>
      </c>
      <c r="AJ467" s="90">
        <f>IF($A467="","",IFERROR($S467/$R467,0))</f>
        <v/>
      </c>
      <c r="AK467" s="90">
        <f>IF($A467="","",IFERROR($T467/$J467,0))</f>
        <v/>
      </c>
      <c r="AL467" s="26">
        <f>IF($A467="","",IF(AND($AD467&gt;='01_Settings'!$B$9,$V467&lt;='01_Settings'!$B$10,$W467&lt;='01_Settings'!$B$11),"On track","Off track"))</f>
        <v/>
      </c>
      <c r="AM467" s="42">
        <f>IF($A467="","",IF($AD467&lt;'01_Settings'!$B$9,"Low completion rate; ","")&amp;IF($AE467&gt;'01_Settings'!$B$12,"High overdue rate; ","")&amp;IF($U467&lt;'01_Settings'!$B$13,"Low satisfaction; ","")&amp;IF($AH467&lt;'01_Settings'!$B$14,"Low gross margin; ","")&amp;IF($AJ467&lt;'01_Settings'!$B$15,"Low conversion rate; ","")&amp;IF($AK467&gt;'01_Settings'!$B$16,"High complaint rate; ",""))</f>
        <v/>
      </c>
    </row>
    <row r="468" ht="18" customHeight="1">
      <c r="A468" s="86" t="n"/>
      <c r="B468" s="26" t="n"/>
      <c r="C468" s="26" t="n"/>
      <c r="D468" s="26" t="n"/>
      <c r="E468" s="26" t="n"/>
      <c r="F468" s="26" t="n"/>
      <c r="G468" s="26" t="n"/>
      <c r="H468" s="26" t="n"/>
      <c r="I468" s="26" t="n"/>
      <c r="J468" s="87" t="n"/>
      <c r="K468" s="87" t="n"/>
      <c r="L468" s="87" t="n"/>
      <c r="M468" s="87" t="n"/>
      <c r="N468" s="88" t="n"/>
      <c r="O468" s="88" t="n"/>
      <c r="P468" s="89" t="n"/>
      <c r="Q468" s="87" t="n"/>
      <c r="R468" s="87" t="n"/>
      <c r="S468" s="87" t="n"/>
      <c r="T468" s="87" t="n"/>
      <c r="U468" s="89" t="n"/>
      <c r="V468" s="89" t="n"/>
      <c r="W468" s="89" t="n"/>
      <c r="X468" s="87" t="n"/>
      <c r="Y468" s="87" t="n"/>
      <c r="Z468" s="88" t="n"/>
      <c r="AA468" s="26" t="n"/>
      <c r="AB468" s="86">
        <f>IF($A468="","",$A468-WEEKDAY($A468,2)+1)</f>
        <v/>
      </c>
      <c r="AC468" s="86">
        <f>IF($A468="","",DATE(YEAR($A468),MONTH($A468),1))</f>
        <v/>
      </c>
      <c r="AD468" s="90">
        <f>IF($A468="","",IFERROR($K468/$J468,0))</f>
        <v/>
      </c>
      <c r="AE468" s="90">
        <f>IF($A468="","",IFERROR($L468/$J468,0))</f>
        <v/>
      </c>
      <c r="AF468" s="90">
        <f>IF($A468="","",IFERROR($M468/$J468,0))</f>
        <v/>
      </c>
      <c r="AG468" s="88">
        <f>IF($A468="","",$N468-$O468)</f>
        <v/>
      </c>
      <c r="AH468" s="90">
        <f>IF($A468="","",IFERROR($AG468/$N468,0))</f>
        <v/>
      </c>
      <c r="AI468" s="89">
        <f>IF($A468="","",IFERROR($K468/$P468,0))</f>
        <v/>
      </c>
      <c r="AJ468" s="90">
        <f>IF($A468="","",IFERROR($S468/$R468,0))</f>
        <v/>
      </c>
      <c r="AK468" s="90">
        <f>IF($A468="","",IFERROR($T468/$J468,0))</f>
        <v/>
      </c>
      <c r="AL468" s="26">
        <f>IF($A468="","",IF(AND($AD468&gt;='01_Settings'!$B$9,$V468&lt;='01_Settings'!$B$10,$W468&lt;='01_Settings'!$B$11),"On track","Off track"))</f>
        <v/>
      </c>
      <c r="AM468" s="42">
        <f>IF($A468="","",IF($AD468&lt;'01_Settings'!$B$9,"Low completion rate; ","")&amp;IF($AE468&gt;'01_Settings'!$B$12,"High overdue rate; ","")&amp;IF($U468&lt;'01_Settings'!$B$13,"Low satisfaction; ","")&amp;IF($AH468&lt;'01_Settings'!$B$14,"Low gross margin; ","")&amp;IF($AJ468&lt;'01_Settings'!$B$15,"Low conversion rate; ","")&amp;IF($AK468&gt;'01_Settings'!$B$16,"High complaint rate; ",""))</f>
        <v/>
      </c>
    </row>
    <row r="469" ht="18" customHeight="1">
      <c r="A469" s="86" t="n"/>
      <c r="B469" s="26" t="n"/>
      <c r="C469" s="26" t="n"/>
      <c r="D469" s="26" t="n"/>
      <c r="E469" s="26" t="n"/>
      <c r="F469" s="26" t="n"/>
      <c r="G469" s="26" t="n"/>
      <c r="H469" s="26" t="n"/>
      <c r="I469" s="26" t="n"/>
      <c r="J469" s="87" t="n"/>
      <c r="K469" s="87" t="n"/>
      <c r="L469" s="87" t="n"/>
      <c r="M469" s="87" t="n"/>
      <c r="N469" s="88" t="n"/>
      <c r="O469" s="88" t="n"/>
      <c r="P469" s="89" t="n"/>
      <c r="Q469" s="87" t="n"/>
      <c r="R469" s="87" t="n"/>
      <c r="S469" s="87" t="n"/>
      <c r="T469" s="87" t="n"/>
      <c r="U469" s="89" t="n"/>
      <c r="V469" s="89" t="n"/>
      <c r="W469" s="89" t="n"/>
      <c r="X469" s="87" t="n"/>
      <c r="Y469" s="87" t="n"/>
      <c r="Z469" s="88" t="n"/>
      <c r="AA469" s="26" t="n"/>
      <c r="AB469" s="86">
        <f>IF($A469="","",$A469-WEEKDAY($A469,2)+1)</f>
        <v/>
      </c>
      <c r="AC469" s="86">
        <f>IF($A469="","",DATE(YEAR($A469),MONTH($A469),1))</f>
        <v/>
      </c>
      <c r="AD469" s="90">
        <f>IF($A469="","",IFERROR($K469/$J469,0))</f>
        <v/>
      </c>
      <c r="AE469" s="90">
        <f>IF($A469="","",IFERROR($L469/$J469,0))</f>
        <v/>
      </c>
      <c r="AF469" s="90">
        <f>IF($A469="","",IFERROR($M469/$J469,0))</f>
        <v/>
      </c>
      <c r="AG469" s="88">
        <f>IF($A469="","",$N469-$O469)</f>
        <v/>
      </c>
      <c r="AH469" s="90">
        <f>IF($A469="","",IFERROR($AG469/$N469,0))</f>
        <v/>
      </c>
      <c r="AI469" s="89">
        <f>IF($A469="","",IFERROR($K469/$P469,0))</f>
        <v/>
      </c>
      <c r="AJ469" s="90">
        <f>IF($A469="","",IFERROR($S469/$R469,0))</f>
        <v/>
      </c>
      <c r="AK469" s="90">
        <f>IF($A469="","",IFERROR($T469/$J469,0))</f>
        <v/>
      </c>
      <c r="AL469" s="26">
        <f>IF($A469="","",IF(AND($AD469&gt;='01_Settings'!$B$9,$V469&lt;='01_Settings'!$B$10,$W469&lt;='01_Settings'!$B$11),"On track","Off track"))</f>
        <v/>
      </c>
      <c r="AM469" s="42">
        <f>IF($A469="","",IF($AD469&lt;'01_Settings'!$B$9,"Low completion rate; ","")&amp;IF($AE469&gt;'01_Settings'!$B$12,"High overdue rate; ","")&amp;IF($U469&lt;'01_Settings'!$B$13,"Low satisfaction; ","")&amp;IF($AH469&lt;'01_Settings'!$B$14,"Low gross margin; ","")&amp;IF($AJ469&lt;'01_Settings'!$B$15,"Low conversion rate; ","")&amp;IF($AK469&gt;'01_Settings'!$B$16,"High complaint rate; ",""))</f>
        <v/>
      </c>
    </row>
    <row r="470" ht="18" customHeight="1">
      <c r="A470" s="86" t="n"/>
      <c r="B470" s="26" t="n"/>
      <c r="C470" s="26" t="n"/>
      <c r="D470" s="26" t="n"/>
      <c r="E470" s="26" t="n"/>
      <c r="F470" s="26" t="n"/>
      <c r="G470" s="26" t="n"/>
      <c r="H470" s="26" t="n"/>
      <c r="I470" s="26" t="n"/>
      <c r="J470" s="87" t="n"/>
      <c r="K470" s="87" t="n"/>
      <c r="L470" s="87" t="n"/>
      <c r="M470" s="87" t="n"/>
      <c r="N470" s="88" t="n"/>
      <c r="O470" s="88" t="n"/>
      <c r="P470" s="89" t="n"/>
      <c r="Q470" s="87" t="n"/>
      <c r="R470" s="87" t="n"/>
      <c r="S470" s="87" t="n"/>
      <c r="T470" s="87" t="n"/>
      <c r="U470" s="89" t="n"/>
      <c r="V470" s="89" t="n"/>
      <c r="W470" s="89" t="n"/>
      <c r="X470" s="87" t="n"/>
      <c r="Y470" s="87" t="n"/>
      <c r="Z470" s="88" t="n"/>
      <c r="AA470" s="26" t="n"/>
      <c r="AB470" s="86">
        <f>IF($A470="","",$A470-WEEKDAY($A470,2)+1)</f>
        <v/>
      </c>
      <c r="AC470" s="86">
        <f>IF($A470="","",DATE(YEAR($A470),MONTH($A470),1))</f>
        <v/>
      </c>
      <c r="AD470" s="90">
        <f>IF($A470="","",IFERROR($K470/$J470,0))</f>
        <v/>
      </c>
      <c r="AE470" s="90">
        <f>IF($A470="","",IFERROR($L470/$J470,0))</f>
        <v/>
      </c>
      <c r="AF470" s="90">
        <f>IF($A470="","",IFERROR($M470/$J470,0))</f>
        <v/>
      </c>
      <c r="AG470" s="88">
        <f>IF($A470="","",$N470-$O470)</f>
        <v/>
      </c>
      <c r="AH470" s="90">
        <f>IF($A470="","",IFERROR($AG470/$N470,0))</f>
        <v/>
      </c>
      <c r="AI470" s="89">
        <f>IF($A470="","",IFERROR($K470/$P470,0))</f>
        <v/>
      </c>
      <c r="AJ470" s="90">
        <f>IF($A470="","",IFERROR($S470/$R470,0))</f>
        <v/>
      </c>
      <c r="AK470" s="90">
        <f>IF($A470="","",IFERROR($T470/$J470,0))</f>
        <v/>
      </c>
      <c r="AL470" s="26">
        <f>IF($A470="","",IF(AND($AD470&gt;='01_Settings'!$B$9,$V470&lt;='01_Settings'!$B$10,$W470&lt;='01_Settings'!$B$11),"On track","Off track"))</f>
        <v/>
      </c>
      <c r="AM470" s="42">
        <f>IF($A470="","",IF($AD470&lt;'01_Settings'!$B$9,"Low completion rate; ","")&amp;IF($AE470&gt;'01_Settings'!$B$12,"High overdue rate; ","")&amp;IF($U470&lt;'01_Settings'!$B$13,"Low satisfaction; ","")&amp;IF($AH470&lt;'01_Settings'!$B$14,"Low gross margin; ","")&amp;IF($AJ470&lt;'01_Settings'!$B$15,"Low conversion rate; ","")&amp;IF($AK470&gt;'01_Settings'!$B$16,"High complaint rate; ",""))</f>
        <v/>
      </c>
    </row>
    <row r="471" ht="18" customHeight="1">
      <c r="A471" s="86" t="n"/>
      <c r="B471" s="26" t="n"/>
      <c r="C471" s="26" t="n"/>
      <c r="D471" s="26" t="n"/>
      <c r="E471" s="26" t="n"/>
      <c r="F471" s="26" t="n"/>
      <c r="G471" s="26" t="n"/>
      <c r="H471" s="26" t="n"/>
      <c r="I471" s="26" t="n"/>
      <c r="J471" s="87" t="n"/>
      <c r="K471" s="87" t="n"/>
      <c r="L471" s="87" t="n"/>
      <c r="M471" s="87" t="n"/>
      <c r="N471" s="88" t="n"/>
      <c r="O471" s="88" t="n"/>
      <c r="P471" s="89" t="n"/>
      <c r="Q471" s="87" t="n"/>
      <c r="R471" s="87" t="n"/>
      <c r="S471" s="87" t="n"/>
      <c r="T471" s="87" t="n"/>
      <c r="U471" s="89" t="n"/>
      <c r="V471" s="89" t="n"/>
      <c r="W471" s="89" t="n"/>
      <c r="X471" s="87" t="n"/>
      <c r="Y471" s="87" t="n"/>
      <c r="Z471" s="88" t="n"/>
      <c r="AA471" s="26" t="n"/>
      <c r="AB471" s="86">
        <f>IF($A471="","",$A471-WEEKDAY($A471,2)+1)</f>
        <v/>
      </c>
      <c r="AC471" s="86">
        <f>IF($A471="","",DATE(YEAR($A471),MONTH($A471),1))</f>
        <v/>
      </c>
      <c r="AD471" s="90">
        <f>IF($A471="","",IFERROR($K471/$J471,0))</f>
        <v/>
      </c>
      <c r="AE471" s="90">
        <f>IF($A471="","",IFERROR($L471/$J471,0))</f>
        <v/>
      </c>
      <c r="AF471" s="90">
        <f>IF($A471="","",IFERROR($M471/$J471,0))</f>
        <v/>
      </c>
      <c r="AG471" s="88">
        <f>IF($A471="","",$N471-$O471)</f>
        <v/>
      </c>
      <c r="AH471" s="90">
        <f>IF($A471="","",IFERROR($AG471/$N471,0))</f>
        <v/>
      </c>
      <c r="AI471" s="89">
        <f>IF($A471="","",IFERROR($K471/$P471,0))</f>
        <v/>
      </c>
      <c r="AJ471" s="90">
        <f>IF($A471="","",IFERROR($S471/$R471,0))</f>
        <v/>
      </c>
      <c r="AK471" s="90">
        <f>IF($A471="","",IFERROR($T471/$J471,0))</f>
        <v/>
      </c>
      <c r="AL471" s="26">
        <f>IF($A471="","",IF(AND($AD471&gt;='01_Settings'!$B$9,$V471&lt;='01_Settings'!$B$10,$W471&lt;='01_Settings'!$B$11),"On track","Off track"))</f>
        <v/>
      </c>
      <c r="AM471" s="42">
        <f>IF($A471="","",IF($AD471&lt;'01_Settings'!$B$9,"Low completion rate; ","")&amp;IF($AE471&gt;'01_Settings'!$B$12,"High overdue rate; ","")&amp;IF($U471&lt;'01_Settings'!$B$13,"Low satisfaction; ","")&amp;IF($AH471&lt;'01_Settings'!$B$14,"Low gross margin; ","")&amp;IF($AJ471&lt;'01_Settings'!$B$15,"Low conversion rate; ","")&amp;IF($AK471&gt;'01_Settings'!$B$16,"High complaint rate; ",""))</f>
        <v/>
      </c>
    </row>
    <row r="472" ht="18" customHeight="1">
      <c r="A472" s="86" t="n"/>
      <c r="B472" s="26" t="n"/>
      <c r="C472" s="26" t="n"/>
      <c r="D472" s="26" t="n"/>
      <c r="E472" s="26" t="n"/>
      <c r="F472" s="26" t="n"/>
      <c r="G472" s="26" t="n"/>
      <c r="H472" s="26" t="n"/>
      <c r="I472" s="26" t="n"/>
      <c r="J472" s="87" t="n"/>
      <c r="K472" s="87" t="n"/>
      <c r="L472" s="87" t="n"/>
      <c r="M472" s="87" t="n"/>
      <c r="N472" s="88" t="n"/>
      <c r="O472" s="88" t="n"/>
      <c r="P472" s="89" t="n"/>
      <c r="Q472" s="87" t="n"/>
      <c r="R472" s="87" t="n"/>
      <c r="S472" s="87" t="n"/>
      <c r="T472" s="87" t="n"/>
      <c r="U472" s="89" t="n"/>
      <c r="V472" s="89" t="n"/>
      <c r="W472" s="89" t="n"/>
      <c r="X472" s="87" t="n"/>
      <c r="Y472" s="87" t="n"/>
      <c r="Z472" s="88" t="n"/>
      <c r="AA472" s="26" t="n"/>
      <c r="AB472" s="86">
        <f>IF($A472="","",$A472-WEEKDAY($A472,2)+1)</f>
        <v/>
      </c>
      <c r="AC472" s="86">
        <f>IF($A472="","",DATE(YEAR($A472),MONTH($A472),1))</f>
        <v/>
      </c>
      <c r="AD472" s="90">
        <f>IF($A472="","",IFERROR($K472/$J472,0))</f>
        <v/>
      </c>
      <c r="AE472" s="90">
        <f>IF($A472="","",IFERROR($L472/$J472,0))</f>
        <v/>
      </c>
      <c r="AF472" s="90">
        <f>IF($A472="","",IFERROR($M472/$J472,0))</f>
        <v/>
      </c>
      <c r="AG472" s="88">
        <f>IF($A472="","",$N472-$O472)</f>
        <v/>
      </c>
      <c r="AH472" s="90">
        <f>IF($A472="","",IFERROR($AG472/$N472,0))</f>
        <v/>
      </c>
      <c r="AI472" s="89">
        <f>IF($A472="","",IFERROR($K472/$P472,0))</f>
        <v/>
      </c>
      <c r="AJ472" s="90">
        <f>IF($A472="","",IFERROR($S472/$R472,0))</f>
        <v/>
      </c>
      <c r="AK472" s="90">
        <f>IF($A472="","",IFERROR($T472/$J472,0))</f>
        <v/>
      </c>
      <c r="AL472" s="26">
        <f>IF($A472="","",IF(AND($AD472&gt;='01_Settings'!$B$9,$V472&lt;='01_Settings'!$B$10,$W472&lt;='01_Settings'!$B$11),"On track","Off track"))</f>
        <v/>
      </c>
      <c r="AM472" s="42">
        <f>IF($A472="","",IF($AD472&lt;'01_Settings'!$B$9,"Low completion rate; ","")&amp;IF($AE472&gt;'01_Settings'!$B$12,"High overdue rate; ","")&amp;IF($U472&lt;'01_Settings'!$B$13,"Low satisfaction; ","")&amp;IF($AH472&lt;'01_Settings'!$B$14,"Low gross margin; ","")&amp;IF($AJ472&lt;'01_Settings'!$B$15,"Low conversion rate; ","")&amp;IF($AK472&gt;'01_Settings'!$B$16,"High complaint rate; ",""))</f>
        <v/>
      </c>
    </row>
    <row r="473" ht="18" customHeight="1">
      <c r="A473" s="86" t="n"/>
      <c r="B473" s="26" t="n"/>
      <c r="C473" s="26" t="n"/>
      <c r="D473" s="26" t="n"/>
      <c r="E473" s="26" t="n"/>
      <c r="F473" s="26" t="n"/>
      <c r="G473" s="26" t="n"/>
      <c r="H473" s="26" t="n"/>
      <c r="I473" s="26" t="n"/>
      <c r="J473" s="87" t="n"/>
      <c r="K473" s="87" t="n"/>
      <c r="L473" s="87" t="n"/>
      <c r="M473" s="87" t="n"/>
      <c r="N473" s="88" t="n"/>
      <c r="O473" s="88" t="n"/>
      <c r="P473" s="89" t="n"/>
      <c r="Q473" s="87" t="n"/>
      <c r="R473" s="87" t="n"/>
      <c r="S473" s="87" t="n"/>
      <c r="T473" s="87" t="n"/>
      <c r="U473" s="89" t="n"/>
      <c r="V473" s="89" t="n"/>
      <c r="W473" s="89" t="n"/>
      <c r="X473" s="87" t="n"/>
      <c r="Y473" s="87" t="n"/>
      <c r="Z473" s="88" t="n"/>
      <c r="AA473" s="26" t="n"/>
      <c r="AB473" s="86">
        <f>IF($A473="","",$A473-WEEKDAY($A473,2)+1)</f>
        <v/>
      </c>
      <c r="AC473" s="86">
        <f>IF($A473="","",DATE(YEAR($A473),MONTH($A473),1))</f>
        <v/>
      </c>
      <c r="AD473" s="90">
        <f>IF($A473="","",IFERROR($K473/$J473,0))</f>
        <v/>
      </c>
      <c r="AE473" s="90">
        <f>IF($A473="","",IFERROR($L473/$J473,0))</f>
        <v/>
      </c>
      <c r="AF473" s="90">
        <f>IF($A473="","",IFERROR($M473/$J473,0))</f>
        <v/>
      </c>
      <c r="AG473" s="88">
        <f>IF($A473="","",$N473-$O473)</f>
        <v/>
      </c>
      <c r="AH473" s="90">
        <f>IF($A473="","",IFERROR($AG473/$N473,0))</f>
        <v/>
      </c>
      <c r="AI473" s="89">
        <f>IF($A473="","",IFERROR($K473/$P473,0))</f>
        <v/>
      </c>
      <c r="AJ473" s="90">
        <f>IF($A473="","",IFERROR($S473/$R473,0))</f>
        <v/>
      </c>
      <c r="AK473" s="90">
        <f>IF($A473="","",IFERROR($T473/$J473,0))</f>
        <v/>
      </c>
      <c r="AL473" s="26">
        <f>IF($A473="","",IF(AND($AD473&gt;='01_Settings'!$B$9,$V473&lt;='01_Settings'!$B$10,$W473&lt;='01_Settings'!$B$11),"On track","Off track"))</f>
        <v/>
      </c>
      <c r="AM473" s="42">
        <f>IF($A473="","",IF($AD473&lt;'01_Settings'!$B$9,"Low completion rate; ","")&amp;IF($AE473&gt;'01_Settings'!$B$12,"High overdue rate; ","")&amp;IF($U473&lt;'01_Settings'!$B$13,"Low satisfaction; ","")&amp;IF($AH473&lt;'01_Settings'!$B$14,"Low gross margin; ","")&amp;IF($AJ473&lt;'01_Settings'!$B$15,"Low conversion rate; ","")&amp;IF($AK473&gt;'01_Settings'!$B$16,"High complaint rate; ",""))</f>
        <v/>
      </c>
    </row>
    <row r="474" ht="18" customHeight="1">
      <c r="A474" s="86" t="n"/>
      <c r="B474" s="26" t="n"/>
      <c r="C474" s="26" t="n"/>
      <c r="D474" s="26" t="n"/>
      <c r="E474" s="26" t="n"/>
      <c r="F474" s="26" t="n"/>
      <c r="G474" s="26" t="n"/>
      <c r="H474" s="26" t="n"/>
      <c r="I474" s="26" t="n"/>
      <c r="J474" s="87" t="n"/>
      <c r="K474" s="87" t="n"/>
      <c r="L474" s="87" t="n"/>
      <c r="M474" s="87" t="n"/>
      <c r="N474" s="88" t="n"/>
      <c r="O474" s="88" t="n"/>
      <c r="P474" s="89" t="n"/>
      <c r="Q474" s="87" t="n"/>
      <c r="R474" s="87" t="n"/>
      <c r="S474" s="87" t="n"/>
      <c r="T474" s="87" t="n"/>
      <c r="U474" s="89" t="n"/>
      <c r="V474" s="89" t="n"/>
      <c r="W474" s="89" t="n"/>
      <c r="X474" s="87" t="n"/>
      <c r="Y474" s="87" t="n"/>
      <c r="Z474" s="88" t="n"/>
      <c r="AA474" s="26" t="n"/>
      <c r="AB474" s="86">
        <f>IF($A474="","",$A474-WEEKDAY($A474,2)+1)</f>
        <v/>
      </c>
      <c r="AC474" s="86">
        <f>IF($A474="","",DATE(YEAR($A474),MONTH($A474),1))</f>
        <v/>
      </c>
      <c r="AD474" s="90">
        <f>IF($A474="","",IFERROR($K474/$J474,0))</f>
        <v/>
      </c>
      <c r="AE474" s="90">
        <f>IF($A474="","",IFERROR($L474/$J474,0))</f>
        <v/>
      </c>
      <c r="AF474" s="90">
        <f>IF($A474="","",IFERROR($M474/$J474,0))</f>
        <v/>
      </c>
      <c r="AG474" s="88">
        <f>IF($A474="","",$N474-$O474)</f>
        <v/>
      </c>
      <c r="AH474" s="90">
        <f>IF($A474="","",IFERROR($AG474/$N474,0))</f>
        <v/>
      </c>
      <c r="AI474" s="89">
        <f>IF($A474="","",IFERROR($K474/$P474,0))</f>
        <v/>
      </c>
      <c r="AJ474" s="90">
        <f>IF($A474="","",IFERROR($S474/$R474,0))</f>
        <v/>
      </c>
      <c r="AK474" s="90">
        <f>IF($A474="","",IFERROR($T474/$J474,0))</f>
        <v/>
      </c>
      <c r="AL474" s="26">
        <f>IF($A474="","",IF(AND($AD474&gt;='01_Settings'!$B$9,$V474&lt;='01_Settings'!$B$10,$W474&lt;='01_Settings'!$B$11),"On track","Off track"))</f>
        <v/>
      </c>
      <c r="AM474" s="42">
        <f>IF($A474="","",IF($AD474&lt;'01_Settings'!$B$9,"Low completion rate; ","")&amp;IF($AE474&gt;'01_Settings'!$B$12,"High overdue rate; ","")&amp;IF($U474&lt;'01_Settings'!$B$13,"Low satisfaction; ","")&amp;IF($AH474&lt;'01_Settings'!$B$14,"Low gross margin; ","")&amp;IF($AJ474&lt;'01_Settings'!$B$15,"Low conversion rate; ","")&amp;IF($AK474&gt;'01_Settings'!$B$16,"High complaint rate; ",""))</f>
        <v/>
      </c>
    </row>
    <row r="475" ht="18" customHeight="1">
      <c r="A475" s="86" t="n"/>
      <c r="B475" s="26" t="n"/>
      <c r="C475" s="26" t="n"/>
      <c r="D475" s="26" t="n"/>
      <c r="E475" s="26" t="n"/>
      <c r="F475" s="26" t="n"/>
      <c r="G475" s="26" t="n"/>
      <c r="H475" s="26" t="n"/>
      <c r="I475" s="26" t="n"/>
      <c r="J475" s="87" t="n"/>
      <c r="K475" s="87" t="n"/>
      <c r="L475" s="87" t="n"/>
      <c r="M475" s="87" t="n"/>
      <c r="N475" s="88" t="n"/>
      <c r="O475" s="88" t="n"/>
      <c r="P475" s="89" t="n"/>
      <c r="Q475" s="87" t="n"/>
      <c r="R475" s="87" t="n"/>
      <c r="S475" s="87" t="n"/>
      <c r="T475" s="87" t="n"/>
      <c r="U475" s="89" t="n"/>
      <c r="V475" s="89" t="n"/>
      <c r="W475" s="89" t="n"/>
      <c r="X475" s="87" t="n"/>
      <c r="Y475" s="87" t="n"/>
      <c r="Z475" s="88" t="n"/>
      <c r="AA475" s="26" t="n"/>
      <c r="AB475" s="86">
        <f>IF($A475="","",$A475-WEEKDAY($A475,2)+1)</f>
        <v/>
      </c>
      <c r="AC475" s="86">
        <f>IF($A475="","",DATE(YEAR($A475),MONTH($A475),1))</f>
        <v/>
      </c>
      <c r="AD475" s="90">
        <f>IF($A475="","",IFERROR($K475/$J475,0))</f>
        <v/>
      </c>
      <c r="AE475" s="90">
        <f>IF($A475="","",IFERROR($L475/$J475,0))</f>
        <v/>
      </c>
      <c r="AF475" s="90">
        <f>IF($A475="","",IFERROR($M475/$J475,0))</f>
        <v/>
      </c>
      <c r="AG475" s="88">
        <f>IF($A475="","",$N475-$O475)</f>
        <v/>
      </c>
      <c r="AH475" s="90">
        <f>IF($A475="","",IFERROR($AG475/$N475,0))</f>
        <v/>
      </c>
      <c r="AI475" s="89">
        <f>IF($A475="","",IFERROR($K475/$P475,0))</f>
        <v/>
      </c>
      <c r="AJ475" s="90">
        <f>IF($A475="","",IFERROR($S475/$R475,0))</f>
        <v/>
      </c>
      <c r="AK475" s="90">
        <f>IF($A475="","",IFERROR($T475/$J475,0))</f>
        <v/>
      </c>
      <c r="AL475" s="26">
        <f>IF($A475="","",IF(AND($AD475&gt;='01_Settings'!$B$9,$V475&lt;='01_Settings'!$B$10,$W475&lt;='01_Settings'!$B$11),"On track","Off track"))</f>
        <v/>
      </c>
      <c r="AM475" s="42">
        <f>IF($A475="","",IF($AD475&lt;'01_Settings'!$B$9,"Low completion rate; ","")&amp;IF($AE475&gt;'01_Settings'!$B$12,"High overdue rate; ","")&amp;IF($U475&lt;'01_Settings'!$B$13,"Low satisfaction; ","")&amp;IF($AH475&lt;'01_Settings'!$B$14,"Low gross margin; ","")&amp;IF($AJ475&lt;'01_Settings'!$B$15,"Low conversion rate; ","")&amp;IF($AK475&gt;'01_Settings'!$B$16,"High complaint rate; ",""))</f>
        <v/>
      </c>
    </row>
    <row r="476" ht="18" customHeight="1">
      <c r="A476" s="86" t="n"/>
      <c r="B476" s="26" t="n"/>
      <c r="C476" s="26" t="n"/>
      <c r="D476" s="26" t="n"/>
      <c r="E476" s="26" t="n"/>
      <c r="F476" s="26" t="n"/>
      <c r="G476" s="26" t="n"/>
      <c r="H476" s="26" t="n"/>
      <c r="I476" s="26" t="n"/>
      <c r="J476" s="87" t="n"/>
      <c r="K476" s="87" t="n"/>
      <c r="L476" s="87" t="n"/>
      <c r="M476" s="87" t="n"/>
      <c r="N476" s="88" t="n"/>
      <c r="O476" s="88" t="n"/>
      <c r="P476" s="89" t="n"/>
      <c r="Q476" s="87" t="n"/>
      <c r="R476" s="87" t="n"/>
      <c r="S476" s="87" t="n"/>
      <c r="T476" s="87" t="n"/>
      <c r="U476" s="89" t="n"/>
      <c r="V476" s="89" t="n"/>
      <c r="W476" s="89" t="n"/>
      <c r="X476" s="87" t="n"/>
      <c r="Y476" s="87" t="n"/>
      <c r="Z476" s="88" t="n"/>
      <c r="AA476" s="26" t="n"/>
      <c r="AB476" s="86">
        <f>IF($A476="","",$A476-WEEKDAY($A476,2)+1)</f>
        <v/>
      </c>
      <c r="AC476" s="86">
        <f>IF($A476="","",DATE(YEAR($A476),MONTH($A476),1))</f>
        <v/>
      </c>
      <c r="AD476" s="90">
        <f>IF($A476="","",IFERROR($K476/$J476,0))</f>
        <v/>
      </c>
      <c r="AE476" s="90">
        <f>IF($A476="","",IFERROR($L476/$J476,0))</f>
        <v/>
      </c>
      <c r="AF476" s="90">
        <f>IF($A476="","",IFERROR($M476/$J476,0))</f>
        <v/>
      </c>
      <c r="AG476" s="88">
        <f>IF($A476="","",$N476-$O476)</f>
        <v/>
      </c>
      <c r="AH476" s="90">
        <f>IF($A476="","",IFERROR($AG476/$N476,0))</f>
        <v/>
      </c>
      <c r="AI476" s="89">
        <f>IF($A476="","",IFERROR($K476/$P476,0))</f>
        <v/>
      </c>
      <c r="AJ476" s="90">
        <f>IF($A476="","",IFERROR($S476/$R476,0))</f>
        <v/>
      </c>
      <c r="AK476" s="90">
        <f>IF($A476="","",IFERROR($T476/$J476,0))</f>
        <v/>
      </c>
      <c r="AL476" s="26">
        <f>IF($A476="","",IF(AND($AD476&gt;='01_Settings'!$B$9,$V476&lt;='01_Settings'!$B$10,$W476&lt;='01_Settings'!$B$11),"On track","Off track"))</f>
        <v/>
      </c>
      <c r="AM476" s="42">
        <f>IF($A476="","",IF($AD476&lt;'01_Settings'!$B$9,"Low completion rate; ","")&amp;IF($AE476&gt;'01_Settings'!$B$12,"High overdue rate; ","")&amp;IF($U476&lt;'01_Settings'!$B$13,"Low satisfaction; ","")&amp;IF($AH476&lt;'01_Settings'!$B$14,"Low gross margin; ","")&amp;IF($AJ476&lt;'01_Settings'!$B$15,"Low conversion rate; ","")&amp;IF($AK476&gt;'01_Settings'!$B$16,"High complaint rate; ",""))</f>
        <v/>
      </c>
    </row>
    <row r="477" ht="18" customHeight="1">
      <c r="A477" s="86" t="n"/>
      <c r="B477" s="26" t="n"/>
      <c r="C477" s="26" t="n"/>
      <c r="D477" s="26" t="n"/>
      <c r="E477" s="26" t="n"/>
      <c r="F477" s="26" t="n"/>
      <c r="G477" s="26" t="n"/>
      <c r="H477" s="26" t="n"/>
      <c r="I477" s="26" t="n"/>
      <c r="J477" s="87" t="n"/>
      <c r="K477" s="87" t="n"/>
      <c r="L477" s="87" t="n"/>
      <c r="M477" s="87" t="n"/>
      <c r="N477" s="88" t="n"/>
      <c r="O477" s="88" t="n"/>
      <c r="P477" s="89" t="n"/>
      <c r="Q477" s="87" t="n"/>
      <c r="R477" s="87" t="n"/>
      <c r="S477" s="87" t="n"/>
      <c r="T477" s="87" t="n"/>
      <c r="U477" s="89" t="n"/>
      <c r="V477" s="89" t="n"/>
      <c r="W477" s="89" t="n"/>
      <c r="X477" s="87" t="n"/>
      <c r="Y477" s="87" t="n"/>
      <c r="Z477" s="88" t="n"/>
      <c r="AA477" s="26" t="n"/>
      <c r="AB477" s="86">
        <f>IF($A477="","",$A477-WEEKDAY($A477,2)+1)</f>
        <v/>
      </c>
      <c r="AC477" s="86">
        <f>IF($A477="","",DATE(YEAR($A477),MONTH($A477),1))</f>
        <v/>
      </c>
      <c r="AD477" s="90">
        <f>IF($A477="","",IFERROR($K477/$J477,0))</f>
        <v/>
      </c>
      <c r="AE477" s="90">
        <f>IF($A477="","",IFERROR($L477/$J477,0))</f>
        <v/>
      </c>
      <c r="AF477" s="90">
        <f>IF($A477="","",IFERROR($M477/$J477,0))</f>
        <v/>
      </c>
      <c r="AG477" s="88">
        <f>IF($A477="","",$N477-$O477)</f>
        <v/>
      </c>
      <c r="AH477" s="90">
        <f>IF($A477="","",IFERROR($AG477/$N477,0))</f>
        <v/>
      </c>
      <c r="AI477" s="89">
        <f>IF($A477="","",IFERROR($K477/$P477,0))</f>
        <v/>
      </c>
      <c r="AJ477" s="90">
        <f>IF($A477="","",IFERROR($S477/$R477,0))</f>
        <v/>
      </c>
      <c r="AK477" s="90">
        <f>IF($A477="","",IFERROR($T477/$J477,0))</f>
        <v/>
      </c>
      <c r="AL477" s="26">
        <f>IF($A477="","",IF(AND($AD477&gt;='01_Settings'!$B$9,$V477&lt;='01_Settings'!$B$10,$W477&lt;='01_Settings'!$B$11),"On track","Off track"))</f>
        <v/>
      </c>
      <c r="AM477" s="42">
        <f>IF($A477="","",IF($AD477&lt;'01_Settings'!$B$9,"Low completion rate; ","")&amp;IF($AE477&gt;'01_Settings'!$B$12,"High overdue rate; ","")&amp;IF($U477&lt;'01_Settings'!$B$13,"Low satisfaction; ","")&amp;IF($AH477&lt;'01_Settings'!$B$14,"Low gross margin; ","")&amp;IF($AJ477&lt;'01_Settings'!$B$15,"Low conversion rate; ","")&amp;IF($AK477&gt;'01_Settings'!$B$16,"High complaint rate; ",""))</f>
        <v/>
      </c>
    </row>
    <row r="478" ht="18" customHeight="1">
      <c r="A478" s="86" t="n"/>
      <c r="B478" s="26" t="n"/>
      <c r="C478" s="26" t="n"/>
      <c r="D478" s="26" t="n"/>
      <c r="E478" s="26" t="n"/>
      <c r="F478" s="26" t="n"/>
      <c r="G478" s="26" t="n"/>
      <c r="H478" s="26" t="n"/>
      <c r="I478" s="26" t="n"/>
      <c r="J478" s="87" t="n"/>
      <c r="K478" s="87" t="n"/>
      <c r="L478" s="87" t="n"/>
      <c r="M478" s="87" t="n"/>
      <c r="N478" s="88" t="n"/>
      <c r="O478" s="88" t="n"/>
      <c r="P478" s="89" t="n"/>
      <c r="Q478" s="87" t="n"/>
      <c r="R478" s="87" t="n"/>
      <c r="S478" s="87" t="n"/>
      <c r="T478" s="87" t="n"/>
      <c r="U478" s="89" t="n"/>
      <c r="V478" s="89" t="n"/>
      <c r="W478" s="89" t="n"/>
      <c r="X478" s="87" t="n"/>
      <c r="Y478" s="87" t="n"/>
      <c r="Z478" s="88" t="n"/>
      <c r="AA478" s="26" t="n"/>
      <c r="AB478" s="86">
        <f>IF($A478="","",$A478-WEEKDAY($A478,2)+1)</f>
        <v/>
      </c>
      <c r="AC478" s="86">
        <f>IF($A478="","",DATE(YEAR($A478),MONTH($A478),1))</f>
        <v/>
      </c>
      <c r="AD478" s="90">
        <f>IF($A478="","",IFERROR($K478/$J478,0))</f>
        <v/>
      </c>
      <c r="AE478" s="90">
        <f>IF($A478="","",IFERROR($L478/$J478,0))</f>
        <v/>
      </c>
      <c r="AF478" s="90">
        <f>IF($A478="","",IFERROR($M478/$J478,0))</f>
        <v/>
      </c>
      <c r="AG478" s="88">
        <f>IF($A478="","",$N478-$O478)</f>
        <v/>
      </c>
      <c r="AH478" s="90">
        <f>IF($A478="","",IFERROR($AG478/$N478,0))</f>
        <v/>
      </c>
      <c r="AI478" s="89">
        <f>IF($A478="","",IFERROR($K478/$P478,0))</f>
        <v/>
      </c>
      <c r="AJ478" s="90">
        <f>IF($A478="","",IFERROR($S478/$R478,0))</f>
        <v/>
      </c>
      <c r="AK478" s="90">
        <f>IF($A478="","",IFERROR($T478/$J478,0))</f>
        <v/>
      </c>
      <c r="AL478" s="26">
        <f>IF($A478="","",IF(AND($AD478&gt;='01_Settings'!$B$9,$V478&lt;='01_Settings'!$B$10,$W478&lt;='01_Settings'!$B$11),"On track","Off track"))</f>
        <v/>
      </c>
      <c r="AM478" s="42">
        <f>IF($A478="","",IF($AD478&lt;'01_Settings'!$B$9,"Low completion rate; ","")&amp;IF($AE478&gt;'01_Settings'!$B$12,"High overdue rate; ","")&amp;IF($U478&lt;'01_Settings'!$B$13,"Low satisfaction; ","")&amp;IF($AH478&lt;'01_Settings'!$B$14,"Low gross margin; ","")&amp;IF($AJ478&lt;'01_Settings'!$B$15,"Low conversion rate; ","")&amp;IF($AK478&gt;'01_Settings'!$B$16,"High complaint rate; ",""))</f>
        <v/>
      </c>
    </row>
    <row r="479" ht="18" customHeight="1">
      <c r="A479" s="86" t="n"/>
      <c r="B479" s="26" t="n"/>
      <c r="C479" s="26" t="n"/>
      <c r="D479" s="26" t="n"/>
      <c r="E479" s="26" t="n"/>
      <c r="F479" s="26" t="n"/>
      <c r="G479" s="26" t="n"/>
      <c r="H479" s="26" t="n"/>
      <c r="I479" s="26" t="n"/>
      <c r="J479" s="87" t="n"/>
      <c r="K479" s="87" t="n"/>
      <c r="L479" s="87" t="n"/>
      <c r="M479" s="87" t="n"/>
      <c r="N479" s="88" t="n"/>
      <c r="O479" s="88" t="n"/>
      <c r="P479" s="89" t="n"/>
      <c r="Q479" s="87" t="n"/>
      <c r="R479" s="87" t="n"/>
      <c r="S479" s="87" t="n"/>
      <c r="T479" s="87" t="n"/>
      <c r="U479" s="89" t="n"/>
      <c r="V479" s="89" t="n"/>
      <c r="W479" s="89" t="n"/>
      <c r="X479" s="87" t="n"/>
      <c r="Y479" s="87" t="n"/>
      <c r="Z479" s="88" t="n"/>
      <c r="AA479" s="26" t="n"/>
      <c r="AB479" s="86">
        <f>IF($A479="","",$A479-WEEKDAY($A479,2)+1)</f>
        <v/>
      </c>
      <c r="AC479" s="86">
        <f>IF($A479="","",DATE(YEAR($A479),MONTH($A479),1))</f>
        <v/>
      </c>
      <c r="AD479" s="90">
        <f>IF($A479="","",IFERROR($K479/$J479,0))</f>
        <v/>
      </c>
      <c r="AE479" s="90">
        <f>IF($A479="","",IFERROR($L479/$J479,0))</f>
        <v/>
      </c>
      <c r="AF479" s="90">
        <f>IF($A479="","",IFERROR($M479/$J479,0))</f>
        <v/>
      </c>
      <c r="AG479" s="88">
        <f>IF($A479="","",$N479-$O479)</f>
        <v/>
      </c>
      <c r="AH479" s="90">
        <f>IF($A479="","",IFERROR($AG479/$N479,0))</f>
        <v/>
      </c>
      <c r="AI479" s="89">
        <f>IF($A479="","",IFERROR($K479/$P479,0))</f>
        <v/>
      </c>
      <c r="AJ479" s="90">
        <f>IF($A479="","",IFERROR($S479/$R479,0))</f>
        <v/>
      </c>
      <c r="AK479" s="90">
        <f>IF($A479="","",IFERROR($T479/$J479,0))</f>
        <v/>
      </c>
      <c r="AL479" s="26">
        <f>IF($A479="","",IF(AND($AD479&gt;='01_Settings'!$B$9,$V479&lt;='01_Settings'!$B$10,$W479&lt;='01_Settings'!$B$11),"On track","Off track"))</f>
        <v/>
      </c>
      <c r="AM479" s="42">
        <f>IF($A479="","",IF($AD479&lt;'01_Settings'!$B$9,"Low completion rate; ","")&amp;IF($AE479&gt;'01_Settings'!$B$12,"High overdue rate; ","")&amp;IF($U479&lt;'01_Settings'!$B$13,"Low satisfaction; ","")&amp;IF($AH479&lt;'01_Settings'!$B$14,"Low gross margin; ","")&amp;IF($AJ479&lt;'01_Settings'!$B$15,"Low conversion rate; ","")&amp;IF($AK479&gt;'01_Settings'!$B$16,"High complaint rate; ",""))</f>
        <v/>
      </c>
    </row>
    <row r="480" ht="18" customHeight="1">
      <c r="A480" s="86" t="n"/>
      <c r="B480" s="26" t="n"/>
      <c r="C480" s="26" t="n"/>
      <c r="D480" s="26" t="n"/>
      <c r="E480" s="26" t="n"/>
      <c r="F480" s="26" t="n"/>
      <c r="G480" s="26" t="n"/>
      <c r="H480" s="26" t="n"/>
      <c r="I480" s="26" t="n"/>
      <c r="J480" s="87" t="n"/>
      <c r="K480" s="87" t="n"/>
      <c r="L480" s="87" t="n"/>
      <c r="M480" s="87" t="n"/>
      <c r="N480" s="88" t="n"/>
      <c r="O480" s="88" t="n"/>
      <c r="P480" s="89" t="n"/>
      <c r="Q480" s="87" t="n"/>
      <c r="R480" s="87" t="n"/>
      <c r="S480" s="87" t="n"/>
      <c r="T480" s="87" t="n"/>
      <c r="U480" s="89" t="n"/>
      <c r="V480" s="89" t="n"/>
      <c r="W480" s="89" t="n"/>
      <c r="X480" s="87" t="n"/>
      <c r="Y480" s="87" t="n"/>
      <c r="Z480" s="88" t="n"/>
      <c r="AA480" s="26" t="n"/>
      <c r="AB480" s="86">
        <f>IF($A480="","",$A480-WEEKDAY($A480,2)+1)</f>
        <v/>
      </c>
      <c r="AC480" s="86">
        <f>IF($A480="","",DATE(YEAR($A480),MONTH($A480),1))</f>
        <v/>
      </c>
      <c r="AD480" s="90">
        <f>IF($A480="","",IFERROR($K480/$J480,0))</f>
        <v/>
      </c>
      <c r="AE480" s="90">
        <f>IF($A480="","",IFERROR($L480/$J480,0))</f>
        <v/>
      </c>
      <c r="AF480" s="90">
        <f>IF($A480="","",IFERROR($M480/$J480,0))</f>
        <v/>
      </c>
      <c r="AG480" s="88">
        <f>IF($A480="","",$N480-$O480)</f>
        <v/>
      </c>
      <c r="AH480" s="90">
        <f>IF($A480="","",IFERROR($AG480/$N480,0))</f>
        <v/>
      </c>
      <c r="AI480" s="89">
        <f>IF($A480="","",IFERROR($K480/$P480,0))</f>
        <v/>
      </c>
      <c r="AJ480" s="90">
        <f>IF($A480="","",IFERROR($S480/$R480,0))</f>
        <v/>
      </c>
      <c r="AK480" s="90">
        <f>IF($A480="","",IFERROR($T480/$J480,0))</f>
        <v/>
      </c>
      <c r="AL480" s="26">
        <f>IF($A480="","",IF(AND($AD480&gt;='01_Settings'!$B$9,$V480&lt;='01_Settings'!$B$10,$W480&lt;='01_Settings'!$B$11),"On track","Off track"))</f>
        <v/>
      </c>
      <c r="AM480" s="42">
        <f>IF($A480="","",IF($AD480&lt;'01_Settings'!$B$9,"Low completion rate; ","")&amp;IF($AE480&gt;'01_Settings'!$B$12,"High overdue rate; ","")&amp;IF($U480&lt;'01_Settings'!$B$13,"Low satisfaction; ","")&amp;IF($AH480&lt;'01_Settings'!$B$14,"Low gross margin; ","")&amp;IF($AJ480&lt;'01_Settings'!$B$15,"Low conversion rate; ","")&amp;IF($AK480&gt;'01_Settings'!$B$16,"High complaint rate; ",""))</f>
        <v/>
      </c>
    </row>
    <row r="481" ht="18" customHeight="1">
      <c r="A481" s="86" t="n"/>
      <c r="B481" s="26" t="n"/>
      <c r="C481" s="26" t="n"/>
      <c r="D481" s="26" t="n"/>
      <c r="E481" s="26" t="n"/>
      <c r="F481" s="26" t="n"/>
      <c r="G481" s="26" t="n"/>
      <c r="H481" s="26" t="n"/>
      <c r="I481" s="26" t="n"/>
      <c r="J481" s="87" t="n"/>
      <c r="K481" s="87" t="n"/>
      <c r="L481" s="87" t="n"/>
      <c r="M481" s="87" t="n"/>
      <c r="N481" s="88" t="n"/>
      <c r="O481" s="88" t="n"/>
      <c r="P481" s="89" t="n"/>
      <c r="Q481" s="87" t="n"/>
      <c r="R481" s="87" t="n"/>
      <c r="S481" s="87" t="n"/>
      <c r="T481" s="87" t="n"/>
      <c r="U481" s="89" t="n"/>
      <c r="V481" s="89" t="n"/>
      <c r="W481" s="89" t="n"/>
      <c r="X481" s="87" t="n"/>
      <c r="Y481" s="87" t="n"/>
      <c r="Z481" s="88" t="n"/>
      <c r="AA481" s="26" t="n"/>
      <c r="AB481" s="86">
        <f>IF($A481="","",$A481-WEEKDAY($A481,2)+1)</f>
        <v/>
      </c>
      <c r="AC481" s="86">
        <f>IF($A481="","",DATE(YEAR($A481),MONTH($A481),1))</f>
        <v/>
      </c>
      <c r="AD481" s="90">
        <f>IF($A481="","",IFERROR($K481/$J481,0))</f>
        <v/>
      </c>
      <c r="AE481" s="90">
        <f>IF($A481="","",IFERROR($L481/$J481,0))</f>
        <v/>
      </c>
      <c r="AF481" s="90">
        <f>IF($A481="","",IFERROR($M481/$J481,0))</f>
        <v/>
      </c>
      <c r="AG481" s="88">
        <f>IF($A481="","",$N481-$O481)</f>
        <v/>
      </c>
      <c r="AH481" s="90">
        <f>IF($A481="","",IFERROR($AG481/$N481,0))</f>
        <v/>
      </c>
      <c r="AI481" s="89">
        <f>IF($A481="","",IFERROR($K481/$P481,0))</f>
        <v/>
      </c>
      <c r="AJ481" s="90">
        <f>IF($A481="","",IFERROR($S481/$R481,0))</f>
        <v/>
      </c>
      <c r="AK481" s="90">
        <f>IF($A481="","",IFERROR($T481/$J481,0))</f>
        <v/>
      </c>
      <c r="AL481" s="26">
        <f>IF($A481="","",IF(AND($AD481&gt;='01_Settings'!$B$9,$V481&lt;='01_Settings'!$B$10,$W481&lt;='01_Settings'!$B$11),"On track","Off track"))</f>
        <v/>
      </c>
      <c r="AM481" s="42">
        <f>IF($A481="","",IF($AD481&lt;'01_Settings'!$B$9,"Low completion rate; ","")&amp;IF($AE481&gt;'01_Settings'!$B$12,"High overdue rate; ","")&amp;IF($U481&lt;'01_Settings'!$B$13,"Low satisfaction; ","")&amp;IF($AH481&lt;'01_Settings'!$B$14,"Low gross margin; ","")&amp;IF($AJ481&lt;'01_Settings'!$B$15,"Low conversion rate; ","")&amp;IF($AK481&gt;'01_Settings'!$B$16,"High complaint rate; ",""))</f>
        <v/>
      </c>
    </row>
    <row r="482" ht="18" customHeight="1">
      <c r="A482" s="86" t="n"/>
      <c r="B482" s="26" t="n"/>
      <c r="C482" s="26" t="n"/>
      <c r="D482" s="26" t="n"/>
      <c r="E482" s="26" t="n"/>
      <c r="F482" s="26" t="n"/>
      <c r="G482" s="26" t="n"/>
      <c r="H482" s="26" t="n"/>
      <c r="I482" s="26" t="n"/>
      <c r="J482" s="87" t="n"/>
      <c r="K482" s="87" t="n"/>
      <c r="L482" s="87" t="n"/>
      <c r="M482" s="87" t="n"/>
      <c r="N482" s="88" t="n"/>
      <c r="O482" s="88" t="n"/>
      <c r="P482" s="89" t="n"/>
      <c r="Q482" s="87" t="n"/>
      <c r="R482" s="87" t="n"/>
      <c r="S482" s="87" t="n"/>
      <c r="T482" s="87" t="n"/>
      <c r="U482" s="89" t="n"/>
      <c r="V482" s="89" t="n"/>
      <c r="W482" s="89" t="n"/>
      <c r="X482" s="87" t="n"/>
      <c r="Y482" s="87" t="n"/>
      <c r="Z482" s="88" t="n"/>
      <c r="AA482" s="26" t="n"/>
      <c r="AB482" s="86">
        <f>IF($A482="","",$A482-WEEKDAY($A482,2)+1)</f>
        <v/>
      </c>
      <c r="AC482" s="86">
        <f>IF($A482="","",DATE(YEAR($A482),MONTH($A482),1))</f>
        <v/>
      </c>
      <c r="AD482" s="90">
        <f>IF($A482="","",IFERROR($K482/$J482,0))</f>
        <v/>
      </c>
      <c r="AE482" s="90">
        <f>IF($A482="","",IFERROR($L482/$J482,0))</f>
        <v/>
      </c>
      <c r="AF482" s="90">
        <f>IF($A482="","",IFERROR($M482/$J482,0))</f>
        <v/>
      </c>
      <c r="AG482" s="88">
        <f>IF($A482="","",$N482-$O482)</f>
        <v/>
      </c>
      <c r="AH482" s="90">
        <f>IF($A482="","",IFERROR($AG482/$N482,0))</f>
        <v/>
      </c>
      <c r="AI482" s="89">
        <f>IF($A482="","",IFERROR($K482/$P482,0))</f>
        <v/>
      </c>
      <c r="AJ482" s="90">
        <f>IF($A482="","",IFERROR($S482/$R482,0))</f>
        <v/>
      </c>
      <c r="AK482" s="90">
        <f>IF($A482="","",IFERROR($T482/$J482,0))</f>
        <v/>
      </c>
      <c r="AL482" s="26">
        <f>IF($A482="","",IF(AND($AD482&gt;='01_Settings'!$B$9,$V482&lt;='01_Settings'!$B$10,$W482&lt;='01_Settings'!$B$11),"On track","Off track"))</f>
        <v/>
      </c>
      <c r="AM482" s="42">
        <f>IF($A482="","",IF($AD482&lt;'01_Settings'!$B$9,"Low completion rate; ","")&amp;IF($AE482&gt;'01_Settings'!$B$12,"High overdue rate; ","")&amp;IF($U482&lt;'01_Settings'!$B$13,"Low satisfaction; ","")&amp;IF($AH482&lt;'01_Settings'!$B$14,"Low gross margin; ","")&amp;IF($AJ482&lt;'01_Settings'!$B$15,"Low conversion rate; ","")&amp;IF($AK482&gt;'01_Settings'!$B$16,"High complaint rate; ",""))</f>
        <v/>
      </c>
    </row>
    <row r="483" ht="18" customHeight="1">
      <c r="A483" s="86" t="n"/>
      <c r="B483" s="26" t="n"/>
      <c r="C483" s="26" t="n"/>
      <c r="D483" s="26" t="n"/>
      <c r="E483" s="26" t="n"/>
      <c r="F483" s="26" t="n"/>
      <c r="G483" s="26" t="n"/>
      <c r="H483" s="26" t="n"/>
      <c r="I483" s="26" t="n"/>
      <c r="J483" s="87" t="n"/>
      <c r="K483" s="87" t="n"/>
      <c r="L483" s="87" t="n"/>
      <c r="M483" s="87" t="n"/>
      <c r="N483" s="88" t="n"/>
      <c r="O483" s="88" t="n"/>
      <c r="P483" s="89" t="n"/>
      <c r="Q483" s="87" t="n"/>
      <c r="R483" s="87" t="n"/>
      <c r="S483" s="87" t="n"/>
      <c r="T483" s="87" t="n"/>
      <c r="U483" s="89" t="n"/>
      <c r="V483" s="89" t="n"/>
      <c r="W483" s="89" t="n"/>
      <c r="X483" s="87" t="n"/>
      <c r="Y483" s="87" t="n"/>
      <c r="Z483" s="88" t="n"/>
      <c r="AA483" s="26" t="n"/>
      <c r="AB483" s="86">
        <f>IF($A483="","",$A483-WEEKDAY($A483,2)+1)</f>
        <v/>
      </c>
      <c r="AC483" s="86">
        <f>IF($A483="","",DATE(YEAR($A483),MONTH($A483),1))</f>
        <v/>
      </c>
      <c r="AD483" s="90">
        <f>IF($A483="","",IFERROR($K483/$J483,0))</f>
        <v/>
      </c>
      <c r="AE483" s="90">
        <f>IF($A483="","",IFERROR($L483/$J483,0))</f>
        <v/>
      </c>
      <c r="AF483" s="90">
        <f>IF($A483="","",IFERROR($M483/$J483,0))</f>
        <v/>
      </c>
      <c r="AG483" s="88">
        <f>IF($A483="","",$N483-$O483)</f>
        <v/>
      </c>
      <c r="AH483" s="90">
        <f>IF($A483="","",IFERROR($AG483/$N483,0))</f>
        <v/>
      </c>
      <c r="AI483" s="89">
        <f>IF($A483="","",IFERROR($K483/$P483,0))</f>
        <v/>
      </c>
      <c r="AJ483" s="90">
        <f>IF($A483="","",IFERROR($S483/$R483,0))</f>
        <v/>
      </c>
      <c r="AK483" s="90">
        <f>IF($A483="","",IFERROR($T483/$J483,0))</f>
        <v/>
      </c>
      <c r="AL483" s="26">
        <f>IF($A483="","",IF(AND($AD483&gt;='01_Settings'!$B$9,$V483&lt;='01_Settings'!$B$10,$W483&lt;='01_Settings'!$B$11),"On track","Off track"))</f>
        <v/>
      </c>
      <c r="AM483" s="42">
        <f>IF($A483="","",IF($AD483&lt;'01_Settings'!$B$9,"Low completion rate; ","")&amp;IF($AE483&gt;'01_Settings'!$B$12,"High overdue rate; ","")&amp;IF($U483&lt;'01_Settings'!$B$13,"Low satisfaction; ","")&amp;IF($AH483&lt;'01_Settings'!$B$14,"Low gross margin; ","")&amp;IF($AJ483&lt;'01_Settings'!$B$15,"Low conversion rate; ","")&amp;IF($AK483&gt;'01_Settings'!$B$16,"High complaint rate; ",""))</f>
        <v/>
      </c>
    </row>
    <row r="484" ht="18" customHeight="1">
      <c r="A484" s="86" t="n"/>
      <c r="B484" s="26" t="n"/>
      <c r="C484" s="26" t="n"/>
      <c r="D484" s="26" t="n"/>
      <c r="E484" s="26" t="n"/>
      <c r="F484" s="26" t="n"/>
      <c r="G484" s="26" t="n"/>
      <c r="H484" s="26" t="n"/>
      <c r="I484" s="26" t="n"/>
      <c r="J484" s="87" t="n"/>
      <c r="K484" s="87" t="n"/>
      <c r="L484" s="87" t="n"/>
      <c r="M484" s="87" t="n"/>
      <c r="N484" s="88" t="n"/>
      <c r="O484" s="88" t="n"/>
      <c r="P484" s="89" t="n"/>
      <c r="Q484" s="87" t="n"/>
      <c r="R484" s="87" t="n"/>
      <c r="S484" s="87" t="n"/>
      <c r="T484" s="87" t="n"/>
      <c r="U484" s="89" t="n"/>
      <c r="V484" s="89" t="n"/>
      <c r="W484" s="89" t="n"/>
      <c r="X484" s="87" t="n"/>
      <c r="Y484" s="87" t="n"/>
      <c r="Z484" s="88" t="n"/>
      <c r="AA484" s="26" t="n"/>
      <c r="AB484" s="86">
        <f>IF($A484="","",$A484-WEEKDAY($A484,2)+1)</f>
        <v/>
      </c>
      <c r="AC484" s="86">
        <f>IF($A484="","",DATE(YEAR($A484),MONTH($A484),1))</f>
        <v/>
      </c>
      <c r="AD484" s="90">
        <f>IF($A484="","",IFERROR($K484/$J484,0))</f>
        <v/>
      </c>
      <c r="AE484" s="90">
        <f>IF($A484="","",IFERROR($L484/$J484,0))</f>
        <v/>
      </c>
      <c r="AF484" s="90">
        <f>IF($A484="","",IFERROR($M484/$J484,0))</f>
        <v/>
      </c>
      <c r="AG484" s="88">
        <f>IF($A484="","",$N484-$O484)</f>
        <v/>
      </c>
      <c r="AH484" s="90">
        <f>IF($A484="","",IFERROR($AG484/$N484,0))</f>
        <v/>
      </c>
      <c r="AI484" s="89">
        <f>IF($A484="","",IFERROR($K484/$P484,0))</f>
        <v/>
      </c>
      <c r="AJ484" s="90">
        <f>IF($A484="","",IFERROR($S484/$R484,0))</f>
        <v/>
      </c>
      <c r="AK484" s="90">
        <f>IF($A484="","",IFERROR($T484/$J484,0))</f>
        <v/>
      </c>
      <c r="AL484" s="26">
        <f>IF($A484="","",IF(AND($AD484&gt;='01_Settings'!$B$9,$V484&lt;='01_Settings'!$B$10,$W484&lt;='01_Settings'!$B$11),"On track","Off track"))</f>
        <v/>
      </c>
      <c r="AM484" s="42">
        <f>IF($A484="","",IF($AD484&lt;'01_Settings'!$B$9,"Low completion rate; ","")&amp;IF($AE484&gt;'01_Settings'!$B$12,"High overdue rate; ","")&amp;IF($U484&lt;'01_Settings'!$B$13,"Low satisfaction; ","")&amp;IF($AH484&lt;'01_Settings'!$B$14,"Low gross margin; ","")&amp;IF($AJ484&lt;'01_Settings'!$B$15,"Low conversion rate; ","")&amp;IF($AK484&gt;'01_Settings'!$B$16,"High complaint rate; ",""))</f>
        <v/>
      </c>
    </row>
    <row r="485" ht="18" customHeight="1">
      <c r="A485" s="86" t="n"/>
      <c r="B485" s="26" t="n"/>
      <c r="C485" s="26" t="n"/>
      <c r="D485" s="26" t="n"/>
      <c r="E485" s="26" t="n"/>
      <c r="F485" s="26" t="n"/>
      <c r="G485" s="26" t="n"/>
      <c r="H485" s="26" t="n"/>
      <c r="I485" s="26" t="n"/>
      <c r="J485" s="87" t="n"/>
      <c r="K485" s="87" t="n"/>
      <c r="L485" s="87" t="n"/>
      <c r="M485" s="87" t="n"/>
      <c r="N485" s="88" t="n"/>
      <c r="O485" s="88" t="n"/>
      <c r="P485" s="89" t="n"/>
      <c r="Q485" s="87" t="n"/>
      <c r="R485" s="87" t="n"/>
      <c r="S485" s="87" t="n"/>
      <c r="T485" s="87" t="n"/>
      <c r="U485" s="89" t="n"/>
      <c r="V485" s="89" t="n"/>
      <c r="W485" s="89" t="n"/>
      <c r="X485" s="87" t="n"/>
      <c r="Y485" s="87" t="n"/>
      <c r="Z485" s="88" t="n"/>
      <c r="AA485" s="26" t="n"/>
      <c r="AB485" s="86">
        <f>IF($A485="","",$A485-WEEKDAY($A485,2)+1)</f>
        <v/>
      </c>
      <c r="AC485" s="86">
        <f>IF($A485="","",DATE(YEAR($A485),MONTH($A485),1))</f>
        <v/>
      </c>
      <c r="AD485" s="90">
        <f>IF($A485="","",IFERROR($K485/$J485,0))</f>
        <v/>
      </c>
      <c r="AE485" s="90">
        <f>IF($A485="","",IFERROR($L485/$J485,0))</f>
        <v/>
      </c>
      <c r="AF485" s="90">
        <f>IF($A485="","",IFERROR($M485/$J485,0))</f>
        <v/>
      </c>
      <c r="AG485" s="88">
        <f>IF($A485="","",$N485-$O485)</f>
        <v/>
      </c>
      <c r="AH485" s="90">
        <f>IF($A485="","",IFERROR($AG485/$N485,0))</f>
        <v/>
      </c>
      <c r="AI485" s="89">
        <f>IF($A485="","",IFERROR($K485/$P485,0))</f>
        <v/>
      </c>
      <c r="AJ485" s="90">
        <f>IF($A485="","",IFERROR($S485/$R485,0))</f>
        <v/>
      </c>
      <c r="AK485" s="90">
        <f>IF($A485="","",IFERROR($T485/$J485,0))</f>
        <v/>
      </c>
      <c r="AL485" s="26">
        <f>IF($A485="","",IF(AND($AD485&gt;='01_Settings'!$B$9,$V485&lt;='01_Settings'!$B$10,$W485&lt;='01_Settings'!$B$11),"On track","Off track"))</f>
        <v/>
      </c>
      <c r="AM485" s="42">
        <f>IF($A485="","",IF($AD485&lt;'01_Settings'!$B$9,"Low completion rate; ","")&amp;IF($AE485&gt;'01_Settings'!$B$12,"High overdue rate; ","")&amp;IF($U485&lt;'01_Settings'!$B$13,"Low satisfaction; ","")&amp;IF($AH485&lt;'01_Settings'!$B$14,"Low gross margin; ","")&amp;IF($AJ485&lt;'01_Settings'!$B$15,"Low conversion rate; ","")&amp;IF($AK485&gt;'01_Settings'!$B$16,"High complaint rate; ",""))</f>
        <v/>
      </c>
    </row>
    <row r="486" ht="18" customHeight="1">
      <c r="A486" s="86" t="n"/>
      <c r="B486" s="26" t="n"/>
      <c r="C486" s="26" t="n"/>
      <c r="D486" s="26" t="n"/>
      <c r="E486" s="26" t="n"/>
      <c r="F486" s="26" t="n"/>
      <c r="G486" s="26" t="n"/>
      <c r="H486" s="26" t="n"/>
      <c r="I486" s="26" t="n"/>
      <c r="J486" s="87" t="n"/>
      <c r="K486" s="87" t="n"/>
      <c r="L486" s="87" t="n"/>
      <c r="M486" s="87" t="n"/>
      <c r="N486" s="88" t="n"/>
      <c r="O486" s="88" t="n"/>
      <c r="P486" s="89" t="n"/>
      <c r="Q486" s="87" t="n"/>
      <c r="R486" s="87" t="n"/>
      <c r="S486" s="87" t="n"/>
      <c r="T486" s="87" t="n"/>
      <c r="U486" s="89" t="n"/>
      <c r="V486" s="89" t="n"/>
      <c r="W486" s="89" t="n"/>
      <c r="X486" s="87" t="n"/>
      <c r="Y486" s="87" t="n"/>
      <c r="Z486" s="88" t="n"/>
      <c r="AA486" s="26" t="n"/>
      <c r="AB486" s="86">
        <f>IF($A486="","",$A486-WEEKDAY($A486,2)+1)</f>
        <v/>
      </c>
      <c r="AC486" s="86">
        <f>IF($A486="","",DATE(YEAR($A486),MONTH($A486),1))</f>
        <v/>
      </c>
      <c r="AD486" s="90">
        <f>IF($A486="","",IFERROR($K486/$J486,0))</f>
        <v/>
      </c>
      <c r="AE486" s="90">
        <f>IF($A486="","",IFERROR($L486/$J486,0))</f>
        <v/>
      </c>
      <c r="AF486" s="90">
        <f>IF($A486="","",IFERROR($M486/$J486,0))</f>
        <v/>
      </c>
      <c r="AG486" s="88">
        <f>IF($A486="","",$N486-$O486)</f>
        <v/>
      </c>
      <c r="AH486" s="90">
        <f>IF($A486="","",IFERROR($AG486/$N486,0))</f>
        <v/>
      </c>
      <c r="AI486" s="89">
        <f>IF($A486="","",IFERROR($K486/$P486,0))</f>
        <v/>
      </c>
      <c r="AJ486" s="90">
        <f>IF($A486="","",IFERROR($S486/$R486,0))</f>
        <v/>
      </c>
      <c r="AK486" s="90">
        <f>IF($A486="","",IFERROR($T486/$J486,0))</f>
        <v/>
      </c>
      <c r="AL486" s="26">
        <f>IF($A486="","",IF(AND($AD486&gt;='01_Settings'!$B$9,$V486&lt;='01_Settings'!$B$10,$W486&lt;='01_Settings'!$B$11),"On track","Off track"))</f>
        <v/>
      </c>
      <c r="AM486" s="42">
        <f>IF($A486="","",IF($AD486&lt;'01_Settings'!$B$9,"Low completion rate; ","")&amp;IF($AE486&gt;'01_Settings'!$B$12,"High overdue rate; ","")&amp;IF($U486&lt;'01_Settings'!$B$13,"Low satisfaction; ","")&amp;IF($AH486&lt;'01_Settings'!$B$14,"Low gross margin; ","")&amp;IF($AJ486&lt;'01_Settings'!$B$15,"Low conversion rate; ","")&amp;IF($AK486&gt;'01_Settings'!$B$16,"High complaint rate; ",""))</f>
        <v/>
      </c>
    </row>
    <row r="487" ht="18" customHeight="1">
      <c r="A487" s="86" t="n"/>
      <c r="B487" s="26" t="n"/>
      <c r="C487" s="26" t="n"/>
      <c r="D487" s="26" t="n"/>
      <c r="E487" s="26" t="n"/>
      <c r="F487" s="26" t="n"/>
      <c r="G487" s="26" t="n"/>
      <c r="H487" s="26" t="n"/>
      <c r="I487" s="26" t="n"/>
      <c r="J487" s="87" t="n"/>
      <c r="K487" s="87" t="n"/>
      <c r="L487" s="87" t="n"/>
      <c r="M487" s="87" t="n"/>
      <c r="N487" s="88" t="n"/>
      <c r="O487" s="88" t="n"/>
      <c r="P487" s="89" t="n"/>
      <c r="Q487" s="87" t="n"/>
      <c r="R487" s="87" t="n"/>
      <c r="S487" s="87" t="n"/>
      <c r="T487" s="87" t="n"/>
      <c r="U487" s="89" t="n"/>
      <c r="V487" s="89" t="n"/>
      <c r="W487" s="89" t="n"/>
      <c r="X487" s="87" t="n"/>
      <c r="Y487" s="87" t="n"/>
      <c r="Z487" s="88" t="n"/>
      <c r="AA487" s="26" t="n"/>
      <c r="AB487" s="86">
        <f>IF($A487="","",$A487-WEEKDAY($A487,2)+1)</f>
        <v/>
      </c>
      <c r="AC487" s="86">
        <f>IF($A487="","",DATE(YEAR($A487),MONTH($A487),1))</f>
        <v/>
      </c>
      <c r="AD487" s="90">
        <f>IF($A487="","",IFERROR($K487/$J487,0))</f>
        <v/>
      </c>
      <c r="AE487" s="90">
        <f>IF($A487="","",IFERROR($L487/$J487,0))</f>
        <v/>
      </c>
      <c r="AF487" s="90">
        <f>IF($A487="","",IFERROR($M487/$J487,0))</f>
        <v/>
      </c>
      <c r="AG487" s="88">
        <f>IF($A487="","",$N487-$O487)</f>
        <v/>
      </c>
      <c r="AH487" s="90">
        <f>IF($A487="","",IFERROR($AG487/$N487,0))</f>
        <v/>
      </c>
      <c r="AI487" s="89">
        <f>IF($A487="","",IFERROR($K487/$P487,0))</f>
        <v/>
      </c>
      <c r="AJ487" s="90">
        <f>IF($A487="","",IFERROR($S487/$R487,0))</f>
        <v/>
      </c>
      <c r="AK487" s="90">
        <f>IF($A487="","",IFERROR($T487/$J487,0))</f>
        <v/>
      </c>
      <c r="AL487" s="26">
        <f>IF($A487="","",IF(AND($AD487&gt;='01_Settings'!$B$9,$V487&lt;='01_Settings'!$B$10,$W487&lt;='01_Settings'!$B$11),"On track","Off track"))</f>
        <v/>
      </c>
      <c r="AM487" s="42">
        <f>IF($A487="","",IF($AD487&lt;'01_Settings'!$B$9,"Low completion rate; ","")&amp;IF($AE487&gt;'01_Settings'!$B$12,"High overdue rate; ","")&amp;IF($U487&lt;'01_Settings'!$B$13,"Low satisfaction; ","")&amp;IF($AH487&lt;'01_Settings'!$B$14,"Low gross margin; ","")&amp;IF($AJ487&lt;'01_Settings'!$B$15,"Low conversion rate; ","")&amp;IF($AK487&gt;'01_Settings'!$B$16,"High complaint rate; ",""))</f>
        <v/>
      </c>
    </row>
    <row r="488" ht="18" customHeight="1">
      <c r="A488" s="86" t="n"/>
      <c r="B488" s="26" t="n"/>
      <c r="C488" s="26" t="n"/>
      <c r="D488" s="26" t="n"/>
      <c r="E488" s="26" t="n"/>
      <c r="F488" s="26" t="n"/>
      <c r="G488" s="26" t="n"/>
      <c r="H488" s="26" t="n"/>
      <c r="I488" s="26" t="n"/>
      <c r="J488" s="87" t="n"/>
      <c r="K488" s="87" t="n"/>
      <c r="L488" s="87" t="n"/>
      <c r="M488" s="87" t="n"/>
      <c r="N488" s="88" t="n"/>
      <c r="O488" s="88" t="n"/>
      <c r="P488" s="89" t="n"/>
      <c r="Q488" s="87" t="n"/>
      <c r="R488" s="87" t="n"/>
      <c r="S488" s="87" t="n"/>
      <c r="T488" s="87" t="n"/>
      <c r="U488" s="89" t="n"/>
      <c r="V488" s="89" t="n"/>
      <c r="W488" s="89" t="n"/>
      <c r="X488" s="87" t="n"/>
      <c r="Y488" s="87" t="n"/>
      <c r="Z488" s="88" t="n"/>
      <c r="AA488" s="26" t="n"/>
      <c r="AB488" s="86">
        <f>IF($A488="","",$A488-WEEKDAY($A488,2)+1)</f>
        <v/>
      </c>
      <c r="AC488" s="86">
        <f>IF($A488="","",DATE(YEAR($A488),MONTH($A488),1))</f>
        <v/>
      </c>
      <c r="AD488" s="90">
        <f>IF($A488="","",IFERROR($K488/$J488,0))</f>
        <v/>
      </c>
      <c r="AE488" s="90">
        <f>IF($A488="","",IFERROR($L488/$J488,0))</f>
        <v/>
      </c>
      <c r="AF488" s="90">
        <f>IF($A488="","",IFERROR($M488/$J488,0))</f>
        <v/>
      </c>
      <c r="AG488" s="88">
        <f>IF($A488="","",$N488-$O488)</f>
        <v/>
      </c>
      <c r="AH488" s="90">
        <f>IF($A488="","",IFERROR($AG488/$N488,0))</f>
        <v/>
      </c>
      <c r="AI488" s="89">
        <f>IF($A488="","",IFERROR($K488/$P488,0))</f>
        <v/>
      </c>
      <c r="AJ488" s="90">
        <f>IF($A488="","",IFERROR($S488/$R488,0))</f>
        <v/>
      </c>
      <c r="AK488" s="90">
        <f>IF($A488="","",IFERROR($T488/$J488,0))</f>
        <v/>
      </c>
      <c r="AL488" s="26">
        <f>IF($A488="","",IF(AND($AD488&gt;='01_Settings'!$B$9,$V488&lt;='01_Settings'!$B$10,$W488&lt;='01_Settings'!$B$11),"On track","Off track"))</f>
        <v/>
      </c>
      <c r="AM488" s="42">
        <f>IF($A488="","",IF($AD488&lt;'01_Settings'!$B$9,"Low completion rate; ","")&amp;IF($AE488&gt;'01_Settings'!$B$12,"High overdue rate; ","")&amp;IF($U488&lt;'01_Settings'!$B$13,"Low satisfaction; ","")&amp;IF($AH488&lt;'01_Settings'!$B$14,"Low gross margin; ","")&amp;IF($AJ488&lt;'01_Settings'!$B$15,"Low conversion rate; ","")&amp;IF($AK488&gt;'01_Settings'!$B$16,"High complaint rate; ",""))</f>
        <v/>
      </c>
    </row>
    <row r="489" ht="18" customHeight="1">
      <c r="A489" s="86" t="n"/>
      <c r="B489" s="26" t="n"/>
      <c r="C489" s="26" t="n"/>
      <c r="D489" s="26" t="n"/>
      <c r="E489" s="26" t="n"/>
      <c r="F489" s="26" t="n"/>
      <c r="G489" s="26" t="n"/>
      <c r="H489" s="26" t="n"/>
      <c r="I489" s="26" t="n"/>
      <c r="J489" s="87" t="n"/>
      <c r="K489" s="87" t="n"/>
      <c r="L489" s="87" t="n"/>
      <c r="M489" s="87" t="n"/>
      <c r="N489" s="88" t="n"/>
      <c r="O489" s="88" t="n"/>
      <c r="P489" s="89" t="n"/>
      <c r="Q489" s="87" t="n"/>
      <c r="R489" s="87" t="n"/>
      <c r="S489" s="87" t="n"/>
      <c r="T489" s="87" t="n"/>
      <c r="U489" s="89" t="n"/>
      <c r="V489" s="89" t="n"/>
      <c r="W489" s="89" t="n"/>
      <c r="X489" s="87" t="n"/>
      <c r="Y489" s="87" t="n"/>
      <c r="Z489" s="88" t="n"/>
      <c r="AA489" s="26" t="n"/>
      <c r="AB489" s="86">
        <f>IF($A489="","",$A489-WEEKDAY($A489,2)+1)</f>
        <v/>
      </c>
      <c r="AC489" s="86">
        <f>IF($A489="","",DATE(YEAR($A489),MONTH($A489),1))</f>
        <v/>
      </c>
      <c r="AD489" s="90">
        <f>IF($A489="","",IFERROR($K489/$J489,0))</f>
        <v/>
      </c>
      <c r="AE489" s="90">
        <f>IF($A489="","",IFERROR($L489/$J489,0))</f>
        <v/>
      </c>
      <c r="AF489" s="90">
        <f>IF($A489="","",IFERROR($M489/$J489,0))</f>
        <v/>
      </c>
      <c r="AG489" s="88">
        <f>IF($A489="","",$N489-$O489)</f>
        <v/>
      </c>
      <c r="AH489" s="90">
        <f>IF($A489="","",IFERROR($AG489/$N489,0))</f>
        <v/>
      </c>
      <c r="AI489" s="89">
        <f>IF($A489="","",IFERROR($K489/$P489,0))</f>
        <v/>
      </c>
      <c r="AJ489" s="90">
        <f>IF($A489="","",IFERROR($S489/$R489,0))</f>
        <v/>
      </c>
      <c r="AK489" s="90">
        <f>IF($A489="","",IFERROR($T489/$J489,0))</f>
        <v/>
      </c>
      <c r="AL489" s="26">
        <f>IF($A489="","",IF(AND($AD489&gt;='01_Settings'!$B$9,$V489&lt;='01_Settings'!$B$10,$W489&lt;='01_Settings'!$B$11),"On track","Off track"))</f>
        <v/>
      </c>
      <c r="AM489" s="42">
        <f>IF($A489="","",IF($AD489&lt;'01_Settings'!$B$9,"Low completion rate; ","")&amp;IF($AE489&gt;'01_Settings'!$B$12,"High overdue rate; ","")&amp;IF($U489&lt;'01_Settings'!$B$13,"Low satisfaction; ","")&amp;IF($AH489&lt;'01_Settings'!$B$14,"Low gross margin; ","")&amp;IF($AJ489&lt;'01_Settings'!$B$15,"Low conversion rate; ","")&amp;IF($AK489&gt;'01_Settings'!$B$16,"High complaint rate; ",""))</f>
        <v/>
      </c>
    </row>
    <row r="490" ht="18" customHeight="1">
      <c r="A490" s="86" t="n"/>
      <c r="B490" s="26" t="n"/>
      <c r="C490" s="26" t="n"/>
      <c r="D490" s="26" t="n"/>
      <c r="E490" s="26" t="n"/>
      <c r="F490" s="26" t="n"/>
      <c r="G490" s="26" t="n"/>
      <c r="H490" s="26" t="n"/>
      <c r="I490" s="26" t="n"/>
      <c r="J490" s="87" t="n"/>
      <c r="K490" s="87" t="n"/>
      <c r="L490" s="87" t="n"/>
      <c r="M490" s="87" t="n"/>
      <c r="N490" s="88" t="n"/>
      <c r="O490" s="88" t="n"/>
      <c r="P490" s="89" t="n"/>
      <c r="Q490" s="87" t="n"/>
      <c r="R490" s="87" t="n"/>
      <c r="S490" s="87" t="n"/>
      <c r="T490" s="87" t="n"/>
      <c r="U490" s="89" t="n"/>
      <c r="V490" s="89" t="n"/>
      <c r="W490" s="89" t="n"/>
      <c r="X490" s="87" t="n"/>
      <c r="Y490" s="87" t="n"/>
      <c r="Z490" s="88" t="n"/>
      <c r="AA490" s="26" t="n"/>
      <c r="AB490" s="86">
        <f>IF($A490="","",$A490-WEEKDAY($A490,2)+1)</f>
        <v/>
      </c>
      <c r="AC490" s="86">
        <f>IF($A490="","",DATE(YEAR($A490),MONTH($A490),1))</f>
        <v/>
      </c>
      <c r="AD490" s="90">
        <f>IF($A490="","",IFERROR($K490/$J490,0))</f>
        <v/>
      </c>
      <c r="AE490" s="90">
        <f>IF($A490="","",IFERROR($L490/$J490,0))</f>
        <v/>
      </c>
      <c r="AF490" s="90">
        <f>IF($A490="","",IFERROR($M490/$J490,0))</f>
        <v/>
      </c>
      <c r="AG490" s="88">
        <f>IF($A490="","",$N490-$O490)</f>
        <v/>
      </c>
      <c r="AH490" s="90">
        <f>IF($A490="","",IFERROR($AG490/$N490,0))</f>
        <v/>
      </c>
      <c r="AI490" s="89">
        <f>IF($A490="","",IFERROR($K490/$P490,0))</f>
        <v/>
      </c>
      <c r="AJ490" s="90">
        <f>IF($A490="","",IFERROR($S490/$R490,0))</f>
        <v/>
      </c>
      <c r="AK490" s="90">
        <f>IF($A490="","",IFERROR($T490/$J490,0))</f>
        <v/>
      </c>
      <c r="AL490" s="26">
        <f>IF($A490="","",IF(AND($AD490&gt;='01_Settings'!$B$9,$V490&lt;='01_Settings'!$B$10,$W490&lt;='01_Settings'!$B$11),"On track","Off track"))</f>
        <v/>
      </c>
      <c r="AM490" s="42">
        <f>IF($A490="","",IF($AD490&lt;'01_Settings'!$B$9,"Low completion rate; ","")&amp;IF($AE490&gt;'01_Settings'!$B$12,"High overdue rate; ","")&amp;IF($U490&lt;'01_Settings'!$B$13,"Low satisfaction; ","")&amp;IF($AH490&lt;'01_Settings'!$B$14,"Low gross margin; ","")&amp;IF($AJ490&lt;'01_Settings'!$B$15,"Low conversion rate; ","")&amp;IF($AK490&gt;'01_Settings'!$B$16,"High complaint rate; ",""))</f>
        <v/>
      </c>
    </row>
    <row r="491" ht="18" customHeight="1">
      <c r="A491" s="86" t="n"/>
      <c r="B491" s="26" t="n"/>
      <c r="C491" s="26" t="n"/>
      <c r="D491" s="26" t="n"/>
      <c r="E491" s="26" t="n"/>
      <c r="F491" s="26" t="n"/>
      <c r="G491" s="26" t="n"/>
      <c r="H491" s="26" t="n"/>
      <c r="I491" s="26" t="n"/>
      <c r="J491" s="87" t="n"/>
      <c r="K491" s="87" t="n"/>
      <c r="L491" s="87" t="n"/>
      <c r="M491" s="87" t="n"/>
      <c r="N491" s="88" t="n"/>
      <c r="O491" s="88" t="n"/>
      <c r="P491" s="89" t="n"/>
      <c r="Q491" s="87" t="n"/>
      <c r="R491" s="87" t="n"/>
      <c r="S491" s="87" t="n"/>
      <c r="T491" s="87" t="n"/>
      <c r="U491" s="89" t="n"/>
      <c r="V491" s="89" t="n"/>
      <c r="W491" s="89" t="n"/>
      <c r="X491" s="87" t="n"/>
      <c r="Y491" s="87" t="n"/>
      <c r="Z491" s="88" t="n"/>
      <c r="AA491" s="26" t="n"/>
      <c r="AB491" s="86">
        <f>IF($A491="","",$A491-WEEKDAY($A491,2)+1)</f>
        <v/>
      </c>
      <c r="AC491" s="86">
        <f>IF($A491="","",DATE(YEAR($A491),MONTH($A491),1))</f>
        <v/>
      </c>
      <c r="AD491" s="90">
        <f>IF($A491="","",IFERROR($K491/$J491,0))</f>
        <v/>
      </c>
      <c r="AE491" s="90">
        <f>IF($A491="","",IFERROR($L491/$J491,0))</f>
        <v/>
      </c>
      <c r="AF491" s="90">
        <f>IF($A491="","",IFERROR($M491/$J491,0))</f>
        <v/>
      </c>
      <c r="AG491" s="88">
        <f>IF($A491="","",$N491-$O491)</f>
        <v/>
      </c>
      <c r="AH491" s="90">
        <f>IF($A491="","",IFERROR($AG491/$N491,0))</f>
        <v/>
      </c>
      <c r="AI491" s="89">
        <f>IF($A491="","",IFERROR($K491/$P491,0))</f>
        <v/>
      </c>
      <c r="AJ491" s="90">
        <f>IF($A491="","",IFERROR($S491/$R491,0))</f>
        <v/>
      </c>
      <c r="AK491" s="90">
        <f>IF($A491="","",IFERROR($T491/$J491,0))</f>
        <v/>
      </c>
      <c r="AL491" s="26">
        <f>IF($A491="","",IF(AND($AD491&gt;='01_Settings'!$B$9,$V491&lt;='01_Settings'!$B$10,$W491&lt;='01_Settings'!$B$11),"On track","Off track"))</f>
        <v/>
      </c>
      <c r="AM491" s="42">
        <f>IF($A491="","",IF($AD491&lt;'01_Settings'!$B$9,"Low completion rate; ","")&amp;IF($AE491&gt;'01_Settings'!$B$12,"High overdue rate; ","")&amp;IF($U491&lt;'01_Settings'!$B$13,"Low satisfaction; ","")&amp;IF($AH491&lt;'01_Settings'!$B$14,"Low gross margin; ","")&amp;IF($AJ491&lt;'01_Settings'!$B$15,"Low conversion rate; ","")&amp;IF($AK491&gt;'01_Settings'!$B$16,"High complaint rate; ",""))</f>
        <v/>
      </c>
    </row>
    <row r="492" ht="18" customHeight="1">
      <c r="A492" s="86" t="n"/>
      <c r="B492" s="26" t="n"/>
      <c r="C492" s="26" t="n"/>
      <c r="D492" s="26" t="n"/>
      <c r="E492" s="26" t="n"/>
      <c r="F492" s="26" t="n"/>
      <c r="G492" s="26" t="n"/>
      <c r="H492" s="26" t="n"/>
      <c r="I492" s="26" t="n"/>
      <c r="J492" s="87" t="n"/>
      <c r="K492" s="87" t="n"/>
      <c r="L492" s="87" t="n"/>
      <c r="M492" s="87" t="n"/>
      <c r="N492" s="88" t="n"/>
      <c r="O492" s="88" t="n"/>
      <c r="P492" s="89" t="n"/>
      <c r="Q492" s="87" t="n"/>
      <c r="R492" s="87" t="n"/>
      <c r="S492" s="87" t="n"/>
      <c r="T492" s="87" t="n"/>
      <c r="U492" s="89" t="n"/>
      <c r="V492" s="89" t="n"/>
      <c r="W492" s="89" t="n"/>
      <c r="X492" s="87" t="n"/>
      <c r="Y492" s="87" t="n"/>
      <c r="Z492" s="88" t="n"/>
      <c r="AA492" s="26" t="n"/>
      <c r="AB492" s="86">
        <f>IF($A492="","",$A492-WEEKDAY($A492,2)+1)</f>
        <v/>
      </c>
      <c r="AC492" s="86">
        <f>IF($A492="","",DATE(YEAR($A492),MONTH($A492),1))</f>
        <v/>
      </c>
      <c r="AD492" s="90">
        <f>IF($A492="","",IFERROR($K492/$J492,0))</f>
        <v/>
      </c>
      <c r="AE492" s="90">
        <f>IF($A492="","",IFERROR($L492/$J492,0))</f>
        <v/>
      </c>
      <c r="AF492" s="90">
        <f>IF($A492="","",IFERROR($M492/$J492,0))</f>
        <v/>
      </c>
      <c r="AG492" s="88">
        <f>IF($A492="","",$N492-$O492)</f>
        <v/>
      </c>
      <c r="AH492" s="90">
        <f>IF($A492="","",IFERROR($AG492/$N492,0))</f>
        <v/>
      </c>
      <c r="AI492" s="89">
        <f>IF($A492="","",IFERROR($K492/$P492,0))</f>
        <v/>
      </c>
      <c r="AJ492" s="90">
        <f>IF($A492="","",IFERROR($S492/$R492,0))</f>
        <v/>
      </c>
      <c r="AK492" s="90">
        <f>IF($A492="","",IFERROR($T492/$J492,0))</f>
        <v/>
      </c>
      <c r="AL492" s="26">
        <f>IF($A492="","",IF(AND($AD492&gt;='01_Settings'!$B$9,$V492&lt;='01_Settings'!$B$10,$W492&lt;='01_Settings'!$B$11),"On track","Off track"))</f>
        <v/>
      </c>
      <c r="AM492" s="42">
        <f>IF($A492="","",IF($AD492&lt;'01_Settings'!$B$9,"Low completion rate; ","")&amp;IF($AE492&gt;'01_Settings'!$B$12,"High overdue rate; ","")&amp;IF($U492&lt;'01_Settings'!$B$13,"Low satisfaction; ","")&amp;IF($AH492&lt;'01_Settings'!$B$14,"Low gross margin; ","")&amp;IF($AJ492&lt;'01_Settings'!$B$15,"Low conversion rate; ","")&amp;IF($AK492&gt;'01_Settings'!$B$16,"High complaint rate; ",""))</f>
        <v/>
      </c>
    </row>
    <row r="493" ht="18" customHeight="1">
      <c r="A493" s="86" t="n"/>
      <c r="B493" s="26" t="n"/>
      <c r="C493" s="26" t="n"/>
      <c r="D493" s="26" t="n"/>
      <c r="E493" s="26" t="n"/>
      <c r="F493" s="26" t="n"/>
      <c r="G493" s="26" t="n"/>
      <c r="H493" s="26" t="n"/>
      <c r="I493" s="26" t="n"/>
      <c r="J493" s="87" t="n"/>
      <c r="K493" s="87" t="n"/>
      <c r="L493" s="87" t="n"/>
      <c r="M493" s="87" t="n"/>
      <c r="N493" s="88" t="n"/>
      <c r="O493" s="88" t="n"/>
      <c r="P493" s="89" t="n"/>
      <c r="Q493" s="87" t="n"/>
      <c r="R493" s="87" t="n"/>
      <c r="S493" s="87" t="n"/>
      <c r="T493" s="87" t="n"/>
      <c r="U493" s="89" t="n"/>
      <c r="V493" s="89" t="n"/>
      <c r="W493" s="89" t="n"/>
      <c r="X493" s="87" t="n"/>
      <c r="Y493" s="87" t="n"/>
      <c r="Z493" s="88" t="n"/>
      <c r="AA493" s="26" t="n"/>
      <c r="AB493" s="86">
        <f>IF($A493="","",$A493-WEEKDAY($A493,2)+1)</f>
        <v/>
      </c>
      <c r="AC493" s="86">
        <f>IF($A493="","",DATE(YEAR($A493),MONTH($A493),1))</f>
        <v/>
      </c>
      <c r="AD493" s="90">
        <f>IF($A493="","",IFERROR($K493/$J493,0))</f>
        <v/>
      </c>
      <c r="AE493" s="90">
        <f>IF($A493="","",IFERROR($L493/$J493,0))</f>
        <v/>
      </c>
      <c r="AF493" s="90">
        <f>IF($A493="","",IFERROR($M493/$J493,0))</f>
        <v/>
      </c>
      <c r="AG493" s="88">
        <f>IF($A493="","",$N493-$O493)</f>
        <v/>
      </c>
      <c r="AH493" s="90">
        <f>IF($A493="","",IFERROR($AG493/$N493,0))</f>
        <v/>
      </c>
      <c r="AI493" s="89">
        <f>IF($A493="","",IFERROR($K493/$P493,0))</f>
        <v/>
      </c>
      <c r="AJ493" s="90">
        <f>IF($A493="","",IFERROR($S493/$R493,0))</f>
        <v/>
      </c>
      <c r="AK493" s="90">
        <f>IF($A493="","",IFERROR($T493/$J493,0))</f>
        <v/>
      </c>
      <c r="AL493" s="26">
        <f>IF($A493="","",IF(AND($AD493&gt;='01_Settings'!$B$9,$V493&lt;='01_Settings'!$B$10,$W493&lt;='01_Settings'!$B$11),"On track","Off track"))</f>
        <v/>
      </c>
      <c r="AM493" s="42">
        <f>IF($A493="","",IF($AD493&lt;'01_Settings'!$B$9,"Low completion rate; ","")&amp;IF($AE493&gt;'01_Settings'!$B$12,"High overdue rate; ","")&amp;IF($U493&lt;'01_Settings'!$B$13,"Low satisfaction; ","")&amp;IF($AH493&lt;'01_Settings'!$B$14,"Low gross margin; ","")&amp;IF($AJ493&lt;'01_Settings'!$B$15,"Low conversion rate; ","")&amp;IF($AK493&gt;'01_Settings'!$B$16,"High complaint rate; ",""))</f>
        <v/>
      </c>
    </row>
    <row r="494" ht="18" customHeight="1">
      <c r="A494" s="86" t="n"/>
      <c r="B494" s="26" t="n"/>
      <c r="C494" s="26" t="n"/>
      <c r="D494" s="26" t="n"/>
      <c r="E494" s="26" t="n"/>
      <c r="F494" s="26" t="n"/>
      <c r="G494" s="26" t="n"/>
      <c r="H494" s="26" t="n"/>
      <c r="I494" s="26" t="n"/>
      <c r="J494" s="87" t="n"/>
      <c r="K494" s="87" t="n"/>
      <c r="L494" s="87" t="n"/>
      <c r="M494" s="87" t="n"/>
      <c r="N494" s="88" t="n"/>
      <c r="O494" s="88" t="n"/>
      <c r="P494" s="89" t="n"/>
      <c r="Q494" s="87" t="n"/>
      <c r="R494" s="87" t="n"/>
      <c r="S494" s="87" t="n"/>
      <c r="T494" s="87" t="n"/>
      <c r="U494" s="89" t="n"/>
      <c r="V494" s="89" t="n"/>
      <c r="W494" s="89" t="n"/>
      <c r="X494" s="87" t="n"/>
      <c r="Y494" s="87" t="n"/>
      <c r="Z494" s="88" t="n"/>
      <c r="AA494" s="26" t="n"/>
      <c r="AB494" s="86">
        <f>IF($A494="","",$A494-WEEKDAY($A494,2)+1)</f>
        <v/>
      </c>
      <c r="AC494" s="86">
        <f>IF($A494="","",DATE(YEAR($A494),MONTH($A494),1))</f>
        <v/>
      </c>
      <c r="AD494" s="90">
        <f>IF($A494="","",IFERROR($K494/$J494,0))</f>
        <v/>
      </c>
      <c r="AE494" s="90">
        <f>IF($A494="","",IFERROR($L494/$J494,0))</f>
        <v/>
      </c>
      <c r="AF494" s="90">
        <f>IF($A494="","",IFERROR($M494/$J494,0))</f>
        <v/>
      </c>
      <c r="AG494" s="88">
        <f>IF($A494="","",$N494-$O494)</f>
        <v/>
      </c>
      <c r="AH494" s="90">
        <f>IF($A494="","",IFERROR($AG494/$N494,0))</f>
        <v/>
      </c>
      <c r="AI494" s="89">
        <f>IF($A494="","",IFERROR($K494/$P494,0))</f>
        <v/>
      </c>
      <c r="AJ494" s="90">
        <f>IF($A494="","",IFERROR($S494/$R494,0))</f>
        <v/>
      </c>
      <c r="AK494" s="90">
        <f>IF($A494="","",IFERROR($T494/$J494,0))</f>
        <v/>
      </c>
      <c r="AL494" s="26">
        <f>IF($A494="","",IF(AND($AD494&gt;='01_Settings'!$B$9,$V494&lt;='01_Settings'!$B$10,$W494&lt;='01_Settings'!$B$11),"On track","Off track"))</f>
        <v/>
      </c>
      <c r="AM494" s="42">
        <f>IF($A494="","",IF($AD494&lt;'01_Settings'!$B$9,"Low completion rate; ","")&amp;IF($AE494&gt;'01_Settings'!$B$12,"High overdue rate; ","")&amp;IF($U494&lt;'01_Settings'!$B$13,"Low satisfaction; ","")&amp;IF($AH494&lt;'01_Settings'!$B$14,"Low gross margin; ","")&amp;IF($AJ494&lt;'01_Settings'!$B$15,"Low conversion rate; ","")&amp;IF($AK494&gt;'01_Settings'!$B$16,"High complaint rate; ",""))</f>
        <v/>
      </c>
    </row>
    <row r="495" ht="18" customHeight="1">
      <c r="A495" s="86" t="n"/>
      <c r="B495" s="26" t="n"/>
      <c r="C495" s="26" t="n"/>
      <c r="D495" s="26" t="n"/>
      <c r="E495" s="26" t="n"/>
      <c r="F495" s="26" t="n"/>
      <c r="G495" s="26" t="n"/>
      <c r="H495" s="26" t="n"/>
      <c r="I495" s="26" t="n"/>
      <c r="J495" s="87" t="n"/>
      <c r="K495" s="87" t="n"/>
      <c r="L495" s="87" t="n"/>
      <c r="M495" s="87" t="n"/>
      <c r="N495" s="88" t="n"/>
      <c r="O495" s="88" t="n"/>
      <c r="P495" s="89" t="n"/>
      <c r="Q495" s="87" t="n"/>
      <c r="R495" s="87" t="n"/>
      <c r="S495" s="87" t="n"/>
      <c r="T495" s="87" t="n"/>
      <c r="U495" s="89" t="n"/>
      <c r="V495" s="89" t="n"/>
      <c r="W495" s="89" t="n"/>
      <c r="X495" s="87" t="n"/>
      <c r="Y495" s="87" t="n"/>
      <c r="Z495" s="88" t="n"/>
      <c r="AA495" s="26" t="n"/>
      <c r="AB495" s="86">
        <f>IF($A495="","",$A495-WEEKDAY($A495,2)+1)</f>
        <v/>
      </c>
      <c r="AC495" s="86">
        <f>IF($A495="","",DATE(YEAR($A495),MONTH($A495),1))</f>
        <v/>
      </c>
      <c r="AD495" s="90">
        <f>IF($A495="","",IFERROR($K495/$J495,0))</f>
        <v/>
      </c>
      <c r="AE495" s="90">
        <f>IF($A495="","",IFERROR($L495/$J495,0))</f>
        <v/>
      </c>
      <c r="AF495" s="90">
        <f>IF($A495="","",IFERROR($M495/$J495,0))</f>
        <v/>
      </c>
      <c r="AG495" s="88">
        <f>IF($A495="","",$N495-$O495)</f>
        <v/>
      </c>
      <c r="AH495" s="90">
        <f>IF($A495="","",IFERROR($AG495/$N495,0))</f>
        <v/>
      </c>
      <c r="AI495" s="89">
        <f>IF($A495="","",IFERROR($K495/$P495,0))</f>
        <v/>
      </c>
      <c r="AJ495" s="90">
        <f>IF($A495="","",IFERROR($S495/$R495,0))</f>
        <v/>
      </c>
      <c r="AK495" s="90">
        <f>IF($A495="","",IFERROR($T495/$J495,0))</f>
        <v/>
      </c>
      <c r="AL495" s="26">
        <f>IF($A495="","",IF(AND($AD495&gt;='01_Settings'!$B$9,$V495&lt;='01_Settings'!$B$10,$W495&lt;='01_Settings'!$B$11),"On track","Off track"))</f>
        <v/>
      </c>
      <c r="AM495" s="42">
        <f>IF($A495="","",IF($AD495&lt;'01_Settings'!$B$9,"Low completion rate; ","")&amp;IF($AE495&gt;'01_Settings'!$B$12,"High overdue rate; ","")&amp;IF($U495&lt;'01_Settings'!$B$13,"Low satisfaction; ","")&amp;IF($AH495&lt;'01_Settings'!$B$14,"Low gross margin; ","")&amp;IF($AJ495&lt;'01_Settings'!$B$15,"Low conversion rate; ","")&amp;IF($AK495&gt;'01_Settings'!$B$16,"High complaint rate; ",""))</f>
        <v/>
      </c>
    </row>
    <row r="496" ht="18" customHeight="1">
      <c r="A496" s="86" t="n"/>
      <c r="B496" s="26" t="n"/>
      <c r="C496" s="26" t="n"/>
      <c r="D496" s="26" t="n"/>
      <c r="E496" s="26" t="n"/>
      <c r="F496" s="26" t="n"/>
      <c r="G496" s="26" t="n"/>
      <c r="H496" s="26" t="n"/>
      <c r="I496" s="26" t="n"/>
      <c r="J496" s="87" t="n"/>
      <c r="K496" s="87" t="n"/>
      <c r="L496" s="87" t="n"/>
      <c r="M496" s="87" t="n"/>
      <c r="N496" s="88" t="n"/>
      <c r="O496" s="88" t="n"/>
      <c r="P496" s="89" t="n"/>
      <c r="Q496" s="87" t="n"/>
      <c r="R496" s="87" t="n"/>
      <c r="S496" s="87" t="n"/>
      <c r="T496" s="87" t="n"/>
      <c r="U496" s="89" t="n"/>
      <c r="V496" s="89" t="n"/>
      <c r="W496" s="89" t="n"/>
      <c r="X496" s="87" t="n"/>
      <c r="Y496" s="87" t="n"/>
      <c r="Z496" s="88" t="n"/>
      <c r="AA496" s="26" t="n"/>
      <c r="AB496" s="86">
        <f>IF($A496="","",$A496-WEEKDAY($A496,2)+1)</f>
        <v/>
      </c>
      <c r="AC496" s="86">
        <f>IF($A496="","",DATE(YEAR($A496),MONTH($A496),1))</f>
        <v/>
      </c>
      <c r="AD496" s="90">
        <f>IF($A496="","",IFERROR($K496/$J496,0))</f>
        <v/>
      </c>
      <c r="AE496" s="90">
        <f>IF($A496="","",IFERROR($L496/$J496,0))</f>
        <v/>
      </c>
      <c r="AF496" s="90">
        <f>IF($A496="","",IFERROR($M496/$J496,0))</f>
        <v/>
      </c>
      <c r="AG496" s="88">
        <f>IF($A496="","",$N496-$O496)</f>
        <v/>
      </c>
      <c r="AH496" s="90">
        <f>IF($A496="","",IFERROR($AG496/$N496,0))</f>
        <v/>
      </c>
      <c r="AI496" s="89">
        <f>IF($A496="","",IFERROR($K496/$P496,0))</f>
        <v/>
      </c>
      <c r="AJ496" s="90">
        <f>IF($A496="","",IFERROR($S496/$R496,0))</f>
        <v/>
      </c>
      <c r="AK496" s="90">
        <f>IF($A496="","",IFERROR($T496/$J496,0))</f>
        <v/>
      </c>
      <c r="AL496" s="26">
        <f>IF($A496="","",IF(AND($AD496&gt;='01_Settings'!$B$9,$V496&lt;='01_Settings'!$B$10,$W496&lt;='01_Settings'!$B$11),"On track","Off track"))</f>
        <v/>
      </c>
      <c r="AM496" s="42">
        <f>IF($A496="","",IF($AD496&lt;'01_Settings'!$B$9,"Low completion rate; ","")&amp;IF($AE496&gt;'01_Settings'!$B$12,"High overdue rate; ","")&amp;IF($U496&lt;'01_Settings'!$B$13,"Low satisfaction; ","")&amp;IF($AH496&lt;'01_Settings'!$B$14,"Low gross margin; ","")&amp;IF($AJ496&lt;'01_Settings'!$B$15,"Low conversion rate; ","")&amp;IF($AK496&gt;'01_Settings'!$B$16,"High complaint rate; ",""))</f>
        <v/>
      </c>
    </row>
    <row r="497" ht="18" customHeight="1">
      <c r="A497" s="86" t="n"/>
      <c r="B497" s="26" t="n"/>
      <c r="C497" s="26" t="n"/>
      <c r="D497" s="26" t="n"/>
      <c r="E497" s="26" t="n"/>
      <c r="F497" s="26" t="n"/>
      <c r="G497" s="26" t="n"/>
      <c r="H497" s="26" t="n"/>
      <c r="I497" s="26" t="n"/>
      <c r="J497" s="87" t="n"/>
      <c r="K497" s="87" t="n"/>
      <c r="L497" s="87" t="n"/>
      <c r="M497" s="87" t="n"/>
      <c r="N497" s="88" t="n"/>
      <c r="O497" s="88" t="n"/>
      <c r="P497" s="89" t="n"/>
      <c r="Q497" s="87" t="n"/>
      <c r="R497" s="87" t="n"/>
      <c r="S497" s="87" t="n"/>
      <c r="T497" s="87" t="n"/>
      <c r="U497" s="89" t="n"/>
      <c r="V497" s="89" t="n"/>
      <c r="W497" s="89" t="n"/>
      <c r="X497" s="87" t="n"/>
      <c r="Y497" s="87" t="n"/>
      <c r="Z497" s="88" t="n"/>
      <c r="AA497" s="26" t="n"/>
      <c r="AB497" s="86">
        <f>IF($A497="","",$A497-WEEKDAY($A497,2)+1)</f>
        <v/>
      </c>
      <c r="AC497" s="86">
        <f>IF($A497="","",DATE(YEAR($A497),MONTH($A497),1))</f>
        <v/>
      </c>
      <c r="AD497" s="90">
        <f>IF($A497="","",IFERROR($K497/$J497,0))</f>
        <v/>
      </c>
      <c r="AE497" s="90">
        <f>IF($A497="","",IFERROR($L497/$J497,0))</f>
        <v/>
      </c>
      <c r="AF497" s="90">
        <f>IF($A497="","",IFERROR($M497/$J497,0))</f>
        <v/>
      </c>
      <c r="AG497" s="88">
        <f>IF($A497="","",$N497-$O497)</f>
        <v/>
      </c>
      <c r="AH497" s="90">
        <f>IF($A497="","",IFERROR($AG497/$N497,0))</f>
        <v/>
      </c>
      <c r="AI497" s="89">
        <f>IF($A497="","",IFERROR($K497/$P497,0))</f>
        <v/>
      </c>
      <c r="AJ497" s="90">
        <f>IF($A497="","",IFERROR($S497/$R497,0))</f>
        <v/>
      </c>
      <c r="AK497" s="90">
        <f>IF($A497="","",IFERROR($T497/$J497,0))</f>
        <v/>
      </c>
      <c r="AL497" s="26">
        <f>IF($A497="","",IF(AND($AD497&gt;='01_Settings'!$B$9,$V497&lt;='01_Settings'!$B$10,$W497&lt;='01_Settings'!$B$11),"On track","Off track"))</f>
        <v/>
      </c>
      <c r="AM497" s="42">
        <f>IF($A497="","",IF($AD497&lt;'01_Settings'!$B$9,"Low completion rate; ","")&amp;IF($AE497&gt;'01_Settings'!$B$12,"High overdue rate; ","")&amp;IF($U497&lt;'01_Settings'!$B$13,"Low satisfaction; ","")&amp;IF($AH497&lt;'01_Settings'!$B$14,"Low gross margin; ","")&amp;IF($AJ497&lt;'01_Settings'!$B$15,"Low conversion rate; ","")&amp;IF($AK497&gt;'01_Settings'!$B$16,"High complaint rate; ",""))</f>
        <v/>
      </c>
    </row>
    <row r="498" ht="18" customHeight="1">
      <c r="A498" s="86" t="n"/>
      <c r="B498" s="26" t="n"/>
      <c r="C498" s="26" t="n"/>
      <c r="D498" s="26" t="n"/>
      <c r="E498" s="26" t="n"/>
      <c r="F498" s="26" t="n"/>
      <c r="G498" s="26" t="n"/>
      <c r="H498" s="26" t="n"/>
      <c r="I498" s="26" t="n"/>
      <c r="J498" s="87" t="n"/>
      <c r="K498" s="87" t="n"/>
      <c r="L498" s="87" t="n"/>
      <c r="M498" s="87" t="n"/>
      <c r="N498" s="88" t="n"/>
      <c r="O498" s="88" t="n"/>
      <c r="P498" s="89" t="n"/>
      <c r="Q498" s="87" t="n"/>
      <c r="R498" s="87" t="n"/>
      <c r="S498" s="87" t="n"/>
      <c r="T498" s="87" t="n"/>
      <c r="U498" s="89" t="n"/>
      <c r="V498" s="89" t="n"/>
      <c r="W498" s="89" t="n"/>
      <c r="X498" s="87" t="n"/>
      <c r="Y498" s="87" t="n"/>
      <c r="Z498" s="88" t="n"/>
      <c r="AA498" s="26" t="n"/>
      <c r="AB498" s="86">
        <f>IF($A498="","",$A498-WEEKDAY($A498,2)+1)</f>
        <v/>
      </c>
      <c r="AC498" s="86">
        <f>IF($A498="","",DATE(YEAR($A498),MONTH($A498),1))</f>
        <v/>
      </c>
      <c r="AD498" s="90">
        <f>IF($A498="","",IFERROR($K498/$J498,0))</f>
        <v/>
      </c>
      <c r="AE498" s="90">
        <f>IF($A498="","",IFERROR($L498/$J498,0))</f>
        <v/>
      </c>
      <c r="AF498" s="90">
        <f>IF($A498="","",IFERROR($M498/$J498,0))</f>
        <v/>
      </c>
      <c r="AG498" s="88">
        <f>IF($A498="","",$N498-$O498)</f>
        <v/>
      </c>
      <c r="AH498" s="90">
        <f>IF($A498="","",IFERROR($AG498/$N498,0))</f>
        <v/>
      </c>
      <c r="AI498" s="89">
        <f>IF($A498="","",IFERROR($K498/$P498,0))</f>
        <v/>
      </c>
      <c r="AJ498" s="90">
        <f>IF($A498="","",IFERROR($S498/$R498,0))</f>
        <v/>
      </c>
      <c r="AK498" s="90">
        <f>IF($A498="","",IFERROR($T498/$J498,0))</f>
        <v/>
      </c>
      <c r="AL498" s="26">
        <f>IF($A498="","",IF(AND($AD498&gt;='01_Settings'!$B$9,$V498&lt;='01_Settings'!$B$10,$W498&lt;='01_Settings'!$B$11),"On track","Off track"))</f>
        <v/>
      </c>
      <c r="AM498" s="42">
        <f>IF($A498="","",IF($AD498&lt;'01_Settings'!$B$9,"Low completion rate; ","")&amp;IF($AE498&gt;'01_Settings'!$B$12,"High overdue rate; ","")&amp;IF($U498&lt;'01_Settings'!$B$13,"Low satisfaction; ","")&amp;IF($AH498&lt;'01_Settings'!$B$14,"Low gross margin; ","")&amp;IF($AJ498&lt;'01_Settings'!$B$15,"Low conversion rate; ","")&amp;IF($AK498&gt;'01_Settings'!$B$16,"High complaint rate; ",""))</f>
        <v/>
      </c>
    </row>
    <row r="499" ht="18" customHeight="1">
      <c r="A499" s="86" t="n"/>
      <c r="B499" s="26" t="n"/>
      <c r="C499" s="26" t="n"/>
      <c r="D499" s="26" t="n"/>
      <c r="E499" s="26" t="n"/>
      <c r="F499" s="26" t="n"/>
      <c r="G499" s="26" t="n"/>
      <c r="H499" s="26" t="n"/>
      <c r="I499" s="26" t="n"/>
      <c r="J499" s="87" t="n"/>
      <c r="K499" s="87" t="n"/>
      <c r="L499" s="87" t="n"/>
      <c r="M499" s="87" t="n"/>
      <c r="N499" s="88" t="n"/>
      <c r="O499" s="88" t="n"/>
      <c r="P499" s="89" t="n"/>
      <c r="Q499" s="87" t="n"/>
      <c r="R499" s="87" t="n"/>
      <c r="S499" s="87" t="n"/>
      <c r="T499" s="87" t="n"/>
      <c r="U499" s="89" t="n"/>
      <c r="V499" s="89" t="n"/>
      <c r="W499" s="89" t="n"/>
      <c r="X499" s="87" t="n"/>
      <c r="Y499" s="87" t="n"/>
      <c r="Z499" s="88" t="n"/>
      <c r="AA499" s="26" t="n"/>
      <c r="AB499" s="86">
        <f>IF($A499="","",$A499-WEEKDAY($A499,2)+1)</f>
        <v/>
      </c>
      <c r="AC499" s="86">
        <f>IF($A499="","",DATE(YEAR($A499),MONTH($A499),1))</f>
        <v/>
      </c>
      <c r="AD499" s="90">
        <f>IF($A499="","",IFERROR($K499/$J499,0))</f>
        <v/>
      </c>
      <c r="AE499" s="90">
        <f>IF($A499="","",IFERROR($L499/$J499,0))</f>
        <v/>
      </c>
      <c r="AF499" s="90">
        <f>IF($A499="","",IFERROR($M499/$J499,0))</f>
        <v/>
      </c>
      <c r="AG499" s="88">
        <f>IF($A499="","",$N499-$O499)</f>
        <v/>
      </c>
      <c r="AH499" s="90">
        <f>IF($A499="","",IFERROR($AG499/$N499,0))</f>
        <v/>
      </c>
      <c r="AI499" s="89">
        <f>IF($A499="","",IFERROR($K499/$P499,0))</f>
        <v/>
      </c>
      <c r="AJ499" s="90">
        <f>IF($A499="","",IFERROR($S499/$R499,0))</f>
        <v/>
      </c>
      <c r="AK499" s="90">
        <f>IF($A499="","",IFERROR($T499/$J499,0))</f>
        <v/>
      </c>
      <c r="AL499" s="26">
        <f>IF($A499="","",IF(AND($AD499&gt;='01_Settings'!$B$9,$V499&lt;='01_Settings'!$B$10,$W499&lt;='01_Settings'!$B$11),"On track","Off track"))</f>
        <v/>
      </c>
      <c r="AM499" s="42">
        <f>IF($A499="","",IF($AD499&lt;'01_Settings'!$B$9,"Low completion rate; ","")&amp;IF($AE499&gt;'01_Settings'!$B$12,"High overdue rate; ","")&amp;IF($U499&lt;'01_Settings'!$B$13,"Low satisfaction; ","")&amp;IF($AH499&lt;'01_Settings'!$B$14,"Low gross margin; ","")&amp;IF($AJ499&lt;'01_Settings'!$B$15,"Low conversion rate; ","")&amp;IF($AK499&gt;'01_Settings'!$B$16,"High complaint rate; ",""))</f>
        <v/>
      </c>
    </row>
    <row r="500" ht="18" customHeight="1">
      <c r="A500" s="86" t="n"/>
      <c r="B500" s="26" t="n"/>
      <c r="C500" s="26" t="n"/>
      <c r="D500" s="26" t="n"/>
      <c r="E500" s="26" t="n"/>
      <c r="F500" s="26" t="n"/>
      <c r="G500" s="26" t="n"/>
      <c r="H500" s="26" t="n"/>
      <c r="I500" s="26" t="n"/>
      <c r="J500" s="87" t="n"/>
      <c r="K500" s="87" t="n"/>
      <c r="L500" s="87" t="n"/>
      <c r="M500" s="87" t="n"/>
      <c r="N500" s="88" t="n"/>
      <c r="O500" s="88" t="n"/>
      <c r="P500" s="89" t="n"/>
      <c r="Q500" s="87" t="n"/>
      <c r="R500" s="87" t="n"/>
      <c r="S500" s="87" t="n"/>
      <c r="T500" s="87" t="n"/>
      <c r="U500" s="89" t="n"/>
      <c r="V500" s="89" t="n"/>
      <c r="W500" s="89" t="n"/>
      <c r="X500" s="87" t="n"/>
      <c r="Y500" s="87" t="n"/>
      <c r="Z500" s="88" t="n"/>
      <c r="AA500" s="26" t="n"/>
      <c r="AB500" s="86">
        <f>IF($A500="","",$A500-WEEKDAY($A500,2)+1)</f>
        <v/>
      </c>
      <c r="AC500" s="86">
        <f>IF($A500="","",DATE(YEAR($A500),MONTH($A500),1))</f>
        <v/>
      </c>
      <c r="AD500" s="90">
        <f>IF($A500="","",IFERROR($K500/$J500,0))</f>
        <v/>
      </c>
      <c r="AE500" s="90">
        <f>IF($A500="","",IFERROR($L500/$J500,0))</f>
        <v/>
      </c>
      <c r="AF500" s="90">
        <f>IF($A500="","",IFERROR($M500/$J500,0))</f>
        <v/>
      </c>
      <c r="AG500" s="88">
        <f>IF($A500="","",$N500-$O500)</f>
        <v/>
      </c>
      <c r="AH500" s="90">
        <f>IF($A500="","",IFERROR($AG500/$N500,0))</f>
        <v/>
      </c>
      <c r="AI500" s="89">
        <f>IF($A500="","",IFERROR($K500/$P500,0))</f>
        <v/>
      </c>
      <c r="AJ500" s="90">
        <f>IF($A500="","",IFERROR($S500/$R500,0))</f>
        <v/>
      </c>
      <c r="AK500" s="90">
        <f>IF($A500="","",IFERROR($T500/$J500,0))</f>
        <v/>
      </c>
      <c r="AL500" s="26">
        <f>IF($A500="","",IF(AND($AD500&gt;='01_Settings'!$B$9,$V500&lt;='01_Settings'!$B$10,$W500&lt;='01_Settings'!$B$11),"On track","Off track"))</f>
        <v/>
      </c>
      <c r="AM500" s="42">
        <f>IF($A500="","",IF($AD500&lt;'01_Settings'!$B$9,"Low completion rate; ","")&amp;IF($AE500&gt;'01_Settings'!$B$12,"High overdue rate; ","")&amp;IF($U500&lt;'01_Settings'!$B$13,"Low satisfaction; ","")&amp;IF($AH500&lt;'01_Settings'!$B$14,"Low gross margin; ","")&amp;IF($AJ500&lt;'01_Settings'!$B$15,"Low conversion rate; ","")&amp;IF($AK500&gt;'01_Settings'!$B$16,"High complaint rate; ",""))</f>
        <v/>
      </c>
    </row>
    <row r="501" ht="18" customHeight="1">
      <c r="A501" s="86" t="n"/>
      <c r="B501" s="26" t="n"/>
      <c r="C501" s="26" t="n"/>
      <c r="D501" s="26" t="n"/>
      <c r="E501" s="26" t="n"/>
      <c r="F501" s="26" t="n"/>
      <c r="G501" s="26" t="n"/>
      <c r="H501" s="26" t="n"/>
      <c r="I501" s="26" t="n"/>
      <c r="J501" s="87" t="n"/>
      <c r="K501" s="87" t="n"/>
      <c r="L501" s="87" t="n"/>
      <c r="M501" s="87" t="n"/>
      <c r="N501" s="88" t="n"/>
      <c r="O501" s="88" t="n"/>
      <c r="P501" s="89" t="n"/>
      <c r="Q501" s="87" t="n"/>
      <c r="R501" s="87" t="n"/>
      <c r="S501" s="87" t="n"/>
      <c r="T501" s="87" t="n"/>
      <c r="U501" s="89" t="n"/>
      <c r="V501" s="89" t="n"/>
      <c r="W501" s="89" t="n"/>
      <c r="X501" s="87" t="n"/>
      <c r="Y501" s="87" t="n"/>
      <c r="Z501" s="88" t="n"/>
      <c r="AA501" s="26" t="n"/>
      <c r="AB501" s="86">
        <f>IF($A501="","",$A501-WEEKDAY($A501,2)+1)</f>
        <v/>
      </c>
      <c r="AC501" s="86">
        <f>IF($A501="","",DATE(YEAR($A501),MONTH($A501),1))</f>
        <v/>
      </c>
      <c r="AD501" s="90">
        <f>IF($A501="","",IFERROR($K501/$J501,0))</f>
        <v/>
      </c>
      <c r="AE501" s="90">
        <f>IF($A501="","",IFERROR($L501/$J501,0))</f>
        <v/>
      </c>
      <c r="AF501" s="90">
        <f>IF($A501="","",IFERROR($M501/$J501,0))</f>
        <v/>
      </c>
      <c r="AG501" s="88">
        <f>IF($A501="","",$N501-$O501)</f>
        <v/>
      </c>
      <c r="AH501" s="90">
        <f>IF($A501="","",IFERROR($AG501/$N501,0))</f>
        <v/>
      </c>
      <c r="AI501" s="89">
        <f>IF($A501="","",IFERROR($K501/$P501,0))</f>
        <v/>
      </c>
      <c r="AJ501" s="90">
        <f>IF($A501="","",IFERROR($S501/$R501,0))</f>
        <v/>
      </c>
      <c r="AK501" s="90">
        <f>IF($A501="","",IFERROR($T501/$J501,0))</f>
        <v/>
      </c>
      <c r="AL501" s="26">
        <f>IF($A501="","",IF(AND($AD501&gt;='01_Settings'!$B$9,$V501&lt;='01_Settings'!$B$10,$W501&lt;='01_Settings'!$B$11),"On track","Off track"))</f>
        <v/>
      </c>
      <c r="AM501" s="42">
        <f>IF($A501="","",IF($AD501&lt;'01_Settings'!$B$9,"Low completion rate; ","")&amp;IF($AE501&gt;'01_Settings'!$B$12,"High overdue rate; ","")&amp;IF($U501&lt;'01_Settings'!$B$13,"Low satisfaction; ","")&amp;IF($AH501&lt;'01_Settings'!$B$14,"Low gross margin; ","")&amp;IF($AJ501&lt;'01_Settings'!$B$15,"Low conversion rate; ","")&amp;IF($AK501&gt;'01_Settings'!$B$16,"High complaint rate; ",""))</f>
        <v/>
      </c>
    </row>
  </sheetData>
  <dataValidations count="5">
    <dataValidation sqref="B2:B501" showDropDown="0" showInputMessage="0" showErrorMessage="0" allowBlank="0" type="list">
      <formula1>'01_Settings'!$H$4:$H$10</formula1>
    </dataValidation>
    <dataValidation sqref="C2:C501" showDropDown="0" showInputMessage="0" showErrorMessage="0" allowBlank="0" type="list">
      <formula1>'01_Settings'!$F$4:$F$13</formula1>
    </dataValidation>
    <dataValidation sqref="D2:D501" showDropDown="0" showInputMessage="0" showErrorMessage="0" allowBlank="0" type="list">
      <formula1>'01_Settings'!$L$4:$L$11</formula1>
    </dataValidation>
    <dataValidation sqref="E2:E501" showDropDown="0" showInputMessage="0" showErrorMessage="0" allowBlank="0" type="list">
      <formula1>'01_Settings'!$J$4:$J$13</formula1>
    </dataValidation>
    <dataValidation sqref="F2:F501" showDropDown="0" showInputMessage="0" showErrorMessage="0" allowBlank="0" type="list">
      <formula1>'01_Settings'!$N$4:$N$10</formula1>
    </dataValidation>
  </dataValidations>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P46"/>
  <sheetViews>
    <sheetView workbookViewId="0">
      <selection activeCell="A1" sqref="A1"/>
    </sheetView>
  </sheetViews>
  <sheetFormatPr baseColWidth="8" defaultRowHeight="15"/>
  <cols>
    <col width="18" customWidth="1" min="1" max="1"/>
    <col width="14" customWidth="1" min="2" max="2"/>
    <col width="34" customWidth="1" min="3" max="3"/>
    <col width="14" customWidth="1" min="4" max="4"/>
    <col width="14" customWidth="1" min="5" max="5"/>
    <col width="14" customWidth="1" min="6" max="6"/>
    <col width="4" customWidth="1" min="7" max="7"/>
    <col width="13" customWidth="1" min="8" max="8"/>
    <col width="13" customWidth="1" min="9" max="9"/>
    <col width="13" customWidth="1" min="10" max="10"/>
    <col width="13" customWidth="1" min="11" max="11"/>
    <col width="13" customWidth="1" min="12" max="12"/>
    <col width="13" customWidth="1" min="13" max="13"/>
    <col width="9" customWidth="1" min="14" max="14"/>
    <col width="9" customWidth="1" min="15" max="15"/>
    <col width="9" customWidth="1" min="16" max="16"/>
    <col width="8" customWidth="1" min="17" max="17"/>
  </cols>
  <sheetData>
    <row r="1" ht="30" customHeight="1">
      <c r="A1" s="9" t="inlineStr">
        <is>
          <t>Service Operations Daily Report</t>
        </is>
      </c>
      <c r="B1" s="1" t="n"/>
      <c r="C1" s="1" t="n"/>
      <c r="D1" s="1" t="n"/>
      <c r="E1" s="1" t="n"/>
      <c r="F1" s="1" t="n"/>
      <c r="G1" s="1" t="n"/>
      <c r="H1" s="1" t="n"/>
      <c r="I1" s="1" t="n"/>
      <c r="J1" s="1" t="n"/>
      <c r="K1" s="1" t="n"/>
      <c r="L1" s="1" t="n"/>
      <c r="M1" s="1" t="n"/>
    </row>
    <row r="2" ht="18" customHeight="1">
      <c r="A2" s="34" t="inlineStr">
        <is>
          <t>Report date</t>
        </is>
      </c>
      <c r="B2" s="86">
        <f>'01_Settings'!$B$4</f>
        <v/>
      </c>
    </row>
    <row r="3" ht="18" customHeight="1">
      <c r="A3" s="34" t="inlineStr">
        <is>
          <t>Operating context</t>
        </is>
      </c>
      <c r="B3" s="26">
        <f>'01_Settings'!$B$6</f>
        <v/>
      </c>
    </row>
    <row r="4" ht="18" customHeight="1">
      <c r="A4" s="34" t="inlineStr">
        <is>
          <t>Company / Division</t>
        </is>
      </c>
      <c r="B4" s="26">
        <f>'01_Settings'!$B$7</f>
        <v/>
      </c>
    </row>
    <row r="5" ht="18" customHeight="1">
      <c r="A5" s="34" t="inlineStr">
        <is>
          <t>Notes</t>
        </is>
      </c>
      <c r="B5" s="26" t="inlineStr">
        <is>
          <t>Automatically summarized after filtering</t>
        </is>
      </c>
    </row>
    <row r="6"/>
    <row r="7" ht="22" customHeight="1">
      <c r="A7" s="34" t="inlineStr">
        <is>
          <t>Metric</t>
        </is>
      </c>
      <c r="B7" s="34" t="inlineStr">
        <is>
          <t>Current period</t>
        </is>
      </c>
      <c r="C7" s="34" t="inlineStr">
        <is>
          <t>Previous period</t>
        </is>
      </c>
      <c r="D7" s="34" t="inlineStr">
        <is>
          <t>Change</t>
        </is>
      </c>
      <c r="E7" s="34" t="inlineStr">
        <is>
          <t>Target / Threshold</t>
        </is>
      </c>
      <c r="F7" s="34" t="inlineStr">
        <is>
          <t>Status</t>
        </is>
      </c>
      <c r="H7" s="19" t="inlineStr">
        <is>
          <t>Trend data</t>
        </is>
      </c>
    </row>
    <row r="8" ht="24" customHeight="1">
      <c r="A8" s="26" t="inlineStr">
        <is>
          <t>Request / Ticket volume</t>
        </is>
      </c>
      <c r="B8" s="87">
        <f>SUMIFS('02_Source_Data'!$J$2:$J$501,'02_Source_Data'!$A$2:$A$501,$B$2,'02_Source_Data'!$C$2:$C$501,IF($B$3="All","*",$B$3),'02_Source_Data'!$B$2:$B$501,IF($B$4="All","*",$B$4))</f>
        <v/>
      </c>
      <c r="C8" s="87">
        <f>SUMIFS('02_Source_Data'!$J$2:$J$501,'02_Source_Data'!$A$2:$A$501,($B$2-1),'02_Source_Data'!$C$2:$C$501,IF($B$3="All","*",$B$3),'02_Source_Data'!$B$2:$B$501,IF($B$4="All","*",$B$4))</f>
        <v/>
      </c>
      <c r="D8" s="90">
        <f>IFERROR(B8/C8-1,0)</f>
        <v/>
      </c>
      <c r="E8" s="87" t="n"/>
      <c r="F8" s="26">
        <f>"Monitor"</f>
        <v/>
      </c>
      <c r="H8" s="34" t="inlineStr">
        <is>
          <t>Date</t>
        </is>
      </c>
      <c r="I8" s="34" t="inlineStr">
        <is>
          <t>Requests</t>
        </is>
      </c>
      <c r="J8" s="34" t="inlineStr">
        <is>
          <t>Completed</t>
        </is>
      </c>
      <c r="K8" s="34" t="inlineStr">
        <is>
          <t>Revenue</t>
        </is>
      </c>
      <c r="L8" s="34" t="inlineStr">
        <is>
          <t>Completion rate</t>
        </is>
      </c>
      <c r="M8" s="34" t="inlineStr">
        <is>
          <t>Overdue rate</t>
        </is>
      </c>
      <c r="N8" t="inlineStr">
        <is>
          <t>Date</t>
        </is>
      </c>
      <c r="O8" t="inlineStr">
        <is>
          <t>Requests</t>
        </is>
      </c>
      <c r="P8" t="inlineStr">
        <is>
          <t>Completed</t>
        </is>
      </c>
    </row>
    <row r="9" ht="18" customHeight="1">
      <c r="A9" s="26" t="inlineStr">
        <is>
          <t>Completed volume</t>
        </is>
      </c>
      <c r="B9" s="87">
        <f>SUMIFS('02_Source_Data'!$K$2:$K$501,'02_Source_Data'!$A$2:$A$501,$B$2,'02_Source_Data'!$C$2:$C$501,IF($B$3="All","*",$B$3),'02_Source_Data'!$B$2:$B$501,IF($B$4="All","*",$B$4))</f>
        <v/>
      </c>
      <c r="C9" s="87">
        <f>SUMIFS('02_Source_Data'!$K$2:$K$501,'02_Source_Data'!$A$2:$A$501,($B$2-1),'02_Source_Data'!$C$2:$C$501,IF($B$3="All","*",$B$3),'02_Source_Data'!$B$2:$B$501,IF($B$4="All","*",$B$4))</f>
        <v/>
      </c>
      <c r="D9" s="90">
        <f>IFERROR(B9/C9-1,0)</f>
        <v/>
      </c>
      <c r="E9" s="87">
        <f>SUMIFS('02_Source_Data'!$Y$2:$Y$501,'02_Source_Data'!$A$2:$A$501,$B$2,'02_Source_Data'!$C$2:$C$501,IF($B$3="All","*",$B$3),'02_Source_Data'!$B$2:$B$501,IF($B$4="All","*",$B$4))</f>
        <v/>
      </c>
      <c r="F9" s="26">
        <f>IF(E9="","Monitor",IF(B9&gt;=E9,"On track","Watch"))</f>
        <v/>
      </c>
      <c r="H9" s="86">
        <f>$B$2-13+0</f>
        <v/>
      </c>
      <c r="I9" s="87">
        <f>SUMIFS('02_Source_Data'!$J$2:$J$501,'02_Source_Data'!$A$2:$A$501,$H9,'02_Source_Data'!$C$2:$C$501,IF($B$3="All","*",$B$3),'02_Source_Data'!$B$2:$B$501,IF($B$4="All","*",$B$4))</f>
        <v/>
      </c>
      <c r="J9" s="87">
        <f>SUMIFS('02_Source_Data'!$K$2:$K$501,'02_Source_Data'!$A$2:$A$501,$H9,'02_Source_Data'!$C$2:$C$501,IF($B$3="All","*",$B$3),'02_Source_Data'!$B$2:$B$501,IF($B$4="All","*",$B$4))</f>
        <v/>
      </c>
      <c r="K9" s="88">
        <f>SUMIFS('02_Source_Data'!$N$2:$N$501,'02_Source_Data'!$A$2:$A$501,$H9,'02_Source_Data'!$C$2:$C$501,IF($B$3="All","*",$B$3),'02_Source_Data'!$B$2:$B$501,IF($B$4="All","*",$B$4))</f>
        <v/>
      </c>
      <c r="L9" s="90">
        <f>IFERROR(J9/I9,0)</f>
        <v/>
      </c>
      <c r="M9" s="90">
        <f>IFERROR(SUMIFS('02_Source_Data'!$L$2:$L$501,'02_Source_Data'!$A$2:$A$501,$H9,'02_Source_Data'!$C$2:$C$501,IF($B$3="All","*",$B$3),'02_Source_Data'!$B$2:$B$501,IF($B$4="All","*",$B$4))/I9,0)</f>
        <v/>
      </c>
      <c r="N9">
        <f>TEXT(H9,"m/d")</f>
        <v/>
      </c>
      <c r="O9">
        <f>I9</f>
        <v/>
      </c>
      <c r="P9">
        <f>J9</f>
        <v/>
      </c>
    </row>
    <row r="10" ht="18" customHeight="1">
      <c r="A10" s="26" t="inlineStr">
        <is>
          <t>Completion rate</t>
        </is>
      </c>
      <c r="B10" s="90">
        <f>IFERROR(SUMIFS('02_Source_Data'!$K$2:$K$501,'02_Source_Data'!$A$2:$A$501,$B$2,'02_Source_Data'!$C$2:$C$501,IF($B$3="All","*",$B$3),'02_Source_Data'!$B$2:$B$501,IF($B$4="All","*",$B$4))/SUMIFS('02_Source_Data'!$J$2:$J$501,'02_Source_Data'!$A$2:$A$501,$B$2,'02_Source_Data'!$C$2:$C$501,IF($B$3="All","*",$B$3),'02_Source_Data'!$B$2:$B$501,IF($B$4="All","*",$B$4)),0)</f>
        <v/>
      </c>
      <c r="C10" s="90">
        <f>IFERROR(SUMIFS('02_Source_Data'!$K$2:$K$501,'02_Source_Data'!$A$2:$A$501,($B$2-1),'02_Source_Data'!$C$2:$C$501,IF($B$3="All","*",$B$3),'02_Source_Data'!$B$2:$B$501,IF($B$4="All","*",$B$4))/SUMIFS('02_Source_Data'!$J$2:$J$501,'02_Source_Data'!$A$2:$A$501,($B$2-1),'02_Source_Data'!$C$2:$C$501,IF($B$3="All","*",$B$3),'02_Source_Data'!$B$2:$B$501,IF($B$4="All","*",$B$4)),0)</f>
        <v/>
      </c>
      <c r="D10" s="90">
        <f>IFERROR(B10/C10-1,0)</f>
        <v/>
      </c>
      <c r="E10" s="90">
        <f>'01_Settings'!$B$9</f>
        <v/>
      </c>
      <c r="F10" s="26">
        <f>IF(B10&gt;=E10,"On track","Watch")</f>
        <v/>
      </c>
      <c r="H10" s="86">
        <f>$B$2-13+1</f>
        <v/>
      </c>
      <c r="I10" s="87">
        <f>SUMIFS('02_Source_Data'!$J$2:$J$501,'02_Source_Data'!$A$2:$A$501,$H10,'02_Source_Data'!$C$2:$C$501,IF($B$3="All","*",$B$3),'02_Source_Data'!$B$2:$B$501,IF($B$4="All","*",$B$4))</f>
        <v/>
      </c>
      <c r="J10" s="87">
        <f>SUMIFS('02_Source_Data'!$K$2:$K$501,'02_Source_Data'!$A$2:$A$501,$H10,'02_Source_Data'!$C$2:$C$501,IF($B$3="All","*",$B$3),'02_Source_Data'!$B$2:$B$501,IF($B$4="All","*",$B$4))</f>
        <v/>
      </c>
      <c r="K10" s="88">
        <f>SUMIFS('02_Source_Data'!$N$2:$N$501,'02_Source_Data'!$A$2:$A$501,$H10,'02_Source_Data'!$C$2:$C$501,IF($B$3="All","*",$B$3),'02_Source_Data'!$B$2:$B$501,IF($B$4="All","*",$B$4))</f>
        <v/>
      </c>
      <c r="L10" s="90">
        <f>IFERROR(J10/I10,0)</f>
        <v/>
      </c>
      <c r="M10" s="90">
        <f>IFERROR(SUMIFS('02_Source_Data'!$L$2:$L$501,'02_Source_Data'!$A$2:$A$501,$H10,'02_Source_Data'!$C$2:$C$501,IF($B$3="All","*",$B$3),'02_Source_Data'!$B$2:$B$501,IF($B$4="All","*",$B$4))/I10,0)</f>
        <v/>
      </c>
      <c r="N10">
        <f>TEXT(H10,"m/d")</f>
        <v/>
      </c>
      <c r="O10">
        <f>I10</f>
        <v/>
      </c>
      <c r="P10">
        <f>J10</f>
        <v/>
      </c>
    </row>
    <row r="11" ht="18" customHeight="1">
      <c r="A11" s="26" t="inlineStr">
        <is>
          <t>Revenue</t>
        </is>
      </c>
      <c r="B11" s="88">
        <f>SUMIFS('02_Source_Data'!$N$2:$N$501,'02_Source_Data'!$A$2:$A$501,$B$2,'02_Source_Data'!$C$2:$C$501,IF($B$3="All","*",$B$3),'02_Source_Data'!$B$2:$B$501,IF($B$4="All","*",$B$4))</f>
        <v/>
      </c>
      <c r="C11" s="88">
        <f>SUMIFS('02_Source_Data'!$N$2:$N$501,'02_Source_Data'!$A$2:$A$501,($B$2-1),'02_Source_Data'!$C$2:$C$501,IF($B$3="All","*",$B$3),'02_Source_Data'!$B$2:$B$501,IF($B$4="All","*",$B$4))</f>
        <v/>
      </c>
      <c r="D11" s="90">
        <f>IFERROR(B11/C11-1,0)</f>
        <v/>
      </c>
      <c r="E11" s="88">
        <f>SUMIFS('02_Source_Data'!$Z$2:$Z$501,'02_Source_Data'!$A$2:$A$501,$B$2,'02_Source_Data'!$C$2:$C$501,IF($B$3="All","*",$B$3),'02_Source_Data'!$B$2:$B$501,IF($B$4="All","*",$B$4))</f>
        <v/>
      </c>
      <c r="F11" s="26">
        <f>IF(E11="","Monitor",IF(B11&gt;=E11,"On track","Watch"))</f>
        <v/>
      </c>
      <c r="H11" s="86">
        <f>$B$2-13+2</f>
        <v/>
      </c>
      <c r="I11" s="87">
        <f>SUMIFS('02_Source_Data'!$J$2:$J$501,'02_Source_Data'!$A$2:$A$501,$H11,'02_Source_Data'!$C$2:$C$501,IF($B$3="All","*",$B$3),'02_Source_Data'!$B$2:$B$501,IF($B$4="All","*",$B$4))</f>
        <v/>
      </c>
      <c r="J11" s="87">
        <f>SUMIFS('02_Source_Data'!$K$2:$K$501,'02_Source_Data'!$A$2:$A$501,$H11,'02_Source_Data'!$C$2:$C$501,IF($B$3="All","*",$B$3),'02_Source_Data'!$B$2:$B$501,IF($B$4="All","*",$B$4))</f>
        <v/>
      </c>
      <c r="K11" s="88">
        <f>SUMIFS('02_Source_Data'!$N$2:$N$501,'02_Source_Data'!$A$2:$A$501,$H11,'02_Source_Data'!$C$2:$C$501,IF($B$3="All","*",$B$3),'02_Source_Data'!$B$2:$B$501,IF($B$4="All","*",$B$4))</f>
        <v/>
      </c>
      <c r="L11" s="90">
        <f>IFERROR(J11/I11,0)</f>
        <v/>
      </c>
      <c r="M11" s="90">
        <f>IFERROR(SUMIFS('02_Source_Data'!$L$2:$L$501,'02_Source_Data'!$A$2:$A$501,$H11,'02_Source_Data'!$C$2:$C$501,IF($B$3="All","*",$B$3),'02_Source_Data'!$B$2:$B$501,IF($B$4="All","*",$B$4))/I11,0)</f>
        <v/>
      </c>
      <c r="N11">
        <f>TEXT(H11,"m/d")</f>
        <v/>
      </c>
      <c r="O11">
        <f>I11</f>
        <v/>
      </c>
      <c r="P11">
        <f>J11</f>
        <v/>
      </c>
    </row>
    <row r="12" ht="18" customHeight="1">
      <c r="A12" s="26" t="inlineStr">
        <is>
          <t>Cost</t>
        </is>
      </c>
      <c r="B12" s="88">
        <f>SUMIFS('02_Source_Data'!$O$2:$O$501,'02_Source_Data'!$A$2:$A$501,$B$2,'02_Source_Data'!$C$2:$C$501,IF($B$3="All","*",$B$3),'02_Source_Data'!$B$2:$B$501,IF($B$4="All","*",$B$4))</f>
        <v/>
      </c>
      <c r="C12" s="88">
        <f>SUMIFS('02_Source_Data'!$O$2:$O$501,'02_Source_Data'!$A$2:$A$501,($B$2-1),'02_Source_Data'!$C$2:$C$501,IF($B$3="All","*",$B$3),'02_Source_Data'!$B$2:$B$501,IF($B$4="All","*",$B$4))</f>
        <v/>
      </c>
      <c r="D12" s="90">
        <f>IFERROR(B12/C12-1,0)</f>
        <v/>
      </c>
      <c r="E12" s="88" t="n"/>
      <c r="F12" s="26">
        <f>"Monitor"</f>
        <v/>
      </c>
      <c r="H12" s="86">
        <f>$B$2-13+3</f>
        <v/>
      </c>
      <c r="I12" s="87">
        <f>SUMIFS('02_Source_Data'!$J$2:$J$501,'02_Source_Data'!$A$2:$A$501,$H12,'02_Source_Data'!$C$2:$C$501,IF($B$3="All","*",$B$3),'02_Source_Data'!$B$2:$B$501,IF($B$4="All","*",$B$4))</f>
        <v/>
      </c>
      <c r="J12" s="87">
        <f>SUMIFS('02_Source_Data'!$K$2:$K$501,'02_Source_Data'!$A$2:$A$501,$H12,'02_Source_Data'!$C$2:$C$501,IF($B$3="All","*",$B$3),'02_Source_Data'!$B$2:$B$501,IF($B$4="All","*",$B$4))</f>
        <v/>
      </c>
      <c r="K12" s="88">
        <f>SUMIFS('02_Source_Data'!$N$2:$N$501,'02_Source_Data'!$A$2:$A$501,$H12,'02_Source_Data'!$C$2:$C$501,IF($B$3="All","*",$B$3),'02_Source_Data'!$B$2:$B$501,IF($B$4="All","*",$B$4))</f>
        <v/>
      </c>
      <c r="L12" s="90">
        <f>IFERROR(J12/I12,0)</f>
        <v/>
      </c>
      <c r="M12" s="90">
        <f>IFERROR(SUMIFS('02_Source_Data'!$L$2:$L$501,'02_Source_Data'!$A$2:$A$501,$H12,'02_Source_Data'!$C$2:$C$501,IF($B$3="All","*",$B$3),'02_Source_Data'!$B$2:$B$501,IF($B$4="All","*",$B$4))/I12,0)</f>
        <v/>
      </c>
      <c r="N12">
        <f>TEXT(H12,"m/d")</f>
        <v/>
      </c>
      <c r="O12">
        <f>I12</f>
        <v/>
      </c>
      <c r="P12">
        <f>J12</f>
        <v/>
      </c>
    </row>
    <row r="13" ht="18" customHeight="1">
      <c r="A13" s="26" t="inlineStr">
        <is>
          <t>Gross profit</t>
        </is>
      </c>
      <c r="B13" s="88">
        <f>SUMIFS('02_Source_Data'!$N$2:$N$501,'02_Source_Data'!$A$2:$A$501,$B$2,'02_Source_Data'!$C$2:$C$501,IF($B$3="All","*",$B$3),'02_Source_Data'!$B$2:$B$501,IF($B$4="All","*",$B$4))-SUMIFS('02_Source_Data'!$O$2:$O$501,'02_Source_Data'!$A$2:$A$501,$B$2,'02_Source_Data'!$C$2:$C$501,IF($B$3="All","*",$B$3),'02_Source_Data'!$B$2:$B$501,IF($B$4="All","*",$B$4))</f>
        <v/>
      </c>
      <c r="C13" s="88">
        <f>SUMIFS('02_Source_Data'!$N$2:$N$501,'02_Source_Data'!$A$2:$A$501,($B$2-1),'02_Source_Data'!$C$2:$C$501,IF($B$3="All","*",$B$3),'02_Source_Data'!$B$2:$B$501,IF($B$4="All","*",$B$4))-SUMIFS('02_Source_Data'!$O$2:$O$501,'02_Source_Data'!$A$2:$A$501,($B$2-1),'02_Source_Data'!$C$2:$C$501,IF($B$3="All","*",$B$3),'02_Source_Data'!$B$2:$B$501,IF($B$4="All","*",$B$4))</f>
        <v/>
      </c>
      <c r="D13" s="90">
        <f>IFERROR(B13/C13-1,0)</f>
        <v/>
      </c>
      <c r="E13" s="88" t="n"/>
      <c r="F13" s="26">
        <f>"Monitor"</f>
        <v/>
      </c>
      <c r="H13" s="86">
        <f>$B$2-13+4</f>
        <v/>
      </c>
      <c r="I13" s="87">
        <f>SUMIFS('02_Source_Data'!$J$2:$J$501,'02_Source_Data'!$A$2:$A$501,$H13,'02_Source_Data'!$C$2:$C$501,IF($B$3="All","*",$B$3),'02_Source_Data'!$B$2:$B$501,IF($B$4="All","*",$B$4))</f>
        <v/>
      </c>
      <c r="J13" s="87">
        <f>SUMIFS('02_Source_Data'!$K$2:$K$501,'02_Source_Data'!$A$2:$A$501,$H13,'02_Source_Data'!$C$2:$C$501,IF($B$3="All","*",$B$3),'02_Source_Data'!$B$2:$B$501,IF($B$4="All","*",$B$4))</f>
        <v/>
      </c>
      <c r="K13" s="88">
        <f>SUMIFS('02_Source_Data'!$N$2:$N$501,'02_Source_Data'!$A$2:$A$501,$H13,'02_Source_Data'!$C$2:$C$501,IF($B$3="All","*",$B$3),'02_Source_Data'!$B$2:$B$501,IF($B$4="All","*",$B$4))</f>
        <v/>
      </c>
      <c r="L13" s="90">
        <f>IFERROR(J13/I13,0)</f>
        <v/>
      </c>
      <c r="M13" s="90">
        <f>IFERROR(SUMIFS('02_Source_Data'!$L$2:$L$501,'02_Source_Data'!$A$2:$A$501,$H13,'02_Source_Data'!$C$2:$C$501,IF($B$3="All","*",$B$3),'02_Source_Data'!$B$2:$B$501,IF($B$4="All","*",$B$4))/I13,0)</f>
        <v/>
      </c>
      <c r="N13">
        <f>TEXT(H13,"m/d")</f>
        <v/>
      </c>
      <c r="O13">
        <f>I13</f>
        <v/>
      </c>
      <c r="P13">
        <f>J13</f>
        <v/>
      </c>
    </row>
    <row r="14" ht="18" customHeight="1">
      <c r="A14" s="26" t="inlineStr">
        <is>
          <t>Gross margin</t>
        </is>
      </c>
      <c r="B14" s="90">
        <f>IFERROR(B13/B11,0)</f>
        <v/>
      </c>
      <c r="C14" s="90">
        <f>IFERROR(C13/C11,0)</f>
        <v/>
      </c>
      <c r="D14" s="90">
        <f>IFERROR(B14/C14-1,0)</f>
        <v/>
      </c>
      <c r="E14" s="90">
        <f>'01_Settings'!$B$14</f>
        <v/>
      </c>
      <c r="F14" s="26">
        <f>IF(B14&gt;=E14,"On track","Watch")</f>
        <v/>
      </c>
      <c r="H14" s="86">
        <f>$B$2-13+5</f>
        <v/>
      </c>
      <c r="I14" s="87">
        <f>SUMIFS('02_Source_Data'!$J$2:$J$501,'02_Source_Data'!$A$2:$A$501,$H14,'02_Source_Data'!$C$2:$C$501,IF($B$3="All","*",$B$3),'02_Source_Data'!$B$2:$B$501,IF($B$4="All","*",$B$4))</f>
        <v/>
      </c>
      <c r="J14" s="87">
        <f>SUMIFS('02_Source_Data'!$K$2:$K$501,'02_Source_Data'!$A$2:$A$501,$H14,'02_Source_Data'!$C$2:$C$501,IF($B$3="All","*",$B$3),'02_Source_Data'!$B$2:$B$501,IF($B$4="All","*",$B$4))</f>
        <v/>
      </c>
      <c r="K14" s="88">
        <f>SUMIFS('02_Source_Data'!$N$2:$N$501,'02_Source_Data'!$A$2:$A$501,$H14,'02_Source_Data'!$C$2:$C$501,IF($B$3="All","*",$B$3),'02_Source_Data'!$B$2:$B$501,IF($B$4="All","*",$B$4))</f>
        <v/>
      </c>
      <c r="L14" s="90">
        <f>IFERROR(J14/I14,0)</f>
        <v/>
      </c>
      <c r="M14" s="90">
        <f>IFERROR(SUMIFS('02_Source_Data'!$L$2:$L$501,'02_Source_Data'!$A$2:$A$501,$H14,'02_Source_Data'!$C$2:$C$501,IF($B$3="All","*",$B$3),'02_Source_Data'!$B$2:$B$501,IF($B$4="All","*",$B$4))/I14,0)</f>
        <v/>
      </c>
      <c r="N14">
        <f>TEXT(H14,"m/d")</f>
        <v/>
      </c>
      <c r="O14">
        <f>I14</f>
        <v/>
      </c>
      <c r="P14">
        <f>J14</f>
        <v/>
      </c>
    </row>
    <row r="15" ht="18" customHeight="1">
      <c r="A15" s="26" t="inlineStr">
        <is>
          <t>Overdue rate</t>
        </is>
      </c>
      <c r="B15" s="90">
        <f>IFERROR(SUMIFS('02_Source_Data'!$L$2:$L$501,'02_Source_Data'!$A$2:$A$501,$B$2,'02_Source_Data'!$C$2:$C$501,IF($B$3="All","*",$B$3),'02_Source_Data'!$B$2:$B$501,IF($B$4="All","*",$B$4))/SUMIFS('02_Source_Data'!$J$2:$J$501,'02_Source_Data'!$A$2:$A$501,$B$2,'02_Source_Data'!$C$2:$C$501,IF($B$3="All","*",$B$3),'02_Source_Data'!$B$2:$B$501,IF($B$4="All","*",$B$4)),0)</f>
        <v/>
      </c>
      <c r="C15" s="90">
        <f>IFERROR(SUMIFS('02_Source_Data'!$L$2:$L$501,'02_Source_Data'!$A$2:$A$501,($B$2-1),'02_Source_Data'!$C$2:$C$501,IF($B$3="All","*",$B$3),'02_Source_Data'!$B$2:$B$501,IF($B$4="All","*",$B$4))/SUMIFS('02_Source_Data'!$J$2:$J$501,'02_Source_Data'!$A$2:$A$501,($B$2-1),'02_Source_Data'!$C$2:$C$501,IF($B$3="All","*",$B$3),'02_Source_Data'!$B$2:$B$501,IF($B$4="All","*",$B$4)),0)</f>
        <v/>
      </c>
      <c r="D15" s="90">
        <f>IFERROR(B15/C15-1,0)</f>
        <v/>
      </c>
      <c r="E15" s="90">
        <f>'01_Settings'!$B$12</f>
        <v/>
      </c>
      <c r="F15" s="26">
        <f>IF(B15&lt;=E15,"On track","Watch")</f>
        <v/>
      </c>
      <c r="H15" s="86">
        <f>$B$2-13+6</f>
        <v/>
      </c>
      <c r="I15" s="87">
        <f>SUMIFS('02_Source_Data'!$J$2:$J$501,'02_Source_Data'!$A$2:$A$501,$H15,'02_Source_Data'!$C$2:$C$501,IF($B$3="All","*",$B$3),'02_Source_Data'!$B$2:$B$501,IF($B$4="All","*",$B$4))</f>
        <v/>
      </c>
      <c r="J15" s="87">
        <f>SUMIFS('02_Source_Data'!$K$2:$K$501,'02_Source_Data'!$A$2:$A$501,$H15,'02_Source_Data'!$C$2:$C$501,IF($B$3="All","*",$B$3),'02_Source_Data'!$B$2:$B$501,IF($B$4="All","*",$B$4))</f>
        <v/>
      </c>
      <c r="K15" s="88">
        <f>SUMIFS('02_Source_Data'!$N$2:$N$501,'02_Source_Data'!$A$2:$A$501,$H15,'02_Source_Data'!$C$2:$C$501,IF($B$3="All","*",$B$3),'02_Source_Data'!$B$2:$B$501,IF($B$4="All","*",$B$4))</f>
        <v/>
      </c>
      <c r="L15" s="90">
        <f>IFERROR(J15/I15,0)</f>
        <v/>
      </c>
      <c r="M15" s="90">
        <f>IFERROR(SUMIFS('02_Source_Data'!$L$2:$L$501,'02_Source_Data'!$A$2:$A$501,$H15,'02_Source_Data'!$C$2:$C$501,IF($B$3="All","*",$B$3),'02_Source_Data'!$B$2:$B$501,IF($B$4="All","*",$B$4))/I15,0)</f>
        <v/>
      </c>
      <c r="N15">
        <f>TEXT(H15,"m/d")</f>
        <v/>
      </c>
      <c r="O15">
        <f>I15</f>
        <v/>
      </c>
      <c r="P15">
        <f>J15</f>
        <v/>
      </c>
    </row>
    <row r="16" ht="18" customHeight="1">
      <c r="A16" s="26" t="inlineStr">
        <is>
          <t>Cancellation rate</t>
        </is>
      </c>
      <c r="B16" s="90">
        <f>IFERROR(SUMIFS('02_Source_Data'!$M$2:$M$501,'02_Source_Data'!$A$2:$A$501,$B$2,'02_Source_Data'!$C$2:$C$501,IF($B$3="All","*",$B$3),'02_Source_Data'!$B$2:$B$501,IF($B$4="All","*",$B$4))/SUMIFS('02_Source_Data'!$J$2:$J$501,'02_Source_Data'!$A$2:$A$501,$B$2,'02_Source_Data'!$C$2:$C$501,IF($B$3="All","*",$B$3),'02_Source_Data'!$B$2:$B$501,IF($B$4="All","*",$B$4)),0)</f>
        <v/>
      </c>
      <c r="C16" s="90">
        <f>IFERROR(SUMIFS('02_Source_Data'!$M$2:$M$501,'02_Source_Data'!$A$2:$A$501,($B$2-1),'02_Source_Data'!$C$2:$C$501,IF($B$3="All","*",$B$3),'02_Source_Data'!$B$2:$B$501,IF($B$4="All","*",$B$4))/SUMIFS('02_Source_Data'!$J$2:$J$501,'02_Source_Data'!$A$2:$A$501,($B$2-1),'02_Source_Data'!$C$2:$C$501,IF($B$3="All","*",$B$3),'02_Source_Data'!$B$2:$B$501,IF($B$4="All","*",$B$4)),0)</f>
        <v/>
      </c>
      <c r="D16" s="90">
        <f>IFERROR(B16/C16-1,0)</f>
        <v/>
      </c>
      <c r="E16" s="90" t="n"/>
      <c r="F16" s="26">
        <f>"Monitor"</f>
        <v/>
      </c>
      <c r="H16" s="86">
        <f>$B$2-13+7</f>
        <v/>
      </c>
      <c r="I16" s="87">
        <f>SUMIFS('02_Source_Data'!$J$2:$J$501,'02_Source_Data'!$A$2:$A$501,$H16,'02_Source_Data'!$C$2:$C$501,IF($B$3="All","*",$B$3),'02_Source_Data'!$B$2:$B$501,IF($B$4="All","*",$B$4))</f>
        <v/>
      </c>
      <c r="J16" s="87">
        <f>SUMIFS('02_Source_Data'!$K$2:$K$501,'02_Source_Data'!$A$2:$A$501,$H16,'02_Source_Data'!$C$2:$C$501,IF($B$3="All","*",$B$3),'02_Source_Data'!$B$2:$B$501,IF($B$4="All","*",$B$4))</f>
        <v/>
      </c>
      <c r="K16" s="88">
        <f>SUMIFS('02_Source_Data'!$N$2:$N$501,'02_Source_Data'!$A$2:$A$501,$H16,'02_Source_Data'!$C$2:$C$501,IF($B$3="All","*",$B$3),'02_Source_Data'!$B$2:$B$501,IF($B$4="All","*",$B$4))</f>
        <v/>
      </c>
      <c r="L16" s="90">
        <f>IFERROR(J16/I16,0)</f>
        <v/>
      </c>
      <c r="M16" s="90">
        <f>IFERROR(SUMIFS('02_Source_Data'!$L$2:$L$501,'02_Source_Data'!$A$2:$A$501,$H16,'02_Source_Data'!$C$2:$C$501,IF($B$3="All","*",$B$3),'02_Source_Data'!$B$2:$B$501,IF($B$4="All","*",$B$4))/I16,0)</f>
        <v/>
      </c>
      <c r="N16">
        <f>TEXT(H16,"m/d")</f>
        <v/>
      </c>
      <c r="O16">
        <f>I16</f>
        <v/>
      </c>
      <c r="P16">
        <f>J16</f>
        <v/>
      </c>
    </row>
    <row r="17" ht="18" customHeight="1">
      <c r="A17" s="26" t="inlineStr">
        <is>
          <t>Complaint rate</t>
        </is>
      </c>
      <c r="B17" s="90">
        <f>IFERROR(SUMIFS('02_Source_Data'!$T$2:$T$501,'02_Source_Data'!$A$2:$A$501,$B$2,'02_Source_Data'!$C$2:$C$501,IF($B$3="All","*",$B$3),'02_Source_Data'!$B$2:$B$501,IF($B$4="All","*",$B$4))/SUMIFS('02_Source_Data'!$J$2:$J$501,'02_Source_Data'!$A$2:$A$501,$B$2,'02_Source_Data'!$C$2:$C$501,IF($B$3="All","*",$B$3),'02_Source_Data'!$B$2:$B$501,IF($B$4="All","*",$B$4)),0)</f>
        <v/>
      </c>
      <c r="C17" s="90">
        <f>IFERROR(SUMIFS('02_Source_Data'!$T$2:$T$501,'02_Source_Data'!$A$2:$A$501,($B$2-1),'02_Source_Data'!$C$2:$C$501,IF($B$3="All","*",$B$3),'02_Source_Data'!$B$2:$B$501,IF($B$4="All","*",$B$4))/SUMIFS('02_Source_Data'!$J$2:$J$501,'02_Source_Data'!$A$2:$A$501,($B$2-1),'02_Source_Data'!$C$2:$C$501,IF($B$3="All","*",$B$3),'02_Source_Data'!$B$2:$B$501,IF($B$4="All","*",$B$4)),0)</f>
        <v/>
      </c>
      <c r="D17" s="90">
        <f>IFERROR(B17/C17-1,0)</f>
        <v/>
      </c>
      <c r="E17" s="90">
        <f>'01_Settings'!$B$16</f>
        <v/>
      </c>
      <c r="F17" s="26">
        <f>IF(B17&lt;=E17,"On track","Watch")</f>
        <v/>
      </c>
      <c r="H17" s="86">
        <f>$B$2-13+8</f>
        <v/>
      </c>
      <c r="I17" s="87">
        <f>SUMIFS('02_Source_Data'!$J$2:$J$501,'02_Source_Data'!$A$2:$A$501,$H17,'02_Source_Data'!$C$2:$C$501,IF($B$3="All","*",$B$3),'02_Source_Data'!$B$2:$B$501,IF($B$4="All","*",$B$4))</f>
        <v/>
      </c>
      <c r="J17" s="87">
        <f>SUMIFS('02_Source_Data'!$K$2:$K$501,'02_Source_Data'!$A$2:$A$501,$H17,'02_Source_Data'!$C$2:$C$501,IF($B$3="All","*",$B$3),'02_Source_Data'!$B$2:$B$501,IF($B$4="All","*",$B$4))</f>
        <v/>
      </c>
      <c r="K17" s="88">
        <f>SUMIFS('02_Source_Data'!$N$2:$N$501,'02_Source_Data'!$A$2:$A$501,$H17,'02_Source_Data'!$C$2:$C$501,IF($B$3="All","*",$B$3),'02_Source_Data'!$B$2:$B$501,IF($B$4="All","*",$B$4))</f>
        <v/>
      </c>
      <c r="L17" s="90">
        <f>IFERROR(J17/I17,0)</f>
        <v/>
      </c>
      <c r="M17" s="90">
        <f>IFERROR(SUMIFS('02_Source_Data'!$L$2:$L$501,'02_Source_Data'!$A$2:$A$501,$H17,'02_Source_Data'!$C$2:$C$501,IF($B$3="All","*",$B$3),'02_Source_Data'!$B$2:$B$501,IF($B$4="All","*",$B$4))/I17,0)</f>
        <v/>
      </c>
      <c r="N17">
        <f>TEXT(H17,"m/d")</f>
        <v/>
      </c>
      <c r="O17">
        <f>I17</f>
        <v/>
      </c>
      <c r="P17">
        <f>J17</f>
        <v/>
      </c>
    </row>
    <row r="18" ht="18" customHeight="1">
      <c r="A18" s="26" t="inlineStr">
        <is>
          <t>Satisfaction score</t>
        </is>
      </c>
      <c r="B18" s="89">
        <f>IFERROR(SUMIFS('02_Source_Data'!$U$2:$U$501,'02_Source_Data'!$A$2:$A$501,$B$2,'02_Source_Data'!$C$2:$C$501,IF($B$3="All","*",$B$3),'02_Source_Data'!$B$2:$B$501,IF($B$4="All","*",$B$4))/COUNTIFS('02_Source_Data'!$A$2:$A$501,$B$2,'02_Source_Data'!$C$2:$C$501,IF($B$3="All","*",$B$3),'02_Source_Data'!$B$2:$B$501,IF($B$4="All","*",$B$4)),0)</f>
        <v/>
      </c>
      <c r="C18" s="89">
        <f>IFERROR(SUMIFS('02_Source_Data'!$U$2:$U$501,'02_Source_Data'!$A$2:$A$501,($B$2-1),'02_Source_Data'!$C$2:$C$501,IF($B$3="All","*",$B$3),'02_Source_Data'!$B$2:$B$501,IF($B$4="All","*",$B$4))/COUNTIFS('02_Source_Data'!$A$2:$A$501,($B$2-1),'02_Source_Data'!$C$2:$C$501,IF($B$3="All","*",$B$3),'02_Source_Data'!$B$2:$B$501,IF($B$4="All","*",$B$4)),0)</f>
        <v/>
      </c>
      <c r="D18" s="89">
        <f>IFERROR(B18-C18,0)</f>
        <v/>
      </c>
      <c r="E18" s="89">
        <f>'01_Settings'!$B$13</f>
        <v/>
      </c>
      <c r="F18" s="26">
        <f>IF(B18&gt;=E18,"On track","Watch")</f>
        <v/>
      </c>
      <c r="H18" s="86">
        <f>$B$2-13+9</f>
        <v/>
      </c>
      <c r="I18" s="87">
        <f>SUMIFS('02_Source_Data'!$J$2:$J$501,'02_Source_Data'!$A$2:$A$501,$H18,'02_Source_Data'!$C$2:$C$501,IF($B$3="All","*",$B$3),'02_Source_Data'!$B$2:$B$501,IF($B$4="All","*",$B$4))</f>
        <v/>
      </c>
      <c r="J18" s="87">
        <f>SUMIFS('02_Source_Data'!$K$2:$K$501,'02_Source_Data'!$A$2:$A$501,$H18,'02_Source_Data'!$C$2:$C$501,IF($B$3="All","*",$B$3),'02_Source_Data'!$B$2:$B$501,IF($B$4="All","*",$B$4))</f>
        <v/>
      </c>
      <c r="K18" s="88">
        <f>SUMIFS('02_Source_Data'!$N$2:$N$501,'02_Source_Data'!$A$2:$A$501,$H18,'02_Source_Data'!$C$2:$C$501,IF($B$3="All","*",$B$3),'02_Source_Data'!$B$2:$B$501,IF($B$4="All","*",$B$4))</f>
        <v/>
      </c>
      <c r="L18" s="90">
        <f>IFERROR(J18/I18,0)</f>
        <v/>
      </c>
      <c r="M18" s="90">
        <f>IFERROR(SUMIFS('02_Source_Data'!$L$2:$L$501,'02_Source_Data'!$A$2:$A$501,$H18,'02_Source_Data'!$C$2:$C$501,IF($B$3="All","*",$B$3),'02_Source_Data'!$B$2:$B$501,IF($B$4="All","*",$B$4))/I18,0)</f>
        <v/>
      </c>
      <c r="N18">
        <f>TEXT(H18,"m/d")</f>
        <v/>
      </c>
      <c r="O18">
        <f>I18</f>
        <v/>
      </c>
      <c r="P18">
        <f>J18</f>
        <v/>
      </c>
    </row>
    <row r="19" ht="18" customHeight="1">
      <c r="A19" s="26" t="inlineStr">
        <is>
          <t>Response time (hours)</t>
        </is>
      </c>
      <c r="B19" s="89">
        <f>IFERROR(SUMIFS('02_Source_Data'!$V$2:$V$501,'02_Source_Data'!$A$2:$A$501,$B$2,'02_Source_Data'!$C$2:$C$501,IF($B$3="All","*",$B$3),'02_Source_Data'!$B$2:$B$501,IF($B$4="All","*",$B$4))/COUNTIFS('02_Source_Data'!$A$2:$A$501,$B$2,'02_Source_Data'!$C$2:$C$501,IF($B$3="All","*",$B$3),'02_Source_Data'!$B$2:$B$501,IF($B$4="All","*",$B$4)),0)</f>
        <v/>
      </c>
      <c r="C19" s="89">
        <f>IFERROR(SUMIFS('02_Source_Data'!$V$2:$V$501,'02_Source_Data'!$A$2:$A$501,($B$2-1),'02_Source_Data'!$C$2:$C$501,IF($B$3="All","*",$B$3),'02_Source_Data'!$B$2:$B$501,IF($B$4="All","*",$B$4))/COUNTIFS('02_Source_Data'!$A$2:$A$501,($B$2-1),'02_Source_Data'!$C$2:$C$501,IF($B$3="All","*",$B$3),'02_Source_Data'!$B$2:$B$501,IF($B$4="All","*",$B$4)),0)</f>
        <v/>
      </c>
      <c r="D19" s="89">
        <f>IFERROR(B19-C19,0)</f>
        <v/>
      </c>
      <c r="E19" s="89">
        <f>'01_Settings'!$B$10</f>
        <v/>
      </c>
      <c r="F19" s="26">
        <f>IF(B19&lt;=E19,"On track","Watch")</f>
        <v/>
      </c>
      <c r="H19" s="86">
        <f>$B$2-13+10</f>
        <v/>
      </c>
      <c r="I19" s="87">
        <f>SUMIFS('02_Source_Data'!$J$2:$J$501,'02_Source_Data'!$A$2:$A$501,$H19,'02_Source_Data'!$C$2:$C$501,IF($B$3="All","*",$B$3),'02_Source_Data'!$B$2:$B$501,IF($B$4="All","*",$B$4))</f>
        <v/>
      </c>
      <c r="J19" s="87">
        <f>SUMIFS('02_Source_Data'!$K$2:$K$501,'02_Source_Data'!$A$2:$A$501,$H19,'02_Source_Data'!$C$2:$C$501,IF($B$3="All","*",$B$3),'02_Source_Data'!$B$2:$B$501,IF($B$4="All","*",$B$4))</f>
        <v/>
      </c>
      <c r="K19" s="88">
        <f>SUMIFS('02_Source_Data'!$N$2:$N$501,'02_Source_Data'!$A$2:$A$501,$H19,'02_Source_Data'!$C$2:$C$501,IF($B$3="All","*",$B$3),'02_Source_Data'!$B$2:$B$501,IF($B$4="All","*",$B$4))</f>
        <v/>
      </c>
      <c r="L19" s="90">
        <f>IFERROR(J19/I19,0)</f>
        <v/>
      </c>
      <c r="M19" s="90">
        <f>IFERROR(SUMIFS('02_Source_Data'!$L$2:$L$501,'02_Source_Data'!$A$2:$A$501,$H19,'02_Source_Data'!$C$2:$C$501,IF($B$3="All","*",$B$3),'02_Source_Data'!$B$2:$B$501,IF($B$4="All","*",$B$4))/I19,0)</f>
        <v/>
      </c>
      <c r="N19">
        <f>TEXT(H19,"m/d")</f>
        <v/>
      </c>
      <c r="O19">
        <f>I19</f>
        <v/>
      </c>
      <c r="P19">
        <f>J19</f>
        <v/>
      </c>
    </row>
    <row r="20" ht="18" customHeight="1">
      <c r="A20" s="26" t="inlineStr">
        <is>
          <t>Resolution time (hours)</t>
        </is>
      </c>
      <c r="B20" s="89">
        <f>IFERROR(SUMIFS('02_Source_Data'!$W$2:$W$501,'02_Source_Data'!$A$2:$A$501,$B$2,'02_Source_Data'!$C$2:$C$501,IF($B$3="All","*",$B$3),'02_Source_Data'!$B$2:$B$501,IF($B$4="All","*",$B$4))/COUNTIFS('02_Source_Data'!$A$2:$A$501,$B$2,'02_Source_Data'!$C$2:$C$501,IF($B$3="All","*",$B$3),'02_Source_Data'!$B$2:$B$501,IF($B$4="All","*",$B$4)),0)</f>
        <v/>
      </c>
      <c r="C20" s="89">
        <f>IFERROR(SUMIFS('02_Source_Data'!$W$2:$W$501,'02_Source_Data'!$A$2:$A$501,($B$2-1),'02_Source_Data'!$C$2:$C$501,IF($B$3="All","*",$B$3),'02_Source_Data'!$B$2:$B$501,IF($B$4="All","*",$B$4))/COUNTIFS('02_Source_Data'!$A$2:$A$501,($B$2-1),'02_Source_Data'!$C$2:$C$501,IF($B$3="All","*",$B$3),'02_Source_Data'!$B$2:$B$501,IF($B$4="All","*",$B$4)),0)</f>
        <v/>
      </c>
      <c r="D20" s="89">
        <f>IFERROR(B20-C20,0)</f>
        <v/>
      </c>
      <c r="E20" s="89">
        <f>'01_Settings'!$B$11</f>
        <v/>
      </c>
      <c r="F20" s="26">
        <f>IF(B20&lt;=E20,"On track","Watch")</f>
        <v/>
      </c>
      <c r="H20" s="86">
        <f>$B$2-13+11</f>
        <v/>
      </c>
      <c r="I20" s="87">
        <f>SUMIFS('02_Source_Data'!$J$2:$J$501,'02_Source_Data'!$A$2:$A$501,$H20,'02_Source_Data'!$C$2:$C$501,IF($B$3="All","*",$B$3),'02_Source_Data'!$B$2:$B$501,IF($B$4="All","*",$B$4))</f>
        <v/>
      </c>
      <c r="J20" s="87">
        <f>SUMIFS('02_Source_Data'!$K$2:$K$501,'02_Source_Data'!$A$2:$A$501,$H20,'02_Source_Data'!$C$2:$C$501,IF($B$3="All","*",$B$3),'02_Source_Data'!$B$2:$B$501,IF($B$4="All","*",$B$4))</f>
        <v/>
      </c>
      <c r="K20" s="88">
        <f>SUMIFS('02_Source_Data'!$N$2:$N$501,'02_Source_Data'!$A$2:$A$501,$H20,'02_Source_Data'!$C$2:$C$501,IF($B$3="All","*",$B$3),'02_Source_Data'!$B$2:$B$501,IF($B$4="All","*",$B$4))</f>
        <v/>
      </c>
      <c r="L20" s="90">
        <f>IFERROR(J20/I20,0)</f>
        <v/>
      </c>
      <c r="M20" s="90">
        <f>IFERROR(SUMIFS('02_Source_Data'!$L$2:$L$501,'02_Source_Data'!$A$2:$A$501,$H20,'02_Source_Data'!$C$2:$C$501,IF($B$3="All","*",$B$3),'02_Source_Data'!$B$2:$B$501,IF($B$4="All","*",$B$4))/I20,0)</f>
        <v/>
      </c>
      <c r="N20">
        <f>TEXT(H20,"m/d")</f>
        <v/>
      </c>
      <c r="O20">
        <f>I20</f>
        <v/>
      </c>
      <c r="P20">
        <f>J20</f>
        <v/>
      </c>
    </row>
    <row r="21" ht="18" customHeight="1">
      <c r="A21" s="26" t="inlineStr">
        <is>
          <t>Productivity (completed/hour)</t>
        </is>
      </c>
      <c r="B21" s="89">
        <f>IFERROR(SUMIFS('02_Source_Data'!$K$2:$K$501,'02_Source_Data'!$A$2:$A$501,$B$2,'02_Source_Data'!$C$2:$C$501,IF($B$3="All","*",$B$3),'02_Source_Data'!$B$2:$B$501,IF($B$4="All","*",$B$4))/SUMIFS('02_Source_Data'!$P$2:$P$501,'02_Source_Data'!$A$2:$A$501,$B$2,'02_Source_Data'!$C$2:$C$501,IF($B$3="All","*",$B$3),'02_Source_Data'!$B$2:$B$501,IF($B$4="All","*",$B$4)),0)</f>
        <v/>
      </c>
      <c r="C21" s="89">
        <f>IFERROR(SUMIFS('02_Source_Data'!$K$2:$K$501,'02_Source_Data'!$A$2:$A$501,($B$2-1),'02_Source_Data'!$C$2:$C$501,IF($B$3="All","*",$B$3),'02_Source_Data'!$B$2:$B$501,IF($B$4="All","*",$B$4))/SUMIFS('02_Source_Data'!$P$2:$P$501,'02_Source_Data'!$A$2:$A$501,($B$2-1),'02_Source_Data'!$C$2:$C$501,IF($B$3="All","*",$B$3),'02_Source_Data'!$B$2:$B$501,IF($B$4="All","*",$B$4)),0)</f>
        <v/>
      </c>
      <c r="D21" s="89">
        <f>IFERROR(B21/C21-1,0)</f>
        <v/>
      </c>
      <c r="E21" s="89" t="n"/>
      <c r="F21" s="26">
        <f>"Monitor"</f>
        <v/>
      </c>
      <c r="H21" s="86">
        <f>$B$2-13+12</f>
        <v/>
      </c>
      <c r="I21" s="87">
        <f>SUMIFS('02_Source_Data'!$J$2:$J$501,'02_Source_Data'!$A$2:$A$501,$H21,'02_Source_Data'!$C$2:$C$501,IF($B$3="All","*",$B$3),'02_Source_Data'!$B$2:$B$501,IF($B$4="All","*",$B$4))</f>
        <v/>
      </c>
      <c r="J21" s="87">
        <f>SUMIFS('02_Source_Data'!$K$2:$K$501,'02_Source_Data'!$A$2:$A$501,$H21,'02_Source_Data'!$C$2:$C$501,IF($B$3="All","*",$B$3),'02_Source_Data'!$B$2:$B$501,IF($B$4="All","*",$B$4))</f>
        <v/>
      </c>
      <c r="K21" s="88">
        <f>SUMIFS('02_Source_Data'!$N$2:$N$501,'02_Source_Data'!$A$2:$A$501,$H21,'02_Source_Data'!$C$2:$C$501,IF($B$3="All","*",$B$3),'02_Source_Data'!$B$2:$B$501,IF($B$4="All","*",$B$4))</f>
        <v/>
      </c>
      <c r="L21" s="90">
        <f>IFERROR(J21/I21,0)</f>
        <v/>
      </c>
      <c r="M21" s="90">
        <f>IFERROR(SUMIFS('02_Source_Data'!$L$2:$L$501,'02_Source_Data'!$A$2:$A$501,$H21,'02_Source_Data'!$C$2:$C$501,IF($B$3="All","*",$B$3),'02_Source_Data'!$B$2:$B$501,IF($B$4="All","*",$B$4))/I21,0)</f>
        <v/>
      </c>
      <c r="N21">
        <f>TEXT(H21,"m/d")</f>
        <v/>
      </c>
      <c r="O21">
        <f>I21</f>
        <v/>
      </c>
      <c r="P21">
        <f>J21</f>
        <v/>
      </c>
    </row>
    <row r="22" ht="18" customHeight="1">
      <c r="A22" s="26" t="inlineStr">
        <is>
          <t>Conversion rate</t>
        </is>
      </c>
      <c r="B22" s="90">
        <f>IFERROR(SUMIFS('02_Source_Data'!$S$2:$S$501,'02_Source_Data'!$A$2:$A$501,$B$2,'02_Source_Data'!$C$2:$C$501,IF($B$3="All","*",$B$3),'02_Source_Data'!$B$2:$B$501,IF($B$4="All","*",$B$4))/SUMIFS('02_Source_Data'!$R$2:$R$501,'02_Source_Data'!$A$2:$A$501,$B$2,'02_Source_Data'!$C$2:$C$501,IF($B$3="All","*",$B$3),'02_Source_Data'!$B$2:$B$501,IF($B$4="All","*",$B$4)),0)</f>
        <v/>
      </c>
      <c r="C22" s="90">
        <f>IFERROR(SUMIFS('02_Source_Data'!$S$2:$S$501,'02_Source_Data'!$A$2:$A$501,($B$2-1),'02_Source_Data'!$C$2:$C$501,IF($B$3="All","*",$B$3),'02_Source_Data'!$B$2:$B$501,IF($B$4="All","*",$B$4))/SUMIFS('02_Source_Data'!$R$2:$R$501,'02_Source_Data'!$A$2:$A$501,($B$2-1),'02_Source_Data'!$C$2:$C$501,IF($B$3="All","*",$B$3),'02_Source_Data'!$B$2:$B$501,IF($B$4="All","*",$B$4)),0)</f>
        <v/>
      </c>
      <c r="D22" s="90">
        <f>IFERROR(B22/C22-1,0)</f>
        <v/>
      </c>
      <c r="E22" s="90">
        <f>'01_Settings'!$B$15</f>
        <v/>
      </c>
      <c r="F22" s="26">
        <f>IF(B22&gt;=E22,"On track","Watch")</f>
        <v/>
      </c>
      <c r="H22" s="86">
        <f>$B$2-13+13</f>
        <v/>
      </c>
      <c r="I22" s="87">
        <f>SUMIFS('02_Source_Data'!$J$2:$J$501,'02_Source_Data'!$A$2:$A$501,$H22,'02_Source_Data'!$C$2:$C$501,IF($B$3="All","*",$B$3),'02_Source_Data'!$B$2:$B$501,IF($B$4="All","*",$B$4))</f>
        <v/>
      </c>
      <c r="J22" s="87">
        <f>SUMIFS('02_Source_Data'!$K$2:$K$501,'02_Source_Data'!$A$2:$A$501,$H22,'02_Source_Data'!$C$2:$C$501,IF($B$3="All","*",$B$3),'02_Source_Data'!$B$2:$B$501,IF($B$4="All","*",$B$4))</f>
        <v/>
      </c>
      <c r="K22" s="88">
        <f>SUMIFS('02_Source_Data'!$N$2:$N$501,'02_Source_Data'!$A$2:$A$501,$H22,'02_Source_Data'!$C$2:$C$501,IF($B$3="All","*",$B$3),'02_Source_Data'!$B$2:$B$501,IF($B$4="All","*",$B$4))</f>
        <v/>
      </c>
      <c r="L22" s="90">
        <f>IFERROR(J22/I22,0)</f>
        <v/>
      </c>
      <c r="M22" s="90">
        <f>IFERROR(SUMIFS('02_Source_Data'!$L$2:$L$501,'02_Source_Data'!$A$2:$A$501,$H22,'02_Source_Data'!$C$2:$C$501,IF($B$3="All","*",$B$3),'02_Source_Data'!$B$2:$B$501,IF($B$4="All","*",$B$4))/I22,0)</f>
        <v/>
      </c>
      <c r="N22">
        <f>TEXT(H22,"m/d")</f>
        <v/>
      </c>
      <c r="O22">
        <f>I22</f>
        <v/>
      </c>
      <c r="P22">
        <f>J22</f>
        <v/>
      </c>
    </row>
    <row r="23" ht="18" customHeight="1">
      <c r="A23" s="26" t="inlineStr">
        <is>
          <t>Backlog / Inventory</t>
        </is>
      </c>
      <c r="B23" s="87">
        <f>SUMIFS('02_Source_Data'!$X$2:$X$501,'02_Source_Data'!$A$2:$A$501,$B$2,'02_Source_Data'!$C$2:$C$501,IF($B$3="All","*",$B$3),'02_Source_Data'!$B$2:$B$501,IF($B$4="All","*",$B$4))</f>
        <v/>
      </c>
      <c r="C23" s="87">
        <f>SUMIFS('02_Source_Data'!$X$2:$X$501,'02_Source_Data'!$A$2:$A$501,($B$2-1),'02_Source_Data'!$C$2:$C$501,IF($B$3="All","*",$B$3),'02_Source_Data'!$B$2:$B$501,IF($B$4="All","*",$B$4))</f>
        <v/>
      </c>
      <c r="D23" s="90">
        <f>IFERROR(B23/C23-1,0)</f>
        <v/>
      </c>
      <c r="E23" s="87" t="n"/>
      <c r="F23" s="26">
        <f>"Monitor"</f>
        <v/>
      </c>
    </row>
    <row r="24" ht="18" customHeight="1">
      <c r="A24" s="26" t="inlineStr">
        <is>
          <t>Exception data rows</t>
        </is>
      </c>
      <c r="B24" s="87">
        <f>COUNTIFS('02_Source_Data'!$A$2:$A$501,$B$2,'02_Source_Data'!$C$2:$C$501,IF($B$3="All","*",$B$3),'02_Source_Data'!$B$2:$B$501,IF($B$4="All","*",$B$4),'02_Source_Data'!$AM$2:$AM$501,"?*")</f>
        <v/>
      </c>
      <c r="C24" s="87">
        <f>COUNTIFS('02_Source_Data'!$A$2:$A$501,($B$2-1),'02_Source_Data'!$C$2:$C$501,IF($B$3="All","*",$B$3),'02_Source_Data'!$B$2:$B$501,IF($B$4="All","*",$B$4),'02_Source_Data'!$AM$2:$AM$501,"?*")</f>
        <v/>
      </c>
      <c r="D24" s="90">
        <f>IFERROR(B24/C24-1,0)</f>
        <v/>
      </c>
      <c r="E24" s="87">
        <f>0</f>
        <v/>
      </c>
      <c r="F24" s="26">
        <f>IF(B24&lt;=E24,"On track","Watch")</f>
        <v/>
      </c>
    </row>
    <row r="25"/>
    <row r="26" ht="22" customHeight="1">
      <c r="A26" s="19" t="inlineStr">
        <is>
          <t>Breakdown by operating context</t>
        </is>
      </c>
    </row>
    <row r="27" ht="24" customHeight="1">
      <c r="A27" s="34" t="inlineStr">
        <is>
          <t>Operating context</t>
        </is>
      </c>
      <c r="B27" s="34" t="inlineStr">
        <is>
          <t>Requests</t>
        </is>
      </c>
      <c r="C27" s="34" t="inlineStr">
        <is>
          <t>Completed</t>
        </is>
      </c>
      <c r="D27" s="34" t="inlineStr">
        <is>
          <t>Completion rate</t>
        </is>
      </c>
      <c r="E27" s="34" t="inlineStr">
        <is>
          <t>Revenue</t>
        </is>
      </c>
      <c r="F27" s="34" t="inlineStr">
        <is>
          <t>Overdue rate</t>
        </is>
      </c>
      <c r="G27" s="34" t="inlineStr">
        <is>
          <t>Satisfaction score</t>
        </is>
      </c>
      <c r="H27" s="34" t="inlineStr">
        <is>
          <t>Exception rows</t>
        </is>
      </c>
    </row>
    <row r="28" ht="18" customHeight="1">
      <c r="A28" s="26" t="inlineStr">
        <is>
          <t>Customer Support Operations</t>
        </is>
      </c>
      <c r="B28" s="87">
        <f>SUMIFS('02_Source_Data'!$J$2:$J$501,'02_Source_Data'!$A$2:$A$501,$B$2,'02_Source_Data'!$C$2:$C$501,$A28,'02_Source_Data'!$B$2:$B$501,IF($B$4="All","*",$B$4))</f>
        <v/>
      </c>
      <c r="C28" s="87">
        <f>SUMIFS('02_Source_Data'!$K$2:$K$501,'02_Source_Data'!$A$2:$A$501,$B$2,'02_Source_Data'!$C$2:$C$501,$A28,'02_Source_Data'!$B$2:$B$501,IF($B$4="All","*",$B$4))</f>
        <v/>
      </c>
      <c r="D28" s="90">
        <f>IFERROR(C28/B28,0)</f>
        <v/>
      </c>
      <c r="E28" s="88">
        <f>SUMIFS('02_Source_Data'!$N$2:$N$501,'02_Source_Data'!$A$2:$A$501,$B$2,'02_Source_Data'!$C$2:$C$501,$A28,'02_Source_Data'!$B$2:$B$501,IF($B$4="All","*",$B$4))</f>
        <v/>
      </c>
      <c r="F28" s="90">
        <f>IFERROR(SUMIFS('02_Source_Data'!$L$2:$L$501,'02_Source_Data'!$A$2:$A$501,$B$2,'02_Source_Data'!$C$2:$C$501,$A28,'02_Source_Data'!$B$2:$B$501,IF($B$4="All","*",$B$4))/B28,0)</f>
        <v/>
      </c>
      <c r="G28" s="89">
        <f>IFERROR(SUMIFS('02_Source_Data'!$U$2:$U$501,'02_Source_Data'!$A$2:$A$501,$B$2,'02_Source_Data'!$C$2:$C$501,$A28,'02_Source_Data'!$B$2:$B$501,IF($B$4="All","*",$B$4))/COUNTIFS('02_Source_Data'!$A$2:$A$501,$B$2,'02_Source_Data'!$C$2:$C$501,$A28,'02_Source_Data'!$B$2:$B$501,IF($B$4="All","*",$B$4)),0)</f>
        <v/>
      </c>
      <c r="H28" s="87">
        <f>COUNTIFS('02_Source_Data'!$A$2:$A$501,$B$2,'02_Source_Data'!$C$2:$C$501,$A28,'02_Source_Data'!$B$2:$B$501,IF($B$4="All","*",$B$4),'02_Source_Data'!$AM$2:$AM$501,"?*")</f>
        <v/>
      </c>
    </row>
    <row r="29" ht="18" customHeight="1">
      <c r="A29" s="26" t="inlineStr">
        <is>
          <t>Sales Operations</t>
        </is>
      </c>
      <c r="B29" s="87">
        <f>SUMIFS('02_Source_Data'!$J$2:$J$501,'02_Source_Data'!$A$2:$A$501,$B$2,'02_Source_Data'!$C$2:$C$501,$A29,'02_Source_Data'!$B$2:$B$501,IF($B$4="All","*",$B$4))</f>
        <v/>
      </c>
      <c r="C29" s="87">
        <f>SUMIFS('02_Source_Data'!$K$2:$K$501,'02_Source_Data'!$A$2:$A$501,$B$2,'02_Source_Data'!$C$2:$C$501,$A29,'02_Source_Data'!$B$2:$B$501,IF($B$4="All","*",$B$4))</f>
        <v/>
      </c>
      <c r="D29" s="90">
        <f>IFERROR(C29/B29,0)</f>
        <v/>
      </c>
      <c r="E29" s="88">
        <f>SUMIFS('02_Source_Data'!$N$2:$N$501,'02_Source_Data'!$A$2:$A$501,$B$2,'02_Source_Data'!$C$2:$C$501,$A29,'02_Source_Data'!$B$2:$B$501,IF($B$4="All","*",$B$4))</f>
        <v/>
      </c>
      <c r="F29" s="90">
        <f>IFERROR(SUMIFS('02_Source_Data'!$L$2:$L$501,'02_Source_Data'!$A$2:$A$501,$B$2,'02_Source_Data'!$C$2:$C$501,$A29,'02_Source_Data'!$B$2:$B$501,IF($B$4="All","*",$B$4))/B29,0)</f>
        <v/>
      </c>
      <c r="G29" s="89">
        <f>IFERROR(SUMIFS('02_Source_Data'!$U$2:$U$501,'02_Source_Data'!$A$2:$A$501,$B$2,'02_Source_Data'!$C$2:$C$501,$A29,'02_Source_Data'!$B$2:$B$501,IF($B$4="All","*",$B$4))/COUNTIFS('02_Source_Data'!$A$2:$A$501,$B$2,'02_Source_Data'!$C$2:$C$501,$A29,'02_Source_Data'!$B$2:$B$501,IF($B$4="All","*",$B$4)),0)</f>
        <v/>
      </c>
      <c r="H29" s="87">
        <f>COUNTIFS('02_Source_Data'!$A$2:$A$501,$B$2,'02_Source_Data'!$C$2:$C$501,$A29,'02_Source_Data'!$B$2:$B$501,IF($B$4="All","*",$B$4),'02_Source_Data'!$AM$2:$AM$501,"?*")</f>
        <v/>
      </c>
    </row>
    <row r="30" ht="18" customHeight="1">
      <c r="A30" s="26" t="inlineStr">
        <is>
          <t>E-commerce Operations</t>
        </is>
      </c>
      <c r="B30" s="87">
        <f>SUMIFS('02_Source_Data'!$J$2:$J$501,'02_Source_Data'!$A$2:$A$501,$B$2,'02_Source_Data'!$C$2:$C$501,$A30,'02_Source_Data'!$B$2:$B$501,IF($B$4="All","*",$B$4))</f>
        <v/>
      </c>
      <c r="C30" s="87">
        <f>SUMIFS('02_Source_Data'!$K$2:$K$501,'02_Source_Data'!$A$2:$A$501,$B$2,'02_Source_Data'!$C$2:$C$501,$A30,'02_Source_Data'!$B$2:$B$501,IF($B$4="All","*",$B$4))</f>
        <v/>
      </c>
      <c r="D30" s="90">
        <f>IFERROR(C30/B30,0)</f>
        <v/>
      </c>
      <c r="E30" s="88">
        <f>SUMIFS('02_Source_Data'!$N$2:$N$501,'02_Source_Data'!$A$2:$A$501,$B$2,'02_Source_Data'!$C$2:$C$501,$A30,'02_Source_Data'!$B$2:$B$501,IF($B$4="All","*",$B$4))</f>
        <v/>
      </c>
      <c r="F30" s="90">
        <f>IFERROR(SUMIFS('02_Source_Data'!$L$2:$L$501,'02_Source_Data'!$A$2:$A$501,$B$2,'02_Source_Data'!$C$2:$C$501,$A30,'02_Source_Data'!$B$2:$B$501,IF($B$4="All","*",$B$4))/B30,0)</f>
        <v/>
      </c>
      <c r="G30" s="89">
        <f>IFERROR(SUMIFS('02_Source_Data'!$U$2:$U$501,'02_Source_Data'!$A$2:$A$501,$B$2,'02_Source_Data'!$C$2:$C$501,$A30,'02_Source_Data'!$B$2:$B$501,IF($B$4="All","*",$B$4))/COUNTIFS('02_Source_Data'!$A$2:$A$501,$B$2,'02_Source_Data'!$C$2:$C$501,$A30,'02_Source_Data'!$B$2:$B$501,IF($B$4="All","*",$B$4)),0)</f>
        <v/>
      </c>
      <c r="H30" s="87">
        <f>COUNTIFS('02_Source_Data'!$A$2:$A$501,$B$2,'02_Source_Data'!$C$2:$C$501,$A30,'02_Source_Data'!$B$2:$B$501,IF($B$4="All","*",$B$4),'02_Source_Data'!$AM$2:$AM$501,"?*")</f>
        <v/>
      </c>
    </row>
    <row r="31" ht="18" customHeight="1">
      <c r="A31" s="26" t="inlineStr">
        <is>
          <t>Supply Chain / Inventory</t>
        </is>
      </c>
      <c r="B31" s="87">
        <f>SUMIFS('02_Source_Data'!$J$2:$J$501,'02_Source_Data'!$A$2:$A$501,$B$2,'02_Source_Data'!$C$2:$C$501,$A31,'02_Source_Data'!$B$2:$B$501,IF($B$4="All","*",$B$4))</f>
        <v/>
      </c>
      <c r="C31" s="87">
        <f>SUMIFS('02_Source_Data'!$K$2:$K$501,'02_Source_Data'!$A$2:$A$501,$B$2,'02_Source_Data'!$C$2:$C$501,$A31,'02_Source_Data'!$B$2:$B$501,IF($B$4="All","*",$B$4))</f>
        <v/>
      </c>
      <c r="D31" s="90">
        <f>IFERROR(C31/B31,0)</f>
        <v/>
      </c>
      <c r="E31" s="88">
        <f>SUMIFS('02_Source_Data'!$N$2:$N$501,'02_Source_Data'!$A$2:$A$501,$B$2,'02_Source_Data'!$C$2:$C$501,$A31,'02_Source_Data'!$B$2:$B$501,IF($B$4="All","*",$B$4))</f>
        <v/>
      </c>
      <c r="F31" s="90">
        <f>IFERROR(SUMIFS('02_Source_Data'!$L$2:$L$501,'02_Source_Data'!$A$2:$A$501,$B$2,'02_Source_Data'!$C$2:$C$501,$A31,'02_Source_Data'!$B$2:$B$501,IF($B$4="All","*",$B$4))/B31,0)</f>
        <v/>
      </c>
      <c r="G31" s="89">
        <f>IFERROR(SUMIFS('02_Source_Data'!$U$2:$U$501,'02_Source_Data'!$A$2:$A$501,$B$2,'02_Source_Data'!$C$2:$C$501,$A31,'02_Source_Data'!$B$2:$B$501,IF($B$4="All","*",$B$4))/COUNTIFS('02_Source_Data'!$A$2:$A$501,$B$2,'02_Source_Data'!$C$2:$C$501,$A31,'02_Source_Data'!$B$2:$B$501,IF($B$4="All","*",$B$4)),0)</f>
        <v/>
      </c>
      <c r="H31" s="87">
        <f>COUNTIFS('02_Source_Data'!$A$2:$A$501,$B$2,'02_Source_Data'!$C$2:$C$501,$A31,'02_Source_Data'!$B$2:$B$501,IF($B$4="All","*",$B$4),'02_Source_Data'!$AM$2:$AM$501,"?*")</f>
        <v/>
      </c>
    </row>
    <row r="32" ht="18" customHeight="1">
      <c r="A32" s="26" t="inlineStr">
        <is>
          <t>Production / Delivery</t>
        </is>
      </c>
      <c r="B32" s="87">
        <f>SUMIFS('02_Source_Data'!$J$2:$J$501,'02_Source_Data'!$A$2:$A$501,$B$2,'02_Source_Data'!$C$2:$C$501,$A32,'02_Source_Data'!$B$2:$B$501,IF($B$4="All","*",$B$4))</f>
        <v/>
      </c>
      <c r="C32" s="87">
        <f>SUMIFS('02_Source_Data'!$K$2:$K$501,'02_Source_Data'!$A$2:$A$501,$B$2,'02_Source_Data'!$C$2:$C$501,$A32,'02_Source_Data'!$B$2:$B$501,IF($B$4="All","*",$B$4))</f>
        <v/>
      </c>
      <c r="D32" s="90">
        <f>IFERROR(C32/B32,0)</f>
        <v/>
      </c>
      <c r="E32" s="88">
        <f>SUMIFS('02_Source_Data'!$N$2:$N$501,'02_Source_Data'!$A$2:$A$501,$B$2,'02_Source_Data'!$C$2:$C$501,$A32,'02_Source_Data'!$B$2:$B$501,IF($B$4="All","*",$B$4))</f>
        <v/>
      </c>
      <c r="F32" s="90">
        <f>IFERROR(SUMIFS('02_Source_Data'!$L$2:$L$501,'02_Source_Data'!$A$2:$A$501,$B$2,'02_Source_Data'!$C$2:$C$501,$A32,'02_Source_Data'!$B$2:$B$501,IF($B$4="All","*",$B$4))/B32,0)</f>
        <v/>
      </c>
      <c r="G32" s="89">
        <f>IFERROR(SUMIFS('02_Source_Data'!$U$2:$U$501,'02_Source_Data'!$A$2:$A$501,$B$2,'02_Source_Data'!$C$2:$C$501,$A32,'02_Source_Data'!$B$2:$B$501,IF($B$4="All","*",$B$4))/COUNTIFS('02_Source_Data'!$A$2:$A$501,$B$2,'02_Source_Data'!$C$2:$C$501,$A32,'02_Source_Data'!$B$2:$B$501,IF($B$4="All","*",$B$4)),0)</f>
        <v/>
      </c>
      <c r="H32" s="87">
        <f>COUNTIFS('02_Source_Data'!$A$2:$A$501,$B$2,'02_Source_Data'!$C$2:$C$501,$A32,'02_Source_Data'!$B$2:$B$501,IF($B$4="All","*",$B$4),'02_Source_Data'!$AM$2:$AM$501,"?*")</f>
        <v/>
      </c>
    </row>
    <row r="33" ht="18" customHeight="1">
      <c r="A33" s="26" t="inlineStr">
        <is>
          <t>Field Services</t>
        </is>
      </c>
      <c r="B33" s="87">
        <f>SUMIFS('02_Source_Data'!$J$2:$J$501,'02_Source_Data'!$A$2:$A$501,$B$2,'02_Source_Data'!$C$2:$C$501,$A33,'02_Source_Data'!$B$2:$B$501,IF($B$4="All","*",$B$4))</f>
        <v/>
      </c>
      <c r="C33" s="87">
        <f>SUMIFS('02_Source_Data'!$K$2:$K$501,'02_Source_Data'!$A$2:$A$501,$B$2,'02_Source_Data'!$C$2:$C$501,$A33,'02_Source_Data'!$B$2:$B$501,IF($B$4="All","*",$B$4))</f>
        <v/>
      </c>
      <c r="D33" s="90">
        <f>IFERROR(C33/B33,0)</f>
        <v/>
      </c>
      <c r="E33" s="88">
        <f>SUMIFS('02_Source_Data'!$N$2:$N$501,'02_Source_Data'!$A$2:$A$501,$B$2,'02_Source_Data'!$C$2:$C$501,$A33,'02_Source_Data'!$B$2:$B$501,IF($B$4="All","*",$B$4))</f>
        <v/>
      </c>
      <c r="F33" s="90">
        <f>IFERROR(SUMIFS('02_Source_Data'!$L$2:$L$501,'02_Source_Data'!$A$2:$A$501,$B$2,'02_Source_Data'!$C$2:$C$501,$A33,'02_Source_Data'!$B$2:$B$501,IF($B$4="All","*",$B$4))/B33,0)</f>
        <v/>
      </c>
      <c r="G33" s="89">
        <f>IFERROR(SUMIFS('02_Source_Data'!$U$2:$U$501,'02_Source_Data'!$A$2:$A$501,$B$2,'02_Source_Data'!$C$2:$C$501,$A33,'02_Source_Data'!$B$2:$B$501,IF($B$4="All","*",$B$4))/COUNTIFS('02_Source_Data'!$A$2:$A$501,$B$2,'02_Source_Data'!$C$2:$C$501,$A33,'02_Source_Data'!$B$2:$B$501,IF($B$4="All","*",$B$4)),0)</f>
        <v/>
      </c>
      <c r="H33" s="87">
        <f>COUNTIFS('02_Source_Data'!$A$2:$A$501,$B$2,'02_Source_Data'!$C$2:$C$501,$A33,'02_Source_Data'!$B$2:$B$501,IF($B$4="All","*",$B$4),'02_Source_Data'!$AM$2:$AM$501,"?*")</f>
        <v/>
      </c>
    </row>
    <row r="34" ht="18" customHeight="1">
      <c r="A34" s="26" t="inlineStr">
        <is>
          <t>Growth Marketing</t>
        </is>
      </c>
      <c r="B34" s="87">
        <f>SUMIFS('02_Source_Data'!$J$2:$J$501,'02_Source_Data'!$A$2:$A$501,$B$2,'02_Source_Data'!$C$2:$C$501,$A34,'02_Source_Data'!$B$2:$B$501,IF($B$4="All","*",$B$4))</f>
        <v/>
      </c>
      <c r="C34" s="87">
        <f>SUMIFS('02_Source_Data'!$K$2:$K$501,'02_Source_Data'!$A$2:$A$501,$B$2,'02_Source_Data'!$C$2:$C$501,$A34,'02_Source_Data'!$B$2:$B$501,IF($B$4="All","*",$B$4))</f>
        <v/>
      </c>
      <c r="D34" s="90">
        <f>IFERROR(C34/B34,0)</f>
        <v/>
      </c>
      <c r="E34" s="88">
        <f>SUMIFS('02_Source_Data'!$N$2:$N$501,'02_Source_Data'!$A$2:$A$501,$B$2,'02_Source_Data'!$C$2:$C$501,$A34,'02_Source_Data'!$B$2:$B$501,IF($B$4="All","*",$B$4))</f>
        <v/>
      </c>
      <c r="F34" s="90">
        <f>IFERROR(SUMIFS('02_Source_Data'!$L$2:$L$501,'02_Source_Data'!$A$2:$A$501,$B$2,'02_Source_Data'!$C$2:$C$501,$A34,'02_Source_Data'!$B$2:$B$501,IF($B$4="All","*",$B$4))/B34,0)</f>
        <v/>
      </c>
      <c r="G34" s="89">
        <f>IFERROR(SUMIFS('02_Source_Data'!$U$2:$U$501,'02_Source_Data'!$A$2:$A$501,$B$2,'02_Source_Data'!$C$2:$C$501,$A34,'02_Source_Data'!$B$2:$B$501,IF($B$4="All","*",$B$4))/COUNTIFS('02_Source_Data'!$A$2:$A$501,$B$2,'02_Source_Data'!$C$2:$C$501,$A34,'02_Source_Data'!$B$2:$B$501,IF($B$4="All","*",$B$4)),0)</f>
        <v/>
      </c>
      <c r="H34" s="87">
        <f>COUNTIFS('02_Source_Data'!$A$2:$A$501,$B$2,'02_Source_Data'!$C$2:$C$501,$A34,'02_Source_Data'!$B$2:$B$501,IF($B$4="All","*",$B$4),'02_Source_Data'!$AM$2:$AM$501,"?*")</f>
        <v/>
      </c>
    </row>
    <row r="35" ht="18" customHeight="1">
      <c r="A35" s="26" t="inlineStr">
        <is>
          <t>Finance / Expenses</t>
        </is>
      </c>
      <c r="B35" s="87">
        <f>SUMIFS('02_Source_Data'!$J$2:$J$501,'02_Source_Data'!$A$2:$A$501,$B$2,'02_Source_Data'!$C$2:$C$501,$A35,'02_Source_Data'!$B$2:$B$501,IF($B$4="All","*",$B$4))</f>
        <v/>
      </c>
      <c r="C35" s="87">
        <f>SUMIFS('02_Source_Data'!$K$2:$K$501,'02_Source_Data'!$A$2:$A$501,$B$2,'02_Source_Data'!$C$2:$C$501,$A35,'02_Source_Data'!$B$2:$B$501,IF($B$4="All","*",$B$4))</f>
        <v/>
      </c>
      <c r="D35" s="90">
        <f>IFERROR(C35/B35,0)</f>
        <v/>
      </c>
      <c r="E35" s="88">
        <f>SUMIFS('02_Source_Data'!$N$2:$N$501,'02_Source_Data'!$A$2:$A$501,$B$2,'02_Source_Data'!$C$2:$C$501,$A35,'02_Source_Data'!$B$2:$B$501,IF($B$4="All","*",$B$4))</f>
        <v/>
      </c>
      <c r="F35" s="90">
        <f>IFERROR(SUMIFS('02_Source_Data'!$L$2:$L$501,'02_Source_Data'!$A$2:$A$501,$B$2,'02_Source_Data'!$C$2:$C$501,$A35,'02_Source_Data'!$B$2:$B$501,IF($B$4="All","*",$B$4))/B35,0)</f>
        <v/>
      </c>
      <c r="G35" s="89">
        <f>IFERROR(SUMIFS('02_Source_Data'!$U$2:$U$501,'02_Source_Data'!$A$2:$A$501,$B$2,'02_Source_Data'!$C$2:$C$501,$A35,'02_Source_Data'!$B$2:$B$501,IF($B$4="All","*",$B$4))/COUNTIFS('02_Source_Data'!$A$2:$A$501,$B$2,'02_Source_Data'!$C$2:$C$501,$A35,'02_Source_Data'!$B$2:$B$501,IF($B$4="All","*",$B$4)),0)</f>
        <v/>
      </c>
      <c r="H35" s="87">
        <f>COUNTIFS('02_Source_Data'!$A$2:$A$501,$B$2,'02_Source_Data'!$C$2:$C$501,$A35,'02_Source_Data'!$B$2:$B$501,IF($B$4="All","*",$B$4),'02_Source_Data'!$AM$2:$AM$501,"?*")</f>
        <v/>
      </c>
    </row>
    <row r="36"/>
    <row r="37"/>
    <row r="38"/>
    <row r="39" ht="22" customHeight="1">
      <c r="A39" s="19" t="inlineStr">
        <is>
          <t>Alerts and action plan</t>
        </is>
      </c>
    </row>
    <row r="40" ht="24" customHeight="1">
      <c r="A40" s="34" t="inlineStr">
        <is>
          <t>Issue / Opportunity</t>
        </is>
      </c>
      <c r="B40" s="34" t="inlineStr">
        <is>
          <t>Trigger metric</t>
        </is>
      </c>
      <c r="C40" s="34" t="inlineStr">
        <is>
          <t>Recommended action</t>
        </is>
      </c>
      <c r="D40" s="34" t="inlineStr">
        <is>
          <t>Owner</t>
        </is>
      </c>
      <c r="E40" s="34" t="inlineStr">
        <is>
          <t>Due date</t>
        </is>
      </c>
      <c r="F40" s="34" t="inlineStr">
        <is>
          <t>Priority</t>
        </is>
      </c>
      <c r="G40" s="34" t="inlineStr">
        <is>
          <t>Status</t>
        </is>
      </c>
      <c r="H40" s="34" t="inlineStr">
        <is>
          <t>Review conclusion</t>
        </is>
      </c>
      <c r="I40" s="34" t="inlineStr">
        <is>
          <t>Note</t>
        </is>
      </c>
    </row>
    <row r="41" ht="34" customHeight="1">
      <c r="A41" s="26">
        <f>IF(F10="Watch","Completion rate below target","")</f>
        <v/>
      </c>
      <c r="B41" s="26" t="inlineStr">
        <is>
          <t>Completion rate</t>
        </is>
      </c>
      <c r="C41" s="42" t="inlineStr">
        <is>
          <t>Review unfinished requests, break down blockers, and assign recovery owners for the day or week</t>
        </is>
      </c>
      <c r="D41" s="26" t="n"/>
      <c r="E41" s="86" t="n"/>
      <c r="F41" s="26" t="inlineStr">
        <is>
          <t>High</t>
        </is>
      </c>
      <c r="G41" s="26" t="inlineStr">
        <is>
          <t>Not started</t>
        </is>
      </c>
      <c r="H41" s="42" t="n"/>
      <c r="I41" s="42" t="n"/>
    </row>
    <row r="42" ht="34" customHeight="1">
      <c r="A42" s="26">
        <f>IF(F15="Watch","Overdue rate is high","")</f>
        <v/>
      </c>
      <c r="B42" s="26" t="inlineStr">
        <is>
          <t>Overdue rate</t>
        </is>
      </c>
      <c r="C42" s="42" t="inlineStr">
        <is>
          <t>Group by overdue type and prioritize tickets beyond service level and tasks waiting to close</t>
        </is>
      </c>
      <c r="D42" s="26" t="n"/>
      <c r="E42" s="86" t="n"/>
      <c r="F42" s="26" t="inlineStr">
        <is>
          <t>High</t>
        </is>
      </c>
      <c r="G42" s="26" t="inlineStr">
        <is>
          <t>Not started</t>
        </is>
      </c>
      <c r="H42" s="42" t="n"/>
      <c r="I42" s="42" t="n"/>
    </row>
    <row r="43" ht="34" customHeight="1">
      <c r="A43" s="26">
        <f>IF(F17="Watch","Complaint rate is high","")</f>
        <v/>
      </c>
      <c r="B43" s="26" t="inlineStr">
        <is>
          <t>Complaint rate</t>
        </is>
      </c>
      <c r="C43" s="42" t="inlineStr">
        <is>
          <t>Sample high-frequency complaint themes and refine service scripts and process steps</t>
        </is>
      </c>
      <c r="D43" s="26" t="n"/>
      <c r="E43" s="86" t="n"/>
      <c r="F43" s="26" t="inlineStr">
        <is>
          <t>Medium</t>
        </is>
      </c>
      <c r="G43" s="26" t="inlineStr">
        <is>
          <t>Not started</t>
        </is>
      </c>
      <c r="H43" s="42" t="n"/>
      <c r="I43" s="42" t="n"/>
    </row>
    <row r="44" ht="34" customHeight="1">
      <c r="A44" s="26">
        <f>IF(F18="Watch","Satisfaction is below target","")</f>
        <v/>
      </c>
      <c r="B44" s="26" t="inlineStr">
        <is>
          <t>Satisfaction score</t>
        </is>
      </c>
      <c r="C44" s="42" t="inlineStr">
        <is>
          <t>Identify low-scoring teams or channels and schedule a customer experience review</t>
        </is>
      </c>
      <c r="D44" s="26" t="n"/>
      <c r="E44" s="86" t="n"/>
      <c r="F44" s="26" t="inlineStr">
        <is>
          <t>Medium</t>
        </is>
      </c>
      <c r="G44" s="26" t="inlineStr">
        <is>
          <t>Not started</t>
        </is>
      </c>
      <c r="H44" s="42" t="n"/>
      <c r="I44" s="42" t="n"/>
    </row>
    <row r="45" ht="34" customHeight="1">
      <c r="A45" s="26">
        <f>IF(F14="Watch","Gross margin is below target","")</f>
        <v/>
      </c>
      <c r="B45" s="26" t="inlineStr">
        <is>
          <t>Gross margin</t>
        </is>
      </c>
      <c r="C45" s="42" t="inlineStr">
        <is>
          <t>Check high-cost steps and low-margin business lines, then evaluate pricing or cost improvements</t>
        </is>
      </c>
      <c r="D45" s="26" t="n"/>
      <c r="E45" s="86" t="n"/>
      <c r="F45" s="26" t="inlineStr">
        <is>
          <t>Medium</t>
        </is>
      </c>
      <c r="G45" s="26" t="inlineStr">
        <is>
          <t>Not started</t>
        </is>
      </c>
      <c r="H45" s="42" t="n"/>
      <c r="I45" s="42" t="n"/>
    </row>
    <row r="46" ht="34" customHeight="1">
      <c r="A46" s="26">
        <f>IF(F22="Watch","Conversion rate is below target","")</f>
        <v/>
      </c>
      <c r="B46" s="26" t="inlineStr">
        <is>
          <t>Conversion rate</t>
        </is>
      </c>
      <c r="C46" s="42" t="inlineStr">
        <is>
          <t>Break down channel funnels and improve high-traffic, low-conversion entry points</t>
        </is>
      </c>
      <c r="D46" s="26" t="n"/>
      <c r="E46" s="86" t="n"/>
      <c r="F46" s="26" t="inlineStr">
        <is>
          <t>Medium</t>
        </is>
      </c>
      <c r="G46" s="26" t="inlineStr">
        <is>
          <t>Not started</t>
        </is>
      </c>
      <c r="H46" s="42" t="n"/>
      <c r="I46" s="42" t="n"/>
    </row>
  </sheetData>
  <mergeCells count="1">
    <mergeCell ref="A1:M1"/>
  </mergeCells>
  <dataValidations count="4">
    <dataValidation sqref="B3" showDropDown="0" showInputMessage="0" showErrorMessage="0" allowBlank="0" type="list">
      <formula1>'01_Settings'!$F$4:$F$13</formula1>
    </dataValidation>
    <dataValidation sqref="B4" showDropDown="0" showInputMessage="0" showErrorMessage="0" allowBlank="0" type="list">
      <formula1>'01_Settings'!$H$4:$H$10</formula1>
    </dataValidation>
    <dataValidation sqref="F41:F46" showDropDown="0" showInputMessage="0" showErrorMessage="0" allowBlank="0" type="list">
      <formula1>'01_Settings'!$P$4:$P$6</formula1>
    </dataValidation>
    <dataValidation sqref="G41:G46" showDropDown="0" showInputMessage="0" showErrorMessage="0" allowBlank="0" type="list">
      <formula1>'01_Settings'!$R$4:$R$8</formula1>
    </dataValidation>
  </dataValidations>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P46"/>
  <sheetViews>
    <sheetView workbookViewId="0">
      <selection activeCell="A1" sqref="A1"/>
    </sheetView>
  </sheetViews>
  <sheetFormatPr baseColWidth="8" defaultRowHeight="15"/>
  <cols>
    <col width="18" customWidth="1" min="1" max="1"/>
    <col width="14" customWidth="1" min="2" max="2"/>
    <col width="34" customWidth="1" min="3" max="3"/>
    <col width="14" customWidth="1" min="4" max="4"/>
    <col width="14" customWidth="1" min="5" max="5"/>
    <col width="14" customWidth="1" min="6" max="6"/>
    <col width="4" customWidth="1" min="7" max="7"/>
    <col width="13" customWidth="1" min="8" max="8"/>
    <col width="13" customWidth="1" min="9" max="9"/>
    <col width="13" customWidth="1" min="10" max="10"/>
    <col width="13" customWidth="1" min="11" max="11"/>
    <col width="13" customWidth="1" min="12" max="12"/>
    <col width="13" customWidth="1" min="13" max="13"/>
    <col width="9" customWidth="1" min="14" max="14"/>
    <col width="9" customWidth="1" min="15" max="15"/>
    <col width="9" customWidth="1" min="16" max="16"/>
    <col width="8" customWidth="1" min="17" max="17"/>
  </cols>
  <sheetData>
    <row r="1" ht="30" customHeight="1">
      <c r="A1" s="9" t="inlineStr">
        <is>
          <t>Service Operations Weekly Report</t>
        </is>
      </c>
      <c r="B1" s="1" t="n"/>
      <c r="C1" s="1" t="n"/>
      <c r="D1" s="1" t="n"/>
      <c r="E1" s="1" t="n"/>
      <c r="F1" s="1" t="n"/>
      <c r="G1" s="1" t="n"/>
      <c r="H1" s="1" t="n"/>
      <c r="I1" s="1" t="n"/>
      <c r="J1" s="1" t="n"/>
      <c r="K1" s="1" t="n"/>
      <c r="L1" s="1" t="n"/>
      <c r="M1" s="1" t="n"/>
    </row>
    <row r="2" ht="18" customHeight="1">
      <c r="A2" s="34" t="inlineStr">
        <is>
          <t>Start date</t>
        </is>
      </c>
      <c r="B2" s="86">
        <f>'01_Settings'!$B$4-WEEKDAY('01_Settings'!$B$4,2)+1</f>
        <v/>
      </c>
    </row>
    <row r="3" ht="18" customHeight="1">
      <c r="A3" s="34" t="inlineStr">
        <is>
          <t>End date</t>
        </is>
      </c>
      <c r="B3" s="86">
        <f>$B$2+6</f>
        <v/>
      </c>
    </row>
    <row r="4" ht="18" customHeight="1">
      <c r="A4" s="34" t="inlineStr">
        <is>
          <t>Operating context</t>
        </is>
      </c>
      <c r="B4" s="26">
        <f>'01_Settings'!$B$6</f>
        <v/>
      </c>
    </row>
    <row r="5" ht="18" customHeight="1">
      <c r="A5" s="34" t="inlineStr">
        <is>
          <t>Company / Division</t>
        </is>
      </c>
      <c r="B5" s="26">
        <f>'01_Settings'!$B$7</f>
        <v/>
      </c>
    </row>
    <row r="6"/>
    <row r="7" ht="22" customHeight="1">
      <c r="A7" s="34" t="inlineStr">
        <is>
          <t>Metric</t>
        </is>
      </c>
      <c r="B7" s="34" t="inlineStr">
        <is>
          <t>Current period</t>
        </is>
      </c>
      <c r="C7" s="34" t="inlineStr">
        <is>
          <t>Previous period</t>
        </is>
      </c>
      <c r="D7" s="34" t="inlineStr">
        <is>
          <t>Change</t>
        </is>
      </c>
      <c r="E7" s="34" t="inlineStr">
        <is>
          <t>Target / Threshold</t>
        </is>
      </c>
      <c r="F7" s="34" t="inlineStr">
        <is>
          <t>Status</t>
        </is>
      </c>
      <c r="H7" s="19" t="inlineStr">
        <is>
          <t>Trend data</t>
        </is>
      </c>
    </row>
    <row r="8" ht="24" customHeight="1">
      <c r="A8" s="26" t="inlineStr">
        <is>
          <t>Request / Ticket volume</t>
        </is>
      </c>
      <c r="B8" s="87">
        <f>SUMIFS('02_Source_Data'!$J$2:$J$501,'02_Source_Data'!$A$2:$A$501,"&gt;="&amp;($B$2),'02_Source_Data'!$A$2:$A$501,"&lt;="&amp;($B$3),'02_Source_Data'!$C$2:$C$501,IF($B$4="All","*",$B$4),'02_Source_Data'!$B$2:$B$501,IF($B$5="All","*",$B$5))</f>
        <v/>
      </c>
      <c r="C8" s="87">
        <f>SUMIFS('02_Source_Data'!$J$2:$J$501,'02_Source_Data'!$A$2:$A$501,"&gt;="&amp;($B$2-7),'02_Source_Data'!$A$2:$A$501,"&lt;="&amp;($B$3-7),'02_Source_Data'!$C$2:$C$501,IF($B$4="All","*",$B$4),'02_Source_Data'!$B$2:$B$501,IF($B$5="All","*",$B$5))</f>
        <v/>
      </c>
      <c r="D8" s="90">
        <f>IFERROR(B8/C8-1,0)</f>
        <v/>
      </c>
      <c r="E8" s="87" t="n"/>
      <c r="F8" s="26">
        <f>"Monitor"</f>
        <v/>
      </c>
      <c r="H8" s="34" t="inlineStr">
        <is>
          <t>Date</t>
        </is>
      </c>
      <c r="I8" s="34" t="inlineStr">
        <is>
          <t>Requests</t>
        </is>
      </c>
      <c r="J8" s="34" t="inlineStr">
        <is>
          <t>Completed</t>
        </is>
      </c>
      <c r="K8" s="34" t="inlineStr">
        <is>
          <t>Revenue</t>
        </is>
      </c>
      <c r="L8" s="34" t="inlineStr">
        <is>
          <t>Completion rate</t>
        </is>
      </c>
      <c r="M8" s="34" t="inlineStr">
        <is>
          <t>Overdue rate</t>
        </is>
      </c>
      <c r="N8" t="inlineStr">
        <is>
          <t>Date</t>
        </is>
      </c>
      <c r="O8" t="inlineStr">
        <is>
          <t>Requests</t>
        </is>
      </c>
      <c r="P8" t="inlineStr">
        <is>
          <t>Completed</t>
        </is>
      </c>
    </row>
    <row r="9" ht="18" customHeight="1">
      <c r="A9" s="26" t="inlineStr">
        <is>
          <t>Completed volume</t>
        </is>
      </c>
      <c r="B9" s="87">
        <f>SUMIFS('02_Source_Data'!$K$2:$K$501,'02_Source_Data'!$A$2:$A$501,"&gt;="&amp;($B$2),'02_Source_Data'!$A$2:$A$501,"&lt;="&amp;($B$3),'02_Source_Data'!$C$2:$C$501,IF($B$4="All","*",$B$4),'02_Source_Data'!$B$2:$B$501,IF($B$5="All","*",$B$5))</f>
        <v/>
      </c>
      <c r="C9" s="87">
        <f>SUMIFS('02_Source_Data'!$K$2:$K$501,'02_Source_Data'!$A$2:$A$501,"&gt;="&amp;($B$2-7),'02_Source_Data'!$A$2:$A$501,"&lt;="&amp;($B$3-7),'02_Source_Data'!$C$2:$C$501,IF($B$4="All","*",$B$4),'02_Source_Data'!$B$2:$B$501,IF($B$5="All","*",$B$5))</f>
        <v/>
      </c>
      <c r="D9" s="90">
        <f>IFERROR(B9/C9-1,0)</f>
        <v/>
      </c>
      <c r="E9" s="87">
        <f>SUMIFS('02_Source_Data'!$Y$2:$Y$501,'02_Source_Data'!$A$2:$A$501,"&gt;="&amp;($B$2),'02_Source_Data'!$A$2:$A$501,"&lt;="&amp;($B$3),'02_Source_Data'!$C$2:$C$501,IF($B$4="All","*",$B$4),'02_Source_Data'!$B$2:$B$501,IF($B$5="All","*",$B$5))</f>
        <v/>
      </c>
      <c r="F9" s="26">
        <f>IF(E9="","Monitor",IF(B9&gt;=E9,"On track","Watch"))</f>
        <v/>
      </c>
      <c r="H9" s="86">
        <f>$B$2+0</f>
        <v/>
      </c>
      <c r="I9" s="87">
        <f>SUMIFS('02_Source_Data'!$J$2:$J$501,'02_Source_Data'!$A$2:$A$501,$H9,'02_Source_Data'!$C$2:$C$501,IF($B$4="All","*",$B$4),'02_Source_Data'!$B$2:$B$501,IF($B$5="All","*",$B$5))</f>
        <v/>
      </c>
      <c r="J9" s="87">
        <f>SUMIFS('02_Source_Data'!$K$2:$K$501,'02_Source_Data'!$A$2:$A$501,$H9,'02_Source_Data'!$C$2:$C$501,IF($B$4="All","*",$B$4),'02_Source_Data'!$B$2:$B$501,IF($B$5="All","*",$B$5))</f>
        <v/>
      </c>
      <c r="K9" s="88">
        <f>SUMIFS('02_Source_Data'!$N$2:$N$501,'02_Source_Data'!$A$2:$A$501,$H9,'02_Source_Data'!$C$2:$C$501,IF($B$4="All","*",$B$4),'02_Source_Data'!$B$2:$B$501,IF($B$5="All","*",$B$5))</f>
        <v/>
      </c>
      <c r="L9" s="90">
        <f>IFERROR(J9/I9,0)</f>
        <v/>
      </c>
      <c r="M9" s="90">
        <f>IFERROR(SUMIFS('02_Source_Data'!$L$2:$L$501,'02_Source_Data'!$A$2:$A$501,$H9,'02_Source_Data'!$C$2:$C$501,IF($B$4="All","*",$B$4),'02_Source_Data'!$B$2:$B$501,IF($B$5="All","*",$B$5))/I9,0)</f>
        <v/>
      </c>
      <c r="N9">
        <f>TEXT(H9,"m/d")</f>
        <v/>
      </c>
      <c r="O9">
        <f>I9</f>
        <v/>
      </c>
      <c r="P9">
        <f>J9</f>
        <v/>
      </c>
    </row>
    <row r="10" ht="18" customHeight="1">
      <c r="A10" s="26" t="inlineStr">
        <is>
          <t>Completion rate</t>
        </is>
      </c>
      <c r="B10" s="90">
        <f>IFERROR(SUMIFS('02_Source_Data'!$K$2:$K$501,'02_Source_Data'!$A$2:$A$501,"&gt;="&amp;($B$2),'02_Source_Data'!$A$2:$A$501,"&lt;="&amp;($B$3),'02_Source_Data'!$C$2:$C$501,IF($B$4="All","*",$B$4),'02_Source_Data'!$B$2:$B$501,IF($B$5="All","*",$B$5))/SUMIFS('02_Source_Data'!$J$2:$J$501,'02_Source_Data'!$A$2:$A$501,"&gt;="&amp;($B$2),'02_Source_Data'!$A$2:$A$501,"&lt;="&amp;($B$3),'02_Source_Data'!$C$2:$C$501,IF($B$4="All","*",$B$4),'02_Source_Data'!$B$2:$B$501,IF($B$5="All","*",$B$5)),0)</f>
        <v/>
      </c>
      <c r="C10" s="90">
        <f>IFERROR(SUMIFS('02_Source_Data'!$K$2:$K$501,'02_Source_Data'!$A$2:$A$501,"&gt;="&amp;($B$2-7),'02_Source_Data'!$A$2:$A$501,"&lt;="&amp;($B$3-7),'02_Source_Data'!$C$2:$C$501,IF($B$4="All","*",$B$4),'02_Source_Data'!$B$2:$B$501,IF($B$5="All","*",$B$5))/SUMIFS('02_Source_Data'!$J$2:$J$501,'02_Source_Data'!$A$2:$A$501,"&gt;="&amp;($B$2-7),'02_Source_Data'!$A$2:$A$501,"&lt;="&amp;($B$3-7),'02_Source_Data'!$C$2:$C$501,IF($B$4="All","*",$B$4),'02_Source_Data'!$B$2:$B$501,IF($B$5="All","*",$B$5)),0)</f>
        <v/>
      </c>
      <c r="D10" s="90">
        <f>IFERROR(B10/C10-1,0)</f>
        <v/>
      </c>
      <c r="E10" s="90">
        <f>'01_Settings'!$B$9</f>
        <v/>
      </c>
      <c r="F10" s="26">
        <f>IF(B10&gt;=E10,"On track","Watch")</f>
        <v/>
      </c>
      <c r="H10" s="86">
        <f>$B$2+1</f>
        <v/>
      </c>
      <c r="I10" s="87">
        <f>SUMIFS('02_Source_Data'!$J$2:$J$501,'02_Source_Data'!$A$2:$A$501,$H10,'02_Source_Data'!$C$2:$C$501,IF($B$4="All","*",$B$4),'02_Source_Data'!$B$2:$B$501,IF($B$5="All","*",$B$5))</f>
        <v/>
      </c>
      <c r="J10" s="87">
        <f>SUMIFS('02_Source_Data'!$K$2:$K$501,'02_Source_Data'!$A$2:$A$501,$H10,'02_Source_Data'!$C$2:$C$501,IF($B$4="All","*",$B$4),'02_Source_Data'!$B$2:$B$501,IF($B$5="All","*",$B$5))</f>
        <v/>
      </c>
      <c r="K10" s="88">
        <f>SUMIFS('02_Source_Data'!$N$2:$N$501,'02_Source_Data'!$A$2:$A$501,$H10,'02_Source_Data'!$C$2:$C$501,IF($B$4="All","*",$B$4),'02_Source_Data'!$B$2:$B$501,IF($B$5="All","*",$B$5))</f>
        <v/>
      </c>
      <c r="L10" s="90">
        <f>IFERROR(J10/I10,0)</f>
        <v/>
      </c>
      <c r="M10" s="90">
        <f>IFERROR(SUMIFS('02_Source_Data'!$L$2:$L$501,'02_Source_Data'!$A$2:$A$501,$H10,'02_Source_Data'!$C$2:$C$501,IF($B$4="All","*",$B$4),'02_Source_Data'!$B$2:$B$501,IF($B$5="All","*",$B$5))/I10,0)</f>
        <v/>
      </c>
      <c r="N10">
        <f>TEXT(H10,"m/d")</f>
        <v/>
      </c>
      <c r="O10">
        <f>I10</f>
        <v/>
      </c>
      <c r="P10">
        <f>J10</f>
        <v/>
      </c>
    </row>
    <row r="11" ht="18" customHeight="1">
      <c r="A11" s="26" t="inlineStr">
        <is>
          <t>Revenue</t>
        </is>
      </c>
      <c r="B11" s="88">
        <f>SUMIFS('02_Source_Data'!$N$2:$N$501,'02_Source_Data'!$A$2:$A$501,"&gt;="&amp;($B$2),'02_Source_Data'!$A$2:$A$501,"&lt;="&amp;($B$3),'02_Source_Data'!$C$2:$C$501,IF($B$4="All","*",$B$4),'02_Source_Data'!$B$2:$B$501,IF($B$5="All","*",$B$5))</f>
        <v/>
      </c>
      <c r="C11" s="88">
        <f>SUMIFS('02_Source_Data'!$N$2:$N$501,'02_Source_Data'!$A$2:$A$501,"&gt;="&amp;($B$2-7),'02_Source_Data'!$A$2:$A$501,"&lt;="&amp;($B$3-7),'02_Source_Data'!$C$2:$C$501,IF($B$4="All","*",$B$4),'02_Source_Data'!$B$2:$B$501,IF($B$5="All","*",$B$5))</f>
        <v/>
      </c>
      <c r="D11" s="90">
        <f>IFERROR(B11/C11-1,0)</f>
        <v/>
      </c>
      <c r="E11" s="88">
        <f>SUMIFS('02_Source_Data'!$Z$2:$Z$501,'02_Source_Data'!$A$2:$A$501,"&gt;="&amp;($B$2),'02_Source_Data'!$A$2:$A$501,"&lt;="&amp;($B$3),'02_Source_Data'!$C$2:$C$501,IF($B$4="All","*",$B$4),'02_Source_Data'!$B$2:$B$501,IF($B$5="All","*",$B$5))</f>
        <v/>
      </c>
      <c r="F11" s="26">
        <f>IF(E11="","Monitor",IF(B11&gt;=E11,"On track","Watch"))</f>
        <v/>
      </c>
      <c r="H11" s="86">
        <f>$B$2+2</f>
        <v/>
      </c>
      <c r="I11" s="87">
        <f>SUMIFS('02_Source_Data'!$J$2:$J$501,'02_Source_Data'!$A$2:$A$501,$H11,'02_Source_Data'!$C$2:$C$501,IF($B$4="All","*",$B$4),'02_Source_Data'!$B$2:$B$501,IF($B$5="All","*",$B$5))</f>
        <v/>
      </c>
      <c r="J11" s="87">
        <f>SUMIFS('02_Source_Data'!$K$2:$K$501,'02_Source_Data'!$A$2:$A$501,$H11,'02_Source_Data'!$C$2:$C$501,IF($B$4="All","*",$B$4),'02_Source_Data'!$B$2:$B$501,IF($B$5="All","*",$B$5))</f>
        <v/>
      </c>
      <c r="K11" s="88">
        <f>SUMIFS('02_Source_Data'!$N$2:$N$501,'02_Source_Data'!$A$2:$A$501,$H11,'02_Source_Data'!$C$2:$C$501,IF($B$4="All","*",$B$4),'02_Source_Data'!$B$2:$B$501,IF($B$5="All","*",$B$5))</f>
        <v/>
      </c>
      <c r="L11" s="90">
        <f>IFERROR(J11/I11,0)</f>
        <v/>
      </c>
      <c r="M11" s="90">
        <f>IFERROR(SUMIFS('02_Source_Data'!$L$2:$L$501,'02_Source_Data'!$A$2:$A$501,$H11,'02_Source_Data'!$C$2:$C$501,IF($B$4="All","*",$B$4),'02_Source_Data'!$B$2:$B$501,IF($B$5="All","*",$B$5))/I11,0)</f>
        <v/>
      </c>
      <c r="N11">
        <f>TEXT(H11,"m/d")</f>
        <v/>
      </c>
      <c r="O11">
        <f>I11</f>
        <v/>
      </c>
      <c r="P11">
        <f>J11</f>
        <v/>
      </c>
    </row>
    <row r="12" ht="18" customHeight="1">
      <c r="A12" s="26" t="inlineStr">
        <is>
          <t>Cost</t>
        </is>
      </c>
      <c r="B12" s="88">
        <f>SUMIFS('02_Source_Data'!$O$2:$O$501,'02_Source_Data'!$A$2:$A$501,"&gt;="&amp;($B$2),'02_Source_Data'!$A$2:$A$501,"&lt;="&amp;($B$3),'02_Source_Data'!$C$2:$C$501,IF($B$4="All","*",$B$4),'02_Source_Data'!$B$2:$B$501,IF($B$5="All","*",$B$5))</f>
        <v/>
      </c>
      <c r="C12" s="88">
        <f>SUMIFS('02_Source_Data'!$O$2:$O$501,'02_Source_Data'!$A$2:$A$501,"&gt;="&amp;($B$2-7),'02_Source_Data'!$A$2:$A$501,"&lt;="&amp;($B$3-7),'02_Source_Data'!$C$2:$C$501,IF($B$4="All","*",$B$4),'02_Source_Data'!$B$2:$B$501,IF($B$5="All","*",$B$5))</f>
        <v/>
      </c>
      <c r="D12" s="90">
        <f>IFERROR(B12/C12-1,0)</f>
        <v/>
      </c>
      <c r="E12" s="88" t="n"/>
      <c r="F12" s="26">
        <f>"Monitor"</f>
        <v/>
      </c>
      <c r="H12" s="86">
        <f>$B$2+3</f>
        <v/>
      </c>
      <c r="I12" s="87">
        <f>SUMIFS('02_Source_Data'!$J$2:$J$501,'02_Source_Data'!$A$2:$A$501,$H12,'02_Source_Data'!$C$2:$C$501,IF($B$4="All","*",$B$4),'02_Source_Data'!$B$2:$B$501,IF($B$5="All","*",$B$5))</f>
        <v/>
      </c>
      <c r="J12" s="87">
        <f>SUMIFS('02_Source_Data'!$K$2:$K$501,'02_Source_Data'!$A$2:$A$501,$H12,'02_Source_Data'!$C$2:$C$501,IF($B$4="All","*",$B$4),'02_Source_Data'!$B$2:$B$501,IF($B$5="All","*",$B$5))</f>
        <v/>
      </c>
      <c r="K12" s="88">
        <f>SUMIFS('02_Source_Data'!$N$2:$N$501,'02_Source_Data'!$A$2:$A$501,$H12,'02_Source_Data'!$C$2:$C$501,IF($B$4="All","*",$B$4),'02_Source_Data'!$B$2:$B$501,IF($B$5="All","*",$B$5))</f>
        <v/>
      </c>
      <c r="L12" s="90">
        <f>IFERROR(J12/I12,0)</f>
        <v/>
      </c>
      <c r="M12" s="90">
        <f>IFERROR(SUMIFS('02_Source_Data'!$L$2:$L$501,'02_Source_Data'!$A$2:$A$501,$H12,'02_Source_Data'!$C$2:$C$501,IF($B$4="All","*",$B$4),'02_Source_Data'!$B$2:$B$501,IF($B$5="All","*",$B$5))/I12,0)</f>
        <v/>
      </c>
      <c r="N12">
        <f>TEXT(H12,"m/d")</f>
        <v/>
      </c>
      <c r="O12">
        <f>I12</f>
        <v/>
      </c>
      <c r="P12">
        <f>J12</f>
        <v/>
      </c>
    </row>
    <row r="13" ht="18" customHeight="1">
      <c r="A13" s="26" t="inlineStr">
        <is>
          <t>Gross profit</t>
        </is>
      </c>
      <c r="B13" s="88">
        <f>SUMIFS('02_Source_Data'!$N$2:$N$501,'02_Source_Data'!$A$2:$A$501,"&gt;="&amp;($B$2),'02_Source_Data'!$A$2:$A$501,"&lt;="&amp;($B$3),'02_Source_Data'!$C$2:$C$501,IF($B$4="All","*",$B$4),'02_Source_Data'!$B$2:$B$501,IF($B$5="All","*",$B$5))-SUMIFS('02_Source_Data'!$O$2:$O$501,'02_Source_Data'!$A$2:$A$501,"&gt;="&amp;($B$2),'02_Source_Data'!$A$2:$A$501,"&lt;="&amp;($B$3),'02_Source_Data'!$C$2:$C$501,IF($B$4="All","*",$B$4),'02_Source_Data'!$B$2:$B$501,IF($B$5="All","*",$B$5))</f>
        <v/>
      </c>
      <c r="C13" s="88">
        <f>SUMIFS('02_Source_Data'!$N$2:$N$501,'02_Source_Data'!$A$2:$A$501,"&gt;="&amp;($B$2-7),'02_Source_Data'!$A$2:$A$501,"&lt;="&amp;($B$3-7),'02_Source_Data'!$C$2:$C$501,IF($B$4="All","*",$B$4),'02_Source_Data'!$B$2:$B$501,IF($B$5="All","*",$B$5))-SUMIFS('02_Source_Data'!$O$2:$O$501,'02_Source_Data'!$A$2:$A$501,"&gt;="&amp;($B$2-7),'02_Source_Data'!$A$2:$A$501,"&lt;="&amp;($B$3-7),'02_Source_Data'!$C$2:$C$501,IF($B$4="All","*",$B$4),'02_Source_Data'!$B$2:$B$501,IF($B$5="All","*",$B$5))</f>
        <v/>
      </c>
      <c r="D13" s="90">
        <f>IFERROR(B13/C13-1,0)</f>
        <v/>
      </c>
      <c r="E13" s="88" t="n"/>
      <c r="F13" s="26">
        <f>"Monitor"</f>
        <v/>
      </c>
      <c r="H13" s="86">
        <f>$B$2+4</f>
        <v/>
      </c>
      <c r="I13" s="87">
        <f>SUMIFS('02_Source_Data'!$J$2:$J$501,'02_Source_Data'!$A$2:$A$501,$H13,'02_Source_Data'!$C$2:$C$501,IF($B$4="All","*",$B$4),'02_Source_Data'!$B$2:$B$501,IF($B$5="All","*",$B$5))</f>
        <v/>
      </c>
      <c r="J13" s="87">
        <f>SUMIFS('02_Source_Data'!$K$2:$K$501,'02_Source_Data'!$A$2:$A$501,$H13,'02_Source_Data'!$C$2:$C$501,IF($B$4="All","*",$B$4),'02_Source_Data'!$B$2:$B$501,IF($B$5="All","*",$B$5))</f>
        <v/>
      </c>
      <c r="K13" s="88">
        <f>SUMIFS('02_Source_Data'!$N$2:$N$501,'02_Source_Data'!$A$2:$A$501,$H13,'02_Source_Data'!$C$2:$C$501,IF($B$4="All","*",$B$4),'02_Source_Data'!$B$2:$B$501,IF($B$5="All","*",$B$5))</f>
        <v/>
      </c>
      <c r="L13" s="90">
        <f>IFERROR(J13/I13,0)</f>
        <v/>
      </c>
      <c r="M13" s="90">
        <f>IFERROR(SUMIFS('02_Source_Data'!$L$2:$L$501,'02_Source_Data'!$A$2:$A$501,$H13,'02_Source_Data'!$C$2:$C$501,IF($B$4="All","*",$B$4),'02_Source_Data'!$B$2:$B$501,IF($B$5="All","*",$B$5))/I13,0)</f>
        <v/>
      </c>
      <c r="N13">
        <f>TEXT(H13,"m/d")</f>
        <v/>
      </c>
      <c r="O13">
        <f>I13</f>
        <v/>
      </c>
      <c r="P13">
        <f>J13</f>
        <v/>
      </c>
    </row>
    <row r="14" ht="18" customHeight="1">
      <c r="A14" s="26" t="inlineStr">
        <is>
          <t>Gross margin</t>
        </is>
      </c>
      <c r="B14" s="90">
        <f>IFERROR(B13/B11,0)</f>
        <v/>
      </c>
      <c r="C14" s="90">
        <f>IFERROR(C13/C11,0)</f>
        <v/>
      </c>
      <c r="D14" s="90">
        <f>IFERROR(B14/C14-1,0)</f>
        <v/>
      </c>
      <c r="E14" s="90">
        <f>'01_Settings'!$B$14</f>
        <v/>
      </c>
      <c r="F14" s="26">
        <f>IF(B14&gt;=E14,"On track","Watch")</f>
        <v/>
      </c>
      <c r="H14" s="86">
        <f>$B$2+5</f>
        <v/>
      </c>
      <c r="I14" s="87">
        <f>SUMIFS('02_Source_Data'!$J$2:$J$501,'02_Source_Data'!$A$2:$A$501,$H14,'02_Source_Data'!$C$2:$C$501,IF($B$4="All","*",$B$4),'02_Source_Data'!$B$2:$B$501,IF($B$5="All","*",$B$5))</f>
        <v/>
      </c>
      <c r="J14" s="87">
        <f>SUMIFS('02_Source_Data'!$K$2:$K$501,'02_Source_Data'!$A$2:$A$501,$H14,'02_Source_Data'!$C$2:$C$501,IF($B$4="All","*",$B$4),'02_Source_Data'!$B$2:$B$501,IF($B$5="All","*",$B$5))</f>
        <v/>
      </c>
      <c r="K14" s="88">
        <f>SUMIFS('02_Source_Data'!$N$2:$N$501,'02_Source_Data'!$A$2:$A$501,$H14,'02_Source_Data'!$C$2:$C$501,IF($B$4="All","*",$B$4),'02_Source_Data'!$B$2:$B$501,IF($B$5="All","*",$B$5))</f>
        <v/>
      </c>
      <c r="L14" s="90">
        <f>IFERROR(J14/I14,0)</f>
        <v/>
      </c>
      <c r="M14" s="90">
        <f>IFERROR(SUMIFS('02_Source_Data'!$L$2:$L$501,'02_Source_Data'!$A$2:$A$501,$H14,'02_Source_Data'!$C$2:$C$501,IF($B$4="All","*",$B$4),'02_Source_Data'!$B$2:$B$501,IF($B$5="All","*",$B$5))/I14,0)</f>
        <v/>
      </c>
      <c r="N14">
        <f>TEXT(H14,"m/d")</f>
        <v/>
      </c>
      <c r="O14">
        <f>I14</f>
        <v/>
      </c>
      <c r="P14">
        <f>J14</f>
        <v/>
      </c>
    </row>
    <row r="15" ht="18" customHeight="1">
      <c r="A15" s="26" t="inlineStr">
        <is>
          <t>Overdue rate</t>
        </is>
      </c>
      <c r="B15" s="90">
        <f>IFERROR(SUMIFS('02_Source_Data'!$L$2:$L$501,'02_Source_Data'!$A$2:$A$501,"&gt;="&amp;($B$2),'02_Source_Data'!$A$2:$A$501,"&lt;="&amp;($B$3),'02_Source_Data'!$C$2:$C$501,IF($B$4="All","*",$B$4),'02_Source_Data'!$B$2:$B$501,IF($B$5="All","*",$B$5))/SUMIFS('02_Source_Data'!$J$2:$J$501,'02_Source_Data'!$A$2:$A$501,"&gt;="&amp;($B$2),'02_Source_Data'!$A$2:$A$501,"&lt;="&amp;($B$3),'02_Source_Data'!$C$2:$C$501,IF($B$4="All","*",$B$4),'02_Source_Data'!$B$2:$B$501,IF($B$5="All","*",$B$5)),0)</f>
        <v/>
      </c>
      <c r="C15" s="90">
        <f>IFERROR(SUMIFS('02_Source_Data'!$L$2:$L$501,'02_Source_Data'!$A$2:$A$501,"&gt;="&amp;($B$2-7),'02_Source_Data'!$A$2:$A$501,"&lt;="&amp;($B$3-7),'02_Source_Data'!$C$2:$C$501,IF($B$4="All","*",$B$4),'02_Source_Data'!$B$2:$B$501,IF($B$5="All","*",$B$5))/SUMIFS('02_Source_Data'!$J$2:$J$501,'02_Source_Data'!$A$2:$A$501,"&gt;="&amp;($B$2-7),'02_Source_Data'!$A$2:$A$501,"&lt;="&amp;($B$3-7),'02_Source_Data'!$C$2:$C$501,IF($B$4="All","*",$B$4),'02_Source_Data'!$B$2:$B$501,IF($B$5="All","*",$B$5)),0)</f>
        <v/>
      </c>
      <c r="D15" s="90">
        <f>IFERROR(B15/C15-1,0)</f>
        <v/>
      </c>
      <c r="E15" s="90">
        <f>'01_Settings'!$B$12</f>
        <v/>
      </c>
      <c r="F15" s="26">
        <f>IF(B15&lt;=E15,"On track","Watch")</f>
        <v/>
      </c>
      <c r="H15" s="86">
        <f>$B$2+6</f>
        <v/>
      </c>
      <c r="I15" s="87">
        <f>SUMIFS('02_Source_Data'!$J$2:$J$501,'02_Source_Data'!$A$2:$A$501,$H15,'02_Source_Data'!$C$2:$C$501,IF($B$4="All","*",$B$4),'02_Source_Data'!$B$2:$B$501,IF($B$5="All","*",$B$5))</f>
        <v/>
      </c>
      <c r="J15" s="87">
        <f>SUMIFS('02_Source_Data'!$K$2:$K$501,'02_Source_Data'!$A$2:$A$501,$H15,'02_Source_Data'!$C$2:$C$501,IF($B$4="All","*",$B$4),'02_Source_Data'!$B$2:$B$501,IF($B$5="All","*",$B$5))</f>
        <v/>
      </c>
      <c r="K15" s="88">
        <f>SUMIFS('02_Source_Data'!$N$2:$N$501,'02_Source_Data'!$A$2:$A$501,$H15,'02_Source_Data'!$C$2:$C$501,IF($B$4="All","*",$B$4),'02_Source_Data'!$B$2:$B$501,IF($B$5="All","*",$B$5))</f>
        <v/>
      </c>
      <c r="L15" s="90">
        <f>IFERROR(J15/I15,0)</f>
        <v/>
      </c>
      <c r="M15" s="90">
        <f>IFERROR(SUMIFS('02_Source_Data'!$L$2:$L$501,'02_Source_Data'!$A$2:$A$501,$H15,'02_Source_Data'!$C$2:$C$501,IF($B$4="All","*",$B$4),'02_Source_Data'!$B$2:$B$501,IF($B$5="All","*",$B$5))/I15,0)</f>
        <v/>
      </c>
      <c r="N15">
        <f>TEXT(H15,"m/d")</f>
        <v/>
      </c>
      <c r="O15">
        <f>I15</f>
        <v/>
      </c>
      <c r="P15">
        <f>J15</f>
        <v/>
      </c>
    </row>
    <row r="16" ht="18" customHeight="1">
      <c r="A16" s="26" t="inlineStr">
        <is>
          <t>Cancellation rate</t>
        </is>
      </c>
      <c r="B16" s="90">
        <f>IFERROR(SUMIFS('02_Source_Data'!$M$2:$M$501,'02_Source_Data'!$A$2:$A$501,"&gt;="&amp;($B$2),'02_Source_Data'!$A$2:$A$501,"&lt;="&amp;($B$3),'02_Source_Data'!$C$2:$C$501,IF($B$4="All","*",$B$4),'02_Source_Data'!$B$2:$B$501,IF($B$5="All","*",$B$5))/SUMIFS('02_Source_Data'!$J$2:$J$501,'02_Source_Data'!$A$2:$A$501,"&gt;="&amp;($B$2),'02_Source_Data'!$A$2:$A$501,"&lt;="&amp;($B$3),'02_Source_Data'!$C$2:$C$501,IF($B$4="All","*",$B$4),'02_Source_Data'!$B$2:$B$501,IF($B$5="All","*",$B$5)),0)</f>
        <v/>
      </c>
      <c r="C16" s="90">
        <f>IFERROR(SUMIFS('02_Source_Data'!$M$2:$M$501,'02_Source_Data'!$A$2:$A$501,"&gt;="&amp;($B$2-7),'02_Source_Data'!$A$2:$A$501,"&lt;="&amp;($B$3-7),'02_Source_Data'!$C$2:$C$501,IF($B$4="All","*",$B$4),'02_Source_Data'!$B$2:$B$501,IF($B$5="All","*",$B$5))/SUMIFS('02_Source_Data'!$J$2:$J$501,'02_Source_Data'!$A$2:$A$501,"&gt;="&amp;($B$2-7),'02_Source_Data'!$A$2:$A$501,"&lt;="&amp;($B$3-7),'02_Source_Data'!$C$2:$C$501,IF($B$4="All","*",$B$4),'02_Source_Data'!$B$2:$B$501,IF($B$5="All","*",$B$5)),0)</f>
        <v/>
      </c>
      <c r="D16" s="90">
        <f>IFERROR(B16/C16-1,0)</f>
        <v/>
      </c>
      <c r="E16" s="90" t="n"/>
      <c r="F16" s="26">
        <f>"Monitor"</f>
        <v/>
      </c>
    </row>
    <row r="17" ht="18" customHeight="1">
      <c r="A17" s="26" t="inlineStr">
        <is>
          <t>Complaint rate</t>
        </is>
      </c>
      <c r="B17" s="90">
        <f>IFERROR(SUMIFS('02_Source_Data'!$T$2:$T$501,'02_Source_Data'!$A$2:$A$501,"&gt;="&amp;($B$2),'02_Source_Data'!$A$2:$A$501,"&lt;="&amp;($B$3),'02_Source_Data'!$C$2:$C$501,IF($B$4="All","*",$B$4),'02_Source_Data'!$B$2:$B$501,IF($B$5="All","*",$B$5))/SUMIFS('02_Source_Data'!$J$2:$J$501,'02_Source_Data'!$A$2:$A$501,"&gt;="&amp;($B$2),'02_Source_Data'!$A$2:$A$501,"&lt;="&amp;($B$3),'02_Source_Data'!$C$2:$C$501,IF($B$4="All","*",$B$4),'02_Source_Data'!$B$2:$B$501,IF($B$5="All","*",$B$5)),0)</f>
        <v/>
      </c>
      <c r="C17" s="90">
        <f>IFERROR(SUMIFS('02_Source_Data'!$T$2:$T$501,'02_Source_Data'!$A$2:$A$501,"&gt;="&amp;($B$2-7),'02_Source_Data'!$A$2:$A$501,"&lt;="&amp;($B$3-7),'02_Source_Data'!$C$2:$C$501,IF($B$4="All","*",$B$4),'02_Source_Data'!$B$2:$B$501,IF($B$5="All","*",$B$5))/SUMIFS('02_Source_Data'!$J$2:$J$501,'02_Source_Data'!$A$2:$A$501,"&gt;="&amp;($B$2-7),'02_Source_Data'!$A$2:$A$501,"&lt;="&amp;($B$3-7),'02_Source_Data'!$C$2:$C$501,IF($B$4="All","*",$B$4),'02_Source_Data'!$B$2:$B$501,IF($B$5="All","*",$B$5)),0)</f>
        <v/>
      </c>
      <c r="D17" s="90">
        <f>IFERROR(B17/C17-1,0)</f>
        <v/>
      </c>
      <c r="E17" s="90">
        <f>'01_Settings'!$B$16</f>
        <v/>
      </c>
      <c r="F17" s="26">
        <f>IF(B17&lt;=E17,"On track","Watch")</f>
        <v/>
      </c>
    </row>
    <row r="18" ht="18" customHeight="1">
      <c r="A18" s="26" t="inlineStr">
        <is>
          <t>Satisfaction score</t>
        </is>
      </c>
      <c r="B18" s="89">
        <f>IFERROR(SUMIFS('02_Source_Data'!$U$2:$U$501,'02_Source_Data'!$A$2:$A$501,"&gt;="&amp;($B$2),'02_Source_Data'!$A$2:$A$501,"&lt;="&amp;($B$3),'02_Source_Data'!$C$2:$C$501,IF($B$4="All","*",$B$4),'02_Source_Data'!$B$2:$B$501,IF($B$5="All","*",$B$5))/COUNTIFS('02_Source_Data'!$A$2:$A$501,"&gt;="&amp;($B$2),'02_Source_Data'!$A$2:$A$501,"&lt;="&amp;($B$3),'02_Source_Data'!$C$2:$C$501,IF($B$4="All","*",$B$4),'02_Source_Data'!$B$2:$B$501,IF($B$5="All","*",$B$5)),0)</f>
        <v/>
      </c>
      <c r="C18" s="89">
        <f>IFERROR(SUMIFS('02_Source_Data'!$U$2:$U$501,'02_Source_Data'!$A$2:$A$501,"&gt;="&amp;($B$2-7),'02_Source_Data'!$A$2:$A$501,"&lt;="&amp;($B$3-7),'02_Source_Data'!$C$2:$C$501,IF($B$4="All","*",$B$4),'02_Source_Data'!$B$2:$B$501,IF($B$5="All","*",$B$5))/COUNTIFS('02_Source_Data'!$A$2:$A$501,"&gt;="&amp;($B$2-7),'02_Source_Data'!$A$2:$A$501,"&lt;="&amp;($B$3-7),'02_Source_Data'!$C$2:$C$501,IF($B$4="All","*",$B$4),'02_Source_Data'!$B$2:$B$501,IF($B$5="All","*",$B$5)),0)</f>
        <v/>
      </c>
      <c r="D18" s="89">
        <f>IFERROR(B18-C18,0)</f>
        <v/>
      </c>
      <c r="E18" s="89">
        <f>'01_Settings'!$B$13</f>
        <v/>
      </c>
      <c r="F18" s="26">
        <f>IF(B18&gt;=E18,"On track","Watch")</f>
        <v/>
      </c>
    </row>
    <row r="19" ht="18" customHeight="1">
      <c r="A19" s="26" t="inlineStr">
        <is>
          <t>Response time (hours)</t>
        </is>
      </c>
      <c r="B19" s="89">
        <f>IFERROR(SUMIFS('02_Source_Data'!$V$2:$V$501,'02_Source_Data'!$A$2:$A$501,"&gt;="&amp;($B$2),'02_Source_Data'!$A$2:$A$501,"&lt;="&amp;($B$3),'02_Source_Data'!$C$2:$C$501,IF($B$4="All","*",$B$4),'02_Source_Data'!$B$2:$B$501,IF($B$5="All","*",$B$5))/COUNTIFS('02_Source_Data'!$A$2:$A$501,"&gt;="&amp;($B$2),'02_Source_Data'!$A$2:$A$501,"&lt;="&amp;($B$3),'02_Source_Data'!$C$2:$C$501,IF($B$4="All","*",$B$4),'02_Source_Data'!$B$2:$B$501,IF($B$5="All","*",$B$5)),0)</f>
        <v/>
      </c>
      <c r="C19" s="89">
        <f>IFERROR(SUMIFS('02_Source_Data'!$V$2:$V$501,'02_Source_Data'!$A$2:$A$501,"&gt;="&amp;($B$2-7),'02_Source_Data'!$A$2:$A$501,"&lt;="&amp;($B$3-7),'02_Source_Data'!$C$2:$C$501,IF($B$4="All","*",$B$4),'02_Source_Data'!$B$2:$B$501,IF($B$5="All","*",$B$5))/COUNTIFS('02_Source_Data'!$A$2:$A$501,"&gt;="&amp;($B$2-7),'02_Source_Data'!$A$2:$A$501,"&lt;="&amp;($B$3-7),'02_Source_Data'!$C$2:$C$501,IF($B$4="All","*",$B$4),'02_Source_Data'!$B$2:$B$501,IF($B$5="All","*",$B$5)),0)</f>
        <v/>
      </c>
      <c r="D19" s="89">
        <f>IFERROR(B19-C19,0)</f>
        <v/>
      </c>
      <c r="E19" s="89">
        <f>'01_Settings'!$B$10</f>
        <v/>
      </c>
      <c r="F19" s="26">
        <f>IF(B19&lt;=E19,"On track","Watch")</f>
        <v/>
      </c>
    </row>
    <row r="20" ht="18" customHeight="1">
      <c r="A20" s="26" t="inlineStr">
        <is>
          <t>Resolution time (hours)</t>
        </is>
      </c>
      <c r="B20" s="89">
        <f>IFERROR(SUMIFS('02_Source_Data'!$W$2:$W$501,'02_Source_Data'!$A$2:$A$501,"&gt;="&amp;($B$2),'02_Source_Data'!$A$2:$A$501,"&lt;="&amp;($B$3),'02_Source_Data'!$C$2:$C$501,IF($B$4="All","*",$B$4),'02_Source_Data'!$B$2:$B$501,IF($B$5="All","*",$B$5))/COUNTIFS('02_Source_Data'!$A$2:$A$501,"&gt;="&amp;($B$2),'02_Source_Data'!$A$2:$A$501,"&lt;="&amp;($B$3),'02_Source_Data'!$C$2:$C$501,IF($B$4="All","*",$B$4),'02_Source_Data'!$B$2:$B$501,IF($B$5="All","*",$B$5)),0)</f>
        <v/>
      </c>
      <c r="C20" s="89">
        <f>IFERROR(SUMIFS('02_Source_Data'!$W$2:$W$501,'02_Source_Data'!$A$2:$A$501,"&gt;="&amp;($B$2-7),'02_Source_Data'!$A$2:$A$501,"&lt;="&amp;($B$3-7),'02_Source_Data'!$C$2:$C$501,IF($B$4="All","*",$B$4),'02_Source_Data'!$B$2:$B$501,IF($B$5="All","*",$B$5))/COUNTIFS('02_Source_Data'!$A$2:$A$501,"&gt;="&amp;($B$2-7),'02_Source_Data'!$A$2:$A$501,"&lt;="&amp;($B$3-7),'02_Source_Data'!$C$2:$C$501,IF($B$4="All","*",$B$4),'02_Source_Data'!$B$2:$B$501,IF($B$5="All","*",$B$5)),0)</f>
        <v/>
      </c>
      <c r="D20" s="89">
        <f>IFERROR(B20-C20,0)</f>
        <v/>
      </c>
      <c r="E20" s="89">
        <f>'01_Settings'!$B$11</f>
        <v/>
      </c>
      <c r="F20" s="26">
        <f>IF(B20&lt;=E20,"On track","Watch")</f>
        <v/>
      </c>
    </row>
    <row r="21" ht="18" customHeight="1">
      <c r="A21" s="26" t="inlineStr">
        <is>
          <t>Productivity (completed/hour)</t>
        </is>
      </c>
      <c r="B21" s="89">
        <f>IFERROR(SUMIFS('02_Source_Data'!$K$2:$K$501,'02_Source_Data'!$A$2:$A$501,"&gt;="&amp;($B$2),'02_Source_Data'!$A$2:$A$501,"&lt;="&amp;($B$3),'02_Source_Data'!$C$2:$C$501,IF($B$4="All","*",$B$4),'02_Source_Data'!$B$2:$B$501,IF($B$5="All","*",$B$5))/SUMIFS('02_Source_Data'!$P$2:$P$501,'02_Source_Data'!$A$2:$A$501,"&gt;="&amp;($B$2),'02_Source_Data'!$A$2:$A$501,"&lt;="&amp;($B$3),'02_Source_Data'!$C$2:$C$501,IF($B$4="All","*",$B$4),'02_Source_Data'!$B$2:$B$501,IF($B$5="All","*",$B$5)),0)</f>
        <v/>
      </c>
      <c r="C21" s="89">
        <f>IFERROR(SUMIFS('02_Source_Data'!$K$2:$K$501,'02_Source_Data'!$A$2:$A$501,"&gt;="&amp;($B$2-7),'02_Source_Data'!$A$2:$A$501,"&lt;="&amp;($B$3-7),'02_Source_Data'!$C$2:$C$501,IF($B$4="All","*",$B$4),'02_Source_Data'!$B$2:$B$501,IF($B$5="All","*",$B$5))/SUMIFS('02_Source_Data'!$P$2:$P$501,'02_Source_Data'!$A$2:$A$501,"&gt;="&amp;($B$2-7),'02_Source_Data'!$A$2:$A$501,"&lt;="&amp;($B$3-7),'02_Source_Data'!$C$2:$C$501,IF($B$4="All","*",$B$4),'02_Source_Data'!$B$2:$B$501,IF($B$5="All","*",$B$5)),0)</f>
        <v/>
      </c>
      <c r="D21" s="89">
        <f>IFERROR(B21/C21-1,0)</f>
        <v/>
      </c>
      <c r="E21" s="89" t="n"/>
      <c r="F21" s="26">
        <f>"Monitor"</f>
        <v/>
      </c>
    </row>
    <row r="22" ht="18" customHeight="1">
      <c r="A22" s="26" t="inlineStr">
        <is>
          <t>Conversion rate</t>
        </is>
      </c>
      <c r="B22" s="90">
        <f>IFERROR(SUMIFS('02_Source_Data'!$S$2:$S$501,'02_Source_Data'!$A$2:$A$501,"&gt;="&amp;($B$2),'02_Source_Data'!$A$2:$A$501,"&lt;="&amp;($B$3),'02_Source_Data'!$C$2:$C$501,IF($B$4="All","*",$B$4),'02_Source_Data'!$B$2:$B$501,IF($B$5="All","*",$B$5))/SUMIFS('02_Source_Data'!$R$2:$R$501,'02_Source_Data'!$A$2:$A$501,"&gt;="&amp;($B$2),'02_Source_Data'!$A$2:$A$501,"&lt;="&amp;($B$3),'02_Source_Data'!$C$2:$C$501,IF($B$4="All","*",$B$4),'02_Source_Data'!$B$2:$B$501,IF($B$5="All","*",$B$5)),0)</f>
        <v/>
      </c>
      <c r="C22" s="90">
        <f>IFERROR(SUMIFS('02_Source_Data'!$S$2:$S$501,'02_Source_Data'!$A$2:$A$501,"&gt;="&amp;($B$2-7),'02_Source_Data'!$A$2:$A$501,"&lt;="&amp;($B$3-7),'02_Source_Data'!$C$2:$C$501,IF($B$4="All","*",$B$4),'02_Source_Data'!$B$2:$B$501,IF($B$5="All","*",$B$5))/SUMIFS('02_Source_Data'!$R$2:$R$501,'02_Source_Data'!$A$2:$A$501,"&gt;="&amp;($B$2-7),'02_Source_Data'!$A$2:$A$501,"&lt;="&amp;($B$3-7),'02_Source_Data'!$C$2:$C$501,IF($B$4="All","*",$B$4),'02_Source_Data'!$B$2:$B$501,IF($B$5="All","*",$B$5)),0)</f>
        <v/>
      </c>
      <c r="D22" s="90">
        <f>IFERROR(B22/C22-1,0)</f>
        <v/>
      </c>
      <c r="E22" s="90">
        <f>'01_Settings'!$B$15</f>
        <v/>
      </c>
      <c r="F22" s="26">
        <f>IF(B22&gt;=E22,"On track","Watch")</f>
        <v/>
      </c>
    </row>
    <row r="23" ht="18" customHeight="1">
      <c r="A23" s="26" t="inlineStr">
        <is>
          <t>Backlog / Inventory</t>
        </is>
      </c>
      <c r="B23" s="87">
        <f>SUMIFS('02_Source_Data'!$X$2:$X$501,'02_Source_Data'!$A$2:$A$501,"&gt;="&amp;($B$2),'02_Source_Data'!$A$2:$A$501,"&lt;="&amp;($B$3),'02_Source_Data'!$C$2:$C$501,IF($B$4="All","*",$B$4),'02_Source_Data'!$B$2:$B$501,IF($B$5="All","*",$B$5))</f>
        <v/>
      </c>
      <c r="C23" s="87">
        <f>SUMIFS('02_Source_Data'!$X$2:$X$501,'02_Source_Data'!$A$2:$A$501,"&gt;="&amp;($B$2-7),'02_Source_Data'!$A$2:$A$501,"&lt;="&amp;($B$3-7),'02_Source_Data'!$C$2:$C$501,IF($B$4="All","*",$B$4),'02_Source_Data'!$B$2:$B$501,IF($B$5="All","*",$B$5))</f>
        <v/>
      </c>
      <c r="D23" s="90">
        <f>IFERROR(B23/C23-1,0)</f>
        <v/>
      </c>
      <c r="E23" s="87" t="n"/>
      <c r="F23" s="26">
        <f>"Monitor"</f>
        <v/>
      </c>
    </row>
    <row r="24" ht="18" customHeight="1">
      <c r="A24" s="26" t="inlineStr">
        <is>
          <t>Exception data rows</t>
        </is>
      </c>
      <c r="B24" s="87">
        <f>COUNTIFS('02_Source_Data'!$A$2:$A$501,"&gt;="&amp;($B$2),'02_Source_Data'!$A$2:$A$501,"&lt;="&amp;($B$3),'02_Source_Data'!$C$2:$C$501,IF($B$4="All","*",$B$4),'02_Source_Data'!$B$2:$B$501,IF($B$5="All","*",$B$5),'02_Source_Data'!$AM$2:$AM$501,"?*")</f>
        <v/>
      </c>
      <c r="C24" s="87">
        <f>COUNTIFS('02_Source_Data'!$A$2:$A$501,"&gt;="&amp;($B$2-7),'02_Source_Data'!$A$2:$A$501,"&lt;="&amp;($B$3-7),'02_Source_Data'!$C$2:$C$501,IF($B$4="All","*",$B$4),'02_Source_Data'!$B$2:$B$501,IF($B$5="All","*",$B$5),'02_Source_Data'!$AM$2:$AM$501,"?*")</f>
        <v/>
      </c>
      <c r="D24" s="90">
        <f>IFERROR(B24/C24-1,0)</f>
        <v/>
      </c>
      <c r="E24" s="87">
        <f>0</f>
        <v/>
      </c>
      <c r="F24" s="26">
        <f>IF(B24&lt;=E24,"On track","Watch")</f>
        <v/>
      </c>
    </row>
    <row r="25"/>
    <row r="26" ht="22" customHeight="1">
      <c r="A26" s="19" t="inlineStr">
        <is>
          <t>Breakdown by operating context</t>
        </is>
      </c>
    </row>
    <row r="27" ht="24" customHeight="1">
      <c r="A27" s="34" t="inlineStr">
        <is>
          <t>Operating context</t>
        </is>
      </c>
      <c r="B27" s="34" t="inlineStr">
        <is>
          <t>Requests</t>
        </is>
      </c>
      <c r="C27" s="34" t="inlineStr">
        <is>
          <t>Completed</t>
        </is>
      </c>
      <c r="D27" s="34" t="inlineStr">
        <is>
          <t>Completion rate</t>
        </is>
      </c>
      <c r="E27" s="34" t="inlineStr">
        <is>
          <t>Revenue</t>
        </is>
      </c>
      <c r="F27" s="34" t="inlineStr">
        <is>
          <t>Overdue rate</t>
        </is>
      </c>
      <c r="G27" s="34" t="inlineStr">
        <is>
          <t>Satisfaction score</t>
        </is>
      </c>
      <c r="H27" s="34" t="inlineStr">
        <is>
          <t>Exception rows</t>
        </is>
      </c>
    </row>
    <row r="28" ht="18" customHeight="1">
      <c r="A28" s="26" t="inlineStr">
        <is>
          <t>Customer Support Operations</t>
        </is>
      </c>
      <c r="B28" s="87">
        <f>SUMIFS('02_Source_Data'!$J$2:$J$501,'02_Source_Data'!$A$2:$A$501,"&gt;="&amp;$B$2,'02_Source_Data'!$A$2:$A$501,"&lt;="&amp;$B$3,'02_Source_Data'!$C$2:$C$501,$A28,'02_Source_Data'!$B$2:$B$501,IF($B$5="All","*",$B$5))</f>
        <v/>
      </c>
      <c r="C28" s="87">
        <f>SUMIFS('02_Source_Data'!$K$2:$K$501,'02_Source_Data'!$A$2:$A$501,"&gt;="&amp;$B$2,'02_Source_Data'!$A$2:$A$501,"&lt;="&amp;$B$3,'02_Source_Data'!$C$2:$C$501,$A28,'02_Source_Data'!$B$2:$B$501,IF($B$5="All","*",$B$5))</f>
        <v/>
      </c>
      <c r="D28" s="90">
        <f>IFERROR(C28/B28,0)</f>
        <v/>
      </c>
      <c r="E28" s="88">
        <f>SUMIFS('02_Source_Data'!$N$2:$N$501,'02_Source_Data'!$A$2:$A$501,"&gt;="&amp;$B$2,'02_Source_Data'!$A$2:$A$501,"&lt;="&amp;$B$3,'02_Source_Data'!$C$2:$C$501,$A28,'02_Source_Data'!$B$2:$B$501,IF($B$5="All","*",$B$5))</f>
        <v/>
      </c>
      <c r="F28" s="90">
        <f>IFERROR(SUMIFS('02_Source_Data'!$L$2:$L$501,'02_Source_Data'!$A$2:$A$501,"&gt;="&amp;$B$2,'02_Source_Data'!$A$2:$A$501,"&lt;="&amp;$B$3,'02_Source_Data'!$C$2:$C$501,$A28,'02_Source_Data'!$B$2:$B$501,IF($B$5="All","*",$B$5))/B28,0)</f>
        <v/>
      </c>
      <c r="G28" s="89">
        <f>IFERROR(SUMIFS('02_Source_Data'!$U$2:$U$501,'02_Source_Data'!$A$2:$A$501,"&gt;="&amp;$B$2,'02_Source_Data'!$A$2:$A$501,"&lt;="&amp;$B$3,'02_Source_Data'!$C$2:$C$501,$A28,'02_Source_Data'!$B$2:$B$501,IF($B$5="All","*",$B$5))/COUNTIFS('02_Source_Data'!$A$2:$A$501,"&gt;="&amp;$B$2,'02_Source_Data'!$A$2:$A$501,"&lt;="&amp;$B$3,'02_Source_Data'!$C$2:$C$501,$A28,'02_Source_Data'!$B$2:$B$501,IF($B$5="All","*",$B$5)),0)</f>
        <v/>
      </c>
      <c r="H28" s="87">
        <f>COUNTIFS('02_Source_Data'!$A$2:$A$501,"&gt;="&amp;$B$2,'02_Source_Data'!$A$2:$A$501,"&lt;="&amp;$B$3,'02_Source_Data'!$C$2:$C$501,$A28,'02_Source_Data'!$B$2:$B$501,IF($B$5="All","*",$B$5),'02_Source_Data'!$AM$2:$AM$501,"?*")</f>
        <v/>
      </c>
    </row>
    <row r="29" ht="18" customHeight="1">
      <c r="A29" s="26" t="inlineStr">
        <is>
          <t>Sales Operations</t>
        </is>
      </c>
      <c r="B29" s="87">
        <f>SUMIFS('02_Source_Data'!$J$2:$J$501,'02_Source_Data'!$A$2:$A$501,"&gt;="&amp;$B$2,'02_Source_Data'!$A$2:$A$501,"&lt;="&amp;$B$3,'02_Source_Data'!$C$2:$C$501,$A29,'02_Source_Data'!$B$2:$B$501,IF($B$5="All","*",$B$5))</f>
        <v/>
      </c>
      <c r="C29" s="87">
        <f>SUMIFS('02_Source_Data'!$K$2:$K$501,'02_Source_Data'!$A$2:$A$501,"&gt;="&amp;$B$2,'02_Source_Data'!$A$2:$A$501,"&lt;="&amp;$B$3,'02_Source_Data'!$C$2:$C$501,$A29,'02_Source_Data'!$B$2:$B$501,IF($B$5="All","*",$B$5))</f>
        <v/>
      </c>
      <c r="D29" s="90">
        <f>IFERROR(C29/B29,0)</f>
        <v/>
      </c>
      <c r="E29" s="88">
        <f>SUMIFS('02_Source_Data'!$N$2:$N$501,'02_Source_Data'!$A$2:$A$501,"&gt;="&amp;$B$2,'02_Source_Data'!$A$2:$A$501,"&lt;="&amp;$B$3,'02_Source_Data'!$C$2:$C$501,$A29,'02_Source_Data'!$B$2:$B$501,IF($B$5="All","*",$B$5))</f>
        <v/>
      </c>
      <c r="F29" s="90">
        <f>IFERROR(SUMIFS('02_Source_Data'!$L$2:$L$501,'02_Source_Data'!$A$2:$A$501,"&gt;="&amp;$B$2,'02_Source_Data'!$A$2:$A$501,"&lt;="&amp;$B$3,'02_Source_Data'!$C$2:$C$501,$A29,'02_Source_Data'!$B$2:$B$501,IF($B$5="All","*",$B$5))/B29,0)</f>
        <v/>
      </c>
      <c r="G29" s="89">
        <f>IFERROR(SUMIFS('02_Source_Data'!$U$2:$U$501,'02_Source_Data'!$A$2:$A$501,"&gt;="&amp;$B$2,'02_Source_Data'!$A$2:$A$501,"&lt;="&amp;$B$3,'02_Source_Data'!$C$2:$C$501,$A29,'02_Source_Data'!$B$2:$B$501,IF($B$5="All","*",$B$5))/COUNTIFS('02_Source_Data'!$A$2:$A$501,"&gt;="&amp;$B$2,'02_Source_Data'!$A$2:$A$501,"&lt;="&amp;$B$3,'02_Source_Data'!$C$2:$C$501,$A29,'02_Source_Data'!$B$2:$B$501,IF($B$5="All","*",$B$5)),0)</f>
        <v/>
      </c>
      <c r="H29" s="87">
        <f>COUNTIFS('02_Source_Data'!$A$2:$A$501,"&gt;="&amp;$B$2,'02_Source_Data'!$A$2:$A$501,"&lt;="&amp;$B$3,'02_Source_Data'!$C$2:$C$501,$A29,'02_Source_Data'!$B$2:$B$501,IF($B$5="All","*",$B$5),'02_Source_Data'!$AM$2:$AM$501,"?*")</f>
        <v/>
      </c>
    </row>
    <row r="30" ht="18" customHeight="1">
      <c r="A30" s="26" t="inlineStr">
        <is>
          <t>E-commerce Operations</t>
        </is>
      </c>
      <c r="B30" s="87">
        <f>SUMIFS('02_Source_Data'!$J$2:$J$501,'02_Source_Data'!$A$2:$A$501,"&gt;="&amp;$B$2,'02_Source_Data'!$A$2:$A$501,"&lt;="&amp;$B$3,'02_Source_Data'!$C$2:$C$501,$A30,'02_Source_Data'!$B$2:$B$501,IF($B$5="All","*",$B$5))</f>
        <v/>
      </c>
      <c r="C30" s="87">
        <f>SUMIFS('02_Source_Data'!$K$2:$K$501,'02_Source_Data'!$A$2:$A$501,"&gt;="&amp;$B$2,'02_Source_Data'!$A$2:$A$501,"&lt;="&amp;$B$3,'02_Source_Data'!$C$2:$C$501,$A30,'02_Source_Data'!$B$2:$B$501,IF($B$5="All","*",$B$5))</f>
        <v/>
      </c>
      <c r="D30" s="90">
        <f>IFERROR(C30/B30,0)</f>
        <v/>
      </c>
      <c r="E30" s="88">
        <f>SUMIFS('02_Source_Data'!$N$2:$N$501,'02_Source_Data'!$A$2:$A$501,"&gt;="&amp;$B$2,'02_Source_Data'!$A$2:$A$501,"&lt;="&amp;$B$3,'02_Source_Data'!$C$2:$C$501,$A30,'02_Source_Data'!$B$2:$B$501,IF($B$5="All","*",$B$5))</f>
        <v/>
      </c>
      <c r="F30" s="90">
        <f>IFERROR(SUMIFS('02_Source_Data'!$L$2:$L$501,'02_Source_Data'!$A$2:$A$501,"&gt;="&amp;$B$2,'02_Source_Data'!$A$2:$A$501,"&lt;="&amp;$B$3,'02_Source_Data'!$C$2:$C$501,$A30,'02_Source_Data'!$B$2:$B$501,IF($B$5="All","*",$B$5))/B30,0)</f>
        <v/>
      </c>
      <c r="G30" s="89">
        <f>IFERROR(SUMIFS('02_Source_Data'!$U$2:$U$501,'02_Source_Data'!$A$2:$A$501,"&gt;="&amp;$B$2,'02_Source_Data'!$A$2:$A$501,"&lt;="&amp;$B$3,'02_Source_Data'!$C$2:$C$501,$A30,'02_Source_Data'!$B$2:$B$501,IF($B$5="All","*",$B$5))/COUNTIFS('02_Source_Data'!$A$2:$A$501,"&gt;="&amp;$B$2,'02_Source_Data'!$A$2:$A$501,"&lt;="&amp;$B$3,'02_Source_Data'!$C$2:$C$501,$A30,'02_Source_Data'!$B$2:$B$501,IF($B$5="All","*",$B$5)),0)</f>
        <v/>
      </c>
      <c r="H30" s="87">
        <f>COUNTIFS('02_Source_Data'!$A$2:$A$501,"&gt;="&amp;$B$2,'02_Source_Data'!$A$2:$A$501,"&lt;="&amp;$B$3,'02_Source_Data'!$C$2:$C$501,$A30,'02_Source_Data'!$B$2:$B$501,IF($B$5="All","*",$B$5),'02_Source_Data'!$AM$2:$AM$501,"?*")</f>
        <v/>
      </c>
    </row>
    <row r="31" ht="18" customHeight="1">
      <c r="A31" s="26" t="inlineStr">
        <is>
          <t>Supply Chain / Inventory</t>
        </is>
      </c>
      <c r="B31" s="87">
        <f>SUMIFS('02_Source_Data'!$J$2:$J$501,'02_Source_Data'!$A$2:$A$501,"&gt;="&amp;$B$2,'02_Source_Data'!$A$2:$A$501,"&lt;="&amp;$B$3,'02_Source_Data'!$C$2:$C$501,$A31,'02_Source_Data'!$B$2:$B$501,IF($B$5="All","*",$B$5))</f>
        <v/>
      </c>
      <c r="C31" s="87">
        <f>SUMIFS('02_Source_Data'!$K$2:$K$501,'02_Source_Data'!$A$2:$A$501,"&gt;="&amp;$B$2,'02_Source_Data'!$A$2:$A$501,"&lt;="&amp;$B$3,'02_Source_Data'!$C$2:$C$501,$A31,'02_Source_Data'!$B$2:$B$501,IF($B$5="All","*",$B$5))</f>
        <v/>
      </c>
      <c r="D31" s="90">
        <f>IFERROR(C31/B31,0)</f>
        <v/>
      </c>
      <c r="E31" s="88">
        <f>SUMIFS('02_Source_Data'!$N$2:$N$501,'02_Source_Data'!$A$2:$A$501,"&gt;="&amp;$B$2,'02_Source_Data'!$A$2:$A$501,"&lt;="&amp;$B$3,'02_Source_Data'!$C$2:$C$501,$A31,'02_Source_Data'!$B$2:$B$501,IF($B$5="All","*",$B$5))</f>
        <v/>
      </c>
      <c r="F31" s="90">
        <f>IFERROR(SUMIFS('02_Source_Data'!$L$2:$L$501,'02_Source_Data'!$A$2:$A$501,"&gt;="&amp;$B$2,'02_Source_Data'!$A$2:$A$501,"&lt;="&amp;$B$3,'02_Source_Data'!$C$2:$C$501,$A31,'02_Source_Data'!$B$2:$B$501,IF($B$5="All","*",$B$5))/B31,0)</f>
        <v/>
      </c>
      <c r="G31" s="89">
        <f>IFERROR(SUMIFS('02_Source_Data'!$U$2:$U$501,'02_Source_Data'!$A$2:$A$501,"&gt;="&amp;$B$2,'02_Source_Data'!$A$2:$A$501,"&lt;="&amp;$B$3,'02_Source_Data'!$C$2:$C$501,$A31,'02_Source_Data'!$B$2:$B$501,IF($B$5="All","*",$B$5))/COUNTIFS('02_Source_Data'!$A$2:$A$501,"&gt;="&amp;$B$2,'02_Source_Data'!$A$2:$A$501,"&lt;="&amp;$B$3,'02_Source_Data'!$C$2:$C$501,$A31,'02_Source_Data'!$B$2:$B$501,IF($B$5="All","*",$B$5)),0)</f>
        <v/>
      </c>
      <c r="H31" s="87">
        <f>COUNTIFS('02_Source_Data'!$A$2:$A$501,"&gt;="&amp;$B$2,'02_Source_Data'!$A$2:$A$501,"&lt;="&amp;$B$3,'02_Source_Data'!$C$2:$C$501,$A31,'02_Source_Data'!$B$2:$B$501,IF($B$5="All","*",$B$5),'02_Source_Data'!$AM$2:$AM$501,"?*")</f>
        <v/>
      </c>
    </row>
    <row r="32" ht="18" customHeight="1">
      <c r="A32" s="26" t="inlineStr">
        <is>
          <t>Production / Delivery</t>
        </is>
      </c>
      <c r="B32" s="87">
        <f>SUMIFS('02_Source_Data'!$J$2:$J$501,'02_Source_Data'!$A$2:$A$501,"&gt;="&amp;$B$2,'02_Source_Data'!$A$2:$A$501,"&lt;="&amp;$B$3,'02_Source_Data'!$C$2:$C$501,$A32,'02_Source_Data'!$B$2:$B$501,IF($B$5="All","*",$B$5))</f>
        <v/>
      </c>
      <c r="C32" s="87">
        <f>SUMIFS('02_Source_Data'!$K$2:$K$501,'02_Source_Data'!$A$2:$A$501,"&gt;="&amp;$B$2,'02_Source_Data'!$A$2:$A$501,"&lt;="&amp;$B$3,'02_Source_Data'!$C$2:$C$501,$A32,'02_Source_Data'!$B$2:$B$501,IF($B$5="All","*",$B$5))</f>
        <v/>
      </c>
      <c r="D32" s="90">
        <f>IFERROR(C32/B32,0)</f>
        <v/>
      </c>
      <c r="E32" s="88">
        <f>SUMIFS('02_Source_Data'!$N$2:$N$501,'02_Source_Data'!$A$2:$A$501,"&gt;="&amp;$B$2,'02_Source_Data'!$A$2:$A$501,"&lt;="&amp;$B$3,'02_Source_Data'!$C$2:$C$501,$A32,'02_Source_Data'!$B$2:$B$501,IF($B$5="All","*",$B$5))</f>
        <v/>
      </c>
      <c r="F32" s="90">
        <f>IFERROR(SUMIFS('02_Source_Data'!$L$2:$L$501,'02_Source_Data'!$A$2:$A$501,"&gt;="&amp;$B$2,'02_Source_Data'!$A$2:$A$501,"&lt;="&amp;$B$3,'02_Source_Data'!$C$2:$C$501,$A32,'02_Source_Data'!$B$2:$B$501,IF($B$5="All","*",$B$5))/B32,0)</f>
        <v/>
      </c>
      <c r="G32" s="89">
        <f>IFERROR(SUMIFS('02_Source_Data'!$U$2:$U$501,'02_Source_Data'!$A$2:$A$501,"&gt;="&amp;$B$2,'02_Source_Data'!$A$2:$A$501,"&lt;="&amp;$B$3,'02_Source_Data'!$C$2:$C$501,$A32,'02_Source_Data'!$B$2:$B$501,IF($B$5="All","*",$B$5))/COUNTIFS('02_Source_Data'!$A$2:$A$501,"&gt;="&amp;$B$2,'02_Source_Data'!$A$2:$A$501,"&lt;="&amp;$B$3,'02_Source_Data'!$C$2:$C$501,$A32,'02_Source_Data'!$B$2:$B$501,IF($B$5="All","*",$B$5)),0)</f>
        <v/>
      </c>
      <c r="H32" s="87">
        <f>COUNTIFS('02_Source_Data'!$A$2:$A$501,"&gt;="&amp;$B$2,'02_Source_Data'!$A$2:$A$501,"&lt;="&amp;$B$3,'02_Source_Data'!$C$2:$C$501,$A32,'02_Source_Data'!$B$2:$B$501,IF($B$5="All","*",$B$5),'02_Source_Data'!$AM$2:$AM$501,"?*")</f>
        <v/>
      </c>
    </row>
    <row r="33" ht="18" customHeight="1">
      <c r="A33" s="26" t="inlineStr">
        <is>
          <t>Field Services</t>
        </is>
      </c>
      <c r="B33" s="87">
        <f>SUMIFS('02_Source_Data'!$J$2:$J$501,'02_Source_Data'!$A$2:$A$501,"&gt;="&amp;$B$2,'02_Source_Data'!$A$2:$A$501,"&lt;="&amp;$B$3,'02_Source_Data'!$C$2:$C$501,$A33,'02_Source_Data'!$B$2:$B$501,IF($B$5="All","*",$B$5))</f>
        <v/>
      </c>
      <c r="C33" s="87">
        <f>SUMIFS('02_Source_Data'!$K$2:$K$501,'02_Source_Data'!$A$2:$A$501,"&gt;="&amp;$B$2,'02_Source_Data'!$A$2:$A$501,"&lt;="&amp;$B$3,'02_Source_Data'!$C$2:$C$501,$A33,'02_Source_Data'!$B$2:$B$501,IF($B$5="All","*",$B$5))</f>
        <v/>
      </c>
      <c r="D33" s="90">
        <f>IFERROR(C33/B33,0)</f>
        <v/>
      </c>
      <c r="E33" s="88">
        <f>SUMIFS('02_Source_Data'!$N$2:$N$501,'02_Source_Data'!$A$2:$A$501,"&gt;="&amp;$B$2,'02_Source_Data'!$A$2:$A$501,"&lt;="&amp;$B$3,'02_Source_Data'!$C$2:$C$501,$A33,'02_Source_Data'!$B$2:$B$501,IF($B$5="All","*",$B$5))</f>
        <v/>
      </c>
      <c r="F33" s="90">
        <f>IFERROR(SUMIFS('02_Source_Data'!$L$2:$L$501,'02_Source_Data'!$A$2:$A$501,"&gt;="&amp;$B$2,'02_Source_Data'!$A$2:$A$501,"&lt;="&amp;$B$3,'02_Source_Data'!$C$2:$C$501,$A33,'02_Source_Data'!$B$2:$B$501,IF($B$5="All","*",$B$5))/B33,0)</f>
        <v/>
      </c>
      <c r="G33" s="89">
        <f>IFERROR(SUMIFS('02_Source_Data'!$U$2:$U$501,'02_Source_Data'!$A$2:$A$501,"&gt;="&amp;$B$2,'02_Source_Data'!$A$2:$A$501,"&lt;="&amp;$B$3,'02_Source_Data'!$C$2:$C$501,$A33,'02_Source_Data'!$B$2:$B$501,IF($B$5="All","*",$B$5))/COUNTIFS('02_Source_Data'!$A$2:$A$501,"&gt;="&amp;$B$2,'02_Source_Data'!$A$2:$A$501,"&lt;="&amp;$B$3,'02_Source_Data'!$C$2:$C$501,$A33,'02_Source_Data'!$B$2:$B$501,IF($B$5="All","*",$B$5)),0)</f>
        <v/>
      </c>
      <c r="H33" s="87">
        <f>COUNTIFS('02_Source_Data'!$A$2:$A$501,"&gt;="&amp;$B$2,'02_Source_Data'!$A$2:$A$501,"&lt;="&amp;$B$3,'02_Source_Data'!$C$2:$C$501,$A33,'02_Source_Data'!$B$2:$B$501,IF($B$5="All","*",$B$5),'02_Source_Data'!$AM$2:$AM$501,"?*")</f>
        <v/>
      </c>
    </row>
    <row r="34" ht="18" customHeight="1">
      <c r="A34" s="26" t="inlineStr">
        <is>
          <t>Growth Marketing</t>
        </is>
      </c>
      <c r="B34" s="87">
        <f>SUMIFS('02_Source_Data'!$J$2:$J$501,'02_Source_Data'!$A$2:$A$501,"&gt;="&amp;$B$2,'02_Source_Data'!$A$2:$A$501,"&lt;="&amp;$B$3,'02_Source_Data'!$C$2:$C$501,$A34,'02_Source_Data'!$B$2:$B$501,IF($B$5="All","*",$B$5))</f>
        <v/>
      </c>
      <c r="C34" s="87">
        <f>SUMIFS('02_Source_Data'!$K$2:$K$501,'02_Source_Data'!$A$2:$A$501,"&gt;="&amp;$B$2,'02_Source_Data'!$A$2:$A$501,"&lt;="&amp;$B$3,'02_Source_Data'!$C$2:$C$501,$A34,'02_Source_Data'!$B$2:$B$501,IF($B$5="All","*",$B$5))</f>
        <v/>
      </c>
      <c r="D34" s="90">
        <f>IFERROR(C34/B34,0)</f>
        <v/>
      </c>
      <c r="E34" s="88">
        <f>SUMIFS('02_Source_Data'!$N$2:$N$501,'02_Source_Data'!$A$2:$A$501,"&gt;="&amp;$B$2,'02_Source_Data'!$A$2:$A$501,"&lt;="&amp;$B$3,'02_Source_Data'!$C$2:$C$501,$A34,'02_Source_Data'!$B$2:$B$501,IF($B$5="All","*",$B$5))</f>
        <v/>
      </c>
      <c r="F34" s="90">
        <f>IFERROR(SUMIFS('02_Source_Data'!$L$2:$L$501,'02_Source_Data'!$A$2:$A$501,"&gt;="&amp;$B$2,'02_Source_Data'!$A$2:$A$501,"&lt;="&amp;$B$3,'02_Source_Data'!$C$2:$C$501,$A34,'02_Source_Data'!$B$2:$B$501,IF($B$5="All","*",$B$5))/B34,0)</f>
        <v/>
      </c>
      <c r="G34" s="89">
        <f>IFERROR(SUMIFS('02_Source_Data'!$U$2:$U$501,'02_Source_Data'!$A$2:$A$501,"&gt;="&amp;$B$2,'02_Source_Data'!$A$2:$A$501,"&lt;="&amp;$B$3,'02_Source_Data'!$C$2:$C$501,$A34,'02_Source_Data'!$B$2:$B$501,IF($B$5="All","*",$B$5))/COUNTIFS('02_Source_Data'!$A$2:$A$501,"&gt;="&amp;$B$2,'02_Source_Data'!$A$2:$A$501,"&lt;="&amp;$B$3,'02_Source_Data'!$C$2:$C$501,$A34,'02_Source_Data'!$B$2:$B$501,IF($B$5="All","*",$B$5)),0)</f>
        <v/>
      </c>
      <c r="H34" s="87">
        <f>COUNTIFS('02_Source_Data'!$A$2:$A$501,"&gt;="&amp;$B$2,'02_Source_Data'!$A$2:$A$501,"&lt;="&amp;$B$3,'02_Source_Data'!$C$2:$C$501,$A34,'02_Source_Data'!$B$2:$B$501,IF($B$5="All","*",$B$5),'02_Source_Data'!$AM$2:$AM$501,"?*")</f>
        <v/>
      </c>
    </row>
    <row r="35" ht="18" customHeight="1">
      <c r="A35" s="26" t="inlineStr">
        <is>
          <t>Finance / Expenses</t>
        </is>
      </c>
      <c r="B35" s="87">
        <f>SUMIFS('02_Source_Data'!$J$2:$J$501,'02_Source_Data'!$A$2:$A$501,"&gt;="&amp;$B$2,'02_Source_Data'!$A$2:$A$501,"&lt;="&amp;$B$3,'02_Source_Data'!$C$2:$C$501,$A35,'02_Source_Data'!$B$2:$B$501,IF($B$5="All","*",$B$5))</f>
        <v/>
      </c>
      <c r="C35" s="87">
        <f>SUMIFS('02_Source_Data'!$K$2:$K$501,'02_Source_Data'!$A$2:$A$501,"&gt;="&amp;$B$2,'02_Source_Data'!$A$2:$A$501,"&lt;="&amp;$B$3,'02_Source_Data'!$C$2:$C$501,$A35,'02_Source_Data'!$B$2:$B$501,IF($B$5="All","*",$B$5))</f>
        <v/>
      </c>
      <c r="D35" s="90">
        <f>IFERROR(C35/B35,0)</f>
        <v/>
      </c>
      <c r="E35" s="88">
        <f>SUMIFS('02_Source_Data'!$N$2:$N$501,'02_Source_Data'!$A$2:$A$501,"&gt;="&amp;$B$2,'02_Source_Data'!$A$2:$A$501,"&lt;="&amp;$B$3,'02_Source_Data'!$C$2:$C$501,$A35,'02_Source_Data'!$B$2:$B$501,IF($B$5="All","*",$B$5))</f>
        <v/>
      </c>
      <c r="F35" s="90">
        <f>IFERROR(SUMIFS('02_Source_Data'!$L$2:$L$501,'02_Source_Data'!$A$2:$A$501,"&gt;="&amp;$B$2,'02_Source_Data'!$A$2:$A$501,"&lt;="&amp;$B$3,'02_Source_Data'!$C$2:$C$501,$A35,'02_Source_Data'!$B$2:$B$501,IF($B$5="All","*",$B$5))/B35,0)</f>
        <v/>
      </c>
      <c r="G35" s="89">
        <f>IFERROR(SUMIFS('02_Source_Data'!$U$2:$U$501,'02_Source_Data'!$A$2:$A$501,"&gt;="&amp;$B$2,'02_Source_Data'!$A$2:$A$501,"&lt;="&amp;$B$3,'02_Source_Data'!$C$2:$C$501,$A35,'02_Source_Data'!$B$2:$B$501,IF($B$5="All","*",$B$5))/COUNTIFS('02_Source_Data'!$A$2:$A$501,"&gt;="&amp;$B$2,'02_Source_Data'!$A$2:$A$501,"&lt;="&amp;$B$3,'02_Source_Data'!$C$2:$C$501,$A35,'02_Source_Data'!$B$2:$B$501,IF($B$5="All","*",$B$5)),0)</f>
        <v/>
      </c>
      <c r="H35" s="87">
        <f>COUNTIFS('02_Source_Data'!$A$2:$A$501,"&gt;="&amp;$B$2,'02_Source_Data'!$A$2:$A$501,"&lt;="&amp;$B$3,'02_Source_Data'!$C$2:$C$501,$A35,'02_Source_Data'!$B$2:$B$501,IF($B$5="All","*",$B$5),'02_Source_Data'!$AM$2:$AM$501,"?*")</f>
        <v/>
      </c>
    </row>
    <row r="36"/>
    <row r="37"/>
    <row r="38"/>
    <row r="39" ht="22" customHeight="1">
      <c r="A39" s="19" t="inlineStr">
        <is>
          <t>Alerts and action plan</t>
        </is>
      </c>
    </row>
    <row r="40" ht="24" customHeight="1">
      <c r="A40" s="34" t="inlineStr">
        <is>
          <t>Issue / Opportunity</t>
        </is>
      </c>
      <c r="B40" s="34" t="inlineStr">
        <is>
          <t>Trigger metric</t>
        </is>
      </c>
      <c r="C40" s="34" t="inlineStr">
        <is>
          <t>Recommended action</t>
        </is>
      </c>
      <c r="D40" s="34" t="inlineStr">
        <is>
          <t>Owner</t>
        </is>
      </c>
      <c r="E40" s="34" t="inlineStr">
        <is>
          <t>Due date</t>
        </is>
      </c>
      <c r="F40" s="34" t="inlineStr">
        <is>
          <t>Priority</t>
        </is>
      </c>
      <c r="G40" s="34" t="inlineStr">
        <is>
          <t>Status</t>
        </is>
      </c>
      <c r="H40" s="34" t="inlineStr">
        <is>
          <t>Review conclusion</t>
        </is>
      </c>
      <c r="I40" s="34" t="inlineStr">
        <is>
          <t>Note</t>
        </is>
      </c>
    </row>
    <row r="41" ht="34" customHeight="1">
      <c r="A41" s="26">
        <f>IF(F10="Watch","Completion rate below target","")</f>
        <v/>
      </c>
      <c r="B41" s="26" t="inlineStr">
        <is>
          <t>Completion rate</t>
        </is>
      </c>
      <c r="C41" s="42" t="inlineStr">
        <is>
          <t>Review unfinished requests, break down blockers, and assign recovery owners for the day or week</t>
        </is>
      </c>
      <c r="D41" s="26" t="n"/>
      <c r="E41" s="86" t="n"/>
      <c r="F41" s="26" t="inlineStr">
        <is>
          <t>High</t>
        </is>
      </c>
      <c r="G41" s="26" t="inlineStr">
        <is>
          <t>Not started</t>
        </is>
      </c>
      <c r="H41" s="42" t="n"/>
      <c r="I41" s="42" t="n"/>
    </row>
    <row r="42" ht="34" customHeight="1">
      <c r="A42" s="26">
        <f>IF(F15="Watch","Overdue rate is high","")</f>
        <v/>
      </c>
      <c r="B42" s="26" t="inlineStr">
        <is>
          <t>Overdue rate</t>
        </is>
      </c>
      <c r="C42" s="42" t="inlineStr">
        <is>
          <t>Group by overdue type and prioritize tickets beyond service level and tasks waiting to close</t>
        </is>
      </c>
      <c r="D42" s="26" t="n"/>
      <c r="E42" s="86" t="n"/>
      <c r="F42" s="26" t="inlineStr">
        <is>
          <t>High</t>
        </is>
      </c>
      <c r="G42" s="26" t="inlineStr">
        <is>
          <t>Not started</t>
        </is>
      </c>
      <c r="H42" s="42" t="n"/>
      <c r="I42" s="42" t="n"/>
    </row>
    <row r="43" ht="34" customHeight="1">
      <c r="A43" s="26">
        <f>IF(F17="Watch","Complaint rate is high","")</f>
        <v/>
      </c>
      <c r="B43" s="26" t="inlineStr">
        <is>
          <t>Complaint rate</t>
        </is>
      </c>
      <c r="C43" s="42" t="inlineStr">
        <is>
          <t>Sample high-frequency complaint themes and refine service scripts and process steps</t>
        </is>
      </c>
      <c r="D43" s="26" t="n"/>
      <c r="E43" s="86" t="n"/>
      <c r="F43" s="26" t="inlineStr">
        <is>
          <t>Medium</t>
        </is>
      </c>
      <c r="G43" s="26" t="inlineStr">
        <is>
          <t>Not started</t>
        </is>
      </c>
      <c r="H43" s="42" t="n"/>
      <c r="I43" s="42" t="n"/>
    </row>
    <row r="44" ht="34" customHeight="1">
      <c r="A44" s="26">
        <f>IF(F18="Watch","Satisfaction is below target","")</f>
        <v/>
      </c>
      <c r="B44" s="26" t="inlineStr">
        <is>
          <t>Satisfaction score</t>
        </is>
      </c>
      <c r="C44" s="42" t="inlineStr">
        <is>
          <t>Identify low-scoring teams or channels and schedule a customer experience review</t>
        </is>
      </c>
      <c r="D44" s="26" t="n"/>
      <c r="E44" s="86" t="n"/>
      <c r="F44" s="26" t="inlineStr">
        <is>
          <t>Medium</t>
        </is>
      </c>
      <c r="G44" s="26" t="inlineStr">
        <is>
          <t>Not started</t>
        </is>
      </c>
      <c r="H44" s="42" t="n"/>
      <c r="I44" s="42" t="n"/>
    </row>
    <row r="45" ht="34" customHeight="1">
      <c r="A45" s="26">
        <f>IF(F14="Watch","Gross margin is below target","")</f>
        <v/>
      </c>
      <c r="B45" s="26" t="inlineStr">
        <is>
          <t>Gross margin</t>
        </is>
      </c>
      <c r="C45" s="42" t="inlineStr">
        <is>
          <t>Check high-cost steps and low-margin business lines, then evaluate pricing or cost improvements</t>
        </is>
      </c>
      <c r="D45" s="26" t="n"/>
      <c r="E45" s="86" t="n"/>
      <c r="F45" s="26" t="inlineStr">
        <is>
          <t>Medium</t>
        </is>
      </c>
      <c r="G45" s="26" t="inlineStr">
        <is>
          <t>Not started</t>
        </is>
      </c>
      <c r="H45" s="42" t="n"/>
      <c r="I45" s="42" t="n"/>
    </row>
    <row r="46" ht="34" customHeight="1">
      <c r="A46" s="26">
        <f>IF(F22="Watch","Conversion rate is below target","")</f>
        <v/>
      </c>
      <c r="B46" s="26" t="inlineStr">
        <is>
          <t>Conversion rate</t>
        </is>
      </c>
      <c r="C46" s="42" t="inlineStr">
        <is>
          <t>Break down channel funnels and improve high-traffic, low-conversion entry points</t>
        </is>
      </c>
      <c r="D46" s="26" t="n"/>
      <c r="E46" s="86" t="n"/>
      <c r="F46" s="26" t="inlineStr">
        <is>
          <t>Medium</t>
        </is>
      </c>
      <c r="G46" s="26" t="inlineStr">
        <is>
          <t>Not started</t>
        </is>
      </c>
      <c r="H46" s="42" t="n"/>
      <c r="I46" s="42" t="n"/>
    </row>
  </sheetData>
  <mergeCells count="1">
    <mergeCell ref="A1:M1"/>
  </mergeCells>
  <dataValidations count="4">
    <dataValidation sqref="B4" showDropDown="0" showInputMessage="0" showErrorMessage="0" allowBlank="0" type="list">
      <formula1>'01_Settings'!$F$4:$F$13</formula1>
    </dataValidation>
    <dataValidation sqref="B5" showDropDown="0" showInputMessage="0" showErrorMessage="0" allowBlank="0" type="list">
      <formula1>'01_Settings'!$H$4:$H$10</formula1>
    </dataValidation>
    <dataValidation sqref="F41:F46" showDropDown="0" showInputMessage="0" showErrorMessage="0" allowBlank="0" type="list">
      <formula1>'01_Settings'!$P$4:$P$6</formula1>
    </dataValidation>
    <dataValidation sqref="G41:G46" showDropDown="0" showInputMessage="0" showErrorMessage="0" allowBlank="0" type="list">
      <formula1>'01_Settings'!$R$4:$R$8</formula1>
    </dataValidation>
  </dataValidation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P46"/>
  <sheetViews>
    <sheetView workbookViewId="0">
      <selection activeCell="A1" sqref="A1"/>
    </sheetView>
  </sheetViews>
  <sheetFormatPr baseColWidth="8" defaultRowHeight="15"/>
  <cols>
    <col width="18" customWidth="1" min="1" max="1"/>
    <col width="14" customWidth="1" min="2" max="2"/>
    <col width="34" customWidth="1" min="3" max="3"/>
    <col width="14" customWidth="1" min="4" max="4"/>
    <col width="14" customWidth="1" min="5" max="5"/>
    <col width="14" customWidth="1" min="6" max="6"/>
    <col width="4" customWidth="1" min="7" max="7"/>
    <col width="13" customWidth="1" min="8" max="8"/>
    <col width="13" customWidth="1" min="9" max="9"/>
    <col width="13" customWidth="1" min="10" max="10"/>
    <col width="13" customWidth="1" min="11" max="11"/>
    <col width="13" customWidth="1" min="12" max="12"/>
    <col width="13" customWidth="1" min="13" max="13"/>
    <col width="9" customWidth="1" min="14" max="14"/>
    <col width="9" customWidth="1" min="15" max="15"/>
    <col width="9" customWidth="1" min="16" max="16"/>
    <col width="8" customWidth="1" min="17" max="17"/>
  </cols>
  <sheetData>
    <row r="1" ht="30" customHeight="1">
      <c r="A1" s="9" t="inlineStr">
        <is>
          <t>Service Operations Monthly Report</t>
        </is>
      </c>
      <c r="B1" s="1" t="n"/>
      <c r="C1" s="1" t="n"/>
      <c r="D1" s="1" t="n"/>
      <c r="E1" s="1" t="n"/>
      <c r="F1" s="1" t="n"/>
      <c r="G1" s="1" t="n"/>
      <c r="H1" s="1" t="n"/>
      <c r="I1" s="1" t="n"/>
      <c r="J1" s="1" t="n"/>
      <c r="K1" s="1" t="n"/>
      <c r="L1" s="1" t="n"/>
      <c r="M1" s="1" t="n"/>
    </row>
    <row r="2" ht="18" customHeight="1">
      <c r="A2" s="34" t="inlineStr">
        <is>
          <t>Start date</t>
        </is>
      </c>
      <c r="B2" s="86">
        <f>DATE(YEAR('01_Settings'!$B$4),MONTH('01_Settings'!$B$4),1)</f>
        <v/>
      </c>
    </row>
    <row r="3" ht="18" customHeight="1">
      <c r="A3" s="34" t="inlineStr">
        <is>
          <t>End date</t>
        </is>
      </c>
      <c r="B3" s="86">
        <f>EOMONTH($B$2,0)</f>
        <v/>
      </c>
    </row>
    <row r="4" ht="18" customHeight="1">
      <c r="A4" s="34" t="inlineStr">
        <is>
          <t>Operating context</t>
        </is>
      </c>
      <c r="B4" s="26">
        <f>'01_Settings'!$B$6</f>
        <v/>
      </c>
    </row>
    <row r="5" ht="18" customHeight="1">
      <c r="A5" s="34" t="inlineStr">
        <is>
          <t>Company / Division</t>
        </is>
      </c>
      <c r="B5" s="26">
        <f>'01_Settings'!$B$7</f>
        <v/>
      </c>
    </row>
    <row r="6"/>
    <row r="7" ht="22" customHeight="1">
      <c r="A7" s="34" t="inlineStr">
        <is>
          <t>Metric</t>
        </is>
      </c>
      <c r="B7" s="34" t="inlineStr">
        <is>
          <t>Current period</t>
        </is>
      </c>
      <c r="C7" s="34" t="inlineStr">
        <is>
          <t>Previous period</t>
        </is>
      </c>
      <c r="D7" s="34" t="inlineStr">
        <is>
          <t>Change</t>
        </is>
      </c>
      <c r="E7" s="34" t="inlineStr">
        <is>
          <t>Target / Threshold</t>
        </is>
      </c>
      <c r="F7" s="34" t="inlineStr">
        <is>
          <t>Status</t>
        </is>
      </c>
      <c r="H7" s="19" t="inlineStr">
        <is>
          <t>Trend data</t>
        </is>
      </c>
    </row>
    <row r="8" ht="24" customHeight="1">
      <c r="A8" s="26" t="inlineStr">
        <is>
          <t>Request / Ticket volume</t>
        </is>
      </c>
      <c r="B8" s="87">
        <f>SUMIFS('02_Source_Data'!$J$2:$J$501,'02_Source_Data'!$A$2:$A$501,"&gt;="&amp;($B$2),'02_Source_Data'!$A$2:$A$501,"&lt;="&amp;($B$3),'02_Source_Data'!$C$2:$C$501,IF($B$4="All","*",$B$4),'02_Source_Data'!$B$2:$B$501,IF($B$5="All","*",$B$5))</f>
        <v/>
      </c>
      <c r="C8" s="87">
        <f>SUMIFS('02_Source_Data'!$J$2:$J$501,'02_Source_Data'!$A$2:$A$501,"&gt;="&amp;(EDATE($B$2,-1)),'02_Source_Data'!$A$2:$A$501,"&lt;="&amp;($B$2-1),'02_Source_Data'!$C$2:$C$501,IF($B$4="All","*",$B$4),'02_Source_Data'!$B$2:$B$501,IF($B$5="All","*",$B$5))</f>
        <v/>
      </c>
      <c r="D8" s="90">
        <f>IFERROR(B8/C8-1,0)</f>
        <v/>
      </c>
      <c r="E8" s="87" t="n"/>
      <c r="F8" s="26">
        <f>"Monitor"</f>
        <v/>
      </c>
      <c r="H8" s="34" t="inlineStr">
        <is>
          <t>Week start</t>
        </is>
      </c>
      <c r="I8" s="34" t="inlineStr">
        <is>
          <t>Week end</t>
        </is>
      </c>
      <c r="J8" s="34" t="inlineStr">
        <is>
          <t>Requests</t>
        </is>
      </c>
      <c r="K8" s="34" t="inlineStr">
        <is>
          <t>Completed</t>
        </is>
      </c>
      <c r="L8" s="34" t="inlineStr">
        <is>
          <t>Revenue</t>
        </is>
      </c>
      <c r="M8" s="34" t="inlineStr">
        <is>
          <t>Completion rate</t>
        </is>
      </c>
      <c r="N8" s="34" t="inlineStr">
        <is>
          <t>Date</t>
        </is>
      </c>
      <c r="O8" t="inlineStr">
        <is>
          <t>Requests</t>
        </is>
      </c>
      <c r="P8" t="inlineStr">
        <is>
          <t>Completed</t>
        </is>
      </c>
    </row>
    <row r="9" ht="18" customHeight="1">
      <c r="A9" s="26" t="inlineStr">
        <is>
          <t>Completed volume</t>
        </is>
      </c>
      <c r="B9" s="87">
        <f>SUMIFS('02_Source_Data'!$K$2:$K$501,'02_Source_Data'!$A$2:$A$501,"&gt;="&amp;($B$2),'02_Source_Data'!$A$2:$A$501,"&lt;="&amp;($B$3),'02_Source_Data'!$C$2:$C$501,IF($B$4="All","*",$B$4),'02_Source_Data'!$B$2:$B$501,IF($B$5="All","*",$B$5))</f>
        <v/>
      </c>
      <c r="C9" s="87">
        <f>SUMIFS('02_Source_Data'!$K$2:$K$501,'02_Source_Data'!$A$2:$A$501,"&gt;="&amp;(EDATE($B$2,-1)),'02_Source_Data'!$A$2:$A$501,"&lt;="&amp;($B$2-1),'02_Source_Data'!$C$2:$C$501,IF($B$4="All","*",$B$4),'02_Source_Data'!$B$2:$B$501,IF($B$5="All","*",$B$5))</f>
        <v/>
      </c>
      <c r="D9" s="90">
        <f>IFERROR(B9/C9-1,0)</f>
        <v/>
      </c>
      <c r="E9" s="87">
        <f>SUMIFS('02_Source_Data'!$Y$2:$Y$501,'02_Source_Data'!$A$2:$A$501,"&gt;="&amp;($B$2),'02_Source_Data'!$A$2:$A$501,"&lt;="&amp;($B$3),'02_Source_Data'!$C$2:$C$501,IF($B$4="All","*",$B$4),'02_Source_Data'!$B$2:$B$501,IF($B$5="All","*",$B$5))</f>
        <v/>
      </c>
      <c r="F9" s="26">
        <f>IF(E9="","Monitor",IF(B9&gt;=E9,"On track","Watch"))</f>
        <v/>
      </c>
      <c r="H9" s="86">
        <f>IF($B$2+0&gt;$B$3,"",$B$2+0)</f>
        <v/>
      </c>
      <c r="I9" s="86">
        <f>IF(H9="","",MIN($B$3,H9+6))</f>
        <v/>
      </c>
      <c r="J9" s="87">
        <f>IF(H9="","",SUMIFS('02_Source_Data'!$J$2:$J$501,'02_Source_Data'!$A$2:$A$501,"&gt;="&amp;(H9),'02_Source_Data'!$A$2:$A$501,"&lt;="&amp;(I9),'02_Source_Data'!$C$2:$C$501,IF($B$4="All","*",$B$4),'02_Source_Data'!$B$2:$B$501,IF($B$5="All","*",$B$5)))</f>
        <v/>
      </c>
      <c r="K9" s="87">
        <f>IF(H9="","",SUMIFS('02_Source_Data'!$K$2:$K$501,'02_Source_Data'!$A$2:$A$501,"&gt;="&amp;(H9),'02_Source_Data'!$A$2:$A$501,"&lt;="&amp;(I9),'02_Source_Data'!$C$2:$C$501,IF($B$4="All","*",$B$4),'02_Source_Data'!$B$2:$B$501,IF($B$5="All","*",$B$5)))</f>
        <v/>
      </c>
      <c r="L9" s="88">
        <f>IF(H9="","",SUMIFS('02_Source_Data'!$N$2:$N$501,'02_Source_Data'!$A$2:$A$501,"&gt;="&amp;(H9),'02_Source_Data'!$A$2:$A$501,"&lt;="&amp;(I9),'02_Source_Data'!$C$2:$C$501,IF($B$4="All","*",$B$4),'02_Source_Data'!$B$2:$B$501,IF($B$5="All","*",$B$5)))</f>
        <v/>
      </c>
      <c r="M9" s="90">
        <f>IF(H9="","",IFERROR(K9/J9,0))</f>
        <v/>
      </c>
      <c r="N9" s="26">
        <f>IF(H9="","",TEXT(H9,"m/d"))</f>
        <v/>
      </c>
      <c r="O9">
        <f>J9</f>
        <v/>
      </c>
      <c r="P9">
        <f>K9</f>
        <v/>
      </c>
    </row>
    <row r="10" ht="18" customHeight="1">
      <c r="A10" s="26" t="inlineStr">
        <is>
          <t>Completion rate</t>
        </is>
      </c>
      <c r="B10" s="90">
        <f>IFERROR(SUMIFS('02_Source_Data'!$K$2:$K$501,'02_Source_Data'!$A$2:$A$501,"&gt;="&amp;($B$2),'02_Source_Data'!$A$2:$A$501,"&lt;="&amp;($B$3),'02_Source_Data'!$C$2:$C$501,IF($B$4="All","*",$B$4),'02_Source_Data'!$B$2:$B$501,IF($B$5="All","*",$B$5))/SUMIFS('02_Source_Data'!$J$2:$J$501,'02_Source_Data'!$A$2:$A$501,"&gt;="&amp;($B$2),'02_Source_Data'!$A$2:$A$501,"&lt;="&amp;($B$3),'02_Source_Data'!$C$2:$C$501,IF($B$4="All","*",$B$4),'02_Source_Data'!$B$2:$B$501,IF($B$5="All","*",$B$5)),0)</f>
        <v/>
      </c>
      <c r="C10" s="90">
        <f>IFERROR(SUMIFS('02_Source_Data'!$K$2:$K$501,'02_Source_Data'!$A$2:$A$501,"&gt;="&amp;(EDATE($B$2,-1)),'02_Source_Data'!$A$2:$A$501,"&lt;="&amp;($B$2-1),'02_Source_Data'!$C$2:$C$501,IF($B$4="All","*",$B$4),'02_Source_Data'!$B$2:$B$501,IF($B$5="All","*",$B$5))/SUMIFS('02_Source_Data'!$J$2:$J$501,'02_Source_Data'!$A$2:$A$501,"&gt;="&amp;(EDATE($B$2,-1)),'02_Source_Data'!$A$2:$A$501,"&lt;="&amp;($B$2-1),'02_Source_Data'!$C$2:$C$501,IF($B$4="All","*",$B$4),'02_Source_Data'!$B$2:$B$501,IF($B$5="All","*",$B$5)),0)</f>
        <v/>
      </c>
      <c r="D10" s="90">
        <f>IFERROR(B10/C10-1,0)</f>
        <v/>
      </c>
      <c r="E10" s="90">
        <f>'01_Settings'!$B$9</f>
        <v/>
      </c>
      <c r="F10" s="26">
        <f>IF(B10&gt;=E10,"On track","Watch")</f>
        <v/>
      </c>
      <c r="H10" s="86">
        <f>IF($B$2+7&gt;$B$3,"",$B$2+7)</f>
        <v/>
      </c>
      <c r="I10" s="86">
        <f>IF(H10="","",MIN($B$3,H10+6))</f>
        <v/>
      </c>
      <c r="J10" s="87">
        <f>IF(H10="","",SUMIFS('02_Source_Data'!$J$2:$J$501,'02_Source_Data'!$A$2:$A$501,"&gt;="&amp;(H10),'02_Source_Data'!$A$2:$A$501,"&lt;="&amp;(I10),'02_Source_Data'!$C$2:$C$501,IF($B$4="All","*",$B$4),'02_Source_Data'!$B$2:$B$501,IF($B$5="All","*",$B$5)))</f>
        <v/>
      </c>
      <c r="K10" s="87">
        <f>IF(H10="","",SUMIFS('02_Source_Data'!$K$2:$K$501,'02_Source_Data'!$A$2:$A$501,"&gt;="&amp;(H10),'02_Source_Data'!$A$2:$A$501,"&lt;="&amp;(I10),'02_Source_Data'!$C$2:$C$501,IF($B$4="All","*",$B$4),'02_Source_Data'!$B$2:$B$501,IF($B$5="All","*",$B$5)))</f>
        <v/>
      </c>
      <c r="L10" s="88">
        <f>IF(H10="","",SUMIFS('02_Source_Data'!$N$2:$N$501,'02_Source_Data'!$A$2:$A$501,"&gt;="&amp;(H10),'02_Source_Data'!$A$2:$A$501,"&lt;="&amp;(I10),'02_Source_Data'!$C$2:$C$501,IF($B$4="All","*",$B$4),'02_Source_Data'!$B$2:$B$501,IF($B$5="All","*",$B$5)))</f>
        <v/>
      </c>
      <c r="M10" s="90">
        <f>IF(H10="","",IFERROR(K10/J10,0))</f>
        <v/>
      </c>
      <c r="N10" s="26">
        <f>IF(H10="","",TEXT(H10,"m/d"))</f>
        <v/>
      </c>
      <c r="O10">
        <f>J10</f>
        <v/>
      </c>
      <c r="P10">
        <f>K10</f>
        <v/>
      </c>
    </row>
    <row r="11" ht="18" customHeight="1">
      <c r="A11" s="26" t="inlineStr">
        <is>
          <t>Revenue</t>
        </is>
      </c>
      <c r="B11" s="88">
        <f>SUMIFS('02_Source_Data'!$N$2:$N$501,'02_Source_Data'!$A$2:$A$501,"&gt;="&amp;($B$2),'02_Source_Data'!$A$2:$A$501,"&lt;="&amp;($B$3),'02_Source_Data'!$C$2:$C$501,IF($B$4="All","*",$B$4),'02_Source_Data'!$B$2:$B$501,IF($B$5="All","*",$B$5))</f>
        <v/>
      </c>
      <c r="C11" s="88">
        <f>SUMIFS('02_Source_Data'!$N$2:$N$501,'02_Source_Data'!$A$2:$A$501,"&gt;="&amp;(EDATE($B$2,-1)),'02_Source_Data'!$A$2:$A$501,"&lt;="&amp;($B$2-1),'02_Source_Data'!$C$2:$C$501,IF($B$4="All","*",$B$4),'02_Source_Data'!$B$2:$B$501,IF($B$5="All","*",$B$5))</f>
        <v/>
      </c>
      <c r="D11" s="90">
        <f>IFERROR(B11/C11-1,0)</f>
        <v/>
      </c>
      <c r="E11" s="88">
        <f>SUMIFS('02_Source_Data'!$Z$2:$Z$501,'02_Source_Data'!$A$2:$A$501,"&gt;="&amp;($B$2),'02_Source_Data'!$A$2:$A$501,"&lt;="&amp;($B$3),'02_Source_Data'!$C$2:$C$501,IF($B$4="All","*",$B$4),'02_Source_Data'!$B$2:$B$501,IF($B$5="All","*",$B$5))</f>
        <v/>
      </c>
      <c r="F11" s="26">
        <f>IF(E11="","Monitor",IF(B11&gt;=E11,"On track","Watch"))</f>
        <v/>
      </c>
      <c r="H11" s="86">
        <f>IF($B$2+14&gt;$B$3,"",$B$2+14)</f>
        <v/>
      </c>
      <c r="I11" s="86">
        <f>IF(H11="","",MIN($B$3,H11+6))</f>
        <v/>
      </c>
      <c r="J11" s="87">
        <f>IF(H11="","",SUMIFS('02_Source_Data'!$J$2:$J$501,'02_Source_Data'!$A$2:$A$501,"&gt;="&amp;(H11),'02_Source_Data'!$A$2:$A$501,"&lt;="&amp;(I11),'02_Source_Data'!$C$2:$C$501,IF($B$4="All","*",$B$4),'02_Source_Data'!$B$2:$B$501,IF($B$5="All","*",$B$5)))</f>
        <v/>
      </c>
      <c r="K11" s="87">
        <f>IF(H11="","",SUMIFS('02_Source_Data'!$K$2:$K$501,'02_Source_Data'!$A$2:$A$501,"&gt;="&amp;(H11),'02_Source_Data'!$A$2:$A$501,"&lt;="&amp;(I11),'02_Source_Data'!$C$2:$C$501,IF($B$4="All","*",$B$4),'02_Source_Data'!$B$2:$B$501,IF($B$5="All","*",$B$5)))</f>
        <v/>
      </c>
      <c r="L11" s="88">
        <f>IF(H11="","",SUMIFS('02_Source_Data'!$N$2:$N$501,'02_Source_Data'!$A$2:$A$501,"&gt;="&amp;(H11),'02_Source_Data'!$A$2:$A$501,"&lt;="&amp;(I11),'02_Source_Data'!$C$2:$C$501,IF($B$4="All","*",$B$4),'02_Source_Data'!$B$2:$B$501,IF($B$5="All","*",$B$5)))</f>
        <v/>
      </c>
      <c r="M11" s="90">
        <f>IF(H11="","",IFERROR(K11/J11,0))</f>
        <v/>
      </c>
      <c r="N11" s="26">
        <f>IF(H11="","",TEXT(H11,"m/d"))</f>
        <v/>
      </c>
      <c r="O11">
        <f>J11</f>
        <v/>
      </c>
      <c r="P11">
        <f>K11</f>
        <v/>
      </c>
    </row>
    <row r="12" ht="18" customHeight="1">
      <c r="A12" s="26" t="inlineStr">
        <is>
          <t>Cost</t>
        </is>
      </c>
      <c r="B12" s="88">
        <f>SUMIFS('02_Source_Data'!$O$2:$O$501,'02_Source_Data'!$A$2:$A$501,"&gt;="&amp;($B$2),'02_Source_Data'!$A$2:$A$501,"&lt;="&amp;($B$3),'02_Source_Data'!$C$2:$C$501,IF($B$4="All","*",$B$4),'02_Source_Data'!$B$2:$B$501,IF($B$5="All","*",$B$5))</f>
        <v/>
      </c>
      <c r="C12" s="88">
        <f>SUMIFS('02_Source_Data'!$O$2:$O$501,'02_Source_Data'!$A$2:$A$501,"&gt;="&amp;(EDATE($B$2,-1)),'02_Source_Data'!$A$2:$A$501,"&lt;="&amp;($B$2-1),'02_Source_Data'!$C$2:$C$501,IF($B$4="All","*",$B$4),'02_Source_Data'!$B$2:$B$501,IF($B$5="All","*",$B$5))</f>
        <v/>
      </c>
      <c r="D12" s="90">
        <f>IFERROR(B12/C12-1,0)</f>
        <v/>
      </c>
      <c r="E12" s="88" t="n"/>
      <c r="F12" s="26">
        <f>"Monitor"</f>
        <v/>
      </c>
      <c r="H12" s="86">
        <f>IF($B$2+21&gt;$B$3,"",$B$2+21)</f>
        <v/>
      </c>
      <c r="I12" s="86">
        <f>IF(H12="","",MIN($B$3,H12+6))</f>
        <v/>
      </c>
      <c r="J12" s="87">
        <f>IF(H12="","",SUMIFS('02_Source_Data'!$J$2:$J$501,'02_Source_Data'!$A$2:$A$501,"&gt;="&amp;(H12),'02_Source_Data'!$A$2:$A$501,"&lt;="&amp;(I12),'02_Source_Data'!$C$2:$C$501,IF($B$4="All","*",$B$4),'02_Source_Data'!$B$2:$B$501,IF($B$5="All","*",$B$5)))</f>
        <v/>
      </c>
      <c r="K12" s="87">
        <f>IF(H12="","",SUMIFS('02_Source_Data'!$K$2:$K$501,'02_Source_Data'!$A$2:$A$501,"&gt;="&amp;(H12),'02_Source_Data'!$A$2:$A$501,"&lt;="&amp;(I12),'02_Source_Data'!$C$2:$C$501,IF($B$4="All","*",$B$4),'02_Source_Data'!$B$2:$B$501,IF($B$5="All","*",$B$5)))</f>
        <v/>
      </c>
      <c r="L12" s="88">
        <f>IF(H12="","",SUMIFS('02_Source_Data'!$N$2:$N$501,'02_Source_Data'!$A$2:$A$501,"&gt;="&amp;(H12),'02_Source_Data'!$A$2:$A$501,"&lt;="&amp;(I12),'02_Source_Data'!$C$2:$C$501,IF($B$4="All","*",$B$4),'02_Source_Data'!$B$2:$B$501,IF($B$5="All","*",$B$5)))</f>
        <v/>
      </c>
      <c r="M12" s="90">
        <f>IF(H12="","",IFERROR(K12/J12,0))</f>
        <v/>
      </c>
      <c r="N12" s="26">
        <f>IF(H12="","",TEXT(H12,"m/d"))</f>
        <v/>
      </c>
      <c r="O12">
        <f>J12</f>
        <v/>
      </c>
      <c r="P12">
        <f>K12</f>
        <v/>
      </c>
    </row>
    <row r="13" ht="18" customHeight="1">
      <c r="A13" s="26" t="inlineStr">
        <is>
          <t>Gross profit</t>
        </is>
      </c>
      <c r="B13" s="88">
        <f>SUMIFS('02_Source_Data'!$N$2:$N$501,'02_Source_Data'!$A$2:$A$501,"&gt;="&amp;($B$2),'02_Source_Data'!$A$2:$A$501,"&lt;="&amp;($B$3),'02_Source_Data'!$C$2:$C$501,IF($B$4="All","*",$B$4),'02_Source_Data'!$B$2:$B$501,IF($B$5="All","*",$B$5))-SUMIFS('02_Source_Data'!$O$2:$O$501,'02_Source_Data'!$A$2:$A$501,"&gt;="&amp;($B$2),'02_Source_Data'!$A$2:$A$501,"&lt;="&amp;($B$3),'02_Source_Data'!$C$2:$C$501,IF($B$4="All","*",$B$4),'02_Source_Data'!$B$2:$B$501,IF($B$5="All","*",$B$5))</f>
        <v/>
      </c>
      <c r="C13" s="88">
        <f>SUMIFS('02_Source_Data'!$N$2:$N$501,'02_Source_Data'!$A$2:$A$501,"&gt;="&amp;(EDATE($B$2,-1)),'02_Source_Data'!$A$2:$A$501,"&lt;="&amp;($B$2-1),'02_Source_Data'!$C$2:$C$501,IF($B$4="All","*",$B$4),'02_Source_Data'!$B$2:$B$501,IF($B$5="All","*",$B$5))-SUMIFS('02_Source_Data'!$O$2:$O$501,'02_Source_Data'!$A$2:$A$501,"&gt;="&amp;(EDATE($B$2,-1)),'02_Source_Data'!$A$2:$A$501,"&lt;="&amp;($B$2-1),'02_Source_Data'!$C$2:$C$501,IF($B$4="All","*",$B$4),'02_Source_Data'!$B$2:$B$501,IF($B$5="All","*",$B$5))</f>
        <v/>
      </c>
      <c r="D13" s="90">
        <f>IFERROR(B13/C13-1,0)</f>
        <v/>
      </c>
      <c r="E13" s="88" t="n"/>
      <c r="F13" s="26">
        <f>"Monitor"</f>
        <v/>
      </c>
      <c r="H13" s="86">
        <f>IF($B$2+28&gt;$B$3,"",$B$2+28)</f>
        <v/>
      </c>
      <c r="I13" s="86">
        <f>IF(H13="","",MIN($B$3,H13+6))</f>
        <v/>
      </c>
      <c r="J13" s="87">
        <f>IF(H13="","",SUMIFS('02_Source_Data'!$J$2:$J$501,'02_Source_Data'!$A$2:$A$501,"&gt;="&amp;(H13),'02_Source_Data'!$A$2:$A$501,"&lt;="&amp;(I13),'02_Source_Data'!$C$2:$C$501,IF($B$4="All","*",$B$4),'02_Source_Data'!$B$2:$B$501,IF($B$5="All","*",$B$5)))</f>
        <v/>
      </c>
      <c r="K13" s="87">
        <f>IF(H13="","",SUMIFS('02_Source_Data'!$K$2:$K$501,'02_Source_Data'!$A$2:$A$501,"&gt;="&amp;(H13),'02_Source_Data'!$A$2:$A$501,"&lt;="&amp;(I13),'02_Source_Data'!$C$2:$C$501,IF($B$4="All","*",$B$4),'02_Source_Data'!$B$2:$B$501,IF($B$5="All","*",$B$5)))</f>
        <v/>
      </c>
      <c r="L13" s="88">
        <f>IF(H13="","",SUMIFS('02_Source_Data'!$N$2:$N$501,'02_Source_Data'!$A$2:$A$501,"&gt;="&amp;(H13),'02_Source_Data'!$A$2:$A$501,"&lt;="&amp;(I13),'02_Source_Data'!$C$2:$C$501,IF($B$4="All","*",$B$4),'02_Source_Data'!$B$2:$B$501,IF($B$5="All","*",$B$5)))</f>
        <v/>
      </c>
      <c r="M13" s="90">
        <f>IF(H13="","",IFERROR(K13/J13,0))</f>
        <v/>
      </c>
      <c r="N13" s="26">
        <f>IF(H13="","",TEXT(H13,"m/d"))</f>
        <v/>
      </c>
      <c r="O13">
        <f>J13</f>
        <v/>
      </c>
      <c r="P13">
        <f>K13</f>
        <v/>
      </c>
    </row>
    <row r="14" ht="18" customHeight="1">
      <c r="A14" s="26" t="inlineStr">
        <is>
          <t>Gross margin</t>
        </is>
      </c>
      <c r="B14" s="90">
        <f>IFERROR(B13/B11,0)</f>
        <v/>
      </c>
      <c r="C14" s="90">
        <f>IFERROR(C13/C11,0)</f>
        <v/>
      </c>
      <c r="D14" s="90">
        <f>IFERROR(B14/C14-1,0)</f>
        <v/>
      </c>
      <c r="E14" s="90">
        <f>'01_Settings'!$B$14</f>
        <v/>
      </c>
      <c r="F14" s="26">
        <f>IF(B14&gt;=E14,"On track","Watch")</f>
        <v/>
      </c>
      <c r="H14" s="86">
        <f>IF($B$2+35&gt;$B$3,"",$B$2+35)</f>
        <v/>
      </c>
      <c r="I14" s="86">
        <f>IF(H14="","",MIN($B$3,H14+6))</f>
        <v/>
      </c>
      <c r="J14" s="87">
        <f>IF(H14="","",SUMIFS('02_Source_Data'!$J$2:$J$501,'02_Source_Data'!$A$2:$A$501,"&gt;="&amp;(H14),'02_Source_Data'!$A$2:$A$501,"&lt;="&amp;(I14),'02_Source_Data'!$C$2:$C$501,IF($B$4="All","*",$B$4),'02_Source_Data'!$B$2:$B$501,IF($B$5="All","*",$B$5)))</f>
        <v/>
      </c>
      <c r="K14" s="87">
        <f>IF(H14="","",SUMIFS('02_Source_Data'!$K$2:$K$501,'02_Source_Data'!$A$2:$A$501,"&gt;="&amp;(H14),'02_Source_Data'!$A$2:$A$501,"&lt;="&amp;(I14),'02_Source_Data'!$C$2:$C$501,IF($B$4="All","*",$B$4),'02_Source_Data'!$B$2:$B$501,IF($B$5="All","*",$B$5)))</f>
        <v/>
      </c>
      <c r="L14" s="88">
        <f>IF(H14="","",SUMIFS('02_Source_Data'!$N$2:$N$501,'02_Source_Data'!$A$2:$A$501,"&gt;="&amp;(H14),'02_Source_Data'!$A$2:$A$501,"&lt;="&amp;(I14),'02_Source_Data'!$C$2:$C$501,IF($B$4="All","*",$B$4),'02_Source_Data'!$B$2:$B$501,IF($B$5="All","*",$B$5)))</f>
        <v/>
      </c>
      <c r="M14" s="90">
        <f>IF(H14="","",IFERROR(K14/J14,0))</f>
        <v/>
      </c>
      <c r="N14" s="26">
        <f>IF(H14="","",TEXT(H14,"m/d"))</f>
        <v/>
      </c>
      <c r="O14">
        <f>J14</f>
        <v/>
      </c>
      <c r="P14">
        <f>K14</f>
        <v/>
      </c>
    </row>
    <row r="15" ht="18" customHeight="1">
      <c r="A15" s="26" t="inlineStr">
        <is>
          <t>Overdue rate</t>
        </is>
      </c>
      <c r="B15" s="90">
        <f>IFERROR(SUMIFS('02_Source_Data'!$L$2:$L$501,'02_Source_Data'!$A$2:$A$501,"&gt;="&amp;($B$2),'02_Source_Data'!$A$2:$A$501,"&lt;="&amp;($B$3),'02_Source_Data'!$C$2:$C$501,IF($B$4="All","*",$B$4),'02_Source_Data'!$B$2:$B$501,IF($B$5="All","*",$B$5))/SUMIFS('02_Source_Data'!$J$2:$J$501,'02_Source_Data'!$A$2:$A$501,"&gt;="&amp;($B$2),'02_Source_Data'!$A$2:$A$501,"&lt;="&amp;($B$3),'02_Source_Data'!$C$2:$C$501,IF($B$4="All","*",$B$4),'02_Source_Data'!$B$2:$B$501,IF($B$5="All","*",$B$5)),0)</f>
        <v/>
      </c>
      <c r="C15" s="90">
        <f>IFERROR(SUMIFS('02_Source_Data'!$L$2:$L$501,'02_Source_Data'!$A$2:$A$501,"&gt;="&amp;(EDATE($B$2,-1)),'02_Source_Data'!$A$2:$A$501,"&lt;="&amp;($B$2-1),'02_Source_Data'!$C$2:$C$501,IF($B$4="All","*",$B$4),'02_Source_Data'!$B$2:$B$501,IF($B$5="All","*",$B$5))/SUMIFS('02_Source_Data'!$J$2:$J$501,'02_Source_Data'!$A$2:$A$501,"&gt;="&amp;(EDATE($B$2,-1)),'02_Source_Data'!$A$2:$A$501,"&lt;="&amp;($B$2-1),'02_Source_Data'!$C$2:$C$501,IF($B$4="All","*",$B$4),'02_Source_Data'!$B$2:$B$501,IF($B$5="All","*",$B$5)),0)</f>
        <v/>
      </c>
      <c r="D15" s="90">
        <f>IFERROR(B15/C15-1,0)</f>
        <v/>
      </c>
      <c r="E15" s="90">
        <f>'01_Settings'!$B$12</f>
        <v/>
      </c>
      <c r="F15" s="26">
        <f>IF(B15&lt;=E15,"On track","Watch")</f>
        <v/>
      </c>
    </row>
    <row r="16" ht="18" customHeight="1">
      <c r="A16" s="26" t="inlineStr">
        <is>
          <t>Cancellation rate</t>
        </is>
      </c>
      <c r="B16" s="90">
        <f>IFERROR(SUMIFS('02_Source_Data'!$M$2:$M$501,'02_Source_Data'!$A$2:$A$501,"&gt;="&amp;($B$2),'02_Source_Data'!$A$2:$A$501,"&lt;="&amp;($B$3),'02_Source_Data'!$C$2:$C$501,IF($B$4="All","*",$B$4),'02_Source_Data'!$B$2:$B$501,IF($B$5="All","*",$B$5))/SUMIFS('02_Source_Data'!$J$2:$J$501,'02_Source_Data'!$A$2:$A$501,"&gt;="&amp;($B$2),'02_Source_Data'!$A$2:$A$501,"&lt;="&amp;($B$3),'02_Source_Data'!$C$2:$C$501,IF($B$4="All","*",$B$4),'02_Source_Data'!$B$2:$B$501,IF($B$5="All","*",$B$5)),0)</f>
        <v/>
      </c>
      <c r="C16" s="90">
        <f>IFERROR(SUMIFS('02_Source_Data'!$M$2:$M$501,'02_Source_Data'!$A$2:$A$501,"&gt;="&amp;(EDATE($B$2,-1)),'02_Source_Data'!$A$2:$A$501,"&lt;="&amp;($B$2-1),'02_Source_Data'!$C$2:$C$501,IF($B$4="All","*",$B$4),'02_Source_Data'!$B$2:$B$501,IF($B$5="All","*",$B$5))/SUMIFS('02_Source_Data'!$J$2:$J$501,'02_Source_Data'!$A$2:$A$501,"&gt;="&amp;(EDATE($B$2,-1)),'02_Source_Data'!$A$2:$A$501,"&lt;="&amp;($B$2-1),'02_Source_Data'!$C$2:$C$501,IF($B$4="All","*",$B$4),'02_Source_Data'!$B$2:$B$501,IF($B$5="All","*",$B$5)),0)</f>
        <v/>
      </c>
      <c r="D16" s="90">
        <f>IFERROR(B16/C16-1,0)</f>
        <v/>
      </c>
      <c r="E16" s="90" t="n"/>
      <c r="F16" s="26">
        <f>"Monitor"</f>
        <v/>
      </c>
    </row>
    <row r="17" ht="18" customHeight="1">
      <c r="A17" s="26" t="inlineStr">
        <is>
          <t>Complaint rate</t>
        </is>
      </c>
      <c r="B17" s="90">
        <f>IFERROR(SUMIFS('02_Source_Data'!$T$2:$T$501,'02_Source_Data'!$A$2:$A$501,"&gt;="&amp;($B$2),'02_Source_Data'!$A$2:$A$501,"&lt;="&amp;($B$3),'02_Source_Data'!$C$2:$C$501,IF($B$4="All","*",$B$4),'02_Source_Data'!$B$2:$B$501,IF($B$5="All","*",$B$5))/SUMIFS('02_Source_Data'!$J$2:$J$501,'02_Source_Data'!$A$2:$A$501,"&gt;="&amp;($B$2),'02_Source_Data'!$A$2:$A$501,"&lt;="&amp;($B$3),'02_Source_Data'!$C$2:$C$501,IF($B$4="All","*",$B$4),'02_Source_Data'!$B$2:$B$501,IF($B$5="All","*",$B$5)),0)</f>
        <v/>
      </c>
      <c r="C17" s="90">
        <f>IFERROR(SUMIFS('02_Source_Data'!$T$2:$T$501,'02_Source_Data'!$A$2:$A$501,"&gt;="&amp;(EDATE($B$2,-1)),'02_Source_Data'!$A$2:$A$501,"&lt;="&amp;($B$2-1),'02_Source_Data'!$C$2:$C$501,IF($B$4="All","*",$B$4),'02_Source_Data'!$B$2:$B$501,IF($B$5="All","*",$B$5))/SUMIFS('02_Source_Data'!$J$2:$J$501,'02_Source_Data'!$A$2:$A$501,"&gt;="&amp;(EDATE($B$2,-1)),'02_Source_Data'!$A$2:$A$501,"&lt;="&amp;($B$2-1),'02_Source_Data'!$C$2:$C$501,IF($B$4="All","*",$B$4),'02_Source_Data'!$B$2:$B$501,IF($B$5="All","*",$B$5)),0)</f>
        <v/>
      </c>
      <c r="D17" s="90">
        <f>IFERROR(B17/C17-1,0)</f>
        <v/>
      </c>
      <c r="E17" s="90">
        <f>'01_Settings'!$B$16</f>
        <v/>
      </c>
      <c r="F17" s="26">
        <f>IF(B17&lt;=E17,"On track","Watch")</f>
        <v/>
      </c>
    </row>
    <row r="18" ht="18" customHeight="1">
      <c r="A18" s="26" t="inlineStr">
        <is>
          <t>Satisfaction score</t>
        </is>
      </c>
      <c r="B18" s="89">
        <f>IFERROR(SUMIFS('02_Source_Data'!$U$2:$U$501,'02_Source_Data'!$A$2:$A$501,"&gt;="&amp;($B$2),'02_Source_Data'!$A$2:$A$501,"&lt;="&amp;($B$3),'02_Source_Data'!$C$2:$C$501,IF($B$4="All","*",$B$4),'02_Source_Data'!$B$2:$B$501,IF($B$5="All","*",$B$5))/COUNTIFS('02_Source_Data'!$A$2:$A$501,"&gt;="&amp;($B$2),'02_Source_Data'!$A$2:$A$501,"&lt;="&amp;($B$3),'02_Source_Data'!$C$2:$C$501,IF($B$4="All","*",$B$4),'02_Source_Data'!$B$2:$B$501,IF($B$5="All","*",$B$5)),0)</f>
        <v/>
      </c>
      <c r="C18" s="89">
        <f>IFERROR(SUMIFS('02_Source_Data'!$U$2:$U$501,'02_Source_Data'!$A$2:$A$501,"&gt;="&amp;(EDATE($B$2,-1)),'02_Source_Data'!$A$2:$A$501,"&lt;="&amp;($B$2-1),'02_Source_Data'!$C$2:$C$501,IF($B$4="All","*",$B$4),'02_Source_Data'!$B$2:$B$501,IF($B$5="All","*",$B$5))/COUNTIFS('02_Source_Data'!$A$2:$A$501,"&gt;="&amp;(EDATE($B$2,-1)),'02_Source_Data'!$A$2:$A$501,"&lt;="&amp;($B$2-1),'02_Source_Data'!$C$2:$C$501,IF($B$4="All","*",$B$4),'02_Source_Data'!$B$2:$B$501,IF($B$5="All","*",$B$5)),0)</f>
        <v/>
      </c>
      <c r="D18" s="89">
        <f>IFERROR(B18-C18,0)</f>
        <v/>
      </c>
      <c r="E18" s="89">
        <f>'01_Settings'!$B$13</f>
        <v/>
      </c>
      <c r="F18" s="26">
        <f>IF(B18&gt;=E18,"On track","Watch")</f>
        <v/>
      </c>
    </row>
    <row r="19" ht="18" customHeight="1">
      <c r="A19" s="26" t="inlineStr">
        <is>
          <t>Response time (hours)</t>
        </is>
      </c>
      <c r="B19" s="89">
        <f>IFERROR(SUMIFS('02_Source_Data'!$V$2:$V$501,'02_Source_Data'!$A$2:$A$501,"&gt;="&amp;($B$2),'02_Source_Data'!$A$2:$A$501,"&lt;="&amp;($B$3),'02_Source_Data'!$C$2:$C$501,IF($B$4="All","*",$B$4),'02_Source_Data'!$B$2:$B$501,IF($B$5="All","*",$B$5))/COUNTIFS('02_Source_Data'!$A$2:$A$501,"&gt;="&amp;($B$2),'02_Source_Data'!$A$2:$A$501,"&lt;="&amp;($B$3),'02_Source_Data'!$C$2:$C$501,IF($B$4="All","*",$B$4),'02_Source_Data'!$B$2:$B$501,IF($B$5="All","*",$B$5)),0)</f>
        <v/>
      </c>
      <c r="C19" s="89">
        <f>IFERROR(SUMIFS('02_Source_Data'!$V$2:$V$501,'02_Source_Data'!$A$2:$A$501,"&gt;="&amp;(EDATE($B$2,-1)),'02_Source_Data'!$A$2:$A$501,"&lt;="&amp;($B$2-1),'02_Source_Data'!$C$2:$C$501,IF($B$4="All","*",$B$4),'02_Source_Data'!$B$2:$B$501,IF($B$5="All","*",$B$5))/COUNTIFS('02_Source_Data'!$A$2:$A$501,"&gt;="&amp;(EDATE($B$2,-1)),'02_Source_Data'!$A$2:$A$501,"&lt;="&amp;($B$2-1),'02_Source_Data'!$C$2:$C$501,IF($B$4="All","*",$B$4),'02_Source_Data'!$B$2:$B$501,IF($B$5="All","*",$B$5)),0)</f>
        <v/>
      </c>
      <c r="D19" s="89">
        <f>IFERROR(B19-C19,0)</f>
        <v/>
      </c>
      <c r="E19" s="89">
        <f>'01_Settings'!$B$10</f>
        <v/>
      </c>
      <c r="F19" s="26">
        <f>IF(B19&lt;=E19,"On track","Watch")</f>
        <v/>
      </c>
    </row>
    <row r="20" ht="18" customHeight="1">
      <c r="A20" s="26" t="inlineStr">
        <is>
          <t>Resolution time (hours)</t>
        </is>
      </c>
      <c r="B20" s="89">
        <f>IFERROR(SUMIFS('02_Source_Data'!$W$2:$W$501,'02_Source_Data'!$A$2:$A$501,"&gt;="&amp;($B$2),'02_Source_Data'!$A$2:$A$501,"&lt;="&amp;($B$3),'02_Source_Data'!$C$2:$C$501,IF($B$4="All","*",$B$4),'02_Source_Data'!$B$2:$B$501,IF($B$5="All","*",$B$5))/COUNTIFS('02_Source_Data'!$A$2:$A$501,"&gt;="&amp;($B$2),'02_Source_Data'!$A$2:$A$501,"&lt;="&amp;($B$3),'02_Source_Data'!$C$2:$C$501,IF($B$4="All","*",$B$4),'02_Source_Data'!$B$2:$B$501,IF($B$5="All","*",$B$5)),0)</f>
        <v/>
      </c>
      <c r="C20" s="89">
        <f>IFERROR(SUMIFS('02_Source_Data'!$W$2:$W$501,'02_Source_Data'!$A$2:$A$501,"&gt;="&amp;(EDATE($B$2,-1)),'02_Source_Data'!$A$2:$A$501,"&lt;="&amp;($B$2-1),'02_Source_Data'!$C$2:$C$501,IF($B$4="All","*",$B$4),'02_Source_Data'!$B$2:$B$501,IF($B$5="All","*",$B$5))/COUNTIFS('02_Source_Data'!$A$2:$A$501,"&gt;="&amp;(EDATE($B$2,-1)),'02_Source_Data'!$A$2:$A$501,"&lt;="&amp;($B$2-1),'02_Source_Data'!$C$2:$C$501,IF($B$4="All","*",$B$4),'02_Source_Data'!$B$2:$B$501,IF($B$5="All","*",$B$5)),0)</f>
        <v/>
      </c>
      <c r="D20" s="89">
        <f>IFERROR(B20-C20,0)</f>
        <v/>
      </c>
      <c r="E20" s="89">
        <f>'01_Settings'!$B$11</f>
        <v/>
      </c>
      <c r="F20" s="26">
        <f>IF(B20&lt;=E20,"On track","Watch")</f>
        <v/>
      </c>
    </row>
    <row r="21" ht="18" customHeight="1">
      <c r="A21" s="26" t="inlineStr">
        <is>
          <t>Productivity (completed/hour)</t>
        </is>
      </c>
      <c r="B21" s="89">
        <f>IFERROR(SUMIFS('02_Source_Data'!$K$2:$K$501,'02_Source_Data'!$A$2:$A$501,"&gt;="&amp;($B$2),'02_Source_Data'!$A$2:$A$501,"&lt;="&amp;($B$3),'02_Source_Data'!$C$2:$C$501,IF($B$4="All","*",$B$4),'02_Source_Data'!$B$2:$B$501,IF($B$5="All","*",$B$5))/SUMIFS('02_Source_Data'!$P$2:$P$501,'02_Source_Data'!$A$2:$A$501,"&gt;="&amp;($B$2),'02_Source_Data'!$A$2:$A$501,"&lt;="&amp;($B$3),'02_Source_Data'!$C$2:$C$501,IF($B$4="All","*",$B$4),'02_Source_Data'!$B$2:$B$501,IF($B$5="All","*",$B$5)),0)</f>
        <v/>
      </c>
      <c r="C21" s="89">
        <f>IFERROR(SUMIFS('02_Source_Data'!$K$2:$K$501,'02_Source_Data'!$A$2:$A$501,"&gt;="&amp;(EDATE($B$2,-1)),'02_Source_Data'!$A$2:$A$501,"&lt;="&amp;($B$2-1),'02_Source_Data'!$C$2:$C$501,IF($B$4="All","*",$B$4),'02_Source_Data'!$B$2:$B$501,IF($B$5="All","*",$B$5))/SUMIFS('02_Source_Data'!$P$2:$P$501,'02_Source_Data'!$A$2:$A$501,"&gt;="&amp;(EDATE($B$2,-1)),'02_Source_Data'!$A$2:$A$501,"&lt;="&amp;($B$2-1),'02_Source_Data'!$C$2:$C$501,IF($B$4="All","*",$B$4),'02_Source_Data'!$B$2:$B$501,IF($B$5="All","*",$B$5)),0)</f>
        <v/>
      </c>
      <c r="D21" s="89">
        <f>IFERROR(B21/C21-1,0)</f>
        <v/>
      </c>
      <c r="E21" s="89" t="n"/>
      <c r="F21" s="26">
        <f>"Monitor"</f>
        <v/>
      </c>
    </row>
    <row r="22" ht="18" customHeight="1">
      <c r="A22" s="26" t="inlineStr">
        <is>
          <t>Conversion rate</t>
        </is>
      </c>
      <c r="B22" s="90">
        <f>IFERROR(SUMIFS('02_Source_Data'!$S$2:$S$501,'02_Source_Data'!$A$2:$A$501,"&gt;="&amp;($B$2),'02_Source_Data'!$A$2:$A$501,"&lt;="&amp;($B$3),'02_Source_Data'!$C$2:$C$501,IF($B$4="All","*",$B$4),'02_Source_Data'!$B$2:$B$501,IF($B$5="All","*",$B$5))/SUMIFS('02_Source_Data'!$R$2:$R$501,'02_Source_Data'!$A$2:$A$501,"&gt;="&amp;($B$2),'02_Source_Data'!$A$2:$A$501,"&lt;="&amp;($B$3),'02_Source_Data'!$C$2:$C$501,IF($B$4="All","*",$B$4),'02_Source_Data'!$B$2:$B$501,IF($B$5="All","*",$B$5)),0)</f>
        <v/>
      </c>
      <c r="C22" s="90">
        <f>IFERROR(SUMIFS('02_Source_Data'!$S$2:$S$501,'02_Source_Data'!$A$2:$A$501,"&gt;="&amp;(EDATE($B$2,-1)),'02_Source_Data'!$A$2:$A$501,"&lt;="&amp;($B$2-1),'02_Source_Data'!$C$2:$C$501,IF($B$4="All","*",$B$4),'02_Source_Data'!$B$2:$B$501,IF($B$5="All","*",$B$5))/SUMIFS('02_Source_Data'!$R$2:$R$501,'02_Source_Data'!$A$2:$A$501,"&gt;="&amp;(EDATE($B$2,-1)),'02_Source_Data'!$A$2:$A$501,"&lt;="&amp;($B$2-1),'02_Source_Data'!$C$2:$C$501,IF($B$4="All","*",$B$4),'02_Source_Data'!$B$2:$B$501,IF($B$5="All","*",$B$5)),0)</f>
        <v/>
      </c>
      <c r="D22" s="90">
        <f>IFERROR(B22/C22-1,0)</f>
        <v/>
      </c>
      <c r="E22" s="90">
        <f>'01_Settings'!$B$15</f>
        <v/>
      </c>
      <c r="F22" s="26">
        <f>IF(B22&gt;=E22,"On track","Watch")</f>
        <v/>
      </c>
    </row>
    <row r="23" ht="18" customHeight="1">
      <c r="A23" s="26" t="inlineStr">
        <is>
          <t>Backlog / Inventory</t>
        </is>
      </c>
      <c r="B23" s="87">
        <f>SUMIFS('02_Source_Data'!$X$2:$X$501,'02_Source_Data'!$A$2:$A$501,"&gt;="&amp;($B$2),'02_Source_Data'!$A$2:$A$501,"&lt;="&amp;($B$3),'02_Source_Data'!$C$2:$C$501,IF($B$4="All","*",$B$4),'02_Source_Data'!$B$2:$B$501,IF($B$5="All","*",$B$5))</f>
        <v/>
      </c>
      <c r="C23" s="87">
        <f>SUMIFS('02_Source_Data'!$X$2:$X$501,'02_Source_Data'!$A$2:$A$501,"&gt;="&amp;(EDATE($B$2,-1)),'02_Source_Data'!$A$2:$A$501,"&lt;="&amp;($B$2-1),'02_Source_Data'!$C$2:$C$501,IF($B$4="All","*",$B$4),'02_Source_Data'!$B$2:$B$501,IF($B$5="All","*",$B$5))</f>
        <v/>
      </c>
      <c r="D23" s="90">
        <f>IFERROR(B23/C23-1,0)</f>
        <v/>
      </c>
      <c r="E23" s="87" t="n"/>
      <c r="F23" s="26">
        <f>"Monitor"</f>
        <v/>
      </c>
    </row>
    <row r="24" ht="18" customHeight="1">
      <c r="A24" s="26" t="inlineStr">
        <is>
          <t>Exception data rows</t>
        </is>
      </c>
      <c r="B24" s="87">
        <f>COUNTIFS('02_Source_Data'!$A$2:$A$501,"&gt;="&amp;($B$2),'02_Source_Data'!$A$2:$A$501,"&lt;="&amp;($B$3),'02_Source_Data'!$C$2:$C$501,IF($B$4="All","*",$B$4),'02_Source_Data'!$B$2:$B$501,IF($B$5="All","*",$B$5),'02_Source_Data'!$AM$2:$AM$501,"?*")</f>
        <v/>
      </c>
      <c r="C24" s="87">
        <f>COUNTIFS('02_Source_Data'!$A$2:$A$501,"&gt;="&amp;(EDATE($B$2,-1)),'02_Source_Data'!$A$2:$A$501,"&lt;="&amp;($B$2-1),'02_Source_Data'!$C$2:$C$501,IF($B$4="All","*",$B$4),'02_Source_Data'!$B$2:$B$501,IF($B$5="All","*",$B$5),'02_Source_Data'!$AM$2:$AM$501,"?*")</f>
        <v/>
      </c>
      <c r="D24" s="90">
        <f>IFERROR(B24/C24-1,0)</f>
        <v/>
      </c>
      <c r="E24" s="87">
        <f>0</f>
        <v/>
      </c>
      <c r="F24" s="26">
        <f>IF(B24&lt;=E24,"On track","Watch")</f>
        <v/>
      </c>
    </row>
    <row r="25"/>
    <row r="26" ht="22" customHeight="1">
      <c r="A26" s="19" t="inlineStr">
        <is>
          <t>Breakdown by operating context</t>
        </is>
      </c>
    </row>
    <row r="27" ht="24" customHeight="1">
      <c r="A27" s="34" t="inlineStr">
        <is>
          <t>Operating context</t>
        </is>
      </c>
      <c r="B27" s="34" t="inlineStr">
        <is>
          <t>Requests</t>
        </is>
      </c>
      <c r="C27" s="34" t="inlineStr">
        <is>
          <t>Completed</t>
        </is>
      </c>
      <c r="D27" s="34" t="inlineStr">
        <is>
          <t>Completion rate</t>
        </is>
      </c>
      <c r="E27" s="34" t="inlineStr">
        <is>
          <t>Revenue</t>
        </is>
      </c>
      <c r="F27" s="34" t="inlineStr">
        <is>
          <t>Overdue rate</t>
        </is>
      </c>
      <c r="G27" s="34" t="inlineStr">
        <is>
          <t>Satisfaction score</t>
        </is>
      </c>
      <c r="H27" s="34" t="inlineStr">
        <is>
          <t>Exception rows</t>
        </is>
      </c>
    </row>
    <row r="28" ht="18" customHeight="1">
      <c r="A28" s="26" t="inlineStr">
        <is>
          <t>Customer Support Operations</t>
        </is>
      </c>
      <c r="B28" s="87">
        <f>SUMIFS('02_Source_Data'!$J$2:$J$501,'02_Source_Data'!$A$2:$A$501,"&gt;="&amp;$B$2,'02_Source_Data'!$A$2:$A$501,"&lt;="&amp;$B$3,'02_Source_Data'!$C$2:$C$501,$A28,'02_Source_Data'!$B$2:$B$501,IF($B$5="All","*",$B$5))</f>
        <v/>
      </c>
      <c r="C28" s="87">
        <f>SUMIFS('02_Source_Data'!$K$2:$K$501,'02_Source_Data'!$A$2:$A$501,"&gt;="&amp;$B$2,'02_Source_Data'!$A$2:$A$501,"&lt;="&amp;$B$3,'02_Source_Data'!$C$2:$C$501,$A28,'02_Source_Data'!$B$2:$B$501,IF($B$5="All","*",$B$5))</f>
        <v/>
      </c>
      <c r="D28" s="90">
        <f>IFERROR(C28/B28,0)</f>
        <v/>
      </c>
      <c r="E28" s="88">
        <f>SUMIFS('02_Source_Data'!$N$2:$N$501,'02_Source_Data'!$A$2:$A$501,"&gt;="&amp;$B$2,'02_Source_Data'!$A$2:$A$501,"&lt;="&amp;$B$3,'02_Source_Data'!$C$2:$C$501,$A28,'02_Source_Data'!$B$2:$B$501,IF($B$5="All","*",$B$5))</f>
        <v/>
      </c>
      <c r="F28" s="90">
        <f>IFERROR(SUMIFS('02_Source_Data'!$L$2:$L$501,'02_Source_Data'!$A$2:$A$501,"&gt;="&amp;$B$2,'02_Source_Data'!$A$2:$A$501,"&lt;="&amp;$B$3,'02_Source_Data'!$C$2:$C$501,$A28,'02_Source_Data'!$B$2:$B$501,IF($B$5="All","*",$B$5))/B28,0)</f>
        <v/>
      </c>
      <c r="G28" s="89">
        <f>IFERROR(SUMIFS('02_Source_Data'!$U$2:$U$501,'02_Source_Data'!$A$2:$A$501,"&gt;="&amp;$B$2,'02_Source_Data'!$A$2:$A$501,"&lt;="&amp;$B$3,'02_Source_Data'!$C$2:$C$501,$A28,'02_Source_Data'!$B$2:$B$501,IF($B$5="All","*",$B$5))/COUNTIFS('02_Source_Data'!$A$2:$A$501,"&gt;="&amp;$B$2,'02_Source_Data'!$A$2:$A$501,"&lt;="&amp;$B$3,'02_Source_Data'!$C$2:$C$501,$A28,'02_Source_Data'!$B$2:$B$501,IF($B$5="All","*",$B$5)),0)</f>
        <v/>
      </c>
      <c r="H28" s="87">
        <f>COUNTIFS('02_Source_Data'!$A$2:$A$501,"&gt;="&amp;$B$2,'02_Source_Data'!$A$2:$A$501,"&lt;="&amp;$B$3,'02_Source_Data'!$C$2:$C$501,$A28,'02_Source_Data'!$B$2:$B$501,IF($B$5="All","*",$B$5),'02_Source_Data'!$AM$2:$AM$501,"?*")</f>
        <v/>
      </c>
    </row>
    <row r="29" ht="18" customHeight="1">
      <c r="A29" s="26" t="inlineStr">
        <is>
          <t>Sales Operations</t>
        </is>
      </c>
      <c r="B29" s="87">
        <f>SUMIFS('02_Source_Data'!$J$2:$J$501,'02_Source_Data'!$A$2:$A$501,"&gt;="&amp;$B$2,'02_Source_Data'!$A$2:$A$501,"&lt;="&amp;$B$3,'02_Source_Data'!$C$2:$C$501,$A29,'02_Source_Data'!$B$2:$B$501,IF($B$5="All","*",$B$5))</f>
        <v/>
      </c>
      <c r="C29" s="87">
        <f>SUMIFS('02_Source_Data'!$K$2:$K$501,'02_Source_Data'!$A$2:$A$501,"&gt;="&amp;$B$2,'02_Source_Data'!$A$2:$A$501,"&lt;="&amp;$B$3,'02_Source_Data'!$C$2:$C$501,$A29,'02_Source_Data'!$B$2:$B$501,IF($B$5="All","*",$B$5))</f>
        <v/>
      </c>
      <c r="D29" s="90">
        <f>IFERROR(C29/B29,0)</f>
        <v/>
      </c>
      <c r="E29" s="88">
        <f>SUMIFS('02_Source_Data'!$N$2:$N$501,'02_Source_Data'!$A$2:$A$501,"&gt;="&amp;$B$2,'02_Source_Data'!$A$2:$A$501,"&lt;="&amp;$B$3,'02_Source_Data'!$C$2:$C$501,$A29,'02_Source_Data'!$B$2:$B$501,IF($B$5="All","*",$B$5))</f>
        <v/>
      </c>
      <c r="F29" s="90">
        <f>IFERROR(SUMIFS('02_Source_Data'!$L$2:$L$501,'02_Source_Data'!$A$2:$A$501,"&gt;="&amp;$B$2,'02_Source_Data'!$A$2:$A$501,"&lt;="&amp;$B$3,'02_Source_Data'!$C$2:$C$501,$A29,'02_Source_Data'!$B$2:$B$501,IF($B$5="All","*",$B$5))/B29,0)</f>
        <v/>
      </c>
      <c r="G29" s="89">
        <f>IFERROR(SUMIFS('02_Source_Data'!$U$2:$U$501,'02_Source_Data'!$A$2:$A$501,"&gt;="&amp;$B$2,'02_Source_Data'!$A$2:$A$501,"&lt;="&amp;$B$3,'02_Source_Data'!$C$2:$C$501,$A29,'02_Source_Data'!$B$2:$B$501,IF($B$5="All","*",$B$5))/COUNTIFS('02_Source_Data'!$A$2:$A$501,"&gt;="&amp;$B$2,'02_Source_Data'!$A$2:$A$501,"&lt;="&amp;$B$3,'02_Source_Data'!$C$2:$C$501,$A29,'02_Source_Data'!$B$2:$B$501,IF($B$5="All","*",$B$5)),0)</f>
        <v/>
      </c>
      <c r="H29" s="87">
        <f>COUNTIFS('02_Source_Data'!$A$2:$A$501,"&gt;="&amp;$B$2,'02_Source_Data'!$A$2:$A$501,"&lt;="&amp;$B$3,'02_Source_Data'!$C$2:$C$501,$A29,'02_Source_Data'!$B$2:$B$501,IF($B$5="All","*",$B$5),'02_Source_Data'!$AM$2:$AM$501,"?*")</f>
        <v/>
      </c>
    </row>
    <row r="30" ht="18" customHeight="1">
      <c r="A30" s="26" t="inlineStr">
        <is>
          <t>E-commerce Operations</t>
        </is>
      </c>
      <c r="B30" s="87">
        <f>SUMIFS('02_Source_Data'!$J$2:$J$501,'02_Source_Data'!$A$2:$A$501,"&gt;="&amp;$B$2,'02_Source_Data'!$A$2:$A$501,"&lt;="&amp;$B$3,'02_Source_Data'!$C$2:$C$501,$A30,'02_Source_Data'!$B$2:$B$501,IF($B$5="All","*",$B$5))</f>
        <v/>
      </c>
      <c r="C30" s="87">
        <f>SUMIFS('02_Source_Data'!$K$2:$K$501,'02_Source_Data'!$A$2:$A$501,"&gt;="&amp;$B$2,'02_Source_Data'!$A$2:$A$501,"&lt;="&amp;$B$3,'02_Source_Data'!$C$2:$C$501,$A30,'02_Source_Data'!$B$2:$B$501,IF($B$5="All","*",$B$5))</f>
        <v/>
      </c>
      <c r="D30" s="90">
        <f>IFERROR(C30/B30,0)</f>
        <v/>
      </c>
      <c r="E30" s="88">
        <f>SUMIFS('02_Source_Data'!$N$2:$N$501,'02_Source_Data'!$A$2:$A$501,"&gt;="&amp;$B$2,'02_Source_Data'!$A$2:$A$501,"&lt;="&amp;$B$3,'02_Source_Data'!$C$2:$C$501,$A30,'02_Source_Data'!$B$2:$B$501,IF($B$5="All","*",$B$5))</f>
        <v/>
      </c>
      <c r="F30" s="90">
        <f>IFERROR(SUMIFS('02_Source_Data'!$L$2:$L$501,'02_Source_Data'!$A$2:$A$501,"&gt;="&amp;$B$2,'02_Source_Data'!$A$2:$A$501,"&lt;="&amp;$B$3,'02_Source_Data'!$C$2:$C$501,$A30,'02_Source_Data'!$B$2:$B$501,IF($B$5="All","*",$B$5))/B30,0)</f>
        <v/>
      </c>
      <c r="G30" s="89">
        <f>IFERROR(SUMIFS('02_Source_Data'!$U$2:$U$501,'02_Source_Data'!$A$2:$A$501,"&gt;="&amp;$B$2,'02_Source_Data'!$A$2:$A$501,"&lt;="&amp;$B$3,'02_Source_Data'!$C$2:$C$501,$A30,'02_Source_Data'!$B$2:$B$501,IF($B$5="All","*",$B$5))/COUNTIFS('02_Source_Data'!$A$2:$A$501,"&gt;="&amp;$B$2,'02_Source_Data'!$A$2:$A$501,"&lt;="&amp;$B$3,'02_Source_Data'!$C$2:$C$501,$A30,'02_Source_Data'!$B$2:$B$501,IF($B$5="All","*",$B$5)),0)</f>
        <v/>
      </c>
      <c r="H30" s="87">
        <f>COUNTIFS('02_Source_Data'!$A$2:$A$501,"&gt;="&amp;$B$2,'02_Source_Data'!$A$2:$A$501,"&lt;="&amp;$B$3,'02_Source_Data'!$C$2:$C$501,$A30,'02_Source_Data'!$B$2:$B$501,IF($B$5="All","*",$B$5),'02_Source_Data'!$AM$2:$AM$501,"?*")</f>
        <v/>
      </c>
    </row>
    <row r="31" ht="18" customHeight="1">
      <c r="A31" s="26" t="inlineStr">
        <is>
          <t>Supply Chain / Inventory</t>
        </is>
      </c>
      <c r="B31" s="87">
        <f>SUMIFS('02_Source_Data'!$J$2:$J$501,'02_Source_Data'!$A$2:$A$501,"&gt;="&amp;$B$2,'02_Source_Data'!$A$2:$A$501,"&lt;="&amp;$B$3,'02_Source_Data'!$C$2:$C$501,$A31,'02_Source_Data'!$B$2:$B$501,IF($B$5="All","*",$B$5))</f>
        <v/>
      </c>
      <c r="C31" s="87">
        <f>SUMIFS('02_Source_Data'!$K$2:$K$501,'02_Source_Data'!$A$2:$A$501,"&gt;="&amp;$B$2,'02_Source_Data'!$A$2:$A$501,"&lt;="&amp;$B$3,'02_Source_Data'!$C$2:$C$501,$A31,'02_Source_Data'!$B$2:$B$501,IF($B$5="All","*",$B$5))</f>
        <v/>
      </c>
      <c r="D31" s="90">
        <f>IFERROR(C31/B31,0)</f>
        <v/>
      </c>
      <c r="E31" s="88">
        <f>SUMIFS('02_Source_Data'!$N$2:$N$501,'02_Source_Data'!$A$2:$A$501,"&gt;="&amp;$B$2,'02_Source_Data'!$A$2:$A$501,"&lt;="&amp;$B$3,'02_Source_Data'!$C$2:$C$501,$A31,'02_Source_Data'!$B$2:$B$501,IF($B$5="All","*",$B$5))</f>
        <v/>
      </c>
      <c r="F31" s="90">
        <f>IFERROR(SUMIFS('02_Source_Data'!$L$2:$L$501,'02_Source_Data'!$A$2:$A$501,"&gt;="&amp;$B$2,'02_Source_Data'!$A$2:$A$501,"&lt;="&amp;$B$3,'02_Source_Data'!$C$2:$C$501,$A31,'02_Source_Data'!$B$2:$B$501,IF($B$5="All","*",$B$5))/B31,0)</f>
        <v/>
      </c>
      <c r="G31" s="89">
        <f>IFERROR(SUMIFS('02_Source_Data'!$U$2:$U$501,'02_Source_Data'!$A$2:$A$501,"&gt;="&amp;$B$2,'02_Source_Data'!$A$2:$A$501,"&lt;="&amp;$B$3,'02_Source_Data'!$C$2:$C$501,$A31,'02_Source_Data'!$B$2:$B$501,IF($B$5="All","*",$B$5))/COUNTIFS('02_Source_Data'!$A$2:$A$501,"&gt;="&amp;$B$2,'02_Source_Data'!$A$2:$A$501,"&lt;="&amp;$B$3,'02_Source_Data'!$C$2:$C$501,$A31,'02_Source_Data'!$B$2:$B$501,IF($B$5="All","*",$B$5)),0)</f>
        <v/>
      </c>
      <c r="H31" s="87">
        <f>COUNTIFS('02_Source_Data'!$A$2:$A$501,"&gt;="&amp;$B$2,'02_Source_Data'!$A$2:$A$501,"&lt;="&amp;$B$3,'02_Source_Data'!$C$2:$C$501,$A31,'02_Source_Data'!$B$2:$B$501,IF($B$5="All","*",$B$5),'02_Source_Data'!$AM$2:$AM$501,"?*")</f>
        <v/>
      </c>
    </row>
    <row r="32" ht="18" customHeight="1">
      <c r="A32" s="26" t="inlineStr">
        <is>
          <t>Production / Delivery</t>
        </is>
      </c>
      <c r="B32" s="87">
        <f>SUMIFS('02_Source_Data'!$J$2:$J$501,'02_Source_Data'!$A$2:$A$501,"&gt;="&amp;$B$2,'02_Source_Data'!$A$2:$A$501,"&lt;="&amp;$B$3,'02_Source_Data'!$C$2:$C$501,$A32,'02_Source_Data'!$B$2:$B$501,IF($B$5="All","*",$B$5))</f>
        <v/>
      </c>
      <c r="C32" s="87">
        <f>SUMIFS('02_Source_Data'!$K$2:$K$501,'02_Source_Data'!$A$2:$A$501,"&gt;="&amp;$B$2,'02_Source_Data'!$A$2:$A$501,"&lt;="&amp;$B$3,'02_Source_Data'!$C$2:$C$501,$A32,'02_Source_Data'!$B$2:$B$501,IF($B$5="All","*",$B$5))</f>
        <v/>
      </c>
      <c r="D32" s="90">
        <f>IFERROR(C32/B32,0)</f>
        <v/>
      </c>
      <c r="E32" s="88">
        <f>SUMIFS('02_Source_Data'!$N$2:$N$501,'02_Source_Data'!$A$2:$A$501,"&gt;="&amp;$B$2,'02_Source_Data'!$A$2:$A$501,"&lt;="&amp;$B$3,'02_Source_Data'!$C$2:$C$501,$A32,'02_Source_Data'!$B$2:$B$501,IF($B$5="All","*",$B$5))</f>
        <v/>
      </c>
      <c r="F32" s="90">
        <f>IFERROR(SUMIFS('02_Source_Data'!$L$2:$L$501,'02_Source_Data'!$A$2:$A$501,"&gt;="&amp;$B$2,'02_Source_Data'!$A$2:$A$501,"&lt;="&amp;$B$3,'02_Source_Data'!$C$2:$C$501,$A32,'02_Source_Data'!$B$2:$B$501,IF($B$5="All","*",$B$5))/B32,0)</f>
        <v/>
      </c>
      <c r="G32" s="89">
        <f>IFERROR(SUMIFS('02_Source_Data'!$U$2:$U$501,'02_Source_Data'!$A$2:$A$501,"&gt;="&amp;$B$2,'02_Source_Data'!$A$2:$A$501,"&lt;="&amp;$B$3,'02_Source_Data'!$C$2:$C$501,$A32,'02_Source_Data'!$B$2:$B$501,IF($B$5="All","*",$B$5))/COUNTIFS('02_Source_Data'!$A$2:$A$501,"&gt;="&amp;$B$2,'02_Source_Data'!$A$2:$A$501,"&lt;="&amp;$B$3,'02_Source_Data'!$C$2:$C$501,$A32,'02_Source_Data'!$B$2:$B$501,IF($B$5="All","*",$B$5)),0)</f>
        <v/>
      </c>
      <c r="H32" s="87">
        <f>COUNTIFS('02_Source_Data'!$A$2:$A$501,"&gt;="&amp;$B$2,'02_Source_Data'!$A$2:$A$501,"&lt;="&amp;$B$3,'02_Source_Data'!$C$2:$C$501,$A32,'02_Source_Data'!$B$2:$B$501,IF($B$5="All","*",$B$5),'02_Source_Data'!$AM$2:$AM$501,"?*")</f>
        <v/>
      </c>
    </row>
    <row r="33" ht="18" customHeight="1">
      <c r="A33" s="26" t="inlineStr">
        <is>
          <t>Field Services</t>
        </is>
      </c>
      <c r="B33" s="87">
        <f>SUMIFS('02_Source_Data'!$J$2:$J$501,'02_Source_Data'!$A$2:$A$501,"&gt;="&amp;$B$2,'02_Source_Data'!$A$2:$A$501,"&lt;="&amp;$B$3,'02_Source_Data'!$C$2:$C$501,$A33,'02_Source_Data'!$B$2:$B$501,IF($B$5="All","*",$B$5))</f>
        <v/>
      </c>
      <c r="C33" s="87">
        <f>SUMIFS('02_Source_Data'!$K$2:$K$501,'02_Source_Data'!$A$2:$A$501,"&gt;="&amp;$B$2,'02_Source_Data'!$A$2:$A$501,"&lt;="&amp;$B$3,'02_Source_Data'!$C$2:$C$501,$A33,'02_Source_Data'!$B$2:$B$501,IF($B$5="All","*",$B$5))</f>
        <v/>
      </c>
      <c r="D33" s="90">
        <f>IFERROR(C33/B33,0)</f>
        <v/>
      </c>
      <c r="E33" s="88">
        <f>SUMIFS('02_Source_Data'!$N$2:$N$501,'02_Source_Data'!$A$2:$A$501,"&gt;="&amp;$B$2,'02_Source_Data'!$A$2:$A$501,"&lt;="&amp;$B$3,'02_Source_Data'!$C$2:$C$501,$A33,'02_Source_Data'!$B$2:$B$501,IF($B$5="All","*",$B$5))</f>
        <v/>
      </c>
      <c r="F33" s="90">
        <f>IFERROR(SUMIFS('02_Source_Data'!$L$2:$L$501,'02_Source_Data'!$A$2:$A$501,"&gt;="&amp;$B$2,'02_Source_Data'!$A$2:$A$501,"&lt;="&amp;$B$3,'02_Source_Data'!$C$2:$C$501,$A33,'02_Source_Data'!$B$2:$B$501,IF($B$5="All","*",$B$5))/B33,0)</f>
        <v/>
      </c>
      <c r="G33" s="89">
        <f>IFERROR(SUMIFS('02_Source_Data'!$U$2:$U$501,'02_Source_Data'!$A$2:$A$501,"&gt;="&amp;$B$2,'02_Source_Data'!$A$2:$A$501,"&lt;="&amp;$B$3,'02_Source_Data'!$C$2:$C$501,$A33,'02_Source_Data'!$B$2:$B$501,IF($B$5="All","*",$B$5))/COUNTIFS('02_Source_Data'!$A$2:$A$501,"&gt;="&amp;$B$2,'02_Source_Data'!$A$2:$A$501,"&lt;="&amp;$B$3,'02_Source_Data'!$C$2:$C$501,$A33,'02_Source_Data'!$B$2:$B$501,IF($B$5="All","*",$B$5)),0)</f>
        <v/>
      </c>
      <c r="H33" s="87">
        <f>COUNTIFS('02_Source_Data'!$A$2:$A$501,"&gt;="&amp;$B$2,'02_Source_Data'!$A$2:$A$501,"&lt;="&amp;$B$3,'02_Source_Data'!$C$2:$C$501,$A33,'02_Source_Data'!$B$2:$B$501,IF($B$5="All","*",$B$5),'02_Source_Data'!$AM$2:$AM$501,"?*")</f>
        <v/>
      </c>
    </row>
    <row r="34" ht="18" customHeight="1">
      <c r="A34" s="26" t="inlineStr">
        <is>
          <t>Growth Marketing</t>
        </is>
      </c>
      <c r="B34" s="87">
        <f>SUMIFS('02_Source_Data'!$J$2:$J$501,'02_Source_Data'!$A$2:$A$501,"&gt;="&amp;$B$2,'02_Source_Data'!$A$2:$A$501,"&lt;="&amp;$B$3,'02_Source_Data'!$C$2:$C$501,$A34,'02_Source_Data'!$B$2:$B$501,IF($B$5="All","*",$B$5))</f>
        <v/>
      </c>
      <c r="C34" s="87">
        <f>SUMIFS('02_Source_Data'!$K$2:$K$501,'02_Source_Data'!$A$2:$A$501,"&gt;="&amp;$B$2,'02_Source_Data'!$A$2:$A$501,"&lt;="&amp;$B$3,'02_Source_Data'!$C$2:$C$501,$A34,'02_Source_Data'!$B$2:$B$501,IF($B$5="All","*",$B$5))</f>
        <v/>
      </c>
      <c r="D34" s="90">
        <f>IFERROR(C34/B34,0)</f>
        <v/>
      </c>
      <c r="E34" s="88">
        <f>SUMIFS('02_Source_Data'!$N$2:$N$501,'02_Source_Data'!$A$2:$A$501,"&gt;="&amp;$B$2,'02_Source_Data'!$A$2:$A$501,"&lt;="&amp;$B$3,'02_Source_Data'!$C$2:$C$501,$A34,'02_Source_Data'!$B$2:$B$501,IF($B$5="All","*",$B$5))</f>
        <v/>
      </c>
      <c r="F34" s="90">
        <f>IFERROR(SUMIFS('02_Source_Data'!$L$2:$L$501,'02_Source_Data'!$A$2:$A$501,"&gt;="&amp;$B$2,'02_Source_Data'!$A$2:$A$501,"&lt;="&amp;$B$3,'02_Source_Data'!$C$2:$C$501,$A34,'02_Source_Data'!$B$2:$B$501,IF($B$5="All","*",$B$5))/B34,0)</f>
        <v/>
      </c>
      <c r="G34" s="89">
        <f>IFERROR(SUMIFS('02_Source_Data'!$U$2:$U$501,'02_Source_Data'!$A$2:$A$501,"&gt;="&amp;$B$2,'02_Source_Data'!$A$2:$A$501,"&lt;="&amp;$B$3,'02_Source_Data'!$C$2:$C$501,$A34,'02_Source_Data'!$B$2:$B$501,IF($B$5="All","*",$B$5))/COUNTIFS('02_Source_Data'!$A$2:$A$501,"&gt;="&amp;$B$2,'02_Source_Data'!$A$2:$A$501,"&lt;="&amp;$B$3,'02_Source_Data'!$C$2:$C$501,$A34,'02_Source_Data'!$B$2:$B$501,IF($B$5="All","*",$B$5)),0)</f>
        <v/>
      </c>
      <c r="H34" s="87">
        <f>COUNTIFS('02_Source_Data'!$A$2:$A$501,"&gt;="&amp;$B$2,'02_Source_Data'!$A$2:$A$501,"&lt;="&amp;$B$3,'02_Source_Data'!$C$2:$C$501,$A34,'02_Source_Data'!$B$2:$B$501,IF($B$5="All","*",$B$5),'02_Source_Data'!$AM$2:$AM$501,"?*")</f>
        <v/>
      </c>
    </row>
    <row r="35" ht="18" customHeight="1">
      <c r="A35" s="26" t="inlineStr">
        <is>
          <t>Finance / Expenses</t>
        </is>
      </c>
      <c r="B35" s="87">
        <f>SUMIFS('02_Source_Data'!$J$2:$J$501,'02_Source_Data'!$A$2:$A$501,"&gt;="&amp;$B$2,'02_Source_Data'!$A$2:$A$501,"&lt;="&amp;$B$3,'02_Source_Data'!$C$2:$C$501,$A35,'02_Source_Data'!$B$2:$B$501,IF($B$5="All","*",$B$5))</f>
        <v/>
      </c>
      <c r="C35" s="87">
        <f>SUMIFS('02_Source_Data'!$K$2:$K$501,'02_Source_Data'!$A$2:$A$501,"&gt;="&amp;$B$2,'02_Source_Data'!$A$2:$A$501,"&lt;="&amp;$B$3,'02_Source_Data'!$C$2:$C$501,$A35,'02_Source_Data'!$B$2:$B$501,IF($B$5="All","*",$B$5))</f>
        <v/>
      </c>
      <c r="D35" s="90">
        <f>IFERROR(C35/B35,0)</f>
        <v/>
      </c>
      <c r="E35" s="88">
        <f>SUMIFS('02_Source_Data'!$N$2:$N$501,'02_Source_Data'!$A$2:$A$501,"&gt;="&amp;$B$2,'02_Source_Data'!$A$2:$A$501,"&lt;="&amp;$B$3,'02_Source_Data'!$C$2:$C$501,$A35,'02_Source_Data'!$B$2:$B$501,IF($B$5="All","*",$B$5))</f>
        <v/>
      </c>
      <c r="F35" s="90">
        <f>IFERROR(SUMIFS('02_Source_Data'!$L$2:$L$501,'02_Source_Data'!$A$2:$A$501,"&gt;="&amp;$B$2,'02_Source_Data'!$A$2:$A$501,"&lt;="&amp;$B$3,'02_Source_Data'!$C$2:$C$501,$A35,'02_Source_Data'!$B$2:$B$501,IF($B$5="All","*",$B$5))/B35,0)</f>
        <v/>
      </c>
      <c r="G35" s="89">
        <f>IFERROR(SUMIFS('02_Source_Data'!$U$2:$U$501,'02_Source_Data'!$A$2:$A$501,"&gt;="&amp;$B$2,'02_Source_Data'!$A$2:$A$501,"&lt;="&amp;$B$3,'02_Source_Data'!$C$2:$C$501,$A35,'02_Source_Data'!$B$2:$B$501,IF($B$5="All","*",$B$5))/COUNTIFS('02_Source_Data'!$A$2:$A$501,"&gt;="&amp;$B$2,'02_Source_Data'!$A$2:$A$501,"&lt;="&amp;$B$3,'02_Source_Data'!$C$2:$C$501,$A35,'02_Source_Data'!$B$2:$B$501,IF($B$5="All","*",$B$5)),0)</f>
        <v/>
      </c>
      <c r="H35" s="87">
        <f>COUNTIFS('02_Source_Data'!$A$2:$A$501,"&gt;="&amp;$B$2,'02_Source_Data'!$A$2:$A$501,"&lt;="&amp;$B$3,'02_Source_Data'!$C$2:$C$501,$A35,'02_Source_Data'!$B$2:$B$501,IF($B$5="All","*",$B$5),'02_Source_Data'!$AM$2:$AM$501,"?*")</f>
        <v/>
      </c>
    </row>
    <row r="36"/>
    <row r="37"/>
    <row r="38"/>
    <row r="39" ht="22" customHeight="1">
      <c r="A39" s="19" t="inlineStr">
        <is>
          <t>Alerts and action plan</t>
        </is>
      </c>
    </row>
    <row r="40" ht="24" customHeight="1">
      <c r="A40" s="34" t="inlineStr">
        <is>
          <t>Issue / Opportunity</t>
        </is>
      </c>
      <c r="B40" s="34" t="inlineStr">
        <is>
          <t>Trigger metric</t>
        </is>
      </c>
      <c r="C40" s="34" t="inlineStr">
        <is>
          <t>Recommended action</t>
        </is>
      </c>
      <c r="D40" s="34" t="inlineStr">
        <is>
          <t>Owner</t>
        </is>
      </c>
      <c r="E40" s="34" t="inlineStr">
        <is>
          <t>Due date</t>
        </is>
      </c>
      <c r="F40" s="34" t="inlineStr">
        <is>
          <t>Priority</t>
        </is>
      </c>
      <c r="G40" s="34" t="inlineStr">
        <is>
          <t>Status</t>
        </is>
      </c>
      <c r="H40" s="34" t="inlineStr">
        <is>
          <t>Review conclusion</t>
        </is>
      </c>
      <c r="I40" s="34" t="inlineStr">
        <is>
          <t>Note</t>
        </is>
      </c>
    </row>
    <row r="41" ht="34" customHeight="1">
      <c r="A41" s="26">
        <f>IF(F10="Watch","Completion rate below target","")</f>
        <v/>
      </c>
      <c r="B41" s="26" t="inlineStr">
        <is>
          <t>Completion rate</t>
        </is>
      </c>
      <c r="C41" s="42" t="inlineStr">
        <is>
          <t>Review unfinished requests, break down blockers, and assign recovery owners for the day or week</t>
        </is>
      </c>
      <c r="D41" s="26" t="n"/>
      <c r="E41" s="86" t="n"/>
      <c r="F41" s="26" t="inlineStr">
        <is>
          <t>High</t>
        </is>
      </c>
      <c r="G41" s="26" t="inlineStr">
        <is>
          <t>Not started</t>
        </is>
      </c>
      <c r="H41" s="42" t="n"/>
      <c r="I41" s="42" t="n"/>
    </row>
    <row r="42" ht="34" customHeight="1">
      <c r="A42" s="26">
        <f>IF(F15="Watch","Overdue rate is high","")</f>
        <v/>
      </c>
      <c r="B42" s="26" t="inlineStr">
        <is>
          <t>Overdue rate</t>
        </is>
      </c>
      <c r="C42" s="42" t="inlineStr">
        <is>
          <t>Group by overdue type and prioritize tickets beyond service level and tasks waiting to close</t>
        </is>
      </c>
      <c r="D42" s="26" t="n"/>
      <c r="E42" s="86" t="n"/>
      <c r="F42" s="26" t="inlineStr">
        <is>
          <t>High</t>
        </is>
      </c>
      <c r="G42" s="26" t="inlineStr">
        <is>
          <t>Not started</t>
        </is>
      </c>
      <c r="H42" s="42" t="n"/>
      <c r="I42" s="42" t="n"/>
    </row>
    <row r="43" ht="34" customHeight="1">
      <c r="A43" s="26">
        <f>IF(F17="Watch","Complaint rate is high","")</f>
        <v/>
      </c>
      <c r="B43" s="26" t="inlineStr">
        <is>
          <t>Complaint rate</t>
        </is>
      </c>
      <c r="C43" s="42" t="inlineStr">
        <is>
          <t>Sample high-frequency complaint themes and refine service scripts and process steps</t>
        </is>
      </c>
      <c r="D43" s="26" t="n"/>
      <c r="E43" s="86" t="n"/>
      <c r="F43" s="26" t="inlineStr">
        <is>
          <t>Medium</t>
        </is>
      </c>
      <c r="G43" s="26" t="inlineStr">
        <is>
          <t>Not started</t>
        </is>
      </c>
      <c r="H43" s="42" t="n"/>
      <c r="I43" s="42" t="n"/>
    </row>
    <row r="44" ht="34" customHeight="1">
      <c r="A44" s="26">
        <f>IF(F18="Watch","Satisfaction is below target","")</f>
        <v/>
      </c>
      <c r="B44" s="26" t="inlineStr">
        <is>
          <t>Satisfaction score</t>
        </is>
      </c>
      <c r="C44" s="42" t="inlineStr">
        <is>
          <t>Identify low-scoring teams or channels and schedule a customer experience review</t>
        </is>
      </c>
      <c r="D44" s="26" t="n"/>
      <c r="E44" s="86" t="n"/>
      <c r="F44" s="26" t="inlineStr">
        <is>
          <t>Medium</t>
        </is>
      </c>
      <c r="G44" s="26" t="inlineStr">
        <is>
          <t>Not started</t>
        </is>
      </c>
      <c r="H44" s="42" t="n"/>
      <c r="I44" s="42" t="n"/>
    </row>
    <row r="45" ht="34" customHeight="1">
      <c r="A45" s="26">
        <f>IF(F14="Watch","Gross margin is below target","")</f>
        <v/>
      </c>
      <c r="B45" s="26" t="inlineStr">
        <is>
          <t>Gross margin</t>
        </is>
      </c>
      <c r="C45" s="42" t="inlineStr">
        <is>
          <t>Check high-cost steps and low-margin business lines, then evaluate pricing or cost improvements</t>
        </is>
      </c>
      <c r="D45" s="26" t="n"/>
      <c r="E45" s="86" t="n"/>
      <c r="F45" s="26" t="inlineStr">
        <is>
          <t>Medium</t>
        </is>
      </c>
      <c r="G45" s="26" t="inlineStr">
        <is>
          <t>Not started</t>
        </is>
      </c>
      <c r="H45" s="42" t="n"/>
      <c r="I45" s="42" t="n"/>
    </row>
    <row r="46" ht="34" customHeight="1">
      <c r="A46" s="26">
        <f>IF(F22="Watch","Conversion rate is below target","")</f>
        <v/>
      </c>
      <c r="B46" s="26" t="inlineStr">
        <is>
          <t>Conversion rate</t>
        </is>
      </c>
      <c r="C46" s="42" t="inlineStr">
        <is>
          <t>Break down channel funnels and improve high-traffic, low-conversion entry points</t>
        </is>
      </c>
      <c r="D46" s="26" t="n"/>
      <c r="E46" s="86" t="n"/>
      <c r="F46" s="26" t="inlineStr">
        <is>
          <t>Medium</t>
        </is>
      </c>
      <c r="G46" s="26" t="inlineStr">
        <is>
          <t>Not started</t>
        </is>
      </c>
      <c r="H46" s="42" t="n"/>
      <c r="I46" s="42" t="n"/>
    </row>
  </sheetData>
  <mergeCells count="1">
    <mergeCell ref="A1:M1"/>
  </mergeCells>
  <dataValidations count="4">
    <dataValidation sqref="B4" showDropDown="0" showInputMessage="0" showErrorMessage="0" allowBlank="0" type="list">
      <formula1>'01_Settings'!$F$4:$F$13</formula1>
    </dataValidation>
    <dataValidation sqref="B5" showDropDown="0" showInputMessage="0" showErrorMessage="0" allowBlank="0" type="list">
      <formula1>'01_Settings'!$H$4:$H$10</formula1>
    </dataValidation>
    <dataValidation sqref="F41:F46" showDropDown="0" showInputMessage="0" showErrorMessage="0" allowBlank="0" type="list">
      <formula1>'01_Settings'!$P$4:$P$6</formula1>
    </dataValidation>
    <dataValidation sqref="G41:G46" showDropDown="0" showInputMessage="0" showErrorMessage="0" allowBlank="0" type="list">
      <formula1>'01_Settings'!$R$4:$R$8</formula1>
    </dataValidation>
  </dataValidations>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I40"/>
  <sheetViews>
    <sheetView workbookViewId="0">
      <selection activeCell="A1" sqref="A1"/>
    </sheetView>
  </sheetViews>
  <sheetFormatPr baseColWidth="8" defaultRowHeight="15"/>
  <cols>
    <col width="16" customWidth="1" min="1" max="1"/>
    <col width="13" customWidth="1" min="2" max="2"/>
    <col width="13" customWidth="1" min="3" max="3"/>
    <col width="13" customWidth="1" min="4" max="4"/>
    <col width="13" customWidth="1" min="5" max="5"/>
    <col width="13" customWidth="1" min="6" max="6"/>
    <col width="13" customWidth="1" min="7" max="7"/>
    <col width="13" customWidth="1" min="8" max="8"/>
    <col width="52" customWidth="1" min="9" max="9"/>
  </cols>
  <sheetData>
    <row r="1" ht="30" customHeight="1">
      <c r="A1" s="9" t="inlineStr">
        <is>
          <t>Service Operations Overview Dashboard</t>
        </is>
      </c>
      <c r="B1" s="1" t="n"/>
      <c r="C1" s="1" t="n"/>
      <c r="D1" s="1" t="n"/>
      <c r="E1" s="1" t="n"/>
      <c r="F1" s="1" t="n"/>
      <c r="G1" s="1" t="n"/>
      <c r="H1" s="1" t="n"/>
    </row>
    <row r="2"/>
    <row r="3" ht="22" customHeight="1">
      <c r="A3" s="34" t="inlineStr">
        <is>
          <t>Report date</t>
        </is>
      </c>
      <c r="B3" s="84">
        <f>'01_Settings'!$B$4</f>
        <v/>
      </c>
      <c r="H3" s="19" t="inlineStr">
        <is>
          <t>Automation guidance</t>
        </is>
      </c>
    </row>
    <row r="4" ht="38" customHeight="1">
      <c r="A4" s="34" t="inlineStr">
        <is>
          <t>Report cycle</t>
        </is>
      </c>
      <c r="B4" s="46">
        <f>'01_Settings'!$B$5</f>
        <v/>
      </c>
      <c r="H4" s="26" t="inlineStr">
        <is>
          <t>Data intake</t>
        </is>
      </c>
      <c r="I4" s="42" t="inlineStr">
        <is>
          <t>Export standard fields from ticketing, customer management, business systems, or commerce platforms into the source data sheet.</t>
        </is>
      </c>
    </row>
    <row r="5" ht="38" customHeight="1">
      <c r="A5" s="34" t="inlineStr">
        <is>
          <t>Operating context</t>
        </is>
      </c>
      <c r="B5" s="46">
        <f>'01_Settings'!$B$6</f>
        <v/>
      </c>
      <c r="H5" s="26" t="inlineStr">
        <is>
          <t>Refresh frequency</t>
        </is>
      </c>
      <c r="I5" s="42" t="inlineStr">
        <is>
          <t>Refresh daily reports at a fixed time each day, weekly reports every Monday, and monthly reports during the first three days of the month.</t>
        </is>
      </c>
    </row>
    <row r="6" ht="38" customHeight="1">
      <c r="A6" s="34" t="inlineStr">
        <is>
          <t>Company / Division</t>
        </is>
      </c>
      <c r="B6" s="46">
        <f>'01_Settings'!$B$7</f>
        <v/>
      </c>
      <c r="H6" s="26" t="inlineStr">
        <is>
          <t>Exception handling</t>
        </is>
      </c>
      <c r="I6" s="42" t="inlineStr">
        <is>
          <t>Focus on completion rate, overdue rate, satisfaction, gross margin, conversion rate, and complaint rate.</t>
        </is>
      </c>
    </row>
    <row r="7" ht="38" customHeight="1">
      <c r="H7" s="26" t="inlineStr">
        <is>
          <t>Permissions</t>
        </is>
      </c>
      <c r="I7" s="42" t="inlineStr">
        <is>
          <t>Protect settings and formula columns, and leave only source-data input columns editable.</t>
        </is>
      </c>
    </row>
    <row r="8" ht="38" customHeight="1">
      <c r="A8" s="72" t="inlineStr">
        <is>
          <t>Completion rate</t>
        </is>
      </c>
      <c r="B8" s="72" t="inlineStr">
        <is>
          <t>Revenue</t>
        </is>
      </c>
      <c r="C8" s="72" t="inlineStr">
        <is>
          <t>Gross margin</t>
        </is>
      </c>
      <c r="D8" s="72" t="inlineStr">
        <is>
          <t>Overdue rate</t>
        </is>
      </c>
      <c r="E8" s="72" t="inlineStr">
        <is>
          <t>Satisfaction score</t>
        </is>
      </c>
      <c r="F8" s="72" t="inlineStr">
        <is>
          <t>Complaint rate</t>
        </is>
      </c>
      <c r="H8" s="26" t="inlineStr">
        <is>
          <t>Expansion</t>
        </is>
      </c>
      <c r="I8" s="42" t="inlineStr">
        <is>
          <t>When adding companies, channels, products, or regions, update the settings dictionary before entering data.</t>
        </is>
      </c>
    </row>
    <row r="9" ht="38" customHeight="1">
      <c r="A9" s="91">
        <f>IF($B$4="Daily",'03_Daily_Report'!B10,IF($B$4="Weekly",'04_Weekly_Report'!B10,'05_Monthly_Report'!B10))</f>
        <v/>
      </c>
      <c r="B9" s="92">
        <f>IF($B$4="Daily",'03_Daily_Report'!B11,IF($B$4="Weekly",'04_Weekly_Report'!B11,'05_Monthly_Report'!B11))</f>
        <v/>
      </c>
      <c r="C9" s="91">
        <f>IF($B$4="Daily",'03_Daily_Report'!B14,IF($B$4="Weekly",'04_Weekly_Report'!B14,'05_Monthly_Report'!B14))</f>
        <v/>
      </c>
      <c r="D9" s="91">
        <f>IF($B$4="Daily",'03_Daily_Report'!B15,IF($B$4="Weekly",'04_Weekly_Report'!B15,'05_Monthly_Report'!B15))</f>
        <v/>
      </c>
      <c r="E9" s="93">
        <f>IF($B$4="Daily",'03_Daily_Report'!B18,IF($B$4="Weekly",'04_Weekly_Report'!B18,'05_Monthly_Report'!B18))</f>
        <v/>
      </c>
      <c r="F9" s="91">
        <f>IF($B$4="Daily",'03_Daily_Report'!B17,IF($B$4="Weekly",'04_Weekly_Report'!B17,'05_Monthly_Report'!B17))</f>
        <v/>
      </c>
      <c r="H9" s="26" t="inlineStr">
        <is>
          <t>Quality</t>
        </is>
      </c>
      <c r="I9" s="42" t="inlineStr">
        <is>
          <t>Avoid blanks in date, operating context, company or division, request volume, completed volume, revenue, and similar fields.</t>
        </is>
      </c>
    </row>
    <row r="10" ht="38" customHeight="1">
      <c r="A10" s="72">
        <f>IF($B$4="Daily",'03_Daily_Report'!F10,IF($B$4="Weekly",'04_Weekly_Report'!F10,'05_Monthly_Report'!F10))</f>
        <v/>
      </c>
      <c r="B10" s="72">
        <f>IF($B$4="Daily",'03_Daily_Report'!F11,IF($B$4="Weekly",'04_Weekly_Report'!F11,'05_Monthly_Report'!F11))</f>
        <v/>
      </c>
      <c r="C10" s="72">
        <f>IF($B$4="Daily",'03_Daily_Report'!F14,IF($B$4="Weekly",'04_Weekly_Report'!F14,'05_Monthly_Report'!F14))</f>
        <v/>
      </c>
      <c r="D10" s="72">
        <f>IF($B$4="Daily",'03_Daily_Report'!F15,IF($B$4="Weekly",'04_Weekly_Report'!F15,'05_Monthly_Report'!F15))</f>
        <v/>
      </c>
      <c r="E10" s="72">
        <f>IF($B$4="Daily",'03_Daily_Report'!F18,IF($B$4="Weekly",'04_Weekly_Report'!F18,'05_Monthly_Report'!F18))</f>
        <v/>
      </c>
      <c r="F10" s="72">
        <f>IF($B$4="Daily",'03_Daily_Report'!F17,IF($B$4="Weekly",'04_Weekly_Report'!F17,'05_Monthly_Report'!F17))</f>
        <v/>
      </c>
      <c r="H10" s="26" t="inlineStr">
        <is>
          <t>Closed loop</t>
        </is>
      </c>
      <c r="I10" s="42" t="inlineStr">
        <is>
          <t>Use the action plan area as the meeting follow-up list so the report leads to action, not just display.</t>
        </is>
      </c>
    </row>
    <row r="11" ht="38" customHeight="1">
      <c r="H11" s="26" t="inlineStr">
        <is>
          <t>Context</t>
        </is>
      </c>
      <c r="I11" s="42" t="inlineStr">
        <is>
          <t>Suitable for service, sales, customer success, after-sales support, e-commerce fulfillment, stores, logistics, and delivery operations.</t>
        </is>
      </c>
    </row>
    <row r="12"/>
    <row r="13" ht="22" customHeight="1">
      <c r="A13" s="19" t="inlineStr">
        <is>
          <t>Contribution and risk by operating context</t>
        </is>
      </c>
    </row>
    <row r="14" ht="24" customHeight="1">
      <c r="A14" s="34" t="inlineStr">
        <is>
          <t>Operating context</t>
        </is>
      </c>
      <c r="B14" s="34" t="inlineStr">
        <is>
          <t>Requests</t>
        </is>
      </c>
      <c r="C14" s="34" t="inlineStr">
        <is>
          <t>Completed</t>
        </is>
      </c>
      <c r="D14" s="34" t="inlineStr">
        <is>
          <t>Completion rate</t>
        </is>
      </c>
      <c r="E14" s="34" t="inlineStr">
        <is>
          <t>Revenue</t>
        </is>
      </c>
      <c r="F14" s="34" t="inlineStr">
        <is>
          <t>Overdue rate</t>
        </is>
      </c>
      <c r="G14" s="34" t="inlineStr">
        <is>
          <t>Satisfaction score</t>
        </is>
      </c>
      <c r="H14" s="34" t="inlineStr">
        <is>
          <t>Exception rows</t>
        </is>
      </c>
    </row>
    <row r="15" ht="18" customHeight="1">
      <c r="A15" s="26">
        <f>IF($B$4="Daily",'03_Daily_Report'!A28,IF($B$4="Weekly",'04_Weekly_Report'!A28,'05_Monthly_Report'!A28))</f>
        <v/>
      </c>
      <c r="B15" s="26">
        <f>IF($B$4="Daily",'03_Daily_Report'!B28,IF($B$4="Weekly",'04_Weekly_Report'!B28,'05_Monthly_Report'!B28))</f>
        <v/>
      </c>
      <c r="C15" s="26">
        <f>IF($B$4="Daily",'03_Daily_Report'!C28,IF($B$4="Weekly",'04_Weekly_Report'!C28,'05_Monthly_Report'!C28))</f>
        <v/>
      </c>
      <c r="D15" s="90">
        <f>IF($B$4="Daily",'03_Daily_Report'!D28,IF($B$4="Weekly",'04_Weekly_Report'!D28,'05_Monthly_Report'!D28))</f>
        <v/>
      </c>
      <c r="E15" s="88">
        <f>IF($B$4="Daily",'03_Daily_Report'!E28,IF($B$4="Weekly",'04_Weekly_Report'!E28,'05_Monthly_Report'!E28))</f>
        <v/>
      </c>
      <c r="F15" s="90">
        <f>IF($B$4="Daily",'03_Daily_Report'!F28,IF($B$4="Weekly",'04_Weekly_Report'!F28,'05_Monthly_Report'!F28))</f>
        <v/>
      </c>
      <c r="G15" s="89">
        <f>IF($B$4="Daily",'03_Daily_Report'!G28,IF($B$4="Weekly",'04_Weekly_Report'!G28,'05_Monthly_Report'!G28))</f>
        <v/>
      </c>
      <c r="H15" s="26">
        <f>IF($B$4="Daily",'03_Daily_Report'!H28,IF($B$4="Weekly",'04_Weekly_Report'!H28,'05_Monthly_Report'!H28))</f>
        <v/>
      </c>
    </row>
    <row r="16" ht="18" customHeight="1">
      <c r="A16" s="26">
        <f>IF($B$4="Daily",'03_Daily_Report'!A29,IF($B$4="Weekly",'04_Weekly_Report'!A29,'05_Monthly_Report'!A29))</f>
        <v/>
      </c>
      <c r="B16" s="26">
        <f>IF($B$4="Daily",'03_Daily_Report'!B29,IF($B$4="Weekly",'04_Weekly_Report'!B29,'05_Monthly_Report'!B29))</f>
        <v/>
      </c>
      <c r="C16" s="26">
        <f>IF($B$4="Daily",'03_Daily_Report'!C29,IF($B$4="Weekly",'04_Weekly_Report'!C29,'05_Monthly_Report'!C29))</f>
        <v/>
      </c>
      <c r="D16" s="90">
        <f>IF($B$4="Daily",'03_Daily_Report'!D29,IF($B$4="Weekly",'04_Weekly_Report'!D29,'05_Monthly_Report'!D29))</f>
        <v/>
      </c>
      <c r="E16" s="88">
        <f>IF($B$4="Daily",'03_Daily_Report'!E29,IF($B$4="Weekly",'04_Weekly_Report'!E29,'05_Monthly_Report'!E29))</f>
        <v/>
      </c>
      <c r="F16" s="90">
        <f>IF($B$4="Daily",'03_Daily_Report'!F29,IF($B$4="Weekly",'04_Weekly_Report'!F29,'05_Monthly_Report'!F29))</f>
        <v/>
      </c>
      <c r="G16" s="89">
        <f>IF($B$4="Daily",'03_Daily_Report'!G29,IF($B$4="Weekly",'04_Weekly_Report'!G29,'05_Monthly_Report'!G29))</f>
        <v/>
      </c>
      <c r="H16" s="26">
        <f>IF($B$4="Daily",'03_Daily_Report'!H29,IF($B$4="Weekly",'04_Weekly_Report'!H29,'05_Monthly_Report'!H29))</f>
        <v/>
      </c>
    </row>
    <row r="17" ht="18" customHeight="1">
      <c r="A17" s="26">
        <f>IF($B$4="Daily",'03_Daily_Report'!A30,IF($B$4="Weekly",'04_Weekly_Report'!A30,'05_Monthly_Report'!A30))</f>
        <v/>
      </c>
      <c r="B17" s="26">
        <f>IF($B$4="Daily",'03_Daily_Report'!B30,IF($B$4="Weekly",'04_Weekly_Report'!B30,'05_Monthly_Report'!B30))</f>
        <v/>
      </c>
      <c r="C17" s="26">
        <f>IF($B$4="Daily",'03_Daily_Report'!C30,IF($B$4="Weekly",'04_Weekly_Report'!C30,'05_Monthly_Report'!C30))</f>
        <v/>
      </c>
      <c r="D17" s="90">
        <f>IF($B$4="Daily",'03_Daily_Report'!D30,IF($B$4="Weekly",'04_Weekly_Report'!D30,'05_Monthly_Report'!D30))</f>
        <v/>
      </c>
      <c r="E17" s="88">
        <f>IF($B$4="Daily",'03_Daily_Report'!E30,IF($B$4="Weekly",'04_Weekly_Report'!E30,'05_Monthly_Report'!E30))</f>
        <v/>
      </c>
      <c r="F17" s="90">
        <f>IF($B$4="Daily",'03_Daily_Report'!F30,IF($B$4="Weekly",'04_Weekly_Report'!F30,'05_Monthly_Report'!F30))</f>
        <v/>
      </c>
      <c r="G17" s="89">
        <f>IF($B$4="Daily",'03_Daily_Report'!G30,IF($B$4="Weekly",'04_Weekly_Report'!G30,'05_Monthly_Report'!G30))</f>
        <v/>
      </c>
      <c r="H17" s="26">
        <f>IF($B$4="Daily",'03_Daily_Report'!H30,IF($B$4="Weekly",'04_Weekly_Report'!H30,'05_Monthly_Report'!H30))</f>
        <v/>
      </c>
    </row>
    <row r="18" ht="18" customHeight="1">
      <c r="A18" s="26">
        <f>IF($B$4="Daily",'03_Daily_Report'!A31,IF($B$4="Weekly",'04_Weekly_Report'!A31,'05_Monthly_Report'!A31))</f>
        <v/>
      </c>
      <c r="B18" s="26">
        <f>IF($B$4="Daily",'03_Daily_Report'!B31,IF($B$4="Weekly",'04_Weekly_Report'!B31,'05_Monthly_Report'!B31))</f>
        <v/>
      </c>
      <c r="C18" s="26">
        <f>IF($B$4="Daily",'03_Daily_Report'!C31,IF($B$4="Weekly",'04_Weekly_Report'!C31,'05_Monthly_Report'!C31))</f>
        <v/>
      </c>
      <c r="D18" s="90">
        <f>IF($B$4="Daily",'03_Daily_Report'!D31,IF($B$4="Weekly",'04_Weekly_Report'!D31,'05_Monthly_Report'!D31))</f>
        <v/>
      </c>
      <c r="E18" s="88">
        <f>IF($B$4="Daily",'03_Daily_Report'!E31,IF($B$4="Weekly",'04_Weekly_Report'!E31,'05_Monthly_Report'!E31))</f>
        <v/>
      </c>
      <c r="F18" s="90">
        <f>IF($B$4="Daily",'03_Daily_Report'!F31,IF($B$4="Weekly",'04_Weekly_Report'!F31,'05_Monthly_Report'!F31))</f>
        <v/>
      </c>
      <c r="G18" s="89">
        <f>IF($B$4="Daily",'03_Daily_Report'!G31,IF($B$4="Weekly",'04_Weekly_Report'!G31,'05_Monthly_Report'!G31))</f>
        <v/>
      </c>
      <c r="H18" s="26">
        <f>IF($B$4="Daily",'03_Daily_Report'!H31,IF($B$4="Weekly",'04_Weekly_Report'!H31,'05_Monthly_Report'!H31))</f>
        <v/>
      </c>
    </row>
    <row r="19" ht="18" customHeight="1">
      <c r="A19" s="26">
        <f>IF($B$4="Daily",'03_Daily_Report'!A32,IF($B$4="Weekly",'04_Weekly_Report'!A32,'05_Monthly_Report'!A32))</f>
        <v/>
      </c>
      <c r="B19" s="26">
        <f>IF($B$4="Daily",'03_Daily_Report'!B32,IF($B$4="Weekly",'04_Weekly_Report'!B32,'05_Monthly_Report'!B32))</f>
        <v/>
      </c>
      <c r="C19" s="26">
        <f>IF($B$4="Daily",'03_Daily_Report'!C32,IF($B$4="Weekly",'04_Weekly_Report'!C32,'05_Monthly_Report'!C32))</f>
        <v/>
      </c>
      <c r="D19" s="90">
        <f>IF($B$4="Daily",'03_Daily_Report'!D32,IF($B$4="Weekly",'04_Weekly_Report'!D32,'05_Monthly_Report'!D32))</f>
        <v/>
      </c>
      <c r="E19" s="88">
        <f>IF($B$4="Daily",'03_Daily_Report'!E32,IF($B$4="Weekly",'04_Weekly_Report'!E32,'05_Monthly_Report'!E32))</f>
        <v/>
      </c>
      <c r="F19" s="90">
        <f>IF($B$4="Daily",'03_Daily_Report'!F32,IF($B$4="Weekly",'04_Weekly_Report'!F32,'05_Monthly_Report'!F32))</f>
        <v/>
      </c>
      <c r="G19" s="89">
        <f>IF($B$4="Daily",'03_Daily_Report'!G32,IF($B$4="Weekly",'04_Weekly_Report'!G32,'05_Monthly_Report'!G32))</f>
        <v/>
      </c>
      <c r="H19" s="26">
        <f>IF($B$4="Daily",'03_Daily_Report'!H32,IF($B$4="Weekly",'04_Weekly_Report'!H32,'05_Monthly_Report'!H32))</f>
        <v/>
      </c>
    </row>
    <row r="20" ht="18" customHeight="1">
      <c r="A20" s="26">
        <f>IF($B$4="Daily",'03_Daily_Report'!A33,IF($B$4="Weekly",'04_Weekly_Report'!A33,'05_Monthly_Report'!A33))</f>
        <v/>
      </c>
      <c r="B20" s="26">
        <f>IF($B$4="Daily",'03_Daily_Report'!B33,IF($B$4="Weekly",'04_Weekly_Report'!B33,'05_Monthly_Report'!B33))</f>
        <v/>
      </c>
      <c r="C20" s="26">
        <f>IF($B$4="Daily",'03_Daily_Report'!C33,IF($B$4="Weekly",'04_Weekly_Report'!C33,'05_Monthly_Report'!C33))</f>
        <v/>
      </c>
      <c r="D20" s="90">
        <f>IF($B$4="Daily",'03_Daily_Report'!D33,IF($B$4="Weekly",'04_Weekly_Report'!D33,'05_Monthly_Report'!D33))</f>
        <v/>
      </c>
      <c r="E20" s="88">
        <f>IF($B$4="Daily",'03_Daily_Report'!E33,IF($B$4="Weekly",'04_Weekly_Report'!E33,'05_Monthly_Report'!E33))</f>
        <v/>
      </c>
      <c r="F20" s="90">
        <f>IF($B$4="Daily",'03_Daily_Report'!F33,IF($B$4="Weekly",'04_Weekly_Report'!F33,'05_Monthly_Report'!F33))</f>
        <v/>
      </c>
      <c r="G20" s="89">
        <f>IF($B$4="Daily",'03_Daily_Report'!G33,IF($B$4="Weekly",'04_Weekly_Report'!G33,'05_Monthly_Report'!G33))</f>
        <v/>
      </c>
      <c r="H20" s="26">
        <f>IF($B$4="Daily",'03_Daily_Report'!H33,IF($B$4="Weekly",'04_Weekly_Report'!H33,'05_Monthly_Report'!H33))</f>
        <v/>
      </c>
    </row>
    <row r="21" ht="18" customHeight="1">
      <c r="A21" s="26">
        <f>IF($B$4="Daily",'03_Daily_Report'!A34,IF($B$4="Weekly",'04_Weekly_Report'!A34,'05_Monthly_Report'!A34))</f>
        <v/>
      </c>
      <c r="B21" s="26">
        <f>IF($B$4="Daily",'03_Daily_Report'!B34,IF($B$4="Weekly",'04_Weekly_Report'!B34,'05_Monthly_Report'!B34))</f>
        <v/>
      </c>
      <c r="C21" s="26">
        <f>IF($B$4="Daily",'03_Daily_Report'!C34,IF($B$4="Weekly",'04_Weekly_Report'!C34,'05_Monthly_Report'!C34))</f>
        <v/>
      </c>
      <c r="D21" s="90">
        <f>IF($B$4="Daily",'03_Daily_Report'!D34,IF($B$4="Weekly",'04_Weekly_Report'!D34,'05_Monthly_Report'!D34))</f>
        <v/>
      </c>
      <c r="E21" s="88">
        <f>IF($B$4="Daily",'03_Daily_Report'!E34,IF($B$4="Weekly",'04_Weekly_Report'!E34,'05_Monthly_Report'!E34))</f>
        <v/>
      </c>
      <c r="F21" s="90">
        <f>IF($B$4="Daily",'03_Daily_Report'!F34,IF($B$4="Weekly",'04_Weekly_Report'!F34,'05_Monthly_Report'!F34))</f>
        <v/>
      </c>
      <c r="G21" s="89">
        <f>IF($B$4="Daily",'03_Daily_Report'!G34,IF($B$4="Weekly",'04_Weekly_Report'!G34,'05_Monthly_Report'!G34))</f>
        <v/>
      </c>
      <c r="H21" s="26">
        <f>IF($B$4="Daily",'03_Daily_Report'!H34,IF($B$4="Weekly",'04_Weekly_Report'!H34,'05_Monthly_Report'!H34))</f>
        <v/>
      </c>
    </row>
    <row r="22" ht="18" customHeight="1">
      <c r="A22" s="26">
        <f>IF($B$4="Daily",'03_Daily_Report'!A35,IF($B$4="Weekly",'04_Weekly_Report'!A35,'05_Monthly_Report'!A35))</f>
        <v/>
      </c>
      <c r="B22" s="26">
        <f>IF($B$4="Daily",'03_Daily_Report'!B35,IF($B$4="Weekly",'04_Weekly_Report'!B35,'05_Monthly_Report'!B35))</f>
        <v/>
      </c>
      <c r="C22" s="26">
        <f>IF($B$4="Daily",'03_Daily_Report'!C35,IF($B$4="Weekly",'04_Weekly_Report'!C35,'05_Monthly_Report'!C35))</f>
        <v/>
      </c>
      <c r="D22" s="90">
        <f>IF($B$4="Daily",'03_Daily_Report'!D35,IF($B$4="Weekly",'04_Weekly_Report'!D35,'05_Monthly_Report'!D35))</f>
        <v/>
      </c>
      <c r="E22" s="88">
        <f>IF($B$4="Daily",'03_Daily_Report'!E35,IF($B$4="Weekly",'04_Weekly_Report'!E35,'05_Monthly_Report'!E35))</f>
        <v/>
      </c>
      <c r="F22" s="90">
        <f>IF($B$4="Daily",'03_Daily_Report'!F35,IF($B$4="Weekly",'04_Weekly_Report'!F35,'05_Monthly_Report'!F35))</f>
        <v/>
      </c>
      <c r="G22" s="89">
        <f>IF($B$4="Daily",'03_Daily_Report'!G35,IF($B$4="Weekly",'04_Weekly_Report'!G35,'05_Monthly_Report'!G35))</f>
        <v/>
      </c>
      <c r="H22" s="26">
        <f>IF($B$4="Daily",'03_Daily_Report'!H35,IF($B$4="Weekly",'04_Weekly_Report'!H35,'05_Monthly_Report'!H35))</f>
        <v/>
      </c>
    </row>
    <row r="23"/>
    <row r="24"/>
    <row r="25" ht="22" customHeight="1">
      <c r="A25" s="19" t="inlineStr">
        <is>
          <t>Last 14 days trend (daily basis)</t>
        </is>
      </c>
    </row>
    <row r="26" ht="24" customHeight="1">
      <c r="A26" s="34" t="inlineStr">
        <is>
          <t>Date</t>
        </is>
      </c>
      <c r="B26" s="34" t="inlineStr">
        <is>
          <t>Requests</t>
        </is>
      </c>
      <c r="C26" s="34" t="inlineStr">
        <is>
          <t>Completed</t>
        </is>
      </c>
      <c r="D26" s="34" t="inlineStr">
        <is>
          <t>Revenue</t>
        </is>
      </c>
      <c r="E26" s="34" t="inlineStr">
        <is>
          <t>Completion rate</t>
        </is>
      </c>
      <c r="F26" s="34" t="inlineStr">
        <is>
          <t>Overdue rate</t>
        </is>
      </c>
    </row>
    <row r="27" ht="18" customHeight="1">
      <c r="A27" s="86">
        <f>'03_Daily_Report'!H9</f>
        <v/>
      </c>
      <c r="B27" s="26">
        <f>'03_Daily_Report'!I9</f>
        <v/>
      </c>
      <c r="C27" s="26">
        <f>'03_Daily_Report'!J9</f>
        <v/>
      </c>
      <c r="D27" s="88">
        <f>'03_Daily_Report'!K9</f>
        <v/>
      </c>
      <c r="E27" s="90">
        <f>'03_Daily_Report'!L9</f>
        <v/>
      </c>
      <c r="F27" s="90">
        <f>'03_Daily_Report'!M9</f>
        <v/>
      </c>
    </row>
    <row r="28" ht="18" customHeight="1">
      <c r="A28" s="86">
        <f>'03_Daily_Report'!H10</f>
        <v/>
      </c>
      <c r="B28" s="26">
        <f>'03_Daily_Report'!I10</f>
        <v/>
      </c>
      <c r="C28" s="26">
        <f>'03_Daily_Report'!J10</f>
        <v/>
      </c>
      <c r="D28" s="88">
        <f>'03_Daily_Report'!K10</f>
        <v/>
      </c>
      <c r="E28" s="90">
        <f>'03_Daily_Report'!L10</f>
        <v/>
      </c>
      <c r="F28" s="90">
        <f>'03_Daily_Report'!M10</f>
        <v/>
      </c>
    </row>
    <row r="29" ht="18" customHeight="1">
      <c r="A29" s="86">
        <f>'03_Daily_Report'!H11</f>
        <v/>
      </c>
      <c r="B29" s="26">
        <f>'03_Daily_Report'!I11</f>
        <v/>
      </c>
      <c r="C29" s="26">
        <f>'03_Daily_Report'!J11</f>
        <v/>
      </c>
      <c r="D29" s="88">
        <f>'03_Daily_Report'!K11</f>
        <v/>
      </c>
      <c r="E29" s="90">
        <f>'03_Daily_Report'!L11</f>
        <v/>
      </c>
      <c r="F29" s="90">
        <f>'03_Daily_Report'!M11</f>
        <v/>
      </c>
    </row>
    <row r="30" ht="18" customHeight="1">
      <c r="A30" s="86">
        <f>'03_Daily_Report'!H12</f>
        <v/>
      </c>
      <c r="B30" s="26">
        <f>'03_Daily_Report'!I12</f>
        <v/>
      </c>
      <c r="C30" s="26">
        <f>'03_Daily_Report'!J12</f>
        <v/>
      </c>
      <c r="D30" s="88">
        <f>'03_Daily_Report'!K12</f>
        <v/>
      </c>
      <c r="E30" s="90">
        <f>'03_Daily_Report'!L12</f>
        <v/>
      </c>
      <c r="F30" s="90">
        <f>'03_Daily_Report'!M12</f>
        <v/>
      </c>
    </row>
    <row r="31" ht="18" customHeight="1">
      <c r="A31" s="86">
        <f>'03_Daily_Report'!H13</f>
        <v/>
      </c>
      <c r="B31" s="26">
        <f>'03_Daily_Report'!I13</f>
        <v/>
      </c>
      <c r="C31" s="26">
        <f>'03_Daily_Report'!J13</f>
        <v/>
      </c>
      <c r="D31" s="88">
        <f>'03_Daily_Report'!K13</f>
        <v/>
      </c>
      <c r="E31" s="90">
        <f>'03_Daily_Report'!L13</f>
        <v/>
      </c>
      <c r="F31" s="90">
        <f>'03_Daily_Report'!M13</f>
        <v/>
      </c>
    </row>
    <row r="32" ht="18" customHeight="1">
      <c r="A32" s="86">
        <f>'03_Daily_Report'!H14</f>
        <v/>
      </c>
      <c r="B32" s="26">
        <f>'03_Daily_Report'!I14</f>
        <v/>
      </c>
      <c r="C32" s="26">
        <f>'03_Daily_Report'!J14</f>
        <v/>
      </c>
      <c r="D32" s="88">
        <f>'03_Daily_Report'!K14</f>
        <v/>
      </c>
      <c r="E32" s="90">
        <f>'03_Daily_Report'!L14</f>
        <v/>
      </c>
      <c r="F32" s="90">
        <f>'03_Daily_Report'!M14</f>
        <v/>
      </c>
    </row>
    <row r="33" ht="18" customHeight="1">
      <c r="A33" s="86">
        <f>'03_Daily_Report'!H15</f>
        <v/>
      </c>
      <c r="B33" s="26">
        <f>'03_Daily_Report'!I15</f>
        <v/>
      </c>
      <c r="C33" s="26">
        <f>'03_Daily_Report'!J15</f>
        <v/>
      </c>
      <c r="D33" s="88">
        <f>'03_Daily_Report'!K15</f>
        <v/>
      </c>
      <c r="E33" s="90">
        <f>'03_Daily_Report'!L15</f>
        <v/>
      </c>
      <c r="F33" s="90">
        <f>'03_Daily_Report'!M15</f>
        <v/>
      </c>
    </row>
    <row r="34" ht="18" customHeight="1">
      <c r="A34" s="86">
        <f>'03_Daily_Report'!H16</f>
        <v/>
      </c>
      <c r="B34" s="26">
        <f>'03_Daily_Report'!I16</f>
        <v/>
      </c>
      <c r="C34" s="26">
        <f>'03_Daily_Report'!J16</f>
        <v/>
      </c>
      <c r="D34" s="88">
        <f>'03_Daily_Report'!K16</f>
        <v/>
      </c>
      <c r="E34" s="90">
        <f>'03_Daily_Report'!L16</f>
        <v/>
      </c>
      <c r="F34" s="90">
        <f>'03_Daily_Report'!M16</f>
        <v/>
      </c>
    </row>
    <row r="35" ht="18" customHeight="1">
      <c r="A35" s="86">
        <f>'03_Daily_Report'!H17</f>
        <v/>
      </c>
      <c r="B35" s="26">
        <f>'03_Daily_Report'!I17</f>
        <v/>
      </c>
      <c r="C35" s="26">
        <f>'03_Daily_Report'!J17</f>
        <v/>
      </c>
      <c r="D35" s="88">
        <f>'03_Daily_Report'!K17</f>
        <v/>
      </c>
      <c r="E35" s="90">
        <f>'03_Daily_Report'!L17</f>
        <v/>
      </c>
      <c r="F35" s="90">
        <f>'03_Daily_Report'!M17</f>
        <v/>
      </c>
    </row>
    <row r="36" ht="18" customHeight="1">
      <c r="A36" s="86">
        <f>'03_Daily_Report'!H18</f>
        <v/>
      </c>
      <c r="B36" s="26">
        <f>'03_Daily_Report'!I18</f>
        <v/>
      </c>
      <c r="C36" s="26">
        <f>'03_Daily_Report'!J18</f>
        <v/>
      </c>
      <c r="D36" s="88">
        <f>'03_Daily_Report'!K18</f>
        <v/>
      </c>
      <c r="E36" s="90">
        <f>'03_Daily_Report'!L18</f>
        <v/>
      </c>
      <c r="F36" s="90">
        <f>'03_Daily_Report'!M18</f>
        <v/>
      </c>
    </row>
    <row r="37" ht="18" customHeight="1">
      <c r="A37" s="86">
        <f>'03_Daily_Report'!H19</f>
        <v/>
      </c>
      <c r="B37" s="26">
        <f>'03_Daily_Report'!I19</f>
        <v/>
      </c>
      <c r="C37" s="26">
        <f>'03_Daily_Report'!J19</f>
        <v/>
      </c>
      <c r="D37" s="88">
        <f>'03_Daily_Report'!K19</f>
        <v/>
      </c>
      <c r="E37" s="90">
        <f>'03_Daily_Report'!L19</f>
        <v/>
      </c>
      <c r="F37" s="90">
        <f>'03_Daily_Report'!M19</f>
        <v/>
      </c>
    </row>
    <row r="38" ht="18" customHeight="1">
      <c r="A38" s="86">
        <f>'03_Daily_Report'!H20</f>
        <v/>
      </c>
      <c r="B38" s="26">
        <f>'03_Daily_Report'!I20</f>
        <v/>
      </c>
      <c r="C38" s="26">
        <f>'03_Daily_Report'!J20</f>
        <v/>
      </c>
      <c r="D38" s="88">
        <f>'03_Daily_Report'!K20</f>
        <v/>
      </c>
      <c r="E38" s="90">
        <f>'03_Daily_Report'!L20</f>
        <v/>
      </c>
      <c r="F38" s="90">
        <f>'03_Daily_Report'!M20</f>
        <v/>
      </c>
    </row>
    <row r="39" ht="18" customHeight="1">
      <c r="A39" s="86">
        <f>'03_Daily_Report'!H21</f>
        <v/>
      </c>
      <c r="B39" s="26">
        <f>'03_Daily_Report'!I21</f>
        <v/>
      </c>
      <c r="C39" s="26">
        <f>'03_Daily_Report'!J21</f>
        <v/>
      </c>
      <c r="D39" s="88">
        <f>'03_Daily_Report'!K21</f>
        <v/>
      </c>
      <c r="E39" s="90">
        <f>'03_Daily_Report'!L21</f>
        <v/>
      </c>
      <c r="F39" s="90">
        <f>'03_Daily_Report'!M21</f>
        <v/>
      </c>
    </row>
    <row r="40" ht="18" customHeight="1">
      <c r="A40" s="86">
        <f>'03_Daily_Report'!H22</f>
        <v/>
      </c>
      <c r="B40" s="26">
        <f>'03_Daily_Report'!I22</f>
        <v/>
      </c>
      <c r="C40" s="26">
        <f>'03_Daily_Report'!J22</f>
        <v/>
      </c>
      <c r="D40" s="88">
        <f>'03_Daily_Report'!K22</f>
        <v/>
      </c>
      <c r="E40" s="90">
        <f>'03_Daily_Report'!L22</f>
        <v/>
      </c>
      <c r="F40" s="90">
        <f>'03_Daily_Report'!M22</f>
        <v/>
      </c>
    </row>
  </sheetData>
  <mergeCells count="1">
    <mergeCell ref="A1:H1"/>
  </mergeCells>
  <dataValidations count="3">
    <dataValidation sqref="B4" showDropDown="0" showInputMessage="0" showErrorMessage="0" allowBlank="0" type="list">
      <formula1>'01_Settings'!$D$4:$D$6</formula1>
    </dataValidation>
    <dataValidation sqref="B5" showDropDown="0" showInputMessage="0" showErrorMessage="0" allowBlank="0" type="list">
      <formula1>'01_Settings'!$F$4:$F$13</formula1>
    </dataValidation>
    <dataValidation sqref="B6" showDropDown="0" showInputMessage="0" showErrorMessage="0" allowBlank="0" type="list">
      <formula1>'01_Settings'!$H$4:$H$10</formula1>
    </dataValidation>
  </dataValidations>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H17"/>
  <sheetViews>
    <sheetView workbookViewId="0">
      <selection activeCell="A1" sqref="A1"/>
    </sheetView>
  </sheetViews>
  <sheetFormatPr baseColWidth="8" defaultRowHeight="15"/>
  <cols>
    <col width="18" customWidth="1" min="1" max="1"/>
    <col width="42" customWidth="1" min="2" max="2"/>
    <col width="26" customWidth="1" min="3" max="3"/>
    <col width="30" customWidth="1" min="4" max="4"/>
    <col width="24" customWidth="1" min="5" max="5"/>
  </cols>
  <sheetData>
    <row r="1" ht="30" customHeight="1">
      <c r="A1" s="9" t="inlineStr">
        <is>
          <t>Metric dictionary and field notes</t>
        </is>
      </c>
      <c r="B1" s="1" t="n"/>
      <c r="C1" s="1" t="n"/>
      <c r="D1" s="1" t="n"/>
      <c r="E1" s="1" t="n"/>
      <c r="F1" s="1" t="n"/>
      <c r="G1" s="1" t="n"/>
      <c r="H1" s="1" t="n"/>
    </row>
    <row r="2"/>
    <row r="3" ht="24" customHeight="1">
      <c r="A3" s="34" t="inlineStr">
        <is>
          <t>Metric / Field</t>
        </is>
      </c>
      <c r="B3" s="34" t="inlineStr">
        <is>
          <t>Definition</t>
        </is>
      </c>
      <c r="C3" s="34" t="inlineStr">
        <is>
          <t>Typical use</t>
        </is>
      </c>
      <c r="D3" s="34" t="inlineStr">
        <is>
          <t>Basis / Formula</t>
        </is>
      </c>
      <c r="E3" s="34" t="inlineStr">
        <is>
          <t>Applicable context</t>
        </is>
      </c>
    </row>
    <row r="4" ht="18" customHeight="1">
      <c r="A4" s="26" t="inlineStr">
        <is>
          <t>Request / Ticket volume</t>
        </is>
      </c>
      <c r="B4" s="42" t="inlineStr">
        <is>
          <t>Number of requests, orders, tickets, or tasks generated during a period</t>
        </is>
      </c>
      <c r="C4" s="42" t="inlineStr">
        <is>
          <t>Measures operating load</t>
        </is>
      </c>
      <c r="D4" s="42" t="inlineStr">
        <is>
          <t>Sum by date or period</t>
        </is>
      </c>
      <c r="E4" s="42" t="inlineStr">
        <is>
          <t>All operating contexts</t>
        </is>
      </c>
    </row>
    <row r="5" ht="18" customHeight="1">
      <c r="A5" s="26" t="inlineStr">
        <is>
          <t>Completed volume</t>
        </is>
      </c>
      <c r="B5" s="42" t="inlineStr">
        <is>
          <t>Number completed, delivered, closed, or won</t>
        </is>
      </c>
      <c r="C5" s="42" t="inlineStr">
        <is>
          <t>Measures output</t>
        </is>
      </c>
      <c r="D5" s="42" t="inlineStr">
        <is>
          <t>Sum by date or period</t>
        </is>
      </c>
      <c r="E5" s="42" t="inlineStr">
        <is>
          <t>Service, sales, delivery</t>
        </is>
      </c>
    </row>
    <row r="6" ht="18" customHeight="1">
      <c r="A6" s="26" t="inlineStr">
        <is>
          <t>Completion rate</t>
        </is>
      </c>
      <c r="B6" s="42" t="inlineStr">
        <is>
          <t>Completed volume divided by request or ticket volume</t>
        </is>
      </c>
      <c r="C6" s="42" t="inlineStr">
        <is>
          <t>Measures fulfillment efficiency</t>
        </is>
      </c>
      <c r="D6" s="42" t="inlineStr">
        <is>
          <t>Completed volume / Request volume</t>
        </is>
      </c>
      <c r="E6" s="42" t="inlineStr">
        <is>
          <t>All operating contexts</t>
        </is>
      </c>
    </row>
    <row r="7" ht="18" customHeight="1">
      <c r="A7" s="26" t="inlineStr">
        <is>
          <t>Overdue rate</t>
        </is>
      </c>
      <c r="B7" s="42" t="inlineStr">
        <is>
          <t>Overdue volume divided by request or ticket volume</t>
        </is>
      </c>
      <c r="C7" s="42" t="inlineStr">
        <is>
          <t>Service level risk alert</t>
        </is>
      </c>
      <c r="D7" s="42" t="inlineStr">
        <is>
          <t>Overdue volume / Request volume</t>
        </is>
      </c>
      <c r="E7" s="42" t="inlineStr">
        <is>
          <t>Support, after-sales, delivery</t>
        </is>
      </c>
    </row>
    <row r="8" ht="18" customHeight="1">
      <c r="A8" s="26" t="inlineStr">
        <is>
          <t>Cancellation rate</t>
        </is>
      </c>
      <c r="B8" s="42" t="inlineStr">
        <is>
          <t>Cancellation volume divided by request or ticket volume</t>
        </is>
      </c>
      <c r="C8" s="42" t="inlineStr">
        <is>
          <t>Identifies churn or process issues</t>
        </is>
      </c>
      <c r="D8" s="42" t="inlineStr">
        <is>
          <t>Cancellation volume / Request volume</t>
        </is>
      </c>
      <c r="E8" s="42" t="inlineStr">
        <is>
          <t>E-commerce, sales, projects</t>
        </is>
      </c>
    </row>
    <row r="9" ht="18" customHeight="1">
      <c r="A9" s="26" t="inlineStr">
        <is>
          <t>Revenue</t>
        </is>
      </c>
      <c r="B9" s="42" t="inlineStr">
        <is>
          <t>Revenue or service value recognized during the period</t>
        </is>
      </c>
      <c r="C9" s="42" t="inlineStr">
        <is>
          <t>Business result</t>
        </is>
      </c>
      <c r="D9" s="42" t="inlineStr">
        <is>
          <t>Sum by period</t>
        </is>
      </c>
      <c r="E9" s="42" t="inlineStr">
        <is>
          <t>Commercial operations</t>
        </is>
      </c>
    </row>
    <row r="10" ht="18" customHeight="1">
      <c r="A10" s="26" t="inlineStr">
        <is>
          <t>Cost</t>
        </is>
      </c>
      <c r="B10" s="42" t="inlineStr">
        <is>
          <t>Service, fulfillment, labor, or purchasing cost during the period</t>
        </is>
      </c>
      <c r="C10" s="42" t="inlineStr">
        <is>
          <t>Gross margin management</t>
        </is>
      </c>
      <c r="D10" s="42" t="inlineStr">
        <is>
          <t>Sum by period</t>
        </is>
      </c>
      <c r="E10" s="42" t="inlineStr">
        <is>
          <t>Commercial operations</t>
        </is>
      </c>
    </row>
    <row r="11" ht="18" customHeight="1">
      <c r="A11" s="26" t="inlineStr">
        <is>
          <t>Gross margin</t>
        </is>
      </c>
      <c r="B11" s="42" t="inlineStr">
        <is>
          <t>Gross profit as a share of revenue</t>
        </is>
      </c>
      <c r="C11" s="42" t="inlineStr">
        <is>
          <t>Cost efficiency</t>
        </is>
      </c>
      <c r="D11" s="42" t="inlineStr">
        <is>
          <t>(Revenue - Cost) / Revenue</t>
        </is>
      </c>
      <c r="E11" s="42" t="inlineStr">
        <is>
          <t>Sales, e-commerce, delivery</t>
        </is>
      </c>
    </row>
    <row r="12" ht="18" customHeight="1">
      <c r="A12" s="26" t="inlineStr">
        <is>
          <t>Productivity</t>
        </is>
      </c>
      <c r="B12" s="42" t="inlineStr">
        <is>
          <t>Completed volume per labor hour</t>
        </is>
      </c>
      <c r="C12" s="42" t="inlineStr">
        <is>
          <t>Team efficiency</t>
        </is>
      </c>
      <c r="D12" s="42" t="inlineStr">
        <is>
          <t>Completed volume / Labor hours</t>
        </is>
      </c>
      <c r="E12" s="42" t="inlineStr">
        <is>
          <t>Service, stores, support</t>
        </is>
      </c>
    </row>
    <row r="13" ht="18" customHeight="1">
      <c r="A13" s="26" t="inlineStr">
        <is>
          <t>Conversion rate</t>
        </is>
      </c>
      <c r="B13" s="42" t="inlineStr">
        <is>
          <t>Conversions divided by visitors or active users</t>
        </is>
      </c>
      <c r="C13" s="42" t="inlineStr">
        <is>
          <t>Channel and funnel analysis</t>
        </is>
      </c>
      <c r="D13" s="42" t="inlineStr">
        <is>
          <t>Conversions / Visitors</t>
        </is>
      </c>
      <c r="E13" s="42" t="inlineStr">
        <is>
          <t>Sales, content, e-commerce</t>
        </is>
      </c>
    </row>
    <row r="14" ht="18" customHeight="1">
      <c r="A14" s="26" t="inlineStr">
        <is>
          <t>Complaint rate</t>
        </is>
      </c>
      <c r="B14" s="42" t="inlineStr">
        <is>
          <t>Complaints or poor reviews divided by request or ticket volume</t>
        </is>
      </c>
      <c r="C14" s="42" t="inlineStr">
        <is>
          <t>Experience risk alert</t>
        </is>
      </c>
      <c r="D14" s="42" t="inlineStr">
        <is>
          <t>Complaint volume / Request volume</t>
        </is>
      </c>
      <c r="E14" s="42" t="inlineStr">
        <is>
          <t>Service, after-sales, stores</t>
        </is>
      </c>
    </row>
    <row r="15" ht="18" customHeight="1">
      <c r="A15" s="26" t="inlineStr">
        <is>
          <t>Satisfaction score</t>
        </is>
      </c>
      <c r="B15" s="42" t="inlineStr">
        <is>
          <t>Customer satisfaction, recommendation score, or average rating</t>
        </is>
      </c>
      <c r="C15" s="42" t="inlineStr">
        <is>
          <t>Experience management</t>
        </is>
      </c>
      <c r="D15" s="42" t="inlineStr">
        <is>
          <t>Average rating</t>
        </is>
      </c>
      <c r="E15" s="42" t="inlineStr">
        <is>
          <t>Service, customer success</t>
        </is>
      </c>
    </row>
    <row r="16" ht="18" customHeight="1">
      <c r="A16" s="26" t="inlineStr">
        <is>
          <t>Service level met</t>
        </is>
      </c>
      <c r="B16" s="42" t="inlineStr">
        <is>
          <t>Whether completion rate, response time, and resolution time all meet targets</t>
        </is>
      </c>
      <c r="C16" s="42" t="inlineStr">
        <is>
          <t>Service quality assessment</t>
        </is>
      </c>
      <c r="D16" s="42" t="inlineStr">
        <is>
          <t>Thresholds come from the settings sheet</t>
        </is>
      </c>
      <c r="E16" s="42" t="inlineStr">
        <is>
          <t>Tickets, support, after-sales</t>
        </is>
      </c>
    </row>
    <row r="17" ht="18" customHeight="1">
      <c r="A17" s="26" t="inlineStr">
        <is>
          <t>Exception flag</t>
        </is>
      </c>
      <c r="B17" s="42" t="inlineStr">
        <is>
          <t>Automatically joins off-track reasons</t>
        </is>
      </c>
      <c r="C17" s="42" t="inlineStr">
        <is>
          <t>Alerts and review</t>
        </is>
      </c>
      <c r="D17" s="42" t="inlineStr">
        <is>
          <t>Generated from setting thresholds</t>
        </is>
      </c>
      <c r="E17" s="42" t="inlineStr">
        <is>
          <t>All operating contexts</t>
        </is>
      </c>
    </row>
  </sheetData>
  <mergeCells count="1">
    <mergeCell ref="A1:H1"/>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Finite Field</dc:creator>
  <dc:title xmlns:dc="http://purl.org/dc/elements/1.1/">Service Operations Data Daily, Weekly, and Monthly Report Automation Template</dc:title>
  <dc:description xmlns:dc="http://purl.org/dc/elements/1.1/">Template for service operations daily, weekly, and monthly reporting, metric alerts, and review loops</dc:description>
  <dcterms:created xmlns:dcterms="http://purl.org/dc/terms/" xmlns:xsi="http://www.w3.org/2001/XMLSchema-instance" xsi:type="dcterms:W3CDTF">2026-05-01T05:35:43Z</dcterms:created>
  <dcterms:modified xmlns:dcterms="http://purl.org/dc/terms/" xmlns:xsi="http://www.w3.org/2001/XMLSchema-instance" xsi:type="dcterms:W3CDTF">2026-05-01T05:35:43Z</dcterms:modified>
</cp:coreProperties>
</file>