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95a993134b1a4bf7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使い方" sheetId="1" r:id="Ra04edd08552449f7"/>
    <sheet name="ダッシュボード" sheetId="2" r:id="Rceabbc6eea7c4d9e"/>
    <sheet name="補充記録" sheetId="3" r:id="Rfe3202c966ab4767"/>
    <sheet name="商品カタログ" sheetId="4" r:id="Red1a4f11627a4af3"/>
    <sheet name="仕入先カタログ" sheetId="5" r:id="R9403d37ff57e4492"/>
    <sheet name="拠点一覧" sheetId="6" r:id="R97c873209a9a4b75"/>
    <sheet name="設定" sheetId="7" r:id="Rba0d8e46d785483e"/>
    <sheet name="シーンガイド" sheetId="8" r:id="Rb11a9e4702e74f71"/>
  </sheets>
</workbook>
</file>

<file path=xl/sharedStrings.xml><?xml version="1.0" encoding="utf-8"?>
<sst xmlns="http://schemas.openxmlformats.org/spreadsheetml/2006/main" count="808" uniqueCount="432">
  <si>
    <t>小売在庫補充記録テンプレート</t>
  </si>
  <si>
    <t>使い方</t>
  </si>
  <si>
    <t>説明</t>
  </si>
  <si>
    <t>重要項目</t>
  </si>
  <si>
    <t>種類</t>
  </si>
  <si>
    <t>1. マスタを整備する</t>
  </si>
  <si>
    <t>「商品カタログ」「仕入先カタログ」「拠点一覧」に、自社のSKU、仕入先、店舗と倉庫の情報を入力または差し替えます。</t>
  </si>
  <si>
    <t>商品カタログから自動反映</t>
  </si>
  <si>
    <t>2. 補充依頼を入力する</t>
  </si>
  <si>
    <t>発注点</t>
  </si>
  <si>
    <t>補充提案を出す基準です。現在庫が発注点以下になると補充を促します。</t>
  </si>
  <si>
    <t>3. 自動提案を確認する</t>
  </si>
  <si>
    <t>推奨補充数</t>
  </si>
  <si>
    <t>自動計算</t>
  </si>
  <si>
    <t>4. 承認と入荷を管理する</t>
  </si>
  <si>
    <t>状態項目で、承認待ち、承認済み、発注済み、輸送中、一部入荷、入荷済み、キャンセル済みの流れを追跡します。</t>
  </si>
  <si>
    <t>見込仕入金額</t>
  </si>
  <si>
    <t>今回申請数×単価で算出し、承認と予算管理に使いやすくします。</t>
  </si>
  <si>
    <t>5. ダッシュボードで振り返る</t>
  </si>
  <si>
    <t>自動アラート</t>
  </si>
  <si>
    <t>回転リスク</t>
  </si>
  <si>
    <t>会社ごとに調整するポイント</t>
  </si>
  <si>
    <t>• 「業務シーン」は、自動補充、緊急補充、拠点間移動、販促向け備蓄など、自社の補充トリガーに合わせて増やせます。</t>
  </si>
  <si>
    <t>在庫補充ダッシュボード</t>
  </si>
  <si>
    <t>補充件数</t>
  </si>
  <si>
    <t>今回申請数合計</t>
  </si>
  <si>
    <t>遅延件数</t>
  </si>
  <si>
    <t>補充アラート</t>
  </si>
  <si>
    <t>高回転リスク</t>
  </si>
  <si>
    <t>承認待ち</t>
  </si>
  <si>
    <t>伝票状態</t>
  </si>
  <si>
    <t>件数</t>
  </si>
  <si>
    <t>業務シーン</t>
  </si>
  <si>
    <t>申請数</t>
  </si>
  <si>
    <t>金額</t>
  </si>
  <si>
    <t>カテゴリ</t>
  </si>
  <si>
    <t>アラート件数</t>
  </si>
  <si>
    <t>申請金額</t>
  </si>
  <si>
    <t>下書き</t>
  </si>
  <si>
    <t>通常補充</t>
  </si>
  <si>
    <t>パーソナルケア</t>
  </si>
  <si>
    <t>販促備蓄</t>
  </si>
  <si>
    <t>オフィス用品</t>
  </si>
  <si>
    <t>承認済み</t>
  </si>
  <si>
    <t>季節備蓄</t>
  </si>
  <si>
    <t>ホーム用品</t>
  </si>
  <si>
    <t>発注済み</t>
  </si>
  <si>
    <t>新商品配荷</t>
  </si>
  <si>
    <t>家電</t>
  </si>
  <si>
    <t>輸送中</t>
  </si>
  <si>
    <t>店舗間移動</t>
  </si>
  <si>
    <t>日用品</t>
  </si>
  <si>
    <t>一部入荷</t>
  </si>
  <si>
    <t>EC大型セール</t>
  </si>
  <si>
    <t>アパレル</t>
  </si>
  <si>
    <t>入荷済み</t>
  </si>
  <si>
    <t>ベビー用品</t>
  </si>
  <si>
    <t>キャンセル済み</t>
  </si>
  <si>
    <t>仕入先遅延リカバリー</t>
  </si>
  <si>
    <t>生鮮</t>
  </si>
  <si>
    <t>返品交換補充</t>
  </si>
  <si>
    <t>スナック</t>
  </si>
  <si>
    <t>飲料</t>
  </si>
  <si>
    <t>ダッシュボードの見方</t>
  </si>
  <si>
    <t>1. 遅延件数が0を超える場合は、「補充記録」の入荷予定日と仕入先の回答を優先して確認します。</t>
  </si>
  <si>
    <t>2. 高回転リスクは、在庫で持ちこたえられる日数が予定リードタイムを下回る状態です。緊急補充や店舗間移動を検討します。</t>
  </si>
  <si>
    <t>3. 業務シーン別の金額で、通常補充、販促、大型セール、季節備蓄の予算使用を分けて確認できます。</t>
  </si>
  <si>
    <t>補充記録</t>
  </si>
  <si>
    <t>主要シートです。在庫、販売数、申請数、状態を入力すると、推奨補充数、金額、入荷日、リスクアラートを自動計算します。</t>
  </si>
  <si>
    <t>記録ID</t>
  </si>
  <si>
    <t>申請日</t>
  </si>
  <si>
    <t>会社・ブランド</t>
  </si>
  <si>
    <t>商品名</t>
  </si>
  <si>
    <t>仕入先</t>
  </si>
  <si>
    <t>現在庫</t>
  </si>
  <si>
    <t>最大在庫</t>
  </si>
  <si>
    <t>予測日販</t>
  </si>
  <si>
    <t>予定リードタイム（日）</t>
  </si>
  <si>
    <t>今回申請数</t>
  </si>
  <si>
    <t>仕入単位</t>
  </si>
  <si>
    <t>単価</t>
  </si>
  <si>
    <t>優先度</t>
  </si>
  <si>
    <t>入荷予定日</t>
  </si>
  <si>
    <t>実入荷日</t>
  </si>
  <si>
    <t>入荷数</t>
  </si>
  <si>
    <t>不足・超過</t>
  </si>
  <si>
    <t>担当者</t>
  </si>
  <si>
    <t>備考</t>
  </si>
  <si>
    <t>サンプルリテール株式会社</t>
  </si>
  <si>
    <t>東京銀座店</t>
  </si>
  <si>
    <t>佐藤美咲</t>
  </si>
  <si>
    <t>大阪梅田店</t>
  </si>
  <si>
    <t>鈴木彩</t>
  </si>
  <si>
    <t>週末販促の売場展開</t>
  </si>
  <si>
    <t>東日本事業部</t>
  </si>
  <si>
    <t>横浜前置倉庫</t>
  </si>
  <si>
    <t>緊急</t>
  </si>
  <si>
    <t>高橋健</t>
  </si>
  <si>
    <t>低在庫と冷蔵補充</t>
  </si>
  <si>
    <t>千葉EC倉庫</t>
  </si>
  <si>
    <t>田中悠</t>
  </si>
  <si>
    <t>大型セール備蓄</t>
  </si>
  <si>
    <t>西日本事業部</t>
  </si>
  <si>
    <t>名古屋栄店</t>
  </si>
  <si>
    <t>伊藤葵</t>
  </si>
  <si>
    <t>新商品の試験配荷補充</t>
  </si>
  <si>
    <t>福岡天神店</t>
  </si>
  <si>
    <t>中村里奈</t>
  </si>
  <si>
    <t>前回ロットの遅延対応</t>
  </si>
  <si>
    <t>EC事業部</t>
  </si>
  <si>
    <t>集客キャンペーン</t>
  </si>
  <si>
    <t>FC事業部</t>
  </si>
  <si>
    <t>仙台一番町店</t>
  </si>
  <si>
    <t>小林翔</t>
  </si>
  <si>
    <t>先に一部を移動</t>
  </si>
  <si>
    <t>夏物商品の備蓄</t>
  </si>
  <si>
    <t>関東中央倉庫</t>
  </si>
  <si>
    <t>山本誠</t>
  </si>
  <si>
    <t>四半期棚卸後の補充</t>
  </si>
  <si>
    <t>返品交換による在庫影響</t>
  </si>
  <si>
    <t>棚在庫の補充</t>
  </si>
  <si>
    <t>即時配送向け小売</t>
  </si>
  <si>
    <t>期限間近のロスに注意</t>
  </si>
  <si>
    <t>キャンセル理由：陳列変更</t>
  </si>
  <si>
    <t>商品カタログ</t>
  </si>
  <si>
    <t>SKUの基本情報、補充パラメータ、標準単価を管理します。自社業務に合わせて差し替えや拡張ができます。</t>
  </si>
  <si>
    <t>ブランド</t>
  </si>
  <si>
    <t>規格</t>
  </si>
  <si>
    <t>単位</t>
  </si>
  <si>
    <t>標準仕入先</t>
  </si>
  <si>
    <t>最小発注数</t>
  </si>
  <si>
    <t>標準リードタイム（日）</t>
  </si>
  <si>
    <t>状態</t>
  </si>
  <si>
    <t>天然水 550ml</t>
  </si>
  <si>
    <t>S001 関東飲料サプライ</t>
  </si>
  <si>
    <t>有効</t>
  </si>
  <si>
    <t>無糖炭酸水 330ml</t>
  </si>
  <si>
    <t>軽汽</t>
  </si>
  <si>
    <t>ミックスナッツ 200g</t>
  </si>
  <si>
    <t>果園里</t>
  </si>
  <si>
    <t>S002 食品卸サプライ</t>
  </si>
  <si>
    <t>ポテトチップスうすしお 70g</t>
  </si>
  <si>
    <t>ハンドソープ 500ml</t>
  </si>
  <si>
    <t>浄護</t>
  </si>
  <si>
    <t>S003 日用品共同サプライ</t>
  </si>
  <si>
    <t>ティッシュ 3枚重ね100組</t>
  </si>
  <si>
    <t>チルド牛乳 950ml</t>
  </si>
  <si>
    <t>S004 コールドチェーン生鮮配送</t>
  </si>
  <si>
    <t>ブルーベリー 125g</t>
  </si>
  <si>
    <t>鮮果倉</t>
  </si>
  <si>
    <t>ベーシック白Tシャツ</t>
  </si>
  <si>
    <t>S005 アパレル工場直送</t>
  </si>
  <si>
    <t>UVカットライトジャケット</t>
  </si>
  <si>
    <t>モバイルバッテリー 10000mAh</t>
  </si>
  <si>
    <t>S006 デジタルアクセサリサプライ</t>
  </si>
  <si>
    <t>ベビー用おしりふき 80枚</t>
  </si>
  <si>
    <t>S007 ベビー用品サプライ</t>
  </si>
  <si>
    <t>A4コピー用紙 500枚</t>
  </si>
  <si>
    <t>紙管家</t>
  </si>
  <si>
    <t>S008 オフィス用品サプライ</t>
  </si>
  <si>
    <t>アロマキャンドル 120g</t>
  </si>
  <si>
    <t>S009 ホーム用品サプライ</t>
  </si>
  <si>
    <t>歯みがき粉 120g</t>
  </si>
  <si>
    <t>S010 パーソナルケア共同サプライ</t>
  </si>
  <si>
    <t>仕入先カタログ</t>
  </si>
  <si>
    <t>仕入先コード</t>
  </si>
  <si>
    <t>仕入先名</t>
  </si>
  <si>
    <t>主なカテゴリ</t>
  </si>
  <si>
    <t>連絡先担当者</t>
  </si>
  <si>
    <t>電話番号</t>
  </si>
  <si>
    <t>メール</t>
  </si>
  <si>
    <t>最低注文金額</t>
  </si>
  <si>
    <t>評価</t>
  </si>
  <si>
    <t>関東飲料サプライ</t>
  </si>
  <si>
    <t>佐藤直樹</t>
  </si>
  <si>
    <t>月末締め30日払い</t>
  </si>
  <si>
    <t>供給が安定しており通常補充に向いています</t>
  </si>
  <si>
    <t>食品卸サプライ</t>
  </si>
  <si>
    <t>鈴木真央</t>
  </si>
  <si>
    <t>価格変動に注意が必要です</t>
  </si>
  <si>
    <t>日用品共同サプライ</t>
  </si>
  <si>
    <t>高橋健太</t>
  </si>
  <si>
    <t>月末締め45日払い</t>
  </si>
  <si>
    <t>コールドチェーン生鮮配送</t>
  </si>
  <si>
    <t>田中美穂</t>
  </si>
  <si>
    <t>週締め払い</t>
  </si>
  <si>
    <t>アパレル工場直送</t>
  </si>
  <si>
    <t>伊藤亮</t>
  </si>
  <si>
    <t>30%前払い</t>
  </si>
  <si>
    <t>季節商品は早めに備蓄します</t>
  </si>
  <si>
    <t>デジタルアクセサリサプライ</t>
  </si>
  <si>
    <t>中村航</t>
  </si>
  <si>
    <t>保証と返品交換に注意します</t>
  </si>
  <si>
    <t>ベビー用品サプライ</t>
  </si>
  <si>
    <t>小林陽子</t>
  </si>
  <si>
    <t>ロット番号と期限を追跡します</t>
  </si>
  <si>
    <t>オフィス用品サプライ</t>
  </si>
  <si>
    <t>山本大輔</t>
  </si>
  <si>
    <t>納品時払い</t>
  </si>
  <si>
    <t>法人顧客は四半期末の需要が高めです</t>
  </si>
  <si>
    <t>ホーム用品サプライ</t>
  </si>
  <si>
    <t>加藤彩</t>
  </si>
  <si>
    <t>連休前に需要が伸びます</t>
  </si>
  <si>
    <t>パーソナルケア共同サプライ</t>
  </si>
  <si>
    <t>渡辺拓也</t>
  </si>
  <si>
    <t>新商品の入れ替わりが速いです</t>
  </si>
  <si>
    <t>拠点一覧</t>
  </si>
  <si>
    <t>店舗、倉庫、前置倉庫、EC倉庫などの履行拠点を管理します。</t>
  </si>
  <si>
    <t>拠点コード</t>
  </si>
  <si>
    <t>拠点名</t>
  </si>
  <si>
    <t>地域</t>
  </si>
  <si>
    <t>都市</t>
  </si>
  <si>
    <t>連絡先電話番号</t>
  </si>
  <si>
    <t>容量ランク</t>
  </si>
  <si>
    <t>中央倉庫</t>
  </si>
  <si>
    <t>関東</t>
  </si>
  <si>
    <t>東京</t>
  </si>
  <si>
    <t>地域補充を担います</t>
  </si>
  <si>
    <t>店舗</t>
  </si>
  <si>
    <t>首都圏</t>
  </si>
  <si>
    <t>主要商圏の店舗です</t>
  </si>
  <si>
    <t>関西</t>
  </si>
  <si>
    <t>大阪</t>
  </si>
  <si>
    <t>休日の来店が多い店舗です</t>
  </si>
  <si>
    <t>九州</t>
  </si>
  <si>
    <t>福岡</t>
  </si>
  <si>
    <t>観光客の来店が目立ちます</t>
  </si>
  <si>
    <t>前置倉庫</t>
  </si>
  <si>
    <t>横浜</t>
  </si>
  <si>
    <t>EC即時配送に対応します</t>
  </si>
  <si>
    <t>EC倉庫</t>
  </si>
  <si>
    <t>千葉</t>
  </si>
  <si>
    <t>大型セールの重点倉庫です</t>
  </si>
  <si>
    <t>中部</t>
  </si>
  <si>
    <t>名古屋</t>
  </si>
  <si>
    <t>新商品配荷のテスト拠点です</t>
  </si>
  <si>
    <t>東北</t>
  </si>
  <si>
    <t>仙台</t>
  </si>
  <si>
    <t>小ロット補充に向いています</t>
  </si>
  <si>
    <t>設定</t>
  </si>
  <si>
    <t>プルダウン選択肢、状態辞書、業務シーンの説明です。社内ルールに合わせて調整できます。</t>
  </si>
  <si>
    <t>アラート種別</t>
  </si>
  <si>
    <t>推奨アクション</t>
  </si>
  <si>
    <t>すぐに承認し、仕入または拠点間移動を優先手配します</t>
  </si>
  <si>
    <t>発注点到達</t>
  </si>
  <si>
    <t>現在庫 ≤ 発注点</t>
  </si>
  <si>
    <t>推奨補充数をもとに仕入または移動伝票を作成します</t>
  </si>
  <si>
    <t>入荷遅延</t>
  </si>
  <si>
    <t>入荷予定日 &lt; 今日、かつ状態が入荷済みではない</t>
  </si>
  <si>
    <t>仕入先へ連絡するか、代替仕入先の手配を始めます</t>
  </si>
  <si>
    <t>申請数が推奨数未満</t>
  </si>
  <si>
    <t>今回申請数 &lt; 推奨補充数</t>
  </si>
  <si>
    <t>在庫、販売予測、資金制約を再確認します</t>
  </si>
  <si>
    <t>通常フローでフォローします</t>
  </si>
  <si>
    <t>会社・ブランド例</t>
  </si>
  <si>
    <t>業務シーンガイド</t>
  </si>
  <si>
    <t>各社の運用に合わせて、このガイドをもとに補充フロー、項目、承認方針を調整できます。</t>
  </si>
  <si>
    <t>推奨対応</t>
  </si>
  <si>
    <t>向いている業態</t>
  </si>
  <si>
    <t>現在庫、予測日販、リードタイム、推奨補充数</t>
  </si>
  <si>
    <t>推奨補充数で仕入または拠点間移動を行い、通常の在庫水準を保ちます</t>
  </si>
  <si>
    <t>コンビニ、スーパー、専門店、チェーン小売</t>
  </si>
  <si>
    <t>販促施策、売場面積の拡大、値引き</t>
  </si>
  <si>
    <t>実施日、予測販売数、最大在庫、申請数</t>
  </si>
  <si>
    <t>消費財、百貨、飲食小売</t>
  </si>
  <si>
    <t>祝日、季節替わり、観光繁忙期、天候変化</t>
  </si>
  <si>
    <t>季節区分、過去販売数、在庫上限</t>
  </si>
  <si>
    <t>季節予測に基づいてまとめて備蓄し、終了後の売り切り方針も設定します</t>
  </si>
  <si>
    <t>アパレル、ホーム用品、飲料、生鮮</t>
  </si>
  <si>
    <t>新商品発売、テスト店舗への配荷</t>
  </si>
  <si>
    <t>初回配荷数、テスト店舗、陳列要件</t>
  </si>
  <si>
    <t>小ロットで配荷して販売動向を見ながら、初回の過剰在庫を避けます</t>
  </si>
  <si>
    <t>ブランド小売、FC店舗、EC</t>
  </si>
  <si>
    <t>店舗間の在庫偏り、地域欠品</t>
  </si>
  <si>
    <t>出庫元拠点、入荷先拠点、入荷数</t>
  </si>
  <si>
    <t>まず社内移動を使い、仕入コストと仕入先リードタイムの影響を抑えます</t>
  </si>
  <si>
    <t>多店舗チェーン、地域倉庫</t>
  </si>
  <si>
    <t>モール大型セール、ライブ販売、タイムセール、即時配送施策</t>
  </si>
  <si>
    <t>ピーク販売数、倉庫容量、申請金額</t>
  </si>
  <si>
    <t>販売予測と倉庫容量をもとに上限を決め、入荷を複数回に分けます</t>
  </si>
  <si>
    <t>EC、O2O、前置倉庫</t>
  </si>
  <si>
    <t>賞味期限が短い、冷蔵品の欠品、期限間近のロス</t>
  </si>
  <si>
    <t>賞味期限、冷蔵仕入先、日販</t>
  </si>
  <si>
    <t>小ロット高頻度で補充し、期限間近の値引きとロス管理を組み合わせます</t>
  </si>
  <si>
    <t>生鮮、コンビニ、食品小売</t>
  </si>
  <si>
    <t>輸送中注文の遅延、仕入先欠品</t>
  </si>
  <si>
    <t>入荷予定日、状態、仕入先評価</t>
  </si>
  <si>
    <t>遅延アラート後に代替仕入先または倉庫間移動を使います</t>
  </si>
  <si>
    <t>仕入を行うすべての小売</t>
  </si>
  <si>
    <t>返品、破損、アフター対応により販売可能在庫が減る</t>
  </si>
  <si>
    <t>返品交換数、現在庫、状態</t>
  </si>
  <si>
    <t>販売可能在庫を確認し、陳列または注文分を補充します</t>
  </si>
  <si>
    <t>アパレル、デジタル、ベビー用品</t>
  </si>
  <si>
    <t>棚卸、販売数の変化、仕入先リードタイムの変化</t>
  </si>
  <si>
    <t>補充パラメータを定期的に再計算し、欠品と資金滞留を減らします</t>
  </si>
  <si>
    <t>運用が成熟したチーム、地域倉庫</t>
  </si>
  <si>
    <t>チェーン店舗、倉庫配送、EC大型セール、生鮮品の期限管理、新商品の配荷、仕入先遅延時のリカバリーに使えます。作成日：2026年4月24日</t>
  </si>
  <si>
    <t>用途</t>
  </si>
  <si>
    <t>「補充記録」に申請日、業務シーン、店舗または倉庫、SKU、現在庫、予測日販、今回申請数、状態などを入力します。</t>
  </si>
  <si>
    <t>現在庫を予測日販で割った日数とリードタイムを比べ、高・中・低のリスクを判定します。</t>
  </si>
  <si>
    <t>• 「会社・ブランド」は、グループ、事業部、ブランド、法人単位の項目として使えます。</t>
  </si>
  <si>
    <t>• 「店舗・倉庫」は、店舗、前置倉庫、中央倉庫、地域倉庫、FC店舗、EC倉庫に置き換えられます。</t>
  </si>
  <si>
    <t>• ERP、WMS、POSがある場合は、出力したSKU、在庫、販売数を対応項目に貼り付け、ダッシュボードで集計できます。</t>
  </si>
  <si>
    <t>補充記録、アラート、状態、業務シーンを集計します。作成日：2026年4月24日</t>
  </si>
  <si>
    <t>輸送中または一部入荷</t>
  </si>
  <si>
    <t>生鮮・期限管理</t>
  </si>
  <si>
    <t>店舗・倉庫</t>
  </si>
  <si>
    <t>SKU</t>
  </si>
  <si>
    <t>RL-0001</t>
  </si>
  <si>
    <t>SKU-DRK-001</t>
  </si>
  <si>
    <t>ケース</t>
  </si>
  <si>
    <t>中</t>
  </si>
  <si>
    <t>高リスク：リードタイム不足</t>
  </si>
  <si>
    <t>RL-0002</t>
  </si>
  <si>
    <t>SKU-SNK-002</t>
  </si>
  <si>
    <t>袋</t>
  </si>
  <si>
    <t>高</t>
  </si>
  <si>
    <t>中リスク</t>
  </si>
  <si>
    <t>RL-0003</t>
  </si>
  <si>
    <t>SKU-FRS-001</t>
  </si>
  <si>
    <t>本</t>
  </si>
  <si>
    <t>RL-0004</t>
  </si>
  <si>
    <t>SKU-BBY-001</t>
  </si>
  <si>
    <t>パック</t>
  </si>
  <si>
    <t>RL-0005</t>
  </si>
  <si>
    <t>SKU-HME-001</t>
  </si>
  <si>
    <t>個</t>
  </si>
  <si>
    <t>RL-0006</t>
  </si>
  <si>
    <t>SKU-HPC-001</t>
  </si>
  <si>
    <t>RL-0007</t>
  </si>
  <si>
    <t>SKU-ELE-001</t>
  </si>
  <si>
    <t>RL-0008</t>
  </si>
  <si>
    <t>SKU-SNK-001</t>
  </si>
  <si>
    <t>RL-0009</t>
  </si>
  <si>
    <t>SKU-APP-002</t>
  </si>
  <si>
    <t>点</t>
  </si>
  <si>
    <t>RL-0010</t>
  </si>
  <si>
    <t>SKU-OFF-001</t>
  </si>
  <si>
    <t>低</t>
  </si>
  <si>
    <t>RL-0011</t>
  </si>
  <si>
    <t>SKU-PER-001</t>
  </si>
  <si>
    <t>RL-0012</t>
  </si>
  <si>
    <t>SKU-HPC-002</t>
  </si>
  <si>
    <t>束</t>
  </si>
  <si>
    <t>RL-0013</t>
  </si>
  <si>
    <t>SKU-DRK-002</t>
  </si>
  <si>
    <t>RL-0014</t>
  </si>
  <si>
    <t>SKU-FRS-002</t>
  </si>
  <si>
    <t>箱</t>
  </si>
  <si>
    <t>RL-0015</t>
  </si>
  <si>
    <t>SKU-APP-001</t>
  </si>
  <si>
    <t>清源</t>
  </si>
  <si>
    <t>24本入りケース</t>
  </si>
  <si>
    <t>24缶入りケース</t>
  </si>
  <si>
    <t>脆客</t>
  </si>
  <si>
    <t>柔悦</t>
  </si>
  <si>
    <t>晨牧</t>
  </si>
  <si>
    <t>UrbanBase</t>
  </si>
  <si>
    <t>VoltGo</t>
  </si>
  <si>
    <t>BabyCare</t>
  </si>
  <si>
    <t>HomeMood</t>
  </si>
  <si>
    <t>亮白</t>
  </si>
  <si>
    <t>S001</t>
  </si>
  <si>
    <t>03-4500-1001</t>
  </si>
  <si>
    <t>s001@example.com</t>
  </si>
  <si>
    <t>A</t>
  </si>
  <si>
    <t>はい</t>
  </si>
  <si>
    <t>S002</t>
  </si>
  <si>
    <t>03-4500-1002</t>
  </si>
  <si>
    <t>s002@example.com</t>
  </si>
  <si>
    <t>S003</t>
  </si>
  <si>
    <t>03-4500-1003</t>
  </si>
  <si>
    <t>s003@example.com</t>
  </si>
  <si>
    <t>B</t>
  </si>
  <si>
    <t>S004</t>
  </si>
  <si>
    <t>03-4500-1004</t>
  </si>
  <si>
    <t>s004@example.com</t>
  </si>
  <si>
    <t>S005</t>
  </si>
  <si>
    <t>03-4500-1005</t>
  </si>
  <si>
    <t>s005@example.com</t>
  </si>
  <si>
    <t>S006</t>
  </si>
  <si>
    <t>03-4500-1006</t>
  </si>
  <si>
    <t>s006@example.com</t>
  </si>
  <si>
    <t>S007</t>
  </si>
  <si>
    <t>03-4500-1007</t>
  </si>
  <si>
    <t>s007@example.com</t>
  </si>
  <si>
    <t>S008</t>
  </si>
  <si>
    <t>03-4500-1008</t>
  </si>
  <si>
    <t>s008@example.com</t>
  </si>
  <si>
    <t>S009</t>
  </si>
  <si>
    <t>03-4500-1009</t>
  </si>
  <si>
    <t>s009@example.com</t>
  </si>
  <si>
    <t>S010</t>
  </si>
  <si>
    <t>03-4500-1010</t>
  </si>
  <si>
    <t>s010@example.com</t>
  </si>
  <si>
    <t>L001</t>
  </si>
  <si>
    <t>03-4600-2001</t>
  </si>
  <si>
    <t>L002</t>
  </si>
  <si>
    <t>03-4600-2002</t>
  </si>
  <si>
    <t>L003</t>
  </si>
  <si>
    <t>06-4600-2003</t>
  </si>
  <si>
    <t>L004</t>
  </si>
  <si>
    <t>092-460-2004</t>
  </si>
  <si>
    <t>L005</t>
  </si>
  <si>
    <t>045-460-2005</t>
  </si>
  <si>
    <t>L006</t>
  </si>
  <si>
    <t>043-460-2006</t>
  </si>
  <si>
    <t>L007</t>
  </si>
  <si>
    <t>052-460-2007</t>
  </si>
  <si>
    <t>L008</t>
  </si>
  <si>
    <t>022-460-2008</t>
  </si>
  <si>
    <t>安全在庫</t>
  </si>
  <si>
    <t>在庫下限の判定に使います。現在庫が安全在庫以下になると重要アラートを出します。</t>
  </si>
  <si>
    <t>商品名、カテゴリ、仕入先、安全在庫、発注点、推奨補充数、見込金額、入荷予定日、アラートを自動計算します。</t>
  </si>
  <si>
    <t>最大在庫、最小発注数、包装単位をもとに推奨補充数を算出します。</t>
  </si>
  <si>
    <t>「ダッシュボード」で金額、数量、アラート、状態分布、シーン分布、カテゴリ別リスクを確認します。</t>
  </si>
  <si>
    <t>安全在庫割れ、発注点到達、入荷遅延、申請数が推奨数を下回るケースを識別します。</t>
  </si>
  <si>
    <t>安全在庫見直し</t>
  </si>
  <si>
    <t>安全在庫割れ</t>
  </si>
  <si>
    <t>正常</t>
  </si>
  <si>
    <t>包装単位</t>
  </si>
  <si>
    <t>仕入先の納品、連絡先、支払条件を管理します。</t>
  </si>
  <si>
    <t>支払条件</t>
  </si>
  <si>
    <t>販促期は事前に数量を確保します</t>
  </si>
  <si>
    <t>冷蔵配送。期限間近の返品交換条件を事前に確認します</t>
  </si>
  <si>
    <t>発生条件</t>
  </si>
  <si>
    <t>現在庫 ≤ 安全在庫</t>
  </si>
  <si>
    <t>リスク条件に該当なし</t>
  </si>
  <si>
    <t>主な発生条件</t>
  </si>
  <si>
    <t>在庫が発注点または安全在庫を下回る</t>
  </si>
  <si>
    <t>事前に数量を確保し、仕入先の納期を再確認して、期間中の欠品を防ぎます</t>
  </si>
  <si>
    <t>安全在庫、発注点、最大在庫</t>
  </si>
</sst>
</file>

<file path=xl/styles.xml><?xml version="1.0" encoding="utf-8"?>
<styleSheet xmlns="http://schemas.openxmlformats.org/spreadsheetml/2006/main">
  <numFmts count="5">
    <numFmt numFmtId="200" formatCode="#,##0.00"/>
    <numFmt numFmtId="201" formatCode="¥#,##0"/>
    <numFmt numFmtId="202" formatCode="yyyy-mm-dd"/>
    <numFmt numFmtId="203" formatCode="#,##0"/>
    <numFmt numFmtId="204" formatCode="¥#,##0.00"/>
  </numFmts>
  <fonts count="13">
    <font>
      <sz val="11"/>
      <name val="Carlito"/>
    </font>
    <font>
      <b val="1"/>
      <sz val="18"/>
      <color rgb="FF1E3A8A"/>
      <name val="Microsoft YaHei"/>
    </font>
    <font>
      <sz val="10"/>
      <color rgb="FF4B5563"/>
      <name val="Microsoft YaHei"/>
    </font>
    <font>
      <b val="1"/>
      <sz val="10"/>
      <color theme="0"/>
      <name val="Microsoft YaHei"/>
    </font>
    <font>
      <sz val="10"/>
      <color rgb="FF111827"/>
      <name val="Microsoft YaHei"/>
    </font>
    <font>
      <b val="1"/>
      <sz val="10"/>
      <color rgb="FF075985"/>
      <name val="Microsoft YaHei"/>
    </font>
    <font>
      <b val="1"/>
      <sz val="12"/>
      <color rgb="FF065F46"/>
      <name val="Microsoft YaHei"/>
    </font>
    <font>
      <sz val="10"/>
      <color rgb="FF374151"/>
      <name val="Microsoft YaHei"/>
    </font>
    <font>
      <b val="1"/>
      <sz val="10"/>
      <color rgb="FF111827"/>
      <name val="Microsoft YaHei"/>
    </font>
    <font>
      <sz val="10"/>
      <name val="Microsoft YaHei"/>
    </font>
    <font>
      <b val="1"/>
      <sz val="9"/>
      <color theme="0"/>
      <name val="Microsoft YaHei"/>
    </font>
    <font>
      <sz val="9"/>
      <color rgb="FF111827"/>
      <name val="Microsoft YaHei"/>
    </font>
    <font>
      <b val="1"/>
      <sz val="10"/>
      <color rgb="FF475569"/>
      <name val="Microsoft YaHei"/>
    </font>
  </fonts>
  <fills count="7">
    <fill>
      <patternFill patternType="none"/>
    </fill>
    <fill>
      <patternFill patternType="gray125"/>
    </fill>
    <fill>
      <patternFill patternType="solid">
        <fgColor rgb="FFEFF6FF"/>
      </patternFill>
    </fill>
    <fill>
      <patternFill patternType="solid">
        <fgColor theme="4"/>
      </patternFill>
    </fill>
    <fill>
      <patternFill patternType="solid">
        <fgColor rgb="FFE0F2FE"/>
      </patternFill>
    </fill>
    <fill>
      <patternFill patternType="solid">
        <fgColor rgb="FFECFDF5"/>
      </patternFill>
    </fill>
    <fill>
      <patternFill patternType="solid">
        <fgColor rgb="FFF8FAFC"/>
      </patternFill>
    </fill>
  </fills>
  <borders count="46">
    <border/>
    <border/>
    <border>
      <left style="thin">
        <color rgb="FFCBD5E1"/>
      </left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right style="thin">
        <color rgb="FFE5E7EB"/>
      </right>
      <bottom style="thin">
        <color rgb="FFE5E7EB"/>
      </bottom>
    </border>
    <border>
      <left style="thin">
        <color rgb="FFE5E7EB"/>
      </left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</border>
    <border>
      <left style="thin">
        <color rgb="FFE5E7EB"/>
      </left>
      <top style="thin">
        <color rgb="FFE5E7EB"/>
      </top>
    </border>
    <border>
      <right style="thin">
        <color rgb="FFE5E7EB"/>
      </right>
      <bottom style="thin">
        <color rgb="FFE5E7EB"/>
      </bottom>
    </border>
    <border>
      <left style="thin">
        <color rgb="FFE5E7EB"/>
      </left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</border>
    <border>
      <left style="thin">
        <color rgb="FFE5E7EB"/>
      </left>
      <top style="thin">
        <color rgb="FFE5E7EB"/>
      </top>
    </border>
    <border>
      <left style="thin">
        <color rgb="FFBAE6FD"/>
      </left>
      <top style="thin">
        <color rgb="FFBAE6FD"/>
      </top>
      <bottom style="thin">
        <color rgb="FFBAE6FD"/>
      </bottom>
    </border>
    <border>
      <top style="thin">
        <color rgb="FFBAE6FD"/>
      </top>
      <bottom style="thin">
        <color rgb="FFBAE6FD"/>
      </bottom>
    </border>
    <border>
      <right style="thin">
        <color rgb="FFBAE6FD"/>
      </right>
      <top style="thin">
        <color rgb="FFBAE6FD"/>
      </top>
      <bottom style="thin">
        <color rgb="FFBAE6FD"/>
      </bottom>
    </border>
    <border>
      <left style="thin">
        <color rgb="FFBAE6FD"/>
      </left>
      <top style="thin">
        <color rgb="FFBAE6FD"/>
      </top>
      <bottom style="thin">
        <color rgb="FFBAE6FD"/>
      </bottom>
    </border>
    <border>
      <top style="thin">
        <color rgb="FFBAE6FD"/>
      </top>
      <bottom style="thin">
        <color rgb="FFBAE6FD"/>
      </bottom>
    </border>
    <border>
      <right style="thin">
        <color rgb="FFBAE6FD"/>
      </right>
      <top style="thin">
        <color rgb="FFBAE6FD"/>
      </top>
      <bottom style="thin">
        <color rgb="FFBAE6FD"/>
      </bottom>
    </border>
    <border>
      <left style="thin">
        <color rgb="FFE5E7EB"/>
      </left>
      <right style="thin">
        <color rgb="FFE5E7EB"/>
      </right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</border>
    <border>
      <left style="thin">
        <color rgb="FFE5E7EB"/>
      </left>
      <right style="thin">
        <color rgb="FFE5E7EB"/>
      </right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</border>
    <border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top style="thin">
        <color rgb="FFE5E7EB"/>
      </top>
    </border>
    <border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top style="thin">
        <color rgb="FFE5E7EB"/>
      </top>
    </border>
    <border>
      <left style="thin">
        <color rgb="FFCBD5E1"/>
      </left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  <bottom style="thin">
        <color rgb="FFCBD5E1"/>
      </bottom>
    </border>
    <border>
      <right style="thin">
        <color rgb="FFCBD5E1"/>
      </right>
      <bottom style="thin">
        <color rgb="FFCBD5E1"/>
      </bottom>
    </border>
  </borders>
  <cellStyleXfs count="1">
    <xf numFmtId="0" fontId="0" fillId="0" borderId="0"/>
  </cellStyleXfs>
  <cellXfs count="475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wrapText="true"/>
    </xf>
    <xf numFmtId="0" fontId="1" fillId="2" borderId="0" xfId="0" applyNumberFormat="true" applyFont="true" applyFill="true" applyBorder="true" applyAlignment="true">
      <alignment horizontal="left" wrapText="true"/>
    </xf>
    <xf numFmtId="0" fontId="1" fillId="2" borderId="0" xfId="0" applyNumberFormat="true" applyFont="true" applyFill="true" applyBorder="true" applyAlignment="true">
      <alignment horizontal="left" vertical="center" wrapText="true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wrapText="true"/>
    </xf>
    <xf numFmtId="0" fontId="1" fillId="2" borderId="1" xfId="0" applyNumberFormat="true" applyFont="true" applyFill="true" applyBorder="true" applyAlignment="true">
      <alignment horizontal="left" wrapText="true"/>
    </xf>
    <xf numFmtId="0" fontId="1" fillId="2" borderId="1" xfId="0" applyNumberFormat="true" applyFont="true" applyFill="true" applyBorder="true" applyAlignment="true">
      <alignment horizontal="left" vertical="center" wrapText="true"/>
    </xf>
    <xf numFmtId="0" fontId="2" fillId="0" borderId="0" xfId="0" applyNumberFormat="true" applyFont="true" applyFill="true" applyBorder="true"/>
    <xf numFmtId="0" fontId="2" fillId="0" borderId="0" xfId="0" applyNumberFormat="true" applyFont="true" applyFill="true" applyBorder="true" applyAlignment="true">
      <alignment wrapText="true"/>
    </xf>
    <xf numFmtId="0" fontId="2" fillId="0" borderId="0" xfId="0" applyNumberFormat="true" applyFont="true" applyFill="true" applyBorder="true" applyAlignment="true">
      <alignment horizontal="left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/>
    <xf numFmtId="0" fontId="2" fillId="0" borderId="1" xfId="0" applyNumberFormat="true" applyFont="true" applyFill="true" applyBorder="true" applyAlignment="true">
      <alignment wrapText="true"/>
    </xf>
    <xf numFmtId="0" fontId="2" fillId="0" borderId="1" xfId="0" applyNumberFormat="true" applyFont="true" applyFill="true" applyBorder="true" applyAlignment="true">
      <alignment horizontal="left" wrapText="true"/>
    </xf>
    <xf numFmtId="0" fontId="2" fillId="0" borderId="1" xfId="0" applyNumberFormat="true" applyFont="true" applyFill="true" applyBorder="true" applyAlignment="true">
      <alignment horizontal="left" vertical="center" wrapText="true"/>
    </xf>
    <xf numFmtId="0" fontId="0" fillId="3" borderId="0" xfId="0" applyNumberFormat="true" applyFont="true" applyFill="true" applyBorder="true"/>
    <xf numFmtId="0" fontId="3" fillId="3" borderId="0" xfId="0" applyNumberFormat="true" applyFont="true" applyFill="true" applyBorder="true"/>
    <xf numFmtId="0" fontId="3" fillId="3" borderId="2" xfId="0" applyNumberFormat="true" applyFont="true" applyFill="true" applyBorder="true"/>
    <xf numFmtId="0" fontId="3" fillId="3" borderId="3" xfId="0" applyNumberFormat="true" applyFont="true" applyFill="true" applyBorder="true"/>
    <xf numFmtId="0" fontId="3" fillId="3" borderId="2" xfId="0" applyNumberFormat="true" applyFont="true" applyFill="true" applyBorder="true" applyAlignment="true">
      <alignment horizontal="center"/>
    </xf>
    <xf numFmtId="0" fontId="3" fillId="3" borderId="3" xfId="0" applyNumberFormat="true" applyFont="true" applyFill="true" applyBorder="true" applyAlignment="true">
      <alignment horizontal="center"/>
    </xf>
    <xf numFmtId="0" fontId="3" fillId="3" borderId="2" xfId="0" applyNumberFormat="true" applyFont="true" applyFill="true" applyBorder="true" applyAlignment="true">
      <alignment horizontal="center" vertical="center"/>
    </xf>
    <xf numFmtId="0" fontId="3" fillId="3" borderId="3" xfId="0" applyNumberFormat="true" applyFont="true" applyFill="true" applyBorder="true" applyAlignment="true">
      <alignment horizontal="center" vertical="center"/>
    </xf>
    <xf numFmtId="0" fontId="0" fillId="3" borderId="1" xfId="0" applyNumberFormat="true" applyFont="true" applyFill="true" applyBorder="true"/>
    <xf numFmtId="0" fontId="3" fillId="3" borderId="1" xfId="0" applyNumberFormat="true" applyFont="true" applyFill="true" applyBorder="true"/>
    <xf numFmtId="0" fontId="3" fillId="3" borderId="4" xfId="0" applyNumberFormat="true" applyFont="true" applyFill="true" applyBorder="true"/>
    <xf numFmtId="0" fontId="3" fillId="3" borderId="5" xfId="0" applyNumberFormat="true" applyFont="true" applyFill="true" applyBorder="true"/>
    <xf numFmtId="0" fontId="3" fillId="3" borderId="4" xfId="0" applyNumberFormat="true" applyFont="true" applyFill="true" applyBorder="true" applyAlignment="true">
      <alignment horizontal="center"/>
    </xf>
    <xf numFmtId="0" fontId="3" fillId="3" borderId="5" xfId="0" applyNumberFormat="true" applyFont="true" applyFill="true" applyBorder="true" applyAlignment="true">
      <alignment horizontal="center"/>
    </xf>
    <xf numFmtId="0" fontId="3" fillId="3" borderId="4" xfId="0" applyNumberFormat="true" applyFont="true" applyFill="true" applyBorder="true" applyAlignment="true">
      <alignment horizontal="center" vertical="center"/>
    </xf>
    <xf numFmtId="0" fontId="3" fillId="3" borderId="5" xfId="0" applyNumberFormat="true" applyFont="true" applyFill="true" applyBorder="true" applyAlignment="true">
      <alignment horizontal="center" vertical="center"/>
    </xf>
    <xf numFmtId="0" fontId="4" fillId="0" borderId="0" xfId="0" applyNumberFormat="true" applyFont="true" applyFill="true" applyBorder="true"/>
    <xf numFmtId="0" fontId="4" fillId="0" borderId="6" xfId="0" applyNumberFormat="true" applyFont="true" applyFill="true" applyBorder="true"/>
    <xf numFmtId="0" fontId="4" fillId="0" borderId="7" xfId="0" applyNumberFormat="true" applyFont="true" applyFill="true" applyBorder="true"/>
    <xf numFmtId="0" fontId="4" fillId="0" borderId="8" xfId="0" applyNumberFormat="true" applyFont="true" applyFill="true" applyBorder="true"/>
    <xf numFmtId="0" fontId="4" fillId="0" borderId="9" xfId="0" applyNumberFormat="true" applyFont="true" applyFill="true" applyBorder="true"/>
    <xf numFmtId="0" fontId="4" fillId="0" borderId="10" xfId="0" applyNumberFormat="true" applyFont="true" applyFill="true" applyBorder="true"/>
    <xf numFmtId="0" fontId="4" fillId="0" borderId="11" xfId="0" applyNumberFormat="true" applyFont="true" applyFill="true" applyBorder="true"/>
    <xf numFmtId="0" fontId="4" fillId="0" borderId="6" xfId="0" applyNumberFormat="true" applyFont="true" applyFill="true" applyBorder="true" applyAlignment="true">
      <alignment wrapText="true"/>
    </xf>
    <xf numFmtId="0" fontId="4" fillId="0" borderId="7" xfId="0" applyNumberFormat="true" applyFont="true" applyFill="true" applyBorder="true" applyAlignment="true">
      <alignment wrapText="true"/>
    </xf>
    <xf numFmtId="0" fontId="4" fillId="0" borderId="8" xfId="0" applyNumberFormat="true" applyFont="true" applyFill="true" applyBorder="true" applyAlignment="true">
      <alignment wrapText="true"/>
    </xf>
    <xf numFmtId="0" fontId="4" fillId="0" borderId="9" xfId="0" applyNumberFormat="true" applyFont="true" applyFill="true" applyBorder="true" applyAlignment="true">
      <alignment wrapText="true"/>
    </xf>
    <xf numFmtId="0" fontId="4" fillId="0" borderId="10" xfId="0" applyNumberFormat="true" applyFont="true" applyFill="true" applyBorder="true" applyAlignment="true">
      <alignment wrapText="true"/>
    </xf>
    <xf numFmtId="0" fontId="4" fillId="0" borderId="11" xfId="0" applyNumberFormat="true" applyFont="true" applyFill="true" applyBorder="true" applyAlignment="true">
      <alignment wrapText="true"/>
    </xf>
    <xf numFmtId="0" fontId="4" fillId="0" borderId="6" xfId="0" applyNumberFormat="true" applyFont="true" applyFill="true" applyBorder="true" applyAlignment="true">
      <alignment vertical="center" wrapText="true"/>
    </xf>
    <xf numFmtId="0" fontId="4" fillId="0" borderId="7" xfId="0" applyNumberFormat="true" applyFont="true" applyFill="true" applyBorder="true" applyAlignment="true">
      <alignment vertical="center" wrapText="true"/>
    </xf>
    <xf numFmtId="0" fontId="4" fillId="0" borderId="8" xfId="0" applyNumberFormat="true" applyFont="true" applyFill="true" applyBorder="true" applyAlignment="true">
      <alignment vertical="center" wrapText="true"/>
    </xf>
    <xf numFmtId="0" fontId="4" fillId="0" borderId="9" xfId="0" applyNumberFormat="true" applyFont="true" applyFill="true" applyBorder="true" applyAlignment="true">
      <alignment vertical="center" wrapText="true"/>
    </xf>
    <xf numFmtId="0" fontId="4" fillId="0" borderId="10" xfId="0" applyNumberFormat="true" applyFont="true" applyFill="true" applyBorder="true" applyAlignment="true">
      <alignment vertical="center" wrapText="true"/>
    </xf>
    <xf numFmtId="0" fontId="4" fillId="0" borderId="11" xfId="0" applyNumberFormat="true" applyFont="true" applyFill="true" applyBorder="true" applyAlignment="true">
      <alignment vertical="center" wrapText="true"/>
    </xf>
    <xf numFmtId="0" fontId="4" fillId="0" borderId="1" xfId="0" applyNumberFormat="true" applyFont="true" applyFill="true" applyBorder="true"/>
    <xf numFmtId="0" fontId="4" fillId="0" borderId="12" xfId="0" applyNumberFormat="true" applyFont="true" applyFill="true" applyBorder="true"/>
    <xf numFmtId="0" fontId="4" fillId="0" borderId="13" xfId="0" applyNumberFormat="true" applyFont="true" applyFill="true" applyBorder="true"/>
    <xf numFmtId="0" fontId="4" fillId="0" borderId="14" xfId="0" applyNumberFormat="true" applyFont="true" applyFill="true" applyBorder="true"/>
    <xf numFmtId="0" fontId="4" fillId="0" borderId="15" xfId="0" applyNumberFormat="true" applyFont="true" applyFill="true" applyBorder="true"/>
    <xf numFmtId="0" fontId="4" fillId="0" borderId="16" xfId="0" applyNumberFormat="true" applyFont="true" applyFill="true" applyBorder="true"/>
    <xf numFmtId="0" fontId="4" fillId="0" borderId="17" xfId="0" applyNumberFormat="true" applyFont="true" applyFill="true" applyBorder="true"/>
    <xf numFmtId="0" fontId="4" fillId="0" borderId="12" xfId="0" applyNumberFormat="true" applyFont="true" applyFill="true" applyBorder="true" applyAlignment="true">
      <alignment wrapText="true"/>
    </xf>
    <xf numFmtId="0" fontId="4" fillId="0" borderId="13" xfId="0" applyNumberFormat="true" applyFont="true" applyFill="true" applyBorder="true" applyAlignment="true">
      <alignment wrapText="true"/>
    </xf>
    <xf numFmtId="0" fontId="4" fillId="0" borderId="14" xfId="0" applyNumberFormat="true" applyFont="true" applyFill="true" applyBorder="true" applyAlignment="true">
      <alignment wrapText="true"/>
    </xf>
    <xf numFmtId="0" fontId="4" fillId="0" borderId="15" xfId="0" applyNumberFormat="true" applyFont="true" applyFill="true" applyBorder="true" applyAlignment="true">
      <alignment wrapText="true"/>
    </xf>
    <xf numFmtId="0" fontId="4" fillId="0" borderId="16" xfId="0" applyNumberFormat="true" applyFont="true" applyFill="true" applyBorder="true" applyAlignment="true">
      <alignment wrapText="true"/>
    </xf>
    <xf numFmtId="0" fontId="4" fillId="0" borderId="17" xfId="0" applyNumberFormat="true" applyFont="true" applyFill="true" applyBorder="true" applyAlignment="true">
      <alignment wrapText="true"/>
    </xf>
    <xf numFmtId="0" fontId="4" fillId="0" borderId="12" xfId="0" applyNumberFormat="true" applyFont="true" applyFill="true" applyBorder="true" applyAlignment="true">
      <alignment vertical="center" wrapText="true"/>
    </xf>
    <xf numFmtId="0" fontId="4" fillId="0" borderId="13" xfId="0" applyNumberFormat="true" applyFont="true" applyFill="true" applyBorder="true" applyAlignment="true">
      <alignment vertical="center" wrapText="true"/>
    </xf>
    <xf numFmtId="0" fontId="4" fillId="0" borderId="14" xfId="0" applyNumberFormat="true" applyFont="true" applyFill="true" applyBorder="true" applyAlignment="true">
      <alignment vertical="center" wrapText="true"/>
    </xf>
    <xf numFmtId="0" fontId="4" fillId="0" borderId="15" xfId="0" applyNumberFormat="true" applyFont="true" applyFill="true" applyBorder="true" applyAlignment="true">
      <alignment vertical="center" wrapText="true"/>
    </xf>
    <xf numFmtId="0" fontId="4" fillId="0" borderId="16" xfId="0" applyNumberFormat="true" applyFont="true" applyFill="true" applyBorder="true" applyAlignment="true">
      <alignment vertical="center" wrapText="true"/>
    </xf>
    <xf numFmtId="0" fontId="4" fillId="0" borderId="17" xfId="0" applyNumberFormat="true" applyFont="true" applyFill="true" applyBorder="true" applyAlignment="true">
      <alignment vertical="center" wrapText="true"/>
    </xf>
    <xf numFmtId="0" fontId="0" fillId="4" borderId="0" xfId="0" applyNumberFormat="true" applyFont="true" applyFill="true" applyBorder="true"/>
    <xf numFmtId="0" fontId="5" fillId="4" borderId="0" xfId="0" applyNumberFormat="true" applyFont="true" applyFill="true" applyBorder="true"/>
    <xf numFmtId="0" fontId="5" fillId="4" borderId="18" xfId="0" applyNumberFormat="true" applyFont="true" applyFill="true" applyBorder="true"/>
    <xf numFmtId="0" fontId="5" fillId="4" borderId="19" xfId="0" applyNumberFormat="true" applyFont="true" applyFill="true" applyBorder="true"/>
    <xf numFmtId="0" fontId="5" fillId="4" borderId="20" xfId="0" applyNumberFormat="true" applyFont="true" applyFill="true" applyBorder="true"/>
    <xf numFmtId="0" fontId="5" fillId="4" borderId="18" xfId="0" applyNumberFormat="true" applyFont="true" applyFill="true" applyBorder="true" applyAlignment="true">
      <alignment horizontal="center"/>
    </xf>
    <xf numFmtId="0" fontId="5" fillId="4" borderId="19" xfId="0" applyNumberFormat="true" applyFont="true" applyFill="true" applyBorder="true" applyAlignment="true">
      <alignment horizontal="center"/>
    </xf>
    <xf numFmtId="0" fontId="5" fillId="4" borderId="20" xfId="0" applyNumberFormat="true" applyFont="true" applyFill="true" applyBorder="true" applyAlignment="true">
      <alignment horizontal="center"/>
    </xf>
    <xf numFmtId="0" fontId="5" fillId="4" borderId="18" xfId="0" applyNumberFormat="true" applyFont="true" applyFill="true" applyBorder="true" applyAlignment="true">
      <alignment horizontal="center" vertical="center"/>
    </xf>
    <xf numFmtId="0" fontId="5" fillId="4" borderId="19" xfId="0" applyNumberFormat="true" applyFont="true" applyFill="true" applyBorder="true" applyAlignment="true">
      <alignment horizontal="center" vertical="center"/>
    </xf>
    <xf numFmtId="0" fontId="5" fillId="4" borderId="20" xfId="0" applyNumberFormat="true" applyFont="true" applyFill="true" applyBorder="true" applyAlignment="true">
      <alignment horizontal="center" vertical="center"/>
    </xf>
    <xf numFmtId="0" fontId="0" fillId="4" borderId="1" xfId="0" applyNumberFormat="true" applyFont="true" applyFill="true" applyBorder="true"/>
    <xf numFmtId="0" fontId="5" fillId="4" borderId="1" xfId="0" applyNumberFormat="true" applyFont="true" applyFill="true" applyBorder="true"/>
    <xf numFmtId="0" fontId="5" fillId="4" borderId="21" xfId="0" applyNumberFormat="true" applyFont="true" applyFill="true" applyBorder="true"/>
    <xf numFmtId="0" fontId="5" fillId="4" borderId="22" xfId="0" applyNumberFormat="true" applyFont="true" applyFill="true" applyBorder="true"/>
    <xf numFmtId="0" fontId="5" fillId="4" borderId="23" xfId="0" applyNumberFormat="true" applyFont="true" applyFill="true" applyBorder="true"/>
    <xf numFmtId="0" fontId="5" fillId="4" borderId="21" xfId="0" applyNumberFormat="true" applyFont="true" applyFill="true" applyBorder="true" applyAlignment="true">
      <alignment horizontal="center"/>
    </xf>
    <xf numFmtId="0" fontId="5" fillId="4" borderId="22" xfId="0" applyNumberFormat="true" applyFont="true" applyFill="true" applyBorder="true" applyAlignment="true">
      <alignment horizontal="center"/>
    </xf>
    <xf numFmtId="0" fontId="5" fillId="4" borderId="23" xfId="0" applyNumberFormat="true" applyFont="true" applyFill="true" applyBorder="true" applyAlignment="true">
      <alignment horizontal="center"/>
    </xf>
    <xf numFmtId="0" fontId="5" fillId="4" borderId="21" xfId="0" applyNumberFormat="true" applyFont="true" applyFill="true" applyBorder="true" applyAlignment="true">
      <alignment horizontal="center" vertical="center"/>
    </xf>
    <xf numFmtId="0" fontId="5" fillId="4" borderId="22" xfId="0" applyNumberFormat="true" applyFont="true" applyFill="true" applyBorder="true" applyAlignment="true">
      <alignment horizontal="center" vertical="center"/>
    </xf>
    <xf numFmtId="0" fontId="5" fillId="4" borderId="23" xfId="0" applyNumberFormat="true" applyFont="true" applyFill="true" applyBorder="true" applyAlignment="true">
      <alignment horizontal="center" vertical="center"/>
    </xf>
    <xf numFmtId="0" fontId="4" fillId="0" borderId="24" xfId="0" applyNumberFormat="true" applyFont="true" applyFill="true" applyBorder="true"/>
    <xf numFmtId="0" fontId="4" fillId="0" borderId="25" xfId="0" applyNumberFormat="true" applyFont="true" applyFill="true" applyBorder="true"/>
    <xf numFmtId="0" fontId="4" fillId="0" borderId="26" xfId="0" applyNumberFormat="true" applyFont="true" applyFill="true" applyBorder="true"/>
    <xf numFmtId="0" fontId="4" fillId="0" borderId="24" xfId="0" applyNumberFormat="true" applyFont="true" applyFill="true" applyBorder="true" applyAlignment="true">
      <alignment wrapText="true"/>
    </xf>
    <xf numFmtId="0" fontId="4" fillId="0" borderId="25" xfId="0" applyNumberFormat="true" applyFont="true" applyFill="true" applyBorder="true" applyAlignment="true">
      <alignment wrapText="true"/>
    </xf>
    <xf numFmtId="0" fontId="4" fillId="0" borderId="26" xfId="0" applyNumberFormat="true" applyFont="true" applyFill="true" applyBorder="true" applyAlignment="true">
      <alignment wrapText="true"/>
    </xf>
    <xf numFmtId="0" fontId="4" fillId="0" borderId="24" xfId="0" applyNumberFormat="true" applyFont="true" applyFill="true" applyBorder="true" applyAlignment="true">
      <alignment vertical="center" wrapText="true"/>
    </xf>
    <xf numFmtId="0" fontId="4" fillId="0" borderId="25" xfId="0" applyNumberFormat="true" applyFont="true" applyFill="true" applyBorder="true" applyAlignment="true">
      <alignment vertical="center" wrapText="true"/>
    </xf>
    <xf numFmtId="0" fontId="4" fillId="0" borderId="26" xfId="0" applyNumberFormat="true" applyFont="true" applyFill="true" applyBorder="true" applyAlignment="true">
      <alignment vertical="center" wrapText="true"/>
    </xf>
    <xf numFmtId="0" fontId="4" fillId="0" borderId="27" xfId="0" applyNumberFormat="true" applyFont="true" applyFill="true" applyBorder="true"/>
    <xf numFmtId="0" fontId="4" fillId="0" borderId="28" xfId="0" applyNumberFormat="true" applyFont="true" applyFill="true" applyBorder="true"/>
    <xf numFmtId="0" fontId="4" fillId="0" borderId="29" xfId="0" applyNumberFormat="true" applyFont="true" applyFill="true" applyBorder="true"/>
    <xf numFmtId="0" fontId="4" fillId="0" borderId="27" xfId="0" applyNumberFormat="true" applyFont="true" applyFill="true" applyBorder="true" applyAlignment="true">
      <alignment wrapText="true"/>
    </xf>
    <xf numFmtId="0" fontId="4" fillId="0" borderId="28" xfId="0" applyNumberFormat="true" applyFont="true" applyFill="true" applyBorder="true" applyAlignment="true">
      <alignment wrapText="true"/>
    </xf>
    <xf numFmtId="0" fontId="4" fillId="0" borderId="29" xfId="0" applyNumberFormat="true" applyFont="true" applyFill="true" applyBorder="true" applyAlignment="true">
      <alignment wrapText="true"/>
    </xf>
    <xf numFmtId="0" fontId="4" fillId="0" borderId="27" xfId="0" applyNumberFormat="true" applyFont="true" applyFill="true" applyBorder="true" applyAlignment="true">
      <alignment vertical="center" wrapText="true"/>
    </xf>
    <xf numFmtId="0" fontId="4" fillId="0" borderId="28" xfId="0" applyNumberFormat="true" applyFont="true" applyFill="true" applyBorder="true" applyAlignment="true">
      <alignment vertical="center" wrapText="true"/>
    </xf>
    <xf numFmtId="0" fontId="4" fillId="0" borderId="29" xfId="0" applyNumberFormat="true" applyFont="true" applyFill="true" applyBorder="true" applyAlignment="true">
      <alignment vertical="center" wrapText="true"/>
    </xf>
    <xf numFmtId="0" fontId="0" fillId="5" borderId="0" xfId="0" applyNumberFormat="true" applyFont="true" applyFill="true" applyBorder="true"/>
    <xf numFmtId="0" fontId="6" fillId="5" borderId="0" xfId="0" applyNumberFormat="true" applyFont="true" applyFill="true" applyBorder="true"/>
    <xf numFmtId="0" fontId="6" fillId="5" borderId="0" xfId="0" applyNumberFormat="true" applyFont="true" applyFill="true" applyBorder="true" applyAlignment="true">
      <alignment horizontal="left"/>
    </xf>
    <xf numFmtId="0" fontId="6" fillId="5" borderId="0" xfId="0" applyNumberFormat="true" applyFont="true" applyFill="true" applyBorder="true" applyAlignment="true">
      <alignment horizontal="left" vertical="center"/>
    </xf>
    <xf numFmtId="0" fontId="0" fillId="5" borderId="1" xfId="0" applyNumberFormat="true" applyFont="true" applyFill="true" applyBorder="true"/>
    <xf numFmtId="0" fontId="6" fillId="5" borderId="1" xfId="0" applyNumberFormat="true" applyFont="true" applyFill="true" applyBorder="true"/>
    <xf numFmtId="0" fontId="6" fillId="5" borderId="1" xfId="0" applyNumberFormat="true" applyFont="true" applyFill="true" applyBorder="true" applyAlignment="true">
      <alignment horizontal="left"/>
    </xf>
    <xf numFmtId="0" fontId="6" fillId="5" borderId="1" xfId="0" applyNumberFormat="true" applyFont="true" applyFill="true" applyBorder="true" applyAlignment="true">
      <alignment horizontal="left" vertical="center"/>
    </xf>
    <xf numFmtId="0" fontId="7" fillId="0" borderId="0" xfId="0" applyNumberFormat="true" applyFont="true" applyFill="true" applyBorder="true"/>
    <xf numFmtId="0" fontId="7" fillId="0" borderId="0" xfId="0" applyNumberFormat="true" applyFont="true" applyFill="true" applyBorder="true" applyAlignment="true">
      <alignment wrapText="true"/>
    </xf>
    <xf numFmtId="0" fontId="7" fillId="0" borderId="0" xfId="0" applyNumberFormat="true" applyFont="true" applyFill="true" applyBorder="true" applyAlignment="true">
      <alignment vertical="center" wrapText="true"/>
    </xf>
    <xf numFmtId="0" fontId="7" fillId="0" borderId="1" xfId="0" applyNumberFormat="true" applyFont="true" applyFill="true" applyBorder="true"/>
    <xf numFmtId="0" fontId="7" fillId="0" borderId="1" xfId="0" applyNumberFormat="true" applyFont="true" applyFill="true" applyBorder="true" applyAlignment="true">
      <alignment wrapText="true"/>
    </xf>
    <xf numFmtId="0" fontId="7" fillId="0" borderId="1" xfId="0" applyNumberFormat="true" applyFont="true" applyFill="true" applyBorder="true" applyAlignment="true">
      <alignment vertical="center" wrapText="true"/>
    </xf>
    <xf numFmtId="0" fontId="3" fillId="3" borderId="30" xfId="0" applyNumberFormat="true" applyFont="true" applyFill="true" applyBorder="true"/>
    <xf numFmtId="0" fontId="3" fillId="3" borderId="2" xfId="0" applyNumberFormat="true" applyFont="true" applyFill="true" applyBorder="true" applyAlignment="true">
      <alignment wrapText="true"/>
    </xf>
    <xf numFmtId="0" fontId="3" fillId="3" borderId="30" xfId="0" applyNumberFormat="true" applyFont="true" applyFill="true" applyBorder="true" applyAlignment="true">
      <alignment wrapText="true"/>
    </xf>
    <xf numFmtId="0" fontId="3" fillId="3" borderId="3" xfId="0" applyNumberFormat="true" applyFont="true" applyFill="true" applyBorder="true" applyAlignment="true">
      <alignment wrapText="true"/>
    </xf>
    <xf numFmtId="0" fontId="3" fillId="3" borderId="2" xfId="0" applyNumberFormat="true" applyFont="true" applyFill="true" applyBorder="true" applyAlignment="true">
      <alignment horizontal="center" wrapText="true"/>
    </xf>
    <xf numFmtId="0" fontId="3" fillId="3" borderId="30" xfId="0" applyNumberFormat="true" applyFont="true" applyFill="true" applyBorder="true" applyAlignment="true">
      <alignment horizontal="center" wrapText="true"/>
    </xf>
    <xf numFmtId="0" fontId="3" fillId="3" borderId="3" xfId="0" applyNumberFormat="true" applyFont="true" applyFill="true" applyBorder="true" applyAlignment="true">
      <alignment horizontal="center" wrapText="true"/>
    </xf>
    <xf numFmtId="0" fontId="3" fillId="3" borderId="2" xfId="0" applyNumberFormat="true" applyFont="true" applyFill="true" applyBorder="true" applyAlignment="true">
      <alignment horizontal="center" vertical="center" wrapText="true"/>
    </xf>
    <xf numFmtId="0" fontId="3" fillId="3" borderId="30" xfId="0" applyNumberFormat="true" applyFont="true" applyFill="true" applyBorder="true" applyAlignment="true">
      <alignment horizontal="center" vertical="center" wrapText="true"/>
    </xf>
    <xf numFmtId="0" fontId="3" fillId="3" borderId="3" xfId="0" applyNumberFormat="true" applyFont="true" applyFill="true" applyBorder="true" applyAlignment="true">
      <alignment horizontal="center" vertical="center" wrapText="true"/>
    </xf>
    <xf numFmtId="0" fontId="3" fillId="3" borderId="31" xfId="0" applyNumberFormat="true" applyFont="true" applyFill="true" applyBorder="true"/>
    <xf numFmtId="0" fontId="3" fillId="3" borderId="4" xfId="0" applyNumberFormat="true" applyFont="true" applyFill="true" applyBorder="true" applyAlignment="true">
      <alignment wrapText="true"/>
    </xf>
    <xf numFmtId="0" fontId="3" fillId="3" borderId="31" xfId="0" applyNumberFormat="true" applyFont="true" applyFill="true" applyBorder="true" applyAlignment="true">
      <alignment wrapText="true"/>
    </xf>
    <xf numFmtId="0" fontId="3" fillId="3" borderId="5" xfId="0" applyNumberFormat="true" applyFont="true" applyFill="true" applyBorder="true" applyAlignment="true">
      <alignment wrapText="true"/>
    </xf>
    <xf numFmtId="0" fontId="3" fillId="3" borderId="4" xfId="0" applyNumberFormat="true" applyFont="true" applyFill="true" applyBorder="true" applyAlignment="true">
      <alignment horizontal="center" wrapText="true"/>
    </xf>
    <xf numFmtId="0" fontId="3" fillId="3" borderId="31" xfId="0" applyNumberFormat="true" applyFont="true" applyFill="true" applyBorder="true" applyAlignment="true">
      <alignment horizontal="center" wrapText="true"/>
    </xf>
    <xf numFmtId="0" fontId="3" fillId="3" borderId="5" xfId="0" applyNumberFormat="true" applyFont="true" applyFill="true" applyBorder="true" applyAlignment="true">
      <alignment horizontal="center" wrapText="true"/>
    </xf>
    <xf numFmtId="0" fontId="3" fillId="3" borderId="4" xfId="0" applyNumberFormat="true" applyFont="true" applyFill="true" applyBorder="true" applyAlignment="true">
      <alignment horizontal="center" vertical="center" wrapText="true"/>
    </xf>
    <xf numFmtId="0" fontId="3" fillId="3" borderId="31" xfId="0" applyNumberFormat="true" applyFont="true" applyFill="true" applyBorder="true" applyAlignment="true">
      <alignment horizontal="center" vertical="center" wrapText="true"/>
    </xf>
    <xf numFmtId="0" fontId="3" fillId="3" borderId="5" xfId="0" applyNumberFormat="true" applyFont="true" applyFill="true" applyBorder="true" applyAlignment="true">
      <alignment horizontal="center" vertical="center" wrapText="true"/>
    </xf>
    <xf numFmtId="0" fontId="4" fillId="0" borderId="6" xfId="0" applyNumberFormat="true" applyFont="true" applyFill="true" applyBorder="true" applyAlignment="true">
      <alignment horizontal="center"/>
    </xf>
    <xf numFmtId="0" fontId="4" fillId="0" borderId="24" xfId="0" applyNumberFormat="true" applyFont="true" applyFill="true" applyBorder="true" applyAlignment="true">
      <alignment horizontal="center"/>
    </xf>
    <xf numFmtId="0" fontId="4" fillId="0" borderId="7" xfId="0" applyNumberFormat="true" applyFont="true" applyFill="true" applyBorder="true" applyAlignment="true">
      <alignment horizontal="center"/>
    </xf>
    <xf numFmtId="0" fontId="4" fillId="0" borderId="8" xfId="0" applyNumberFormat="true" applyFont="true" applyFill="true" applyBorder="true" applyAlignment="true">
      <alignment horizontal="center"/>
    </xf>
    <xf numFmtId="0" fontId="4" fillId="0" borderId="25" xfId="0" applyNumberFormat="true" applyFont="true" applyFill="true" applyBorder="true" applyAlignment="true">
      <alignment horizontal="center"/>
    </xf>
    <xf numFmtId="0" fontId="4" fillId="0" borderId="9" xfId="0" applyNumberFormat="true" applyFont="true" applyFill="true" applyBorder="true" applyAlignment="true">
      <alignment horizontal="center"/>
    </xf>
    <xf numFmtId="0" fontId="4" fillId="0" borderId="10" xfId="0" applyNumberFormat="true" applyFont="true" applyFill="true" applyBorder="true" applyAlignment="true">
      <alignment horizontal="center"/>
    </xf>
    <xf numFmtId="0" fontId="4" fillId="0" borderId="26" xfId="0" applyNumberFormat="true" applyFont="true" applyFill="true" applyBorder="true" applyAlignment="true">
      <alignment horizontal="center"/>
    </xf>
    <xf numFmtId="0" fontId="4" fillId="0" borderId="11" xfId="0" applyNumberFormat="true" applyFont="true" applyFill="true" applyBorder="true" applyAlignment="true">
      <alignment horizontal="center"/>
    </xf>
    <xf numFmtId="0" fontId="4" fillId="0" borderId="6" xfId="0" applyNumberFormat="true" applyFont="true" applyFill="true" applyBorder="true" applyAlignment="true">
      <alignment horizontal="center" vertical="center"/>
    </xf>
    <xf numFmtId="0" fontId="4" fillId="0" borderId="24" xfId="0" applyNumberFormat="true" applyFont="true" applyFill="true" applyBorder="true" applyAlignment="true">
      <alignment horizontal="center" vertical="center"/>
    </xf>
    <xf numFmtId="0" fontId="4" fillId="0" borderId="7" xfId="0" applyNumberFormat="true" applyFont="true" applyFill="true" applyBorder="true" applyAlignment="true">
      <alignment horizontal="center" vertical="center"/>
    </xf>
    <xf numFmtId="0" fontId="4" fillId="0" borderId="8" xfId="0" applyNumberFormat="true" applyFont="true" applyFill="true" applyBorder="true" applyAlignment="true">
      <alignment horizontal="center" vertical="center"/>
    </xf>
    <xf numFmtId="0" fontId="4" fillId="0" borderId="25" xfId="0" applyNumberFormat="true" applyFont="true" applyFill="true" applyBorder="true" applyAlignment="true">
      <alignment horizontal="center" vertical="center"/>
    </xf>
    <xf numFmtId="0" fontId="4" fillId="0" borderId="9" xfId="0" applyNumberFormat="true" applyFont="true" applyFill="true" applyBorder="true" applyAlignment="true">
      <alignment horizontal="center" vertical="center"/>
    </xf>
    <xf numFmtId="0" fontId="4" fillId="0" borderId="10" xfId="0" applyNumberFormat="true" applyFont="true" applyFill="true" applyBorder="true" applyAlignment="true">
      <alignment horizontal="center" vertical="center"/>
    </xf>
    <xf numFmtId="0" fontId="4" fillId="0" borderId="26" xfId="0" applyNumberFormat="true" applyFont="true" applyFill="true" applyBorder="true" applyAlignment="true">
      <alignment horizontal="center" vertical="center"/>
    </xf>
    <xf numFmtId="0" fontId="4" fillId="0" borderId="11" xfId="0" applyNumberFormat="true" applyFont="true" applyFill="true" applyBorder="true" applyAlignment="true">
      <alignment horizontal="center" vertical="center"/>
    </xf>
    <xf numFmtId="0" fontId="4" fillId="0" borderId="12" xfId="0" applyNumberFormat="true" applyFont="true" applyFill="true" applyBorder="true" applyAlignment="true">
      <alignment horizontal="center"/>
    </xf>
    <xf numFmtId="0" fontId="4" fillId="0" borderId="27" xfId="0" applyNumberFormat="true" applyFont="true" applyFill="true" applyBorder="true" applyAlignment="true">
      <alignment horizontal="center"/>
    </xf>
    <xf numFmtId="0" fontId="4" fillId="0" borderId="13" xfId="0" applyNumberFormat="true" applyFont="true" applyFill="true" applyBorder="true" applyAlignment="true">
      <alignment horizontal="center"/>
    </xf>
    <xf numFmtId="0" fontId="4" fillId="0" borderId="14" xfId="0" applyNumberFormat="true" applyFont="true" applyFill="true" applyBorder="true" applyAlignment="true">
      <alignment horizontal="center"/>
    </xf>
    <xf numFmtId="0" fontId="4" fillId="0" borderId="28" xfId="0" applyNumberFormat="true" applyFont="true" applyFill="true" applyBorder="true" applyAlignment="true">
      <alignment horizontal="center"/>
    </xf>
    <xf numFmtId="0" fontId="4" fillId="0" borderId="15" xfId="0" applyNumberFormat="true" applyFont="true" applyFill="true" applyBorder="true" applyAlignment="true">
      <alignment horizontal="center"/>
    </xf>
    <xf numFmtId="0" fontId="4" fillId="0" borderId="16" xfId="0" applyNumberFormat="true" applyFont="true" applyFill="true" applyBorder="true" applyAlignment="true">
      <alignment horizontal="center"/>
    </xf>
    <xf numFmtId="0" fontId="4" fillId="0" borderId="29" xfId="0" applyNumberFormat="true" applyFont="true" applyFill="true" applyBorder="true" applyAlignment="true">
      <alignment horizontal="center"/>
    </xf>
    <xf numFmtId="0" fontId="4" fillId="0" borderId="17" xfId="0" applyNumberFormat="true" applyFont="true" applyFill="true" applyBorder="true" applyAlignment="true">
      <alignment horizontal="center"/>
    </xf>
    <xf numFmtId="0" fontId="4" fillId="0" borderId="12" xfId="0" applyNumberFormat="true" applyFont="true" applyFill="true" applyBorder="true" applyAlignment="true">
      <alignment horizontal="center" vertical="center"/>
    </xf>
    <xf numFmtId="0" fontId="4" fillId="0" borderId="27" xfId="0" applyNumberFormat="true" applyFont="true" applyFill="true" applyBorder="true" applyAlignment="true">
      <alignment horizontal="center" vertical="center"/>
    </xf>
    <xf numFmtId="0" fontId="4" fillId="0" borderId="13" xfId="0" applyNumberFormat="true" applyFont="true" applyFill="true" applyBorder="true" applyAlignment="true">
      <alignment horizontal="center" vertical="center"/>
    </xf>
    <xf numFmtId="0" fontId="4" fillId="0" borderId="14" xfId="0" applyNumberFormat="true" applyFont="true" applyFill="true" applyBorder="true" applyAlignment="true">
      <alignment horizontal="center" vertical="center"/>
    </xf>
    <xf numFmtId="0" fontId="4" fillId="0" borderId="28" xfId="0" applyNumberFormat="true" applyFont="true" applyFill="true" applyBorder="true" applyAlignment="true">
      <alignment horizontal="center" vertical="center"/>
    </xf>
    <xf numFmtId="0" fontId="4" fillId="0" borderId="15" xfId="0" applyNumberFormat="true" applyFont="true" applyFill="true" applyBorder="true" applyAlignment="true">
      <alignment horizontal="center" vertical="center"/>
    </xf>
    <xf numFmtId="0" fontId="4" fillId="0" borderId="16" xfId="0" applyNumberFormat="true" applyFont="true" applyFill="true" applyBorder="true" applyAlignment="true">
      <alignment horizontal="center" vertical="center"/>
    </xf>
    <xf numFmtId="0" fontId="4" fillId="0" borderId="29" xfId="0" applyNumberFormat="true" applyFont="true" applyFill="true" applyBorder="true" applyAlignment="true">
      <alignment horizontal="center" vertical="center"/>
    </xf>
    <xf numFmtId="0" fontId="4" fillId="0" borderId="17" xfId="0" applyNumberFormat="true" applyFont="true" applyFill="true" applyBorder="true" applyAlignment="true">
      <alignment horizontal="center" vertical="center"/>
    </xf>
    <xf numFmtId="0" fontId="4" fillId="0" borderId="24" xfId="0" applyNumberFormat="true" applyFont="true" applyFill="true" applyBorder="true" applyAlignment="true">
      <alignment horizontal="left" vertical="center"/>
    </xf>
    <xf numFmtId="0" fontId="4" fillId="0" borderId="25" xfId="0" applyNumberFormat="true" applyFont="true" applyFill="true" applyBorder="true" applyAlignment="true">
      <alignment horizontal="left" vertical="center"/>
    </xf>
    <xf numFmtId="0" fontId="4" fillId="0" borderId="26" xfId="0" applyNumberFormat="true" applyFont="true" applyFill="true" applyBorder="true" applyAlignment="true">
      <alignment horizontal="left" vertical="center"/>
    </xf>
    <xf numFmtId="0" fontId="4" fillId="0" borderId="27" xfId="0" applyNumberFormat="true" applyFont="true" applyFill="true" applyBorder="true" applyAlignment="true">
      <alignment horizontal="left" vertical="center"/>
    </xf>
    <xf numFmtId="0" fontId="4" fillId="0" borderId="28" xfId="0" applyNumberFormat="true" applyFont="true" applyFill="true" applyBorder="true" applyAlignment="true">
      <alignment horizontal="left" vertical="center"/>
    </xf>
    <xf numFmtId="0" fontId="4" fillId="0" borderId="29" xfId="0" applyNumberFormat="true" applyFont="true" applyFill="true" applyBorder="true" applyAlignment="true">
      <alignment horizontal="left" vertical="center"/>
    </xf>
    <xf numFmtId="200" fontId="4" fillId="0" borderId="24" xfId="0" applyNumberFormat="true" applyFont="true" applyFill="true" applyBorder="true" applyAlignment="true">
      <alignment horizontal="center" vertical="center"/>
    </xf>
    <xf numFmtId="200" fontId="4" fillId="0" borderId="25" xfId="0" applyNumberFormat="true" applyFont="true" applyFill="true" applyBorder="true" applyAlignment="true">
      <alignment horizontal="center" vertical="center"/>
    </xf>
    <xf numFmtId="200" fontId="4" fillId="0" borderId="26" xfId="0" applyNumberFormat="true" applyFont="true" applyFill="true" applyBorder="true" applyAlignment="true">
      <alignment horizontal="center" vertical="center"/>
    </xf>
    <xf numFmtId="200" fontId="4" fillId="0" borderId="27" xfId="0" applyNumberFormat="true" applyFont="true" applyFill="true" applyBorder="true" applyAlignment="true">
      <alignment horizontal="center" vertical="center"/>
    </xf>
    <xf numFmtId="200" fontId="4" fillId="0" borderId="28" xfId="0" applyNumberFormat="true" applyFont="true" applyFill="true" applyBorder="true" applyAlignment="true">
      <alignment horizontal="center" vertical="center"/>
    </xf>
    <xf numFmtId="200" fontId="4" fillId="0" borderId="29" xfId="0" applyNumberFormat="true" applyFont="true" applyFill="true" applyBorder="true" applyAlignment="true">
      <alignment horizontal="center" vertical="center"/>
    </xf>
    <xf numFmtId="201" fontId="4" fillId="0" borderId="24" xfId="0" applyNumberFormat="true" applyFont="true" applyFill="true" applyBorder="true" applyAlignment="true">
      <alignment horizontal="center" vertical="center"/>
    </xf>
    <xf numFmtId="201" fontId="4" fillId="0" borderId="25" xfId="0" applyNumberFormat="true" applyFont="true" applyFill="true" applyBorder="true" applyAlignment="true">
      <alignment horizontal="center" vertical="center"/>
    </xf>
    <xf numFmtId="201" fontId="4" fillId="0" borderId="26" xfId="0" applyNumberFormat="true" applyFont="true" applyFill="true" applyBorder="true" applyAlignment="true">
      <alignment horizontal="center" vertical="center"/>
    </xf>
    <xf numFmtId="201" fontId="4" fillId="0" borderId="27" xfId="0" applyNumberFormat="true" applyFont="true" applyFill="true" applyBorder="true" applyAlignment="true">
      <alignment horizontal="center" vertical="center"/>
    </xf>
    <xf numFmtId="201" fontId="4" fillId="0" borderId="28" xfId="0" applyNumberFormat="true" applyFont="true" applyFill="true" applyBorder="true" applyAlignment="true">
      <alignment horizontal="center" vertical="center"/>
    </xf>
    <xf numFmtId="201" fontId="4" fillId="0" borderId="29" xfId="0" applyNumberFormat="true" applyFont="true" applyFill="true" applyBorder="true" applyAlignment="true">
      <alignment horizontal="center" vertical="center"/>
    </xf>
    <xf numFmtId="0" fontId="3" fillId="3" borderId="0" xfId="0" applyNumberFormat="true" applyFont="true" applyFill="true" applyBorder="true" applyAlignment="true">
      <alignment horizontal="center"/>
    </xf>
    <xf numFmtId="0" fontId="3" fillId="3" borderId="0" xfId="0" applyNumberFormat="true" applyFont="true" applyFill="true" applyBorder="true" applyAlignment="true">
      <alignment horizontal="center" vertical="center"/>
    </xf>
    <xf numFmtId="0" fontId="3" fillId="3" borderId="1" xfId="0" applyNumberFormat="true" applyFont="true" applyFill="true" applyBorder="true" applyAlignment="true">
      <alignment horizontal="center"/>
    </xf>
    <xf numFmtId="0" fontId="3" fillId="3" borderId="1" xfId="0" applyNumberFormat="true" applyFont="true" applyFill="true" applyBorder="true" applyAlignment="true">
      <alignment horizontal="center" vertical="center"/>
    </xf>
    <xf numFmtId="0" fontId="8" fillId="3" borderId="0" xfId="0" applyNumberFormat="true" applyFont="true" applyFill="true" applyBorder="true" applyAlignment="true">
      <alignment horizontal="center" vertical="center"/>
    </xf>
    <xf numFmtId="0" fontId="8" fillId="3" borderId="32" xfId="0" applyNumberFormat="true" applyFont="true" applyFill="true" applyBorder="true" applyAlignment="true">
      <alignment horizontal="center" vertical="center"/>
    </xf>
    <xf numFmtId="0" fontId="4" fillId="0" borderId="33" xfId="0" applyNumberFormat="true" applyFont="true" applyFill="true" applyBorder="true"/>
    <xf numFmtId="0" fontId="4" fillId="0" borderId="34" xfId="0" applyNumberFormat="true" applyFont="true" applyFill="true" applyBorder="true"/>
    <xf numFmtId="0" fontId="4" fillId="0" borderId="33" xfId="0" applyNumberFormat="true" applyFont="true" applyFill="true" applyBorder="true" applyAlignment="true">
      <alignment horizontal="center"/>
    </xf>
    <xf numFmtId="0" fontId="4" fillId="0" borderId="34" xfId="0" applyNumberFormat="true" applyFont="true" applyFill="true" applyBorder="true" applyAlignment="true">
      <alignment horizontal="center"/>
    </xf>
    <xf numFmtId="0" fontId="4" fillId="0" borderId="33" xfId="0" applyNumberFormat="true" applyFont="true" applyFill="true" applyBorder="true" applyAlignment="true">
      <alignment horizontal="center" vertical="center"/>
    </xf>
    <xf numFmtId="0" fontId="4" fillId="0" borderId="34" xfId="0" applyNumberFormat="true" applyFont="true" applyFill="true" applyBorder="true" applyAlignment="true">
      <alignment horizontal="center" vertical="center"/>
    </xf>
    <xf numFmtId="0" fontId="8" fillId="3" borderId="1" xfId="0" applyNumberFormat="true" applyFont="true" applyFill="true" applyBorder="true" applyAlignment="true">
      <alignment horizontal="center" vertical="center"/>
    </xf>
    <xf numFmtId="0" fontId="8" fillId="3" borderId="35" xfId="0" applyNumberFormat="true" applyFont="true" applyFill="true" applyBorder="true" applyAlignment="true">
      <alignment horizontal="center" vertical="center"/>
    </xf>
    <xf numFmtId="0" fontId="4" fillId="0" borderId="36" xfId="0" applyNumberFormat="true" applyFont="true" applyFill="true" applyBorder="true"/>
    <xf numFmtId="0" fontId="4" fillId="0" borderId="37" xfId="0" applyNumberFormat="true" applyFont="true" applyFill="true" applyBorder="true"/>
    <xf numFmtId="0" fontId="4" fillId="0" borderId="36" xfId="0" applyNumberFormat="true" applyFont="true" applyFill="true" applyBorder="true" applyAlignment="true">
      <alignment horizontal="center"/>
    </xf>
    <xf numFmtId="0" fontId="4" fillId="0" borderId="37" xfId="0" applyNumberFormat="true" applyFont="true" applyFill="true" applyBorder="true" applyAlignment="true">
      <alignment horizontal="center"/>
    </xf>
    <xf numFmtId="0" fontId="4" fillId="0" borderId="36" xfId="0" applyNumberFormat="true" applyFont="true" applyFill="true" applyBorder="true" applyAlignment="true">
      <alignment horizontal="center" vertical="center"/>
    </xf>
    <xf numFmtId="0" fontId="4" fillId="0" borderId="37" xfId="0" applyNumberFormat="true" applyFont="true" applyFill="true" applyBorder="true" applyAlignment="true">
      <alignment horizontal="center" vertical="center"/>
    </xf>
    <xf numFmtId="0" fontId="5" fillId="4" borderId="0" xfId="0" applyNumberFormat="true" applyFont="true" applyFill="true" applyBorder="true" applyAlignment="true">
      <alignment horizontal="center"/>
    </xf>
    <xf numFmtId="0" fontId="5" fillId="4" borderId="0" xfId="0" applyNumberFormat="true" applyFont="true" applyFill="true" applyBorder="true" applyAlignment="true">
      <alignment horizontal="center" vertical="center"/>
    </xf>
    <xf numFmtId="0" fontId="5" fillId="4" borderId="1" xfId="0" applyNumberFormat="true" applyFont="true" applyFill="true" applyBorder="true" applyAlignment="true">
      <alignment horizontal="center"/>
    </xf>
    <xf numFmtId="0" fontId="5" fillId="4" borderId="1" xfId="0" applyNumberFormat="true" applyFont="true" applyFill="true" applyBorder="true" applyAlignment="true">
      <alignment horizontal="center" vertical="center"/>
    </xf>
    <xf numFmtId="0" fontId="9" fillId="0" borderId="0" xfId="0" applyNumberFormat="true" applyFont="true" applyFill="true" applyBorder="true"/>
    <xf numFmtId="0" fontId="9" fillId="0" borderId="6" xfId="0" applyNumberFormat="true" applyFont="true" applyFill="true" applyBorder="true"/>
    <xf numFmtId="0" fontId="9" fillId="0" borderId="24" xfId="0" applyNumberFormat="true" applyFont="true" applyFill="true" applyBorder="true"/>
    <xf numFmtId="0" fontId="9" fillId="0" borderId="7" xfId="0" applyNumberFormat="true" applyFont="true" applyFill="true" applyBorder="true"/>
    <xf numFmtId="0" fontId="9" fillId="0" borderId="8" xfId="0" applyNumberFormat="true" applyFont="true" applyFill="true" applyBorder="true"/>
    <xf numFmtId="0" fontId="9" fillId="0" borderId="25" xfId="0" applyNumberFormat="true" applyFont="true" applyFill="true" applyBorder="true"/>
    <xf numFmtId="0" fontId="9" fillId="0" borderId="9" xfId="0" applyNumberFormat="true" applyFont="true" applyFill="true" applyBorder="true"/>
    <xf numFmtId="0" fontId="9" fillId="0" borderId="10" xfId="0" applyNumberFormat="true" applyFont="true" applyFill="true" applyBorder="true"/>
    <xf numFmtId="0" fontId="9" fillId="0" borderId="26" xfId="0" applyNumberFormat="true" applyFont="true" applyFill="true" applyBorder="true"/>
    <xf numFmtId="0" fontId="9" fillId="0" borderId="11" xfId="0" applyNumberFormat="true" applyFont="true" applyFill="true" applyBorder="true"/>
    <xf numFmtId="0" fontId="9" fillId="0" borderId="6" xfId="0" applyNumberFormat="true" applyFont="true" applyFill="true" applyBorder="true" applyAlignment="true">
      <alignment wrapText="true"/>
    </xf>
    <xf numFmtId="0" fontId="9" fillId="0" borderId="24" xfId="0" applyNumberFormat="true" applyFont="true" applyFill="true" applyBorder="true" applyAlignment="true">
      <alignment wrapText="true"/>
    </xf>
    <xf numFmtId="0" fontId="9" fillId="0" borderId="7" xfId="0" applyNumberFormat="true" applyFont="true" applyFill="true" applyBorder="true" applyAlignment="true">
      <alignment wrapText="true"/>
    </xf>
    <xf numFmtId="0" fontId="9" fillId="0" borderId="8" xfId="0" applyNumberFormat="true" applyFont="true" applyFill="true" applyBorder="true" applyAlignment="true">
      <alignment wrapText="true"/>
    </xf>
    <xf numFmtId="0" fontId="9" fillId="0" borderId="25" xfId="0" applyNumberFormat="true" applyFont="true" applyFill="true" applyBorder="true" applyAlignment="true">
      <alignment wrapText="true"/>
    </xf>
    <xf numFmtId="0" fontId="9" fillId="0" borderId="9" xfId="0" applyNumberFormat="true" applyFont="true" applyFill="true" applyBorder="true" applyAlignment="true">
      <alignment wrapText="true"/>
    </xf>
    <xf numFmtId="0" fontId="9" fillId="0" borderId="10" xfId="0" applyNumberFormat="true" applyFont="true" applyFill="true" applyBorder="true" applyAlignment="true">
      <alignment wrapText="true"/>
    </xf>
    <xf numFmtId="0" fontId="9" fillId="0" borderId="26" xfId="0" applyNumberFormat="true" applyFont="true" applyFill="true" applyBorder="true" applyAlignment="true">
      <alignment wrapText="true"/>
    </xf>
    <xf numFmtId="0" fontId="9" fillId="0" borderId="11" xfId="0" applyNumberFormat="true" applyFont="true" applyFill="true" applyBorder="true" applyAlignment="true">
      <alignment wrapText="true"/>
    </xf>
    <xf numFmtId="0" fontId="9" fillId="0" borderId="6" xfId="0" applyNumberFormat="true" applyFont="true" applyFill="true" applyBorder="true" applyAlignment="true">
      <alignment vertical="center" wrapText="true"/>
    </xf>
    <xf numFmtId="0" fontId="9" fillId="0" borderId="24" xfId="0" applyNumberFormat="true" applyFont="true" applyFill="true" applyBorder="true" applyAlignment="true">
      <alignment vertical="center" wrapText="true"/>
    </xf>
    <xf numFmtId="0" fontId="9" fillId="0" borderId="7" xfId="0" applyNumberFormat="true" applyFont="true" applyFill="true" applyBorder="true" applyAlignment="true">
      <alignment vertical="center" wrapText="true"/>
    </xf>
    <xf numFmtId="0" fontId="9" fillId="0" borderId="8" xfId="0" applyNumberFormat="true" applyFont="true" applyFill="true" applyBorder="true" applyAlignment="true">
      <alignment vertical="center" wrapText="true"/>
    </xf>
    <xf numFmtId="0" fontId="9" fillId="0" borderId="25" xfId="0" applyNumberFormat="true" applyFont="true" applyFill="true" applyBorder="true" applyAlignment="true">
      <alignment vertical="center" wrapText="true"/>
    </xf>
    <xf numFmtId="0" fontId="9" fillId="0" borderId="9" xfId="0" applyNumberFormat="true" applyFont="true" applyFill="true" applyBorder="true" applyAlignment="true">
      <alignment vertical="center" wrapText="true"/>
    </xf>
    <xf numFmtId="0" fontId="9" fillId="0" borderId="10" xfId="0" applyNumberFormat="true" applyFont="true" applyFill="true" applyBorder="true" applyAlignment="true">
      <alignment vertical="center" wrapText="true"/>
    </xf>
    <xf numFmtId="0" fontId="9" fillId="0" borderId="26" xfId="0" applyNumberFormat="true" applyFont="true" applyFill="true" applyBorder="true" applyAlignment="true">
      <alignment vertical="center" wrapText="true"/>
    </xf>
    <xf numFmtId="0" fontId="9" fillId="0" borderId="11" xfId="0" applyNumberFormat="true" applyFont="true" applyFill="true" applyBorder="true" applyAlignment="true">
      <alignment vertical="center" wrapText="true"/>
    </xf>
    <xf numFmtId="0" fontId="9" fillId="0" borderId="1" xfId="0" applyNumberFormat="true" applyFont="true" applyFill="true" applyBorder="true"/>
    <xf numFmtId="0" fontId="9" fillId="0" borderId="12" xfId="0" applyNumberFormat="true" applyFont="true" applyFill="true" applyBorder="true"/>
    <xf numFmtId="0" fontId="9" fillId="0" borderId="27" xfId="0" applyNumberFormat="true" applyFont="true" applyFill="true" applyBorder="true"/>
    <xf numFmtId="0" fontId="9" fillId="0" borderId="13" xfId="0" applyNumberFormat="true" applyFont="true" applyFill="true" applyBorder="true"/>
    <xf numFmtId="0" fontId="9" fillId="0" borderId="14" xfId="0" applyNumberFormat="true" applyFont="true" applyFill="true" applyBorder="true"/>
    <xf numFmtId="0" fontId="9" fillId="0" borderId="28" xfId="0" applyNumberFormat="true" applyFont="true" applyFill="true" applyBorder="true"/>
    <xf numFmtId="0" fontId="9" fillId="0" borderId="15" xfId="0" applyNumberFormat="true" applyFont="true" applyFill="true" applyBorder="true"/>
    <xf numFmtId="0" fontId="9" fillId="0" borderId="16" xfId="0" applyNumberFormat="true" applyFont="true" applyFill="true" applyBorder="true"/>
    <xf numFmtId="0" fontId="9" fillId="0" borderId="29" xfId="0" applyNumberFormat="true" applyFont="true" applyFill="true" applyBorder="true"/>
    <xf numFmtId="0" fontId="9" fillId="0" borderId="17" xfId="0" applyNumberFormat="true" applyFont="true" applyFill="true" applyBorder="true"/>
    <xf numFmtId="0" fontId="9" fillId="0" borderId="12" xfId="0" applyNumberFormat="true" applyFont="true" applyFill="true" applyBorder="true" applyAlignment="true">
      <alignment wrapText="true"/>
    </xf>
    <xf numFmtId="0" fontId="9" fillId="0" borderId="27" xfId="0" applyNumberFormat="true" applyFont="true" applyFill="true" applyBorder="true" applyAlignment="true">
      <alignment wrapText="true"/>
    </xf>
    <xf numFmtId="0" fontId="9" fillId="0" borderId="13" xfId="0" applyNumberFormat="true" applyFont="true" applyFill="true" applyBorder="true" applyAlignment="true">
      <alignment wrapText="true"/>
    </xf>
    <xf numFmtId="0" fontId="9" fillId="0" borderId="14" xfId="0" applyNumberFormat="true" applyFont="true" applyFill="true" applyBorder="true" applyAlignment="true">
      <alignment wrapText="true"/>
    </xf>
    <xf numFmtId="0" fontId="9" fillId="0" borderId="28" xfId="0" applyNumberFormat="true" applyFont="true" applyFill="true" applyBorder="true" applyAlignment="true">
      <alignment wrapText="true"/>
    </xf>
    <xf numFmtId="0" fontId="9" fillId="0" borderId="15" xfId="0" applyNumberFormat="true" applyFont="true" applyFill="true" applyBorder="true" applyAlignment="true">
      <alignment wrapText="true"/>
    </xf>
    <xf numFmtId="0" fontId="9" fillId="0" borderId="16" xfId="0" applyNumberFormat="true" applyFont="true" applyFill="true" applyBorder="true" applyAlignment="true">
      <alignment wrapText="true"/>
    </xf>
    <xf numFmtId="0" fontId="9" fillId="0" borderId="29" xfId="0" applyNumberFormat="true" applyFont="true" applyFill="true" applyBorder="true" applyAlignment="true">
      <alignment wrapText="true"/>
    </xf>
    <xf numFmtId="0" fontId="9" fillId="0" borderId="17" xfId="0" applyNumberFormat="true" applyFont="true" applyFill="true" applyBorder="true" applyAlignment="true">
      <alignment wrapText="true"/>
    </xf>
    <xf numFmtId="0" fontId="9" fillId="0" borderId="12" xfId="0" applyNumberFormat="true" applyFont="true" applyFill="true" applyBorder="true" applyAlignment="true">
      <alignment vertical="center" wrapText="true"/>
    </xf>
    <xf numFmtId="0" fontId="9" fillId="0" borderId="27" xfId="0" applyNumberFormat="true" applyFont="true" applyFill="true" applyBorder="true" applyAlignment="true">
      <alignment vertical="center" wrapText="true"/>
    </xf>
    <xf numFmtId="0" fontId="9" fillId="0" borderId="13" xfId="0" applyNumberFormat="true" applyFont="true" applyFill="true" applyBorder="true" applyAlignment="true">
      <alignment vertical="center" wrapText="true"/>
    </xf>
    <xf numFmtId="0" fontId="9" fillId="0" borderId="14" xfId="0" applyNumberFormat="true" applyFont="true" applyFill="true" applyBorder="true" applyAlignment="true">
      <alignment vertical="center" wrapText="true"/>
    </xf>
    <xf numFmtId="0" fontId="9" fillId="0" borderId="28" xfId="0" applyNumberFormat="true" applyFont="true" applyFill="true" applyBorder="true" applyAlignment="true">
      <alignment vertical="center" wrapText="true"/>
    </xf>
    <xf numFmtId="0" fontId="9" fillId="0" borderId="15" xfId="0" applyNumberFormat="true" applyFont="true" applyFill="true" applyBorder="true" applyAlignment="true">
      <alignment vertical="center" wrapText="true"/>
    </xf>
    <xf numFmtId="0" fontId="9" fillId="0" borderId="16" xfId="0" applyNumberFormat="true" applyFont="true" applyFill="true" applyBorder="true" applyAlignment="true">
      <alignment vertical="center" wrapText="true"/>
    </xf>
    <xf numFmtId="0" fontId="9" fillId="0" borderId="29" xfId="0" applyNumberFormat="true" applyFont="true" applyFill="true" applyBorder="true" applyAlignment="true">
      <alignment vertical="center" wrapText="true"/>
    </xf>
    <xf numFmtId="0" fontId="9" fillId="0" borderId="17" xfId="0" applyNumberFormat="true" applyFont="true" applyFill="true" applyBorder="true" applyAlignment="true">
      <alignment vertical="center" wrapText="true"/>
    </xf>
    <xf numFmtId="0" fontId="10" fillId="3" borderId="0" xfId="0" applyNumberFormat="true" applyFont="true" applyFill="true" applyBorder="true"/>
    <xf numFmtId="0" fontId="10" fillId="3" borderId="2" xfId="0" applyNumberFormat="true" applyFont="true" applyFill="true" applyBorder="true"/>
    <xf numFmtId="0" fontId="10" fillId="3" borderId="30" xfId="0" applyNumberFormat="true" applyFont="true" applyFill="true" applyBorder="true"/>
    <xf numFmtId="0" fontId="10" fillId="3" borderId="3" xfId="0" applyNumberFormat="true" applyFont="true" applyFill="true" applyBorder="true"/>
    <xf numFmtId="0" fontId="10" fillId="3" borderId="2" xfId="0" applyNumberFormat="true" applyFont="true" applyFill="true" applyBorder="true" applyAlignment="true">
      <alignment wrapText="true"/>
    </xf>
    <xf numFmtId="0" fontId="10" fillId="3" borderId="30" xfId="0" applyNumberFormat="true" applyFont="true" applyFill="true" applyBorder="true" applyAlignment="true">
      <alignment wrapText="true"/>
    </xf>
    <xf numFmtId="0" fontId="10" fillId="3" borderId="3" xfId="0" applyNumberFormat="true" applyFont="true" applyFill="true" applyBorder="true" applyAlignment="true">
      <alignment wrapText="true"/>
    </xf>
    <xf numFmtId="0" fontId="10" fillId="3" borderId="2" xfId="0" applyNumberFormat="true" applyFont="true" applyFill="true" applyBorder="true" applyAlignment="true">
      <alignment horizontal="center" wrapText="true"/>
    </xf>
    <xf numFmtId="0" fontId="10" fillId="3" borderId="30" xfId="0" applyNumberFormat="true" applyFont="true" applyFill="true" applyBorder="true" applyAlignment="true">
      <alignment horizontal="center" wrapText="true"/>
    </xf>
    <xf numFmtId="0" fontId="10" fillId="3" borderId="3" xfId="0" applyNumberFormat="true" applyFont="true" applyFill="true" applyBorder="true" applyAlignment="true">
      <alignment horizontal="center" wrapText="true"/>
    </xf>
    <xf numFmtId="0" fontId="10" fillId="3" borderId="2" xfId="0" applyNumberFormat="true" applyFont="true" applyFill="true" applyBorder="true" applyAlignment="true">
      <alignment horizontal="center" vertical="center" wrapText="true"/>
    </xf>
    <xf numFmtId="0" fontId="10" fillId="3" borderId="30" xfId="0" applyNumberFormat="true" applyFont="true" applyFill="true" applyBorder="true" applyAlignment="true">
      <alignment horizontal="center" vertical="center" wrapText="true"/>
    </xf>
    <xf numFmtId="0" fontId="10" fillId="3" borderId="3" xfId="0" applyNumberFormat="true" applyFont="true" applyFill="true" applyBorder="true" applyAlignment="true">
      <alignment horizontal="center" vertical="center" wrapText="true"/>
    </xf>
    <xf numFmtId="0" fontId="10" fillId="3" borderId="1" xfId="0" applyNumberFormat="true" applyFont="true" applyFill="true" applyBorder="true"/>
    <xf numFmtId="0" fontId="10" fillId="3" borderId="4" xfId="0" applyNumberFormat="true" applyFont="true" applyFill="true" applyBorder="true"/>
    <xf numFmtId="0" fontId="10" fillId="3" borderId="31" xfId="0" applyNumberFormat="true" applyFont="true" applyFill="true" applyBorder="true"/>
    <xf numFmtId="0" fontId="10" fillId="3" borderId="5" xfId="0" applyNumberFormat="true" applyFont="true" applyFill="true" applyBorder="true"/>
    <xf numFmtId="0" fontId="10" fillId="3" borderId="4" xfId="0" applyNumberFormat="true" applyFont="true" applyFill="true" applyBorder="true" applyAlignment="true">
      <alignment wrapText="true"/>
    </xf>
    <xf numFmtId="0" fontId="10" fillId="3" borderId="31" xfId="0" applyNumberFormat="true" applyFont="true" applyFill="true" applyBorder="true" applyAlignment="true">
      <alignment wrapText="true"/>
    </xf>
    <xf numFmtId="0" fontId="10" fillId="3" borderId="5" xfId="0" applyNumberFormat="true" applyFont="true" applyFill="true" applyBorder="true" applyAlignment="true">
      <alignment wrapText="true"/>
    </xf>
    <xf numFmtId="0" fontId="10" fillId="3" borderId="4" xfId="0" applyNumberFormat="true" applyFont="true" applyFill="true" applyBorder="true" applyAlignment="true">
      <alignment horizontal="center" wrapText="true"/>
    </xf>
    <xf numFmtId="0" fontId="10" fillId="3" borderId="31" xfId="0" applyNumberFormat="true" applyFont="true" applyFill="true" applyBorder="true" applyAlignment="true">
      <alignment horizontal="center" wrapText="true"/>
    </xf>
    <xf numFmtId="0" fontId="10" fillId="3" borderId="5" xfId="0" applyNumberFormat="true" applyFont="true" applyFill="true" applyBorder="true" applyAlignment="true">
      <alignment horizontal="center" wrapText="true"/>
    </xf>
    <xf numFmtId="0" fontId="10" fillId="3" borderId="4" xfId="0" applyNumberFormat="true" applyFont="true" applyFill="true" applyBorder="true" applyAlignment="true">
      <alignment horizontal="center" vertical="center" wrapText="true"/>
    </xf>
    <xf numFmtId="0" fontId="10" fillId="3" borderId="31" xfId="0" applyNumberFormat="true" applyFont="true" applyFill="true" applyBorder="true" applyAlignment="true">
      <alignment horizontal="center" vertical="center" wrapText="true"/>
    </xf>
    <xf numFmtId="0" fontId="10" fillId="3" borderId="5" xfId="0" applyNumberFormat="true" applyFont="true" applyFill="true" applyBorder="true" applyAlignment="true">
      <alignment horizontal="center" vertical="center" wrapText="true"/>
    </xf>
    <xf numFmtId="0" fontId="11" fillId="0" borderId="0" xfId="0" applyNumberFormat="true" applyFont="true" applyFill="true" applyBorder="true"/>
    <xf numFmtId="0" fontId="11" fillId="0" borderId="6" xfId="0" applyNumberFormat="true" applyFont="true" applyFill="true" applyBorder="true"/>
    <xf numFmtId="0" fontId="11" fillId="0" borderId="24" xfId="0" applyNumberFormat="true" applyFont="true" applyFill="true" applyBorder="true"/>
    <xf numFmtId="0" fontId="11" fillId="0" borderId="7" xfId="0" applyNumberFormat="true" applyFont="true" applyFill="true" applyBorder="true"/>
    <xf numFmtId="0" fontId="11" fillId="0" borderId="8" xfId="0" applyNumberFormat="true" applyFont="true" applyFill="true" applyBorder="true"/>
    <xf numFmtId="0" fontId="11" fillId="0" borderId="25" xfId="0" applyNumberFormat="true" applyFont="true" applyFill="true" applyBorder="true"/>
    <xf numFmtId="0" fontId="11" fillId="0" borderId="9" xfId="0" applyNumberFormat="true" applyFont="true" applyFill="true" applyBorder="true"/>
    <xf numFmtId="0" fontId="11" fillId="0" borderId="10" xfId="0" applyNumberFormat="true" applyFont="true" applyFill="true" applyBorder="true"/>
    <xf numFmtId="0" fontId="11" fillId="0" borderId="26" xfId="0" applyNumberFormat="true" applyFont="true" applyFill="true" applyBorder="true"/>
    <xf numFmtId="0" fontId="11" fillId="0" borderId="11" xfId="0" applyNumberFormat="true" applyFont="true" applyFill="true" applyBorder="true"/>
    <xf numFmtId="0" fontId="11" fillId="0" borderId="6" xfId="0" applyNumberFormat="true" applyFont="true" applyFill="true" applyBorder="true" applyAlignment="true">
      <alignment horizontal="center"/>
    </xf>
    <xf numFmtId="0" fontId="11" fillId="0" borderId="24" xfId="0" applyNumberFormat="true" applyFont="true" applyFill="true" applyBorder="true" applyAlignment="true">
      <alignment horizontal="center"/>
    </xf>
    <xf numFmtId="0" fontId="11" fillId="0" borderId="7" xfId="0" applyNumberFormat="true" applyFont="true" applyFill="true" applyBorder="true" applyAlignment="true">
      <alignment horizontal="center"/>
    </xf>
    <xf numFmtId="0" fontId="11" fillId="0" borderId="8" xfId="0" applyNumberFormat="true" applyFont="true" applyFill="true" applyBorder="true" applyAlignment="true">
      <alignment horizontal="center"/>
    </xf>
    <xf numFmtId="0" fontId="11" fillId="0" borderId="25" xfId="0" applyNumberFormat="true" applyFont="true" applyFill="true" applyBorder="true" applyAlignment="true">
      <alignment horizontal="center"/>
    </xf>
    <xf numFmtId="0" fontId="11" fillId="0" borderId="9" xfId="0" applyNumberFormat="true" applyFont="true" applyFill="true" applyBorder="true" applyAlignment="true">
      <alignment horizontal="center"/>
    </xf>
    <xf numFmtId="0" fontId="11" fillId="0" borderId="10" xfId="0" applyNumberFormat="true" applyFont="true" applyFill="true" applyBorder="true" applyAlignment="true">
      <alignment horizontal="center"/>
    </xf>
    <xf numFmtId="0" fontId="11" fillId="0" borderId="26" xfId="0" applyNumberFormat="true" applyFont="true" applyFill="true" applyBorder="true" applyAlignment="true">
      <alignment horizontal="center"/>
    </xf>
    <xf numFmtId="0" fontId="11" fillId="0" borderId="11" xfId="0" applyNumberFormat="true" applyFont="true" applyFill="true" applyBorder="true" applyAlignment="true">
      <alignment horizontal="center"/>
    </xf>
    <xf numFmtId="0" fontId="11" fillId="0" borderId="6" xfId="0" applyNumberFormat="true" applyFont="true" applyFill="true" applyBorder="true" applyAlignment="true">
      <alignment horizontal="center" vertical="center"/>
    </xf>
    <xf numFmtId="0" fontId="11" fillId="0" borderId="24" xfId="0" applyNumberFormat="true" applyFont="true" applyFill="true" applyBorder="true" applyAlignment="true">
      <alignment horizontal="center" vertical="center"/>
    </xf>
    <xf numFmtId="0" fontId="11" fillId="0" borderId="7" xfId="0" applyNumberFormat="true" applyFont="true" applyFill="true" applyBorder="true" applyAlignment="true">
      <alignment horizontal="center" vertical="center"/>
    </xf>
    <xf numFmtId="0" fontId="11" fillId="0" borderId="8" xfId="0" applyNumberFormat="true" applyFont="true" applyFill="true" applyBorder="true" applyAlignment="true">
      <alignment horizontal="center" vertical="center"/>
    </xf>
    <xf numFmtId="0" fontId="11" fillId="0" borderId="25" xfId="0" applyNumberFormat="true" applyFont="true" applyFill="true" applyBorder="true" applyAlignment="true">
      <alignment horizontal="center" vertical="center"/>
    </xf>
    <xf numFmtId="0" fontId="11" fillId="0" borderId="9" xfId="0" applyNumberFormat="true" applyFont="true" applyFill="true" applyBorder="true" applyAlignment="true">
      <alignment horizontal="center" vertical="center"/>
    </xf>
    <xf numFmtId="0" fontId="11" fillId="0" borderId="10" xfId="0" applyNumberFormat="true" applyFont="true" applyFill="true" applyBorder="true" applyAlignment="true">
      <alignment horizontal="center" vertical="center"/>
    </xf>
    <xf numFmtId="0" fontId="11" fillId="0" borderId="26" xfId="0" applyNumberFormat="true" applyFont="true" applyFill="true" applyBorder="true" applyAlignment="true">
      <alignment horizontal="center" vertical="center"/>
    </xf>
    <xf numFmtId="0" fontId="11" fillId="0" borderId="11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/>
    <xf numFmtId="0" fontId="11" fillId="0" borderId="12" xfId="0" applyNumberFormat="true" applyFont="true" applyFill="true" applyBorder="true"/>
    <xf numFmtId="0" fontId="11" fillId="0" borderId="27" xfId="0" applyNumberFormat="true" applyFont="true" applyFill="true" applyBorder="true"/>
    <xf numFmtId="0" fontId="11" fillId="0" borderId="13" xfId="0" applyNumberFormat="true" applyFont="true" applyFill="true" applyBorder="true"/>
    <xf numFmtId="0" fontId="11" fillId="0" borderId="14" xfId="0" applyNumberFormat="true" applyFont="true" applyFill="true" applyBorder="true"/>
    <xf numFmtId="0" fontId="11" fillId="0" borderId="28" xfId="0" applyNumberFormat="true" applyFont="true" applyFill="true" applyBorder="true"/>
    <xf numFmtId="0" fontId="11" fillId="0" borderId="15" xfId="0" applyNumberFormat="true" applyFont="true" applyFill="true" applyBorder="true"/>
    <xf numFmtId="0" fontId="11" fillId="0" borderId="16" xfId="0" applyNumberFormat="true" applyFont="true" applyFill="true" applyBorder="true"/>
    <xf numFmtId="0" fontId="11" fillId="0" borderId="29" xfId="0" applyNumberFormat="true" applyFont="true" applyFill="true" applyBorder="true"/>
    <xf numFmtId="0" fontId="11" fillId="0" borderId="17" xfId="0" applyNumberFormat="true" applyFont="true" applyFill="true" applyBorder="true"/>
    <xf numFmtId="0" fontId="11" fillId="0" borderId="12" xfId="0" applyNumberFormat="true" applyFont="true" applyFill="true" applyBorder="true" applyAlignment="true">
      <alignment horizontal="center"/>
    </xf>
    <xf numFmtId="0" fontId="11" fillId="0" borderId="27" xfId="0" applyNumberFormat="true" applyFont="true" applyFill="true" applyBorder="true" applyAlignment="true">
      <alignment horizontal="center"/>
    </xf>
    <xf numFmtId="0" fontId="11" fillId="0" borderId="13" xfId="0" applyNumberFormat="true" applyFont="true" applyFill="true" applyBorder="true" applyAlignment="true">
      <alignment horizontal="center"/>
    </xf>
    <xf numFmtId="0" fontId="11" fillId="0" borderId="14" xfId="0" applyNumberFormat="true" applyFont="true" applyFill="true" applyBorder="true" applyAlignment="true">
      <alignment horizontal="center"/>
    </xf>
    <xf numFmtId="0" fontId="11" fillId="0" borderId="28" xfId="0" applyNumberFormat="true" applyFont="true" applyFill="true" applyBorder="true" applyAlignment="true">
      <alignment horizontal="center"/>
    </xf>
    <xf numFmtId="0" fontId="11" fillId="0" borderId="15" xfId="0" applyNumberFormat="true" applyFont="true" applyFill="true" applyBorder="true" applyAlignment="true">
      <alignment horizontal="center"/>
    </xf>
    <xf numFmtId="0" fontId="11" fillId="0" borderId="16" xfId="0" applyNumberFormat="true" applyFont="true" applyFill="true" applyBorder="true" applyAlignment="true">
      <alignment horizontal="center"/>
    </xf>
    <xf numFmtId="0" fontId="11" fillId="0" borderId="29" xfId="0" applyNumberFormat="true" applyFont="true" applyFill="true" applyBorder="true" applyAlignment="true">
      <alignment horizontal="center"/>
    </xf>
    <xf numFmtId="0" fontId="11" fillId="0" borderId="17" xfId="0" applyNumberFormat="true" applyFont="true" applyFill="true" applyBorder="true" applyAlignment="true">
      <alignment horizontal="center"/>
    </xf>
    <xf numFmtId="0" fontId="11" fillId="0" borderId="12" xfId="0" applyNumberFormat="true" applyFont="true" applyFill="true" applyBorder="true" applyAlignment="true">
      <alignment horizontal="center" vertical="center"/>
    </xf>
    <xf numFmtId="0" fontId="11" fillId="0" borderId="27" xfId="0" applyNumberFormat="true" applyFont="true" applyFill="true" applyBorder="true" applyAlignment="true">
      <alignment horizontal="center" vertical="center"/>
    </xf>
    <xf numFmtId="0" fontId="11" fillId="0" borderId="13" xfId="0" applyNumberFormat="true" applyFont="true" applyFill="true" applyBorder="true" applyAlignment="true">
      <alignment horizontal="center" vertical="center"/>
    </xf>
    <xf numFmtId="0" fontId="11" fillId="0" borderId="14" xfId="0" applyNumberFormat="true" applyFont="true" applyFill="true" applyBorder="true" applyAlignment="true">
      <alignment horizontal="center" vertical="center"/>
    </xf>
    <xf numFmtId="0" fontId="11" fillId="0" borderId="28" xfId="0" applyNumberFormat="true" applyFont="true" applyFill="true" applyBorder="true" applyAlignment="true">
      <alignment horizontal="center" vertical="center"/>
    </xf>
    <xf numFmtId="0" fontId="11" fillId="0" borderId="15" xfId="0" applyNumberFormat="true" applyFont="true" applyFill="true" applyBorder="true" applyAlignment="true">
      <alignment horizontal="center" vertical="center"/>
    </xf>
    <xf numFmtId="0" fontId="11" fillId="0" borderId="16" xfId="0" applyNumberFormat="true" applyFont="true" applyFill="true" applyBorder="true" applyAlignment="true">
      <alignment horizontal="center" vertical="center"/>
    </xf>
    <xf numFmtId="0" fontId="11" fillId="0" borderId="29" xfId="0" applyNumberFormat="true" applyFont="true" applyFill="true" applyBorder="true" applyAlignment="true">
      <alignment horizontal="center" vertical="center"/>
    </xf>
    <xf numFmtId="0" fontId="11" fillId="0" borderId="17" xfId="0" applyNumberFormat="true" applyFont="true" applyFill="true" applyBorder="true" applyAlignment="true">
      <alignment horizontal="center" vertical="center"/>
    </xf>
    <xf numFmtId="202" fontId="11" fillId="0" borderId="24" xfId="0" applyNumberFormat="true" applyFont="true" applyFill="true" applyBorder="true" applyAlignment="true">
      <alignment horizontal="center" vertical="center"/>
    </xf>
    <xf numFmtId="202" fontId="11" fillId="0" borderId="25" xfId="0" applyNumberFormat="true" applyFont="true" applyFill="true" applyBorder="true" applyAlignment="true">
      <alignment horizontal="center" vertical="center"/>
    </xf>
    <xf numFmtId="202" fontId="11" fillId="0" borderId="26" xfId="0" applyNumberFormat="true" applyFont="true" applyFill="true" applyBorder="true" applyAlignment="true">
      <alignment horizontal="center" vertical="center"/>
    </xf>
    <xf numFmtId="202" fontId="11" fillId="0" borderId="27" xfId="0" applyNumberFormat="true" applyFont="true" applyFill="true" applyBorder="true" applyAlignment="true">
      <alignment horizontal="center" vertical="center"/>
    </xf>
    <xf numFmtId="202" fontId="11" fillId="0" borderId="28" xfId="0" applyNumberFormat="true" applyFont="true" applyFill="true" applyBorder="true" applyAlignment="true">
      <alignment horizontal="center" vertical="center"/>
    </xf>
    <xf numFmtId="202" fontId="11" fillId="0" borderId="29" xfId="0" applyNumberFormat="true" applyFont="true" applyFill="true" applyBorder="true" applyAlignment="true">
      <alignment horizontal="center" vertical="center"/>
    </xf>
    <xf numFmtId="203" fontId="11" fillId="0" borderId="24" xfId="0" applyNumberFormat="true" applyFont="true" applyFill="true" applyBorder="true" applyAlignment="true">
      <alignment horizontal="center" vertical="center"/>
    </xf>
    <xf numFmtId="203" fontId="11" fillId="0" borderId="25" xfId="0" applyNumberFormat="true" applyFont="true" applyFill="true" applyBorder="true" applyAlignment="true">
      <alignment horizontal="center" vertical="center"/>
    </xf>
    <xf numFmtId="203" fontId="11" fillId="0" borderId="26" xfId="0" applyNumberFormat="true" applyFont="true" applyFill="true" applyBorder="true" applyAlignment="true">
      <alignment horizontal="center" vertical="center"/>
    </xf>
    <xf numFmtId="203" fontId="11" fillId="0" borderId="27" xfId="0" applyNumberFormat="true" applyFont="true" applyFill="true" applyBorder="true" applyAlignment="true">
      <alignment horizontal="center" vertical="center"/>
    </xf>
    <xf numFmtId="203" fontId="11" fillId="0" borderId="28" xfId="0" applyNumberFormat="true" applyFont="true" applyFill="true" applyBorder="true" applyAlignment="true">
      <alignment horizontal="center" vertical="center"/>
    </xf>
    <xf numFmtId="203" fontId="11" fillId="0" borderId="29" xfId="0" applyNumberFormat="true" applyFont="true" applyFill="true" applyBorder="true" applyAlignment="true">
      <alignment horizontal="center" vertical="center"/>
    </xf>
    <xf numFmtId="204" fontId="11" fillId="0" borderId="24" xfId="0" applyNumberFormat="true" applyFont="true" applyFill="true" applyBorder="true" applyAlignment="true">
      <alignment horizontal="center" vertical="center"/>
    </xf>
    <xf numFmtId="204" fontId="11" fillId="0" borderId="25" xfId="0" applyNumberFormat="true" applyFont="true" applyFill="true" applyBorder="true" applyAlignment="true">
      <alignment horizontal="center" vertical="center"/>
    </xf>
    <xf numFmtId="204" fontId="11" fillId="0" borderId="26" xfId="0" applyNumberFormat="true" applyFont="true" applyFill="true" applyBorder="true" applyAlignment="true">
      <alignment horizontal="center" vertical="center"/>
    </xf>
    <xf numFmtId="204" fontId="11" fillId="0" borderId="27" xfId="0" applyNumberFormat="true" applyFont="true" applyFill="true" applyBorder="true" applyAlignment="true">
      <alignment horizontal="center" vertical="center"/>
    </xf>
    <xf numFmtId="204" fontId="11" fillId="0" borderId="28" xfId="0" applyNumberFormat="true" applyFont="true" applyFill="true" applyBorder="true" applyAlignment="true">
      <alignment horizontal="center" vertical="center"/>
    </xf>
    <xf numFmtId="204" fontId="11" fillId="0" borderId="29" xfId="0" applyNumberFormat="true" applyFont="true" applyFill="true" applyBorder="true" applyAlignment="true">
      <alignment horizontal="center" vertical="center"/>
    </xf>
    <xf numFmtId="0" fontId="0" fillId="6" borderId="0" xfId="0" applyNumberFormat="true" applyFont="true" applyFill="true" applyBorder="true"/>
    <xf numFmtId="0" fontId="0" fillId="6" borderId="38" xfId="0" applyNumberFormat="true" applyFont="true" applyFill="true" applyBorder="true"/>
    <xf numFmtId="0" fontId="0" fillId="6" borderId="39" xfId="0" applyNumberFormat="true" applyFont="true" applyFill="true" applyBorder="true"/>
    <xf numFmtId="0" fontId="0" fillId="6" borderId="40" xfId="0" applyNumberFormat="true" applyFont="true" applyFill="true" applyBorder="true"/>
    <xf numFmtId="0" fontId="0" fillId="6" borderId="41" xfId="0" applyNumberFormat="true" applyFont="true" applyFill="true" applyBorder="true"/>
    <xf numFmtId="0" fontId="0" fillId="6" borderId="38" xfId="0" applyNumberFormat="true" applyFont="true" applyFill="true" applyBorder="true" applyAlignment="true">
      <alignment horizontal="center"/>
    </xf>
    <xf numFmtId="0" fontId="0" fillId="6" borderId="39" xfId="0" applyNumberFormat="true" applyFont="true" applyFill="true" applyBorder="true" applyAlignment="true">
      <alignment horizontal="center"/>
    </xf>
    <xf numFmtId="0" fontId="0" fillId="6" borderId="40" xfId="0" applyNumberFormat="true" applyFont="true" applyFill="true" applyBorder="true" applyAlignment="true">
      <alignment horizontal="center"/>
    </xf>
    <xf numFmtId="0" fontId="0" fillId="6" borderId="41" xfId="0" applyNumberFormat="true" applyFont="true" applyFill="true" applyBorder="true" applyAlignment="true">
      <alignment horizontal="center"/>
    </xf>
    <xf numFmtId="0" fontId="0" fillId="6" borderId="38" xfId="0" applyNumberFormat="true" applyFont="true" applyFill="true" applyBorder="true" applyAlignment="true">
      <alignment horizontal="center" vertical="center"/>
    </xf>
    <xf numFmtId="0" fontId="0" fillId="6" borderId="39" xfId="0" applyNumberFormat="true" applyFont="true" applyFill="true" applyBorder="true" applyAlignment="true">
      <alignment horizontal="center" vertical="center"/>
    </xf>
    <xf numFmtId="0" fontId="0" fillId="6" borderId="40" xfId="0" applyNumberFormat="true" applyFont="true" applyFill="true" applyBorder="true" applyAlignment="true">
      <alignment horizontal="center" vertical="center"/>
    </xf>
    <xf numFmtId="0" fontId="0" fillId="6" borderId="41" xfId="0" applyNumberFormat="true" applyFont="true" applyFill="true" applyBorder="true" applyAlignment="true">
      <alignment horizontal="center" vertical="center"/>
    </xf>
    <xf numFmtId="0" fontId="0" fillId="6" borderId="1" xfId="0" applyNumberFormat="true" applyFont="true" applyFill="true" applyBorder="true"/>
    <xf numFmtId="0" fontId="0" fillId="6" borderId="42" xfId="0" applyNumberFormat="true" applyFont="true" applyFill="true" applyBorder="true"/>
    <xf numFmtId="0" fontId="0" fillId="6" borderId="43" xfId="0" applyNumberFormat="true" applyFont="true" applyFill="true" applyBorder="true"/>
    <xf numFmtId="0" fontId="0" fillId="6" borderId="44" xfId="0" applyNumberFormat="true" applyFont="true" applyFill="true" applyBorder="true"/>
    <xf numFmtId="0" fontId="0" fillId="6" borderId="45" xfId="0" applyNumberFormat="true" applyFont="true" applyFill="true" applyBorder="true"/>
    <xf numFmtId="0" fontId="0" fillId="6" borderId="42" xfId="0" applyNumberFormat="true" applyFont="true" applyFill="true" applyBorder="true" applyAlignment="true">
      <alignment horizontal="center"/>
    </xf>
    <xf numFmtId="0" fontId="0" fillId="6" borderId="43" xfId="0" applyNumberFormat="true" applyFont="true" applyFill="true" applyBorder="true" applyAlignment="true">
      <alignment horizontal="center"/>
    </xf>
    <xf numFmtId="0" fontId="0" fillId="6" borderId="44" xfId="0" applyNumberFormat="true" applyFont="true" applyFill="true" applyBorder="true" applyAlignment="true">
      <alignment horizontal="center"/>
    </xf>
    <xf numFmtId="0" fontId="0" fillId="6" borderId="45" xfId="0" applyNumberFormat="true" applyFont="true" applyFill="true" applyBorder="true" applyAlignment="true">
      <alignment horizontal="center"/>
    </xf>
    <xf numFmtId="0" fontId="0" fillId="6" borderId="42" xfId="0" applyNumberFormat="true" applyFont="true" applyFill="true" applyBorder="true" applyAlignment="true">
      <alignment horizontal="center" vertical="center"/>
    </xf>
    <xf numFmtId="0" fontId="0" fillId="6" borderId="43" xfId="0" applyNumberFormat="true" applyFont="true" applyFill="true" applyBorder="true" applyAlignment="true">
      <alignment horizontal="center" vertical="center"/>
    </xf>
    <xf numFmtId="0" fontId="0" fillId="6" borderId="44" xfId="0" applyNumberFormat="true" applyFont="true" applyFill="true" applyBorder="true" applyAlignment="true">
      <alignment horizontal="center" vertical="center"/>
    </xf>
    <xf numFmtId="0" fontId="0" fillId="6" borderId="45" xfId="0" applyNumberFormat="true" applyFont="true" applyFill="true" applyBorder="true" applyAlignment="true">
      <alignment horizontal="center" vertical="center"/>
    </xf>
    <xf numFmtId="0" fontId="12" fillId="6" borderId="38" xfId="0" applyNumberFormat="true" applyFont="true" applyFill="true" applyBorder="true" applyAlignment="true">
      <alignment horizontal="center" vertical="center"/>
    </xf>
    <xf numFmtId="0" fontId="12" fillId="6" borderId="42" xfId="0" applyNumberFormat="true" applyFont="true" applyFill="true" applyBorder="true" applyAlignment="true">
      <alignment horizontal="center" vertical="center"/>
    </xf>
    <xf numFmtId="0" fontId="1" fillId="6" borderId="41" xfId="0" applyNumberFormat="true" applyFont="true" applyFill="true" applyBorder="true" applyAlignment="true">
      <alignment horizontal="center" vertical="center"/>
    </xf>
    <xf numFmtId="0" fontId="1" fillId="6" borderId="45" xfId="0" applyNumberFormat="true" applyFont="true" applyFill="true" applyBorder="true" applyAlignment="true">
      <alignment horizontal="center" vertical="center"/>
    </xf>
    <xf numFmtId="204" fontId="1" fillId="6" borderId="41" xfId="0" applyNumberFormat="true" applyFont="true" applyFill="true" applyBorder="true" applyAlignment="true">
      <alignment horizontal="center" vertical="center"/>
    </xf>
    <xf numFmtId="204" fontId="1" fillId="6" borderId="45" xfId="0" applyNumberFormat="true" applyFont="true" applyFill="true" applyBorder="true" applyAlignment="true">
      <alignment horizontal="center" vertical="center"/>
    </xf>
    <xf numFmtId="0" fontId="9" fillId="0" borderId="6" xfId="0" applyNumberFormat="true" applyFont="true" applyFill="true" applyBorder="true" applyAlignment="true">
      <alignment horizontal="center"/>
    </xf>
    <xf numFmtId="0" fontId="9" fillId="0" borderId="7" xfId="0" applyNumberFormat="true" applyFont="true" applyFill="true" applyBorder="true" applyAlignment="true">
      <alignment horizontal="center"/>
    </xf>
    <xf numFmtId="0" fontId="9" fillId="0" borderId="8" xfId="0" applyNumberFormat="true" applyFont="true" applyFill="true" applyBorder="true" applyAlignment="true">
      <alignment horizontal="center"/>
    </xf>
    <xf numFmtId="0" fontId="9" fillId="0" borderId="9" xfId="0" applyNumberFormat="true" applyFont="true" applyFill="true" applyBorder="true" applyAlignment="true">
      <alignment horizontal="center"/>
    </xf>
    <xf numFmtId="0" fontId="9" fillId="0" borderId="10" xfId="0" applyNumberFormat="true" applyFont="true" applyFill="true" applyBorder="true" applyAlignment="true">
      <alignment horizontal="center"/>
    </xf>
    <xf numFmtId="0" fontId="9" fillId="0" borderId="11" xfId="0" applyNumberFormat="true" applyFont="true" applyFill="true" applyBorder="true" applyAlignment="true">
      <alignment horizontal="center"/>
    </xf>
    <xf numFmtId="0" fontId="9" fillId="0" borderId="6" xfId="0" applyNumberFormat="true" applyFont="true" applyFill="true" applyBorder="true" applyAlignment="true">
      <alignment horizontal="center" vertical="center"/>
    </xf>
    <xf numFmtId="0" fontId="9" fillId="0" borderId="7" xfId="0" applyNumberFormat="true" applyFont="true" applyFill="true" applyBorder="true" applyAlignment="true">
      <alignment horizontal="center" vertical="center"/>
    </xf>
    <xf numFmtId="0" fontId="9" fillId="0" borderId="8" xfId="0" applyNumberFormat="true" applyFont="true" applyFill="true" applyBorder="true" applyAlignment="true">
      <alignment horizontal="center" vertical="center"/>
    </xf>
    <xf numFmtId="0" fontId="9" fillId="0" borderId="9" xfId="0" applyNumberFormat="true" applyFont="true" applyFill="true" applyBorder="true" applyAlignment="true">
      <alignment horizontal="center" vertical="center"/>
    </xf>
    <xf numFmtId="0" fontId="9" fillId="0" borderId="10" xfId="0" applyNumberFormat="true" applyFont="true" applyFill="true" applyBorder="true" applyAlignment="true">
      <alignment horizontal="center" vertical="center"/>
    </xf>
    <xf numFmtId="0" fontId="9" fillId="0" borderId="11" xfId="0" applyNumberFormat="true" applyFont="true" applyFill="true" applyBorder="true" applyAlignment="true">
      <alignment horizontal="center" vertical="center"/>
    </xf>
    <xf numFmtId="0" fontId="9" fillId="0" borderId="12" xfId="0" applyNumberFormat="true" applyFont="true" applyFill="true" applyBorder="true" applyAlignment="true">
      <alignment horizontal="center"/>
    </xf>
    <xf numFmtId="0" fontId="9" fillId="0" borderId="13" xfId="0" applyNumberFormat="true" applyFont="true" applyFill="true" applyBorder="true" applyAlignment="true">
      <alignment horizontal="center"/>
    </xf>
    <xf numFmtId="0" fontId="9" fillId="0" borderId="14" xfId="0" applyNumberFormat="true" applyFont="true" applyFill="true" applyBorder="true" applyAlignment="true">
      <alignment horizontal="center"/>
    </xf>
    <xf numFmtId="0" fontId="9" fillId="0" borderId="15" xfId="0" applyNumberFormat="true" applyFont="true" applyFill="true" applyBorder="true" applyAlignment="true">
      <alignment horizontal="center"/>
    </xf>
    <xf numFmtId="0" fontId="9" fillId="0" borderId="16" xfId="0" applyNumberFormat="true" applyFont="true" applyFill="true" applyBorder="true" applyAlignment="true">
      <alignment horizontal="center"/>
    </xf>
    <xf numFmtId="0" fontId="9" fillId="0" borderId="17" xfId="0" applyNumberFormat="true" applyFont="true" applyFill="true" applyBorder="true" applyAlignment="true">
      <alignment horizontal="center"/>
    </xf>
    <xf numFmtId="0" fontId="9" fillId="0" borderId="12" xfId="0" applyNumberFormat="true" applyFont="true" applyFill="true" applyBorder="true" applyAlignment="true">
      <alignment horizontal="center" vertical="center"/>
    </xf>
    <xf numFmtId="0" fontId="9" fillId="0" borderId="13" xfId="0" applyNumberFormat="true" applyFont="true" applyFill="true" applyBorder="true" applyAlignment="true">
      <alignment horizontal="center" vertical="center"/>
    </xf>
    <xf numFmtId="0" fontId="9" fillId="0" borderId="14" xfId="0" applyNumberFormat="true" applyFont="true" applyFill="true" applyBorder="true" applyAlignment="true">
      <alignment horizontal="center" vertical="center"/>
    </xf>
    <xf numFmtId="0" fontId="9" fillId="0" borderId="15" xfId="0" applyNumberFormat="true" applyFont="true" applyFill="true" applyBorder="true" applyAlignment="true">
      <alignment horizontal="center" vertical="center"/>
    </xf>
    <xf numFmtId="0" fontId="9" fillId="0" borderId="16" xfId="0" applyNumberFormat="true" applyFont="true" applyFill="true" applyBorder="true" applyAlignment="true">
      <alignment horizontal="center" vertical="center"/>
    </xf>
    <xf numFmtId="0" fontId="9" fillId="0" borderId="17" xfId="0" applyNumberFormat="true" applyFont="true" applyFill="true" applyBorder="true" applyAlignment="true">
      <alignment horizontal="center" vertical="center"/>
    </xf>
    <xf numFmtId="0" fontId="9" fillId="0" borderId="24" xfId="0" applyNumberFormat="true" applyFont="true" applyFill="true" applyBorder="true" applyAlignment="true">
      <alignment horizontal="center"/>
    </xf>
    <xf numFmtId="0" fontId="9" fillId="0" borderId="25" xfId="0" applyNumberFormat="true" applyFont="true" applyFill="true" applyBorder="true" applyAlignment="true">
      <alignment horizontal="center"/>
    </xf>
    <xf numFmtId="0" fontId="9" fillId="0" borderId="26" xfId="0" applyNumberFormat="true" applyFont="true" applyFill="true" applyBorder="true" applyAlignment="true">
      <alignment horizontal="center"/>
    </xf>
    <xf numFmtId="0" fontId="9" fillId="0" borderId="24" xfId="0" applyNumberFormat="true" applyFont="true" applyFill="true" applyBorder="true" applyAlignment="true">
      <alignment horizontal="center" vertical="center"/>
    </xf>
    <xf numFmtId="0" fontId="9" fillId="0" borderId="25" xfId="0" applyNumberFormat="true" applyFont="true" applyFill="true" applyBorder="true" applyAlignment="true">
      <alignment horizontal="center" vertical="center"/>
    </xf>
    <xf numFmtId="0" fontId="9" fillId="0" borderId="26" xfId="0" applyNumberFormat="true" applyFont="true" applyFill="true" applyBorder="true" applyAlignment="true">
      <alignment horizontal="center" vertical="center"/>
    </xf>
    <xf numFmtId="0" fontId="9" fillId="0" borderId="27" xfId="0" applyNumberFormat="true" applyFont="true" applyFill="true" applyBorder="true" applyAlignment="true">
      <alignment horizontal="center"/>
    </xf>
    <xf numFmtId="0" fontId="9" fillId="0" borderId="28" xfId="0" applyNumberFormat="true" applyFont="true" applyFill="true" applyBorder="true" applyAlignment="true">
      <alignment horizontal="center"/>
    </xf>
    <xf numFmtId="0" fontId="9" fillId="0" borderId="29" xfId="0" applyNumberFormat="true" applyFont="true" applyFill="true" applyBorder="true" applyAlignment="true">
      <alignment horizontal="center"/>
    </xf>
    <xf numFmtId="0" fontId="9" fillId="0" borderId="27" xfId="0" applyNumberFormat="true" applyFont="true" applyFill="true" applyBorder="true" applyAlignment="true">
      <alignment horizontal="center" vertical="center"/>
    </xf>
    <xf numFmtId="0" fontId="9" fillId="0" borderId="28" xfId="0" applyNumberFormat="true" applyFont="true" applyFill="true" applyBorder="true" applyAlignment="true">
      <alignment horizontal="center" vertical="center"/>
    </xf>
    <xf numFmtId="0" fontId="9" fillId="0" borderId="29" xfId="0" applyNumberFormat="true" applyFont="true" applyFill="true" applyBorder="true" applyAlignment="true">
      <alignment horizontal="center" vertical="center"/>
    </xf>
    <xf numFmtId="204" fontId="9" fillId="0" borderId="7" xfId="0" applyNumberFormat="true" applyFont="true" applyFill="true" applyBorder="true" applyAlignment="true">
      <alignment horizontal="center" vertical="center"/>
    </xf>
    <xf numFmtId="204" fontId="9" fillId="0" borderId="9" xfId="0" applyNumberFormat="true" applyFont="true" applyFill="true" applyBorder="true" applyAlignment="true">
      <alignment horizontal="center" vertical="center"/>
    </xf>
    <xf numFmtId="204" fontId="9" fillId="0" borderId="11" xfId="0" applyNumberFormat="true" applyFont="true" applyFill="true" applyBorder="true" applyAlignment="true">
      <alignment horizontal="center" vertical="center"/>
    </xf>
    <xf numFmtId="204" fontId="9" fillId="0" borderId="13" xfId="0" applyNumberFormat="true" applyFont="true" applyFill="true" applyBorder="true" applyAlignment="true">
      <alignment horizontal="center" vertical="center"/>
    </xf>
    <xf numFmtId="204" fontId="9" fillId="0" borderId="15" xfId="0" applyNumberFormat="true" applyFont="true" applyFill="true" applyBorder="true" applyAlignment="true">
      <alignment horizontal="center" vertical="center"/>
    </xf>
    <xf numFmtId="204" fontId="9" fillId="0" borderId="17" xfId="0" applyNumberFormat="true" applyFont="true" applyFill="true" applyBorder="true" applyAlignment="true">
      <alignment horizontal="center" vertical="center"/>
    </xf>
    <xf numFmtId="0" fontId="7" fillId="0" borderId="0" xfId="0" applyNumberFormat="true" applyFont="true" applyFill="true" applyBorder="true" applyAlignment="true">
      <alignment horizontal="left" wrapText="true"/>
    </xf>
    <xf numFmtId="0" fontId="7" fillId="0" borderId="0" xfId="0" applyNumberFormat="true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3" fillId="3" borderId="0" xfId="0" applyNumberFormat="true" applyFont="true" applyFill="true" applyBorder="true" applyAlignment="true">
      <alignment wrapText="true"/>
    </xf>
    <xf numFmtId="0" fontId="3" fillId="3" borderId="0" xfId="0" applyNumberFormat="true" applyFont="true" applyFill="true" applyBorder="true" applyAlignment="true">
      <alignment horizontal="center" wrapText="true"/>
    </xf>
    <xf numFmtId="0" fontId="3" fillId="3" borderId="0" xfId="0" applyNumberFormat="true" applyFont="true" applyFill="true" applyBorder="true" applyAlignment="true">
      <alignment horizontal="center" vertical="center" wrapText="true"/>
    </xf>
    <xf numFmtId="0" fontId="3" fillId="3" borderId="1" xfId="0" applyNumberFormat="true" applyFont="true" applyFill="true" applyBorder="true" applyAlignment="true">
      <alignment wrapText="true"/>
    </xf>
    <xf numFmtId="0" fontId="3" fillId="3" borderId="1" xfId="0" applyNumberFormat="true" applyFont="true" applyFill="true" applyBorder="true" applyAlignment="true">
      <alignment horizontal="center" wrapText="true"/>
    </xf>
    <xf numFmtId="0" fontId="3" fillId="3" borderId="1" xfId="0" applyNumberFormat="true" applyFont="true" applyFill="true" applyBorder="true" applyAlignment="true">
      <alignment horizontal="center" vertical="center" wrapText="true"/>
    </xf>
    <xf numFmtId="0" fontId="9" fillId="0" borderId="6" xfId="0" applyNumberFormat="true" applyFont="true" applyFill="true" applyBorder="true" applyAlignment="true">
      <alignment vertical="top" wrapText="true"/>
    </xf>
    <xf numFmtId="0" fontId="9" fillId="0" borderId="24" xfId="0" applyNumberFormat="true" applyFont="true" applyFill="true" applyBorder="true" applyAlignment="true">
      <alignment vertical="top" wrapText="true"/>
    </xf>
    <xf numFmtId="0" fontId="9" fillId="0" borderId="7" xfId="0" applyNumberFormat="true" applyFont="true" applyFill="true" applyBorder="true" applyAlignment="true">
      <alignment vertical="top" wrapText="true"/>
    </xf>
    <xf numFmtId="0" fontId="9" fillId="0" borderId="8" xfId="0" applyNumberFormat="true" applyFont="true" applyFill="true" applyBorder="true" applyAlignment="true">
      <alignment vertical="top" wrapText="true"/>
    </xf>
    <xf numFmtId="0" fontId="9" fillId="0" borderId="25" xfId="0" applyNumberFormat="true" applyFont="true" applyFill="true" applyBorder="true" applyAlignment="true">
      <alignment vertical="top" wrapText="true"/>
    </xf>
    <xf numFmtId="0" fontId="9" fillId="0" borderId="9" xfId="0" applyNumberFormat="true" applyFont="true" applyFill="true" applyBorder="true" applyAlignment="true">
      <alignment vertical="top" wrapText="true"/>
    </xf>
    <xf numFmtId="0" fontId="9" fillId="0" borderId="10" xfId="0" applyNumberFormat="true" applyFont="true" applyFill="true" applyBorder="true" applyAlignment="true">
      <alignment vertical="top" wrapText="true"/>
    </xf>
    <xf numFmtId="0" fontId="9" fillId="0" borderId="26" xfId="0" applyNumberFormat="true" applyFont="true" applyFill="true" applyBorder="true" applyAlignment="true">
      <alignment vertical="top" wrapText="true"/>
    </xf>
    <xf numFmtId="0" fontId="9" fillId="0" borderId="11" xfId="0" applyNumberFormat="true" applyFont="true" applyFill="true" applyBorder="true" applyAlignment="true">
      <alignment vertical="top" wrapText="true"/>
    </xf>
  </cellXfs>
  <cellStyles count="1">
    <cellStyle name="Normal" xfId="0"/>
  </cellStyles>
  <dxfs count="5"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A3412"/>
      </font>
      <fill>
        <patternFill patternType="solid">
          <bgColor rgb="FFFFEDD5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color rgb="FF92400E"/>
      </font>
      <fill>
        <patternFill patternType="solid">
          <bgColor rgb="FFFEF3C7"/>
        </patternFill>
      </fill>
    </dxf>
  </dxfs>
</styleSheet>
</file>

<file path=xl/_rels/workbook.xml.rels><?xml version="1.0" encoding="UTF-8"?>
<Relationships xmlns="http://schemas.openxmlformats.org/package/2006/relationships"><Relationship Id="Rfc49cb33c95f4cd3" Target="styles.xml" Type="http://schemas.openxmlformats.org/officeDocument/2006/relationships/styles"></Relationship><Relationship Id="R08216a8d6d234230" Target="theme/theme1.xml" Type="http://schemas.openxmlformats.org/officeDocument/2006/relationships/theme"></Relationship><Relationship Id="Rc77c64c9cb6e4173" Target="sharedStrings.xml" Type="http://schemas.openxmlformats.org/officeDocument/2006/relationships/sharedStrings"></Relationship><Relationship Id="Ra04edd08552449f7" Target="worksheets/sheet1.xml" Type="http://schemas.openxmlformats.org/officeDocument/2006/relationships/worksheet"></Relationship><Relationship Id="Rceabbc6eea7c4d9e" Target="worksheets/sheet2.xml" Type="http://schemas.openxmlformats.org/officeDocument/2006/relationships/worksheet"></Relationship><Relationship Id="Rfe3202c966ab4767" Target="worksheets/sheet3.xml" Type="http://schemas.openxmlformats.org/officeDocument/2006/relationships/worksheet"></Relationship><Relationship Id="Red1a4f11627a4af3" Target="worksheets/sheet4.xml" Type="http://schemas.openxmlformats.org/officeDocument/2006/relationships/worksheet"></Relationship><Relationship Id="R9403d37ff57e4492" Target="worksheets/sheet5.xml" Type="http://schemas.openxmlformats.org/officeDocument/2006/relationships/worksheet"></Relationship><Relationship Id="R97c873209a9a4b75" Target="worksheets/sheet6.xml" Type="http://schemas.openxmlformats.org/officeDocument/2006/relationships/worksheet"></Relationship><Relationship Id="Rba0d8e46d785483e" Target="worksheets/sheet7.xml" Type="http://schemas.openxmlformats.org/officeDocument/2006/relationships/worksheet"></Relationship><Relationship Id="Rb11a9e4702e74f71" Target="worksheets/sheet8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ff143bc2945f4db4" /><Relationship Type="http://schemas.openxmlformats.org/officeDocument/2006/relationships/chart" Target="charts/chart2.xml" Id="R271ae403eaf4433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伝票状態の分布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'ダッシュボード'!$A$12:$A$19</c:f>
              <c:strCache>
                <c:ptCount val="0"/>
              </c:strCache>
            </c:strRef>
          </c:cat>
          <c:val>
            <c:numRef>
              <c:f>'ダッシュボード'!$B$12:$B$19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カテゴリ別アラート件数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アラート件数</c:v>
          </c:tx>
          <c:cat>
            <c:strRef>
              <c:f>'ダッシュボード'!$H$12:$H$21</c:f>
              <c:strCache>
                <c:ptCount val="0"/>
              </c:strCache>
            </c:strRef>
          </c:cat>
          <c:val>
            <c:numRef>
              <c:f>'ダッシュボード'!$I$12:$I$21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28</xdr:row>
      <xdr:rowOff>0</xdr:rowOff>
    </xdr:from>
    <xdr:to>
      <xdr:col>5</xdr:col>
      <xdr:colOff>0</xdr:colOff>
      <xdr:row>44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f143bc2945f4db4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10</xdr:col>
      <xdr:colOff>0</xdr:colOff>
      <xdr:row>44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71ae403eaf4433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Retail Replenishment">
  <a:themeElements>
    <a:clrScheme name="Retail Replenishment">
      <a:dk1>
        <a:srgbClr val="111827"/>
      </a:dk1>
      <a:lt1>
        <a:srgbClr val="FFFFFF"/>
      </a:lt1>
      <a:dk2>
        <a:srgbClr val="0E2841"/>
      </a:dk2>
      <a:lt2>
        <a:srgbClr val="E5E7EB"/>
      </a:lt2>
      <a:accent1>
        <a:srgbClr val="2563EB"/>
      </a:accent1>
      <a:accent2>
        <a:srgbClr val="10B981"/>
      </a:accent2>
      <a:accent3>
        <a:srgbClr val="F59E0B"/>
      </a:accent3>
      <a:accent4>
        <a:srgbClr val="EF4444"/>
      </a:accent4>
      <a:accent5>
        <a:srgbClr val="6366F1"/>
      </a:accent5>
      <a:accent6>
        <a:srgbClr val="14B8A6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Retail Replenishmen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9268606856004aa8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showGridLines="false" tabSelected="true" workbookViewId="0"/>
  </sheetViews>
  <sheetFormatPr defaultRowHeight="15"/>
  <cols>
    <col customWidth="true" max="1" min="1" width="18"/>
    <col customWidth="true" max="2" min="2" width="88"/>
    <col customWidth="true" max="5" min="4" width="20"/>
    <col customWidth="true" max="6" min="6" width="60"/>
  </cols>
  <sheetData>
    <row r="1" ht="34" customHeight="tru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0" customHeight="true">
      <c r="A2" s="15" t="s">
        <v>296</v>
      </c>
      <c r="B2" s="15"/>
      <c r="C2" s="15"/>
      <c r="D2" s="15"/>
      <c r="E2" s="15"/>
      <c r="F2" s="15"/>
      <c r="G2" s="15"/>
      <c r="H2" s="15"/>
      <c r="I2" s="15"/>
      <c r="J2" s="15"/>
    </row>
    <row r="3"/>
    <row r="4" ht="15" customHeight="true">
      <c r="A4" s="26" t="s">
        <v>1</v>
      </c>
      <c r="B4" s="27" t="s">
        <v>2</v>
      </c>
      <c r="D4" s="82" t="s">
        <v>3</v>
      </c>
      <c r="E4" s="83" t="s">
        <v>4</v>
      </c>
      <c r="F4" s="84" t="s">
        <v>297</v>
      </c>
    </row>
    <row r="5" ht="122.0703125" customHeight="true">
      <c r="A5" s="49" t="s">
        <v>5</v>
      </c>
      <c r="B5" s="50" t="s">
        <v>6</v>
      </c>
      <c r="D5" s="49" t="s">
        <v>411</v>
      </c>
      <c r="E5" s="102" t="s">
        <v>7</v>
      </c>
      <c r="F5" s="50" t="s">
        <v>412</v>
      </c>
    </row>
    <row r="6" ht="146.484375" customHeight="true">
      <c r="A6" s="51" t="s">
        <v>8</v>
      </c>
      <c r="B6" s="52" t="s">
        <v>298</v>
      </c>
      <c r="D6" s="51" t="s">
        <v>9</v>
      </c>
      <c r="E6" s="103" t="s">
        <v>7</v>
      </c>
      <c r="F6" s="52" t="s">
        <v>10</v>
      </c>
    </row>
    <row r="7" ht="158.69140625" customHeight="true">
      <c r="A7" s="51" t="s">
        <v>11</v>
      </c>
      <c r="B7" s="52" t="s">
        <v>413</v>
      </c>
      <c r="D7" s="51" t="s">
        <v>12</v>
      </c>
      <c r="E7" s="103" t="s">
        <v>13</v>
      </c>
      <c r="F7" s="52" t="s">
        <v>414</v>
      </c>
    </row>
    <row r="8" ht="122.0703125" customHeight="true">
      <c r="A8" s="51" t="s">
        <v>14</v>
      </c>
      <c r="B8" s="52" t="s">
        <v>15</v>
      </c>
      <c r="D8" s="51" t="s">
        <v>16</v>
      </c>
      <c r="E8" s="103" t="s">
        <v>13</v>
      </c>
      <c r="F8" s="52" t="s">
        <v>17</v>
      </c>
    </row>
    <row r="9" ht="97.65625" customHeight="true">
      <c r="A9" s="53" t="s">
        <v>18</v>
      </c>
      <c r="B9" s="54" t="s">
        <v>415</v>
      </c>
      <c r="D9" s="51" t="s">
        <v>19</v>
      </c>
      <c r="E9" s="103" t="s">
        <v>13</v>
      </c>
      <c r="F9" s="52" t="s">
        <v>416</v>
      </c>
    </row>
    <row r="10">
      <c r="D10" s="53" t="s">
        <v>20</v>
      </c>
      <c r="E10" s="104" t="s">
        <v>13</v>
      </c>
      <c r="F10" s="54" t="s">
        <v>299</v>
      </c>
    </row>
    <row r="11"/>
    <row r="12">
      <c r="A12" s="117" t="s">
        <v>21</v>
      </c>
      <c r="B12" s="117"/>
      <c r="C12" s="117"/>
      <c r="D12" s="117"/>
      <c r="E12" s="117"/>
      <c r="F12" s="117"/>
      <c r="G12" s="117"/>
      <c r="H12" s="117"/>
      <c r="I12" s="117"/>
      <c r="J12" s="117"/>
    </row>
    <row r="13" ht="24" customHeight="true">
      <c r="A13" s="124" t="s">
        <v>300</v>
      </c>
      <c r="B13" s="124"/>
      <c r="C13" s="124"/>
      <c r="D13" s="124"/>
      <c r="E13" s="124"/>
      <c r="F13" s="124"/>
      <c r="G13" s="124"/>
      <c r="H13" s="124"/>
      <c r="I13" s="124"/>
      <c r="J13" s="124"/>
    </row>
    <row r="14" ht="24" customHeight="true">
      <c r="A14" s="124" t="s">
        <v>301</v>
      </c>
      <c r="B14" s="124"/>
      <c r="C14" s="124"/>
      <c r="D14" s="124"/>
      <c r="E14" s="124"/>
      <c r="F14" s="124"/>
      <c r="G14" s="124"/>
      <c r="H14" s="124"/>
      <c r="I14" s="124"/>
      <c r="J14" s="124"/>
    </row>
    <row r="15" ht="24" customHeight="true">
      <c r="A15" s="124" t="s">
        <v>22</v>
      </c>
      <c r="B15" s="124"/>
      <c r="C15" s="124"/>
      <c r="D15" s="124"/>
      <c r="E15" s="124"/>
      <c r="F15" s="124"/>
      <c r="G15" s="124"/>
      <c r="H15" s="124"/>
      <c r="I15" s="124"/>
      <c r="J15" s="124"/>
    </row>
    <row r="16" ht="24" customHeight="true">
      <c r="A16" s="124" t="s">
        <v>302</v>
      </c>
      <c r="B16" s="124"/>
      <c r="C16" s="124"/>
      <c r="D16" s="124"/>
      <c r="E16" s="124"/>
      <c r="F16" s="124"/>
      <c r="G16" s="124"/>
      <c r="H16" s="124"/>
      <c r="I16" s="124"/>
      <c r="J16" s="124"/>
    </row>
  </sheetData>
  <mergeCells count="7">
    <mergeCell ref="A1:J1"/>
    <mergeCell ref="A2:J2"/>
    <mergeCell ref="A12:J12"/>
    <mergeCell ref="A13:J13"/>
    <mergeCell ref="A14:J14"/>
    <mergeCell ref="A15:J15"/>
    <mergeCell ref="A16:J16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8"/>
    <col customWidth="true" max="2" min="2" width="12"/>
    <col customWidth="true" max="4" min="4" width="18"/>
    <col customWidth="true" max="5" min="5" width="12"/>
    <col customWidth="true" max="6" min="6" width="20"/>
    <col customWidth="true" max="8" min="8" width="14"/>
    <col customWidth="true" max="9" min="9" width="12"/>
    <col customWidth="true" max="10" min="10" width="14"/>
  </cols>
  <sheetData>
    <row r="1" ht="34" customHeight="true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</row>
    <row r="2" ht="30" customHeight="true">
      <c r="A2" s="15" t="s">
        <v>303</v>
      </c>
      <c r="B2" s="15"/>
      <c r="C2" s="15"/>
      <c r="D2" s="15"/>
      <c r="E2" s="15"/>
      <c r="F2" s="15"/>
      <c r="G2" s="15"/>
      <c r="H2" s="15"/>
      <c r="I2" s="15"/>
      <c r="J2" s="15"/>
    </row>
    <row r="3"/>
    <row r="4" ht="28" customHeight="true">
      <c r="A4" s="408" t="s">
        <v>24</v>
      </c>
      <c r="B4" s="392"/>
      <c r="C4" s="408" t="s">
        <v>25</v>
      </c>
      <c r="D4" s="392"/>
      <c r="E4" s="408" t="s">
        <v>16</v>
      </c>
      <c r="F4" s="392"/>
      <c r="G4" s="408" t="s">
        <v>26</v>
      </c>
      <c r="H4" s="392"/>
    </row>
    <row r="5" ht="28" customHeight="true">
      <c r="A5" s="393"/>
      <c r="B5" s="410" t="n">
        <f>SUM(B12:B19)</f>
        <v>15</v>
      </c>
      <c r="C5" s="393"/>
      <c r="D5" s="410" t="n">
        <f>SUM('補充記録'!Q4:Q203)</f>
        <v>2453</v>
      </c>
      <c r="E5" s="393"/>
      <c r="F5" s="412" t="n">
        <f>SUM('補充記録'!T4:T203)</f>
        <v>41082</v>
      </c>
      <c r="G5" s="393"/>
      <c r="H5" s="410" t="n">
        <f>COUNTIF('補充記録'!AC4:AC203,"入荷遅延")</f>
        <v>3</v>
      </c>
    </row>
    <row r="6" ht="28" customHeight="true"/>
    <row r="7" ht="28" customHeight="true">
      <c r="A7" s="408" t="s">
        <v>27</v>
      </c>
      <c r="B7" s="392"/>
      <c r="C7" s="408" t="s">
        <v>28</v>
      </c>
      <c r="D7" s="392"/>
      <c r="E7" s="408" t="s">
        <v>29</v>
      </c>
      <c r="F7" s="392"/>
      <c r="G7" s="408" t="s">
        <v>304</v>
      </c>
      <c r="H7" s="392"/>
    </row>
    <row r="8" ht="28" customHeight="true">
      <c r="A8" s="393"/>
      <c r="B8" s="410" t="n">
        <f>COUNTIF('補充記録'!AC4:AC203,"セキュリティ在庫割れ")+COUNTIF('補充記録'!AC4:AC203,"発注点到達")</f>
        <v>10</v>
      </c>
      <c r="C8" s="393"/>
      <c r="D8" s="410" t="n">
        <f>COUNTIF('補充記録'!AD4:AD203,"高リスク：リードタイム不足")</f>
        <v>13</v>
      </c>
      <c r="E8" s="393"/>
      <c r="F8" s="410" t="n">
        <f>COUNTIF('補充記録'!V4:V203,"承認待ち")</f>
        <v>3</v>
      </c>
      <c r="G8" s="393"/>
      <c r="H8" s="410" t="n">
        <f>COUNTIF('補充記録'!V4:V203,"輸送中")+COUNTIF('補充記録'!V4:V203,"一部入荷")</f>
        <v>3</v>
      </c>
    </row>
    <row r="9"/>
    <row r="10"/>
    <row r="11">
      <c r="A11" s="203" t="s">
        <v>30</v>
      </c>
      <c r="B11" s="203" t="s">
        <v>31</v>
      </c>
      <c r="D11" s="203" t="s">
        <v>32</v>
      </c>
      <c r="E11" s="203" t="s">
        <v>33</v>
      </c>
      <c r="F11" s="203" t="s">
        <v>34</v>
      </c>
      <c r="H11" s="203" t="s">
        <v>35</v>
      </c>
      <c r="I11" s="203" t="s">
        <v>36</v>
      </c>
      <c r="J11" s="203" t="s">
        <v>37</v>
      </c>
    </row>
    <row r="12">
      <c r="A12" s="420" t="s">
        <v>38</v>
      </c>
      <c r="B12" s="421" t="n">
        <f>COUNTIF('補充記録'!V4:V203,"下書き")</f>
        <v>2</v>
      </c>
      <c r="D12" s="420" t="s">
        <v>39</v>
      </c>
      <c r="E12" s="441" t="n">
        <f>SUMIF('補充記録'!D4:D203,D12,'補充記録'!Q4:Q203)</f>
        <v>400</v>
      </c>
      <c r="F12" s="450" t="n">
        <f>SUMIF('補充記録'!D4:D203,D12,'補充記録'!T4:T203)</f>
        <v>8180</v>
      </c>
      <c r="H12" s="420" t="s">
        <v>40</v>
      </c>
      <c r="I12" s="441" t="n">
        <f>COUNTIFS('補充記録'!H4:H203,H12,'補充記録'!AC4:AC203,"&lt;&gt;通常",'補充記録'!AC4:AC203,"&lt;&gt;")</f>
        <v>1</v>
      </c>
      <c r="J12" s="450" t="n">
        <f>SUMIF('補充記録'!H4:H203,H12,'補充記録'!T4:T203)</f>
        <v>1508</v>
      </c>
    </row>
    <row r="13">
      <c r="A13" s="422" t="s">
        <v>29</v>
      </c>
      <c r="B13" s="423" t="n">
        <f>COUNTIF('補充記録'!V4:V203,"承認待ち")</f>
        <v>3</v>
      </c>
      <c r="D13" s="422" t="s">
        <v>41</v>
      </c>
      <c r="E13" s="442" t="n">
        <f>SUMIF('補充記録'!D4:D203,D13,'補充記録'!Q4:Q203)</f>
        <v>480</v>
      </c>
      <c r="F13" s="451" t="n">
        <f>SUMIF('補充記録'!D4:D203,D13,'補充記録'!T4:T203)</f>
        <v>2016</v>
      </c>
      <c r="H13" s="422" t="s">
        <v>42</v>
      </c>
      <c r="I13" s="442" t="n">
        <f>COUNTIFS('補充記録'!H4:H203,H13,'補充記録'!AC4:AC203,"&lt;&gt;通常",'補充記録'!AC4:AC203,"&lt;&gt;")</f>
        <v>0</v>
      </c>
      <c r="J13" s="451" t="n">
        <f>SUMIF('補充記録'!H4:H203,H13,'補充記録'!T4:T203)</f>
        <v>3300</v>
      </c>
    </row>
    <row r="14">
      <c r="A14" s="422" t="s">
        <v>43</v>
      </c>
      <c r="B14" s="423" t="n">
        <f>COUNTIF('補充記録'!V4:V203,"承認済み")</f>
        <v>2</v>
      </c>
      <c r="D14" s="422" t="s">
        <v>44</v>
      </c>
      <c r="E14" s="442" t="n">
        <f>SUMIF('補充記録'!D4:D203,D14,'補充記録'!Q4:Q203)</f>
        <v>88</v>
      </c>
      <c r="F14" s="451" t="n">
        <f>SUMIF('補充記録'!D4:D203,D14,'補充記録'!T4:T203)</f>
        <v>6864</v>
      </c>
      <c r="H14" s="422" t="s">
        <v>45</v>
      </c>
      <c r="I14" s="442" t="n">
        <f>COUNTIFS('補充記録'!H4:H203,H14,'補充記録'!AC4:AC203,"&lt;&gt;通常",'補充記録'!AC4:AC203,"&lt;&gt;")</f>
        <v>1</v>
      </c>
      <c r="J14" s="451" t="n">
        <f>SUMIF('補充記録'!H4:H203,H14,'補充記録'!T4:T203)</f>
        <v>2220</v>
      </c>
    </row>
    <row r="15">
      <c r="A15" s="422" t="s">
        <v>46</v>
      </c>
      <c r="B15" s="423" t="n">
        <f>COUNTIF('補充記録'!V4:V203,"発注済み")</f>
        <v>3</v>
      </c>
      <c r="D15" s="422" t="s">
        <v>47</v>
      </c>
      <c r="E15" s="442" t="n">
        <f>SUMIF('補充記録'!D4:D203,D15,'補充記録'!Q4:Q203)</f>
        <v>120</v>
      </c>
      <c r="F15" s="451" t="n">
        <f>SUMIF('補充記録'!D4:D203,D15,'補充記録'!T4:T203)</f>
        <v>2220</v>
      </c>
      <c r="H15" s="422" t="s">
        <v>48</v>
      </c>
      <c r="I15" s="442" t="n">
        <f>COUNTIFS('補充記録'!H4:H203,H15,'補充記録'!AC4:AC203,"&lt;&gt;通常",'補充記録'!AC4:AC203,"&lt;&gt;")</f>
        <v>1</v>
      </c>
      <c r="J15" s="451" t="n">
        <f>SUMIF('補充記録'!H4:H203,H15,'補充記録'!T4:T203)</f>
        <v>6210</v>
      </c>
    </row>
    <row r="16">
      <c r="A16" s="422" t="s">
        <v>49</v>
      </c>
      <c r="B16" s="423" t="n">
        <f>COUNTIF('補充記録'!V4:V203,"輸送中")</f>
        <v>2</v>
      </c>
      <c r="D16" s="422" t="s">
        <v>50</v>
      </c>
      <c r="E16" s="442" t="n">
        <f>SUMIF('補充記録'!D4:D203,D16,'補充記録'!Q4:Q203)</f>
        <v>180</v>
      </c>
      <c r="F16" s="451" t="n">
        <f>SUMIF('補充記録'!D4:D203,D16,'補充記録'!T4:T203)</f>
        <v>1530</v>
      </c>
      <c r="H16" s="422" t="s">
        <v>51</v>
      </c>
      <c r="I16" s="442" t="n">
        <f>COUNTIFS('補充記録'!H4:H203,H16,'補充記録'!AC4:AC203,"&lt;&gt;通常",'補充記録'!AC4:AC203,"&lt;&gt;")</f>
        <v>2</v>
      </c>
      <c r="J16" s="451" t="n">
        <f>SUMIF('補充記録'!H4:H203,H16,'補充記録'!T4:T203)</f>
        <v>3916</v>
      </c>
    </row>
    <row r="17">
      <c r="A17" s="422" t="s">
        <v>52</v>
      </c>
      <c r="B17" s="423" t="n">
        <f>COUNTIF('補充記録'!V4:V203,"一部入荷")</f>
        <v>1</v>
      </c>
      <c r="D17" s="422" t="s">
        <v>53</v>
      </c>
      <c r="E17" s="442" t="n">
        <f>SUMIF('補充記録'!D4:D203,D17,'補充記録'!Q4:Q203)</f>
        <v>505</v>
      </c>
      <c r="F17" s="451" t="n">
        <f>SUMIF('補充記録'!D4:D203,D17,'補充記録'!T4:T203)</f>
        <v>12312</v>
      </c>
      <c r="H17" s="422" t="s">
        <v>54</v>
      </c>
      <c r="I17" s="442" t="n">
        <f>COUNTIFS('補充記録'!H4:H203,H17,'補充記録'!AC4:AC203,"&lt;&gt;通常",'補充記録'!AC4:AC203,"&lt;&gt;")</f>
        <v>2</v>
      </c>
      <c r="J17" s="451" t="n">
        <f>SUMIF('補充記録'!H4:H203,H17,'補充記録'!T4:T203)</f>
        <v>9184</v>
      </c>
    </row>
    <row r="18">
      <c r="A18" s="422" t="s">
        <v>55</v>
      </c>
      <c r="B18" s="423" t="n">
        <f>COUNTIF('補充記録'!V4:V203,"入荷済み")</f>
        <v>1</v>
      </c>
      <c r="D18" s="422" t="s">
        <v>305</v>
      </c>
      <c r="E18" s="442" t="n">
        <f>SUMIF('補充記録'!D4:D203,D18,'補充記録'!Q4:Q203)</f>
        <v>150</v>
      </c>
      <c r="F18" s="451" t="n">
        <f>SUMIF('補充記録'!D4:D203,D18,'補充記録'!T4:T203)</f>
        <v>1736</v>
      </c>
      <c r="H18" s="422" t="s">
        <v>56</v>
      </c>
      <c r="I18" s="442" t="n">
        <f>COUNTIFS('補充記録'!H4:H203,H18,'補充記録'!AC4:AC203,"&lt;&gt;通常",'補充記録'!AC4:AC203,"&lt;&gt;")</f>
        <v>1</v>
      </c>
      <c r="J18" s="451" t="n">
        <f>SUMIF('補充記録'!H4:H203,H18,'補充記録'!T4:T203)</f>
        <v>2112</v>
      </c>
    </row>
    <row r="19">
      <c r="A19" s="424" t="s">
        <v>57</v>
      </c>
      <c r="B19" s="425" t="n">
        <f>COUNTIF('補充記録'!V4:V203,"キャンセル済み")</f>
        <v>1</v>
      </c>
      <c r="D19" s="422" t="s">
        <v>58</v>
      </c>
      <c r="E19" s="442" t="n">
        <f>SUMIF('補充記録'!D4:D203,D19,'補充記録'!Q4:Q203)</f>
        <v>120</v>
      </c>
      <c r="F19" s="451" t="n">
        <f>SUMIF('補充記録'!D4:D203,D19,'補充記録'!T4:T203)</f>
        <v>1416</v>
      </c>
      <c r="H19" s="422" t="s">
        <v>59</v>
      </c>
      <c r="I19" s="442" t="n">
        <f>COUNTIFS('補充記録'!H4:H203,H19,'補充記録'!AC4:AC203,"&lt;&gt;通常",'補充記録'!AC4:AC203,"&lt;&gt;")</f>
        <v>2</v>
      </c>
      <c r="J19" s="451" t="n">
        <f>SUMIF('補充記録'!H4:H203,H19,'補充記録'!T4:T203)</f>
        <v>1736</v>
      </c>
    </row>
    <row r="20">
      <c r="D20" s="422" t="s">
        <v>60</v>
      </c>
      <c r="E20" s="442" t="n">
        <f>SUMIF('補充記録'!D4:D203,D20,'補充記録'!Q4:Q203)</f>
        <v>260</v>
      </c>
      <c r="F20" s="451" t="n">
        <f>SUMIF('補充記録'!D4:D203,D20,'補充記録'!T4:T203)</f>
        <v>1508</v>
      </c>
      <c r="H20" s="422" t="s">
        <v>61</v>
      </c>
      <c r="I20" s="442" t="n">
        <f>COUNTIFS('補充記録'!H4:H203,H20,'補充記録'!AC4:AC203,"&lt;&gt;通常",'補充記録'!AC4:AC203,"&lt;&gt;")</f>
        <v>2</v>
      </c>
      <c r="J20" s="451" t="n">
        <f>SUMIF('補充記録'!H4:H203,H20,'補充記録'!T4:T203)</f>
        <v>3546</v>
      </c>
    </row>
    <row r="21">
      <c r="D21" s="424" t="s">
        <v>417</v>
      </c>
      <c r="E21" s="443" t="n">
        <f>SUMIF('補充記録'!D4:D203,D21,'補充記録'!Q4:Q203)</f>
        <v>150</v>
      </c>
      <c r="F21" s="452" t="n">
        <f>SUMIF('補充記録'!D4:D203,D21,'補充記録'!T4:T203)</f>
        <v>3300</v>
      </c>
      <c r="H21" s="424" t="s">
        <v>62</v>
      </c>
      <c r="I21" s="443" t="n">
        <f>COUNTIFS('補充記録'!H4:H203,H21,'補充記録'!AC4:AC203,"&lt;&gt;通常",'補充記録'!AC4:AC203,"&lt;&gt;")</f>
        <v>2</v>
      </c>
      <c r="J21" s="452" t="n">
        <f>SUMIF('補充記録'!H4:H203,H21,'補充記録'!T4:T203)</f>
        <v>7350</v>
      </c>
    </row>
    <row r="22"/>
    <row r="23"/>
    <row r="24">
      <c r="A24" s="117" t="s">
        <v>63</v>
      </c>
      <c r="B24" s="117"/>
      <c r="C24" s="117"/>
      <c r="D24" s="117"/>
      <c r="E24" s="117"/>
      <c r="F24" s="117"/>
      <c r="G24" s="117"/>
      <c r="H24" s="117"/>
      <c r="I24" s="117"/>
      <c r="J24" s="117"/>
    </row>
    <row r="25" ht="24" customHeight="true">
      <c r="A25" s="457" t="s">
        <v>64</v>
      </c>
      <c r="B25" s="457"/>
      <c r="C25" s="457"/>
      <c r="D25" s="457"/>
      <c r="E25" s="457"/>
      <c r="F25" s="457"/>
      <c r="G25" s="457"/>
      <c r="H25" s="457"/>
      <c r="I25" s="457"/>
      <c r="J25" s="457"/>
    </row>
    <row r="26" ht="24" customHeight="true">
      <c r="A26" s="457" t="s">
        <v>65</v>
      </c>
      <c r="B26" s="457"/>
      <c r="C26" s="457"/>
      <c r="D26" s="457"/>
      <c r="E26" s="457"/>
      <c r="F26" s="457"/>
      <c r="G26" s="457"/>
      <c r="H26" s="457"/>
      <c r="I26" s="457"/>
      <c r="J26" s="457"/>
    </row>
    <row r="27" ht="24" customHeight="true">
      <c r="A27" s="457" t="s">
        <v>66</v>
      </c>
      <c r="B27" s="457"/>
      <c r="C27" s="457"/>
      <c r="D27" s="457"/>
      <c r="E27" s="457"/>
      <c r="F27" s="457"/>
      <c r="G27" s="457"/>
      <c r="H27" s="457"/>
      <c r="I27" s="457"/>
      <c r="J27" s="457"/>
    </row>
  </sheetData>
  <mergeCells count="6">
    <mergeCell ref="A1:J1"/>
    <mergeCell ref="A2:J2"/>
    <mergeCell ref="A24:J24"/>
    <mergeCell ref="A25:J25"/>
    <mergeCell ref="A26:J26"/>
    <mergeCell ref="A27:J27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rawing r:id="R9268606856004aa8"/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2" min="1" width="12"/>
    <col customWidth="true" max="6" min="3" width="16"/>
    <col customWidth="true" max="7" min="7" width="24"/>
    <col customWidth="true" max="8" min="8" width="12"/>
    <col customWidth="true" max="9" min="9" width="24"/>
    <col customWidth="true" max="13" min="10" width="10"/>
    <col customWidth="true" max="14" min="14" width="12"/>
    <col customWidth="true" max="15" min="15" width="13"/>
    <col customWidth="true" max="17" min="16" width="12"/>
    <col customWidth="true" max="19" min="18" width="10"/>
    <col customWidth="true" max="20" min="20" width="14"/>
    <col customWidth="true" max="22" min="21" width="12"/>
    <col customWidth="true" max="24" min="23" width="13"/>
    <col customWidth="true" max="26" min="25" width="10"/>
    <col customWidth="true" max="27" min="27" width="12"/>
    <col customWidth="true" max="28" min="28" width="28"/>
    <col customWidth="true" max="29" min="29" width="18"/>
    <col customWidth="true" max="30" min="30" width="20"/>
  </cols>
  <sheetData>
    <row r="1" ht="34" customHeight="true">
      <c r="A1" s="6" t="s">
        <v>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ht="30" customHeight="true">
      <c r="A2" s="15" t="s">
        <v>68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ht="34" customHeight="true">
      <c r="A3" s="292" t="s">
        <v>69</v>
      </c>
      <c r="B3" s="293" t="s">
        <v>70</v>
      </c>
      <c r="C3" s="293" t="s">
        <v>71</v>
      </c>
      <c r="D3" s="293" t="s">
        <v>32</v>
      </c>
      <c r="E3" s="293" t="s">
        <v>306</v>
      </c>
      <c r="F3" s="293" t="s">
        <v>307</v>
      </c>
      <c r="G3" s="293" t="s">
        <v>72</v>
      </c>
      <c r="H3" s="293" t="s">
        <v>35</v>
      </c>
      <c r="I3" s="293" t="s">
        <v>73</v>
      </c>
      <c r="J3" s="293" t="s">
        <v>74</v>
      </c>
      <c r="K3" s="293" t="s">
        <v>411</v>
      </c>
      <c r="L3" s="293" t="s">
        <v>9</v>
      </c>
      <c r="M3" s="293" t="s">
        <v>75</v>
      </c>
      <c r="N3" s="293" t="s">
        <v>76</v>
      </c>
      <c r="O3" s="293" t="s">
        <v>77</v>
      </c>
      <c r="P3" s="293" t="s">
        <v>12</v>
      </c>
      <c r="Q3" s="293" t="s">
        <v>78</v>
      </c>
      <c r="R3" s="293" t="s">
        <v>79</v>
      </c>
      <c r="S3" s="293" t="s">
        <v>80</v>
      </c>
      <c r="T3" s="293" t="s">
        <v>16</v>
      </c>
      <c r="U3" s="293" t="s">
        <v>81</v>
      </c>
      <c r="V3" s="293" t="s">
        <v>30</v>
      </c>
      <c r="W3" s="293" t="s">
        <v>82</v>
      </c>
      <c r="X3" s="293" t="s">
        <v>83</v>
      </c>
      <c r="Y3" s="293" t="s">
        <v>84</v>
      </c>
      <c r="Z3" s="293" t="s">
        <v>85</v>
      </c>
      <c r="AA3" s="293" t="s">
        <v>86</v>
      </c>
      <c r="AB3" s="293" t="s">
        <v>87</v>
      </c>
      <c r="AC3" s="293" t="s">
        <v>19</v>
      </c>
      <c r="AD3" s="294" t="s">
        <v>20</v>
      </c>
    </row>
    <row r="4" ht="19" customHeight="true">
      <c r="A4" s="327" t="s">
        <v>308</v>
      </c>
      <c r="B4" s="364" t="n">
        <v>46126</v>
      </c>
      <c r="C4" s="328" t="s">
        <v>88</v>
      </c>
      <c r="D4" s="328" t="s">
        <v>39</v>
      </c>
      <c r="E4" s="328" t="s">
        <v>89</v>
      </c>
      <c r="F4" s="328" t="s">
        <v>309</v>
      </c>
      <c r="G4" s="328" t="s">
        <v>133</v>
      </c>
      <c r="H4" s="328" t="s">
        <v>62</v>
      </c>
      <c r="I4" s="328" t="s">
        <v>134</v>
      </c>
      <c r="J4" s="370" t="n">
        <v>42</v>
      </c>
      <c r="K4" s="370" t="n">
        <f>IF(F4="","",IFERROR(VLOOKUP(F4,'商品カタログ'!$A:$O,11,FALSE),""))</f>
        <v>30</v>
      </c>
      <c r="L4" s="370" t="n">
        <f>IF(F4="","",IFERROR(VLOOKUP(F4,'商品カタログ'!$A:$O,12,FALSE),""))</f>
        <v>60</v>
      </c>
      <c r="M4" s="370" t="n">
        <f>IF(F4="","",IFERROR(VLOOKUP(F4,'商品カタログ'!$A:$O,13,FALSE),""))</f>
        <v>160</v>
      </c>
      <c r="N4" s="370" t="n">
        <v>18</v>
      </c>
      <c r="O4" s="370" t="n">
        <f>IF(F4="","",IFERROR(VLOOKUP(F4,'商品カタログ'!$A:$O,10,FALSE),""))</f>
        <v>3</v>
      </c>
      <c r="P4" s="370" t="n">
        <f>IF(F4="","",IF(OR(J4&lt;=L4,J4-N4*O4&lt;=K4),MAX(IFERROR(VLOOKUP(F4,'商品カタログ'!$A:$O,8,FALSE),0),IFERROR(CEILING(MAX(0,M4-J4),MAX(1,VLOOKUP(F4,'商品カタログ'!$A:$O,9,FALSE))),MAX(0,M4-J4))),0))</f>
        <v>120</v>
      </c>
      <c r="Q4" s="370" t="n">
        <v>120</v>
      </c>
      <c r="R4" s="328" t="s">
        <v>310</v>
      </c>
      <c r="S4" s="376" t="n">
        <f>IF(F4="","",IFERROR(VLOOKUP(F4,'商品カタログ'!$A:$O,14,FALSE),""))</f>
        <v>28</v>
      </c>
      <c r="T4" s="376" t="n">
        <f>IF(F4="","",IFERROR(Q4*S4,0))</f>
        <v>3360</v>
      </c>
      <c r="U4" s="328" t="s">
        <v>311</v>
      </c>
      <c r="V4" s="328" t="s">
        <v>46</v>
      </c>
      <c r="W4" s="364" t="n">
        <f>IF(OR(B4="",O4=""),"",B4+O4)</f>
        <v>46129</v>
      </c>
      <c r="X4" s="364"/>
      <c r="Y4" s="370"/>
      <c r="Z4" s="370" t="str">
        <f>IF(F4="","",IF(V4="入荷済み",Y4-Q4,IF(V4="一部入荷",Y4-Q4,"")))</f>
      </c>
      <c r="AA4" s="328" t="s">
        <v>90</v>
      </c>
      <c r="AB4" s="328" t="s">
        <v>39</v>
      </c>
      <c r="AC4" s="328" t="s">
        <v>247</v>
      </c>
      <c r="AD4" s="329" t="s">
        <v>312</v>
      </c>
    </row>
    <row r="5" ht="19" customHeight="true">
      <c r="A5" s="330" t="s">
        <v>313</v>
      </c>
      <c r="B5" s="365" t="n">
        <v>46127</v>
      </c>
      <c r="C5" s="331" t="s">
        <v>88</v>
      </c>
      <c r="D5" s="331" t="s">
        <v>41</v>
      </c>
      <c r="E5" s="331" t="s">
        <v>91</v>
      </c>
      <c r="F5" s="331" t="s">
        <v>314</v>
      </c>
      <c r="G5" s="331" t="s">
        <v>141</v>
      </c>
      <c r="H5" s="331" t="s">
        <v>61</v>
      </c>
      <c r="I5" s="331" t="s">
        <v>140</v>
      </c>
      <c r="J5" s="371" t="n">
        <v>310</v>
      </c>
      <c r="K5" s="371" t="n">
        <f>IF(F5="","",IFERROR(VLOOKUP(F5,'商品カタログ'!$A:$O,11,FALSE),""))</f>
        <v>200</v>
      </c>
      <c r="L5" s="371" t="n">
        <f>IF(F5="","",IFERROR(VLOOKUP(F5,'商品カタログ'!$A:$O,12,FALSE),""))</f>
        <v>360</v>
      </c>
      <c r="M5" s="371" t="n">
        <f>IF(F5="","",IFERROR(VLOOKUP(F5,'商品カタログ'!$A:$O,13,FALSE),""))</f>
        <v>900</v>
      </c>
      <c r="N5" s="371" t="n">
        <v>65</v>
      </c>
      <c r="O5" s="371" t="n">
        <f>IF(F5="","",IFERROR(VLOOKUP(F5,'商品カタログ'!$A:$O,10,FALSE),""))</f>
        <v>4</v>
      </c>
      <c r="P5" s="371" t="n">
        <f>IF(F5="","",IF(OR(J5&lt;=L5,J5-N5*O5&lt;=K5),MAX(IFERROR(VLOOKUP(F5,'商品カタログ'!$A:$O,8,FALSE),0),IFERROR(CEILING(MAX(0,M5-J5),MAX(1,VLOOKUP(F5,'商品カタログ'!$A:$O,9,FALSE))),MAX(0,M5-J5))),0))</f>
        <v>600</v>
      </c>
      <c r="Q5" s="371" t="n">
        <v>480</v>
      </c>
      <c r="R5" s="331" t="s">
        <v>315</v>
      </c>
      <c r="S5" s="377" t="n">
        <f>IF(F5="","",IFERROR(VLOOKUP(F5,'商品カタログ'!$A:$O,14,FALSE),""))</f>
        <v>4.2</v>
      </c>
      <c r="T5" s="377" t="n">
        <f>IF(F5="","",IFERROR(Q5*S5,0))</f>
        <v>2016</v>
      </c>
      <c r="U5" s="331" t="s">
        <v>316</v>
      </c>
      <c r="V5" s="331" t="s">
        <v>29</v>
      </c>
      <c r="W5" s="365" t="n">
        <f>IF(OR(B5="",O5=""),"",B5+O5)</f>
        <v>46131</v>
      </c>
      <c r="X5" s="365"/>
      <c r="Y5" s="371"/>
      <c r="Z5" s="371" t="str">
        <f>IF(F5="","",IF(V5="入荷済み",Y5-Q5,IF(V5="一部入荷",Y5-Q5,"")))</f>
      </c>
      <c r="AA5" s="331" t="s">
        <v>92</v>
      </c>
      <c r="AB5" s="331" t="s">
        <v>93</v>
      </c>
      <c r="AC5" s="331" t="s">
        <v>247</v>
      </c>
      <c r="AD5" s="332" t="s">
        <v>317</v>
      </c>
    </row>
    <row r="6" ht="19" customHeight="true">
      <c r="A6" s="330" t="s">
        <v>318</v>
      </c>
      <c r="B6" s="365" t="n">
        <v>46128</v>
      </c>
      <c r="C6" s="331" t="s">
        <v>94</v>
      </c>
      <c r="D6" s="331" t="s">
        <v>305</v>
      </c>
      <c r="E6" s="331" t="s">
        <v>95</v>
      </c>
      <c r="F6" s="331" t="s">
        <v>319</v>
      </c>
      <c r="G6" s="331" t="s">
        <v>146</v>
      </c>
      <c r="H6" s="331" t="s">
        <v>59</v>
      </c>
      <c r="I6" s="331" t="s">
        <v>147</v>
      </c>
      <c r="J6" s="371" t="n">
        <v>54</v>
      </c>
      <c r="K6" s="371" t="n">
        <f>IF(F6="","",IFERROR(VLOOKUP(F6,'商品カタログ'!$A:$O,11,FALSE),""))</f>
        <v>60</v>
      </c>
      <c r="L6" s="371" t="n">
        <f>IF(F6="","",IFERROR(VLOOKUP(F6,'商品カタログ'!$A:$O,12,FALSE),""))</f>
        <v>100</v>
      </c>
      <c r="M6" s="371" t="n">
        <f>IF(F6="","",IFERROR(VLOOKUP(F6,'商品カタログ'!$A:$O,13,FALSE),""))</f>
        <v>220</v>
      </c>
      <c r="N6" s="371" t="n">
        <v>35</v>
      </c>
      <c r="O6" s="371" t="n">
        <f>IF(F6="","",IFERROR(VLOOKUP(F6,'商品カタログ'!$A:$O,10,FALSE),""))</f>
        <v>2</v>
      </c>
      <c r="P6" s="371" t="n">
        <f>IF(F6="","",IF(OR(J6&lt;=L6,J6-N6*O6&lt;=K6),MAX(IFERROR(VLOOKUP(F6,'商品カタログ'!$A:$O,8,FALSE),0),IFERROR(CEILING(MAX(0,M6-J6),MAX(1,VLOOKUP(F6,'商品カタログ'!$A:$O,9,FALSE))),MAX(0,M6-J6))),0))</f>
        <v>168</v>
      </c>
      <c r="Q6" s="371" t="n">
        <v>80</v>
      </c>
      <c r="R6" s="331" t="s">
        <v>320</v>
      </c>
      <c r="S6" s="377" t="n">
        <f>IF(F6="","",IFERROR(VLOOKUP(F6,'商品カタログ'!$A:$O,14,FALSE),""))</f>
        <v>9.8</v>
      </c>
      <c r="T6" s="377" t="n">
        <f>IF(F6="","",IFERROR(Q6*S6,0))</f>
        <v>784</v>
      </c>
      <c r="U6" s="331" t="s">
        <v>96</v>
      </c>
      <c r="V6" s="331" t="s">
        <v>49</v>
      </c>
      <c r="W6" s="365" t="n">
        <f>IF(OR(B6="",O6=""),"",B6+O6)</f>
        <v>46130</v>
      </c>
      <c r="X6" s="365"/>
      <c r="Y6" s="371"/>
      <c r="Z6" s="371" t="str">
        <f>IF(F6="","",IF(V6="入荷済み",Y6-Q6,IF(V6="一部入荷",Y6-Q6,"")))</f>
      </c>
      <c r="AA6" s="331" t="s">
        <v>97</v>
      </c>
      <c r="AB6" s="331" t="s">
        <v>98</v>
      </c>
      <c r="AC6" s="331" t="s">
        <v>247</v>
      </c>
      <c r="AD6" s="332" t="s">
        <v>312</v>
      </c>
    </row>
    <row r="7" ht="19" customHeight="true">
      <c r="A7" s="330" t="s">
        <v>321</v>
      </c>
      <c r="B7" s="365" t="n">
        <v>46129</v>
      </c>
      <c r="C7" s="331" t="s">
        <v>88</v>
      </c>
      <c r="D7" s="331" t="s">
        <v>53</v>
      </c>
      <c r="E7" s="331" t="s">
        <v>99</v>
      </c>
      <c r="F7" s="331" t="s">
        <v>322</v>
      </c>
      <c r="G7" s="331" t="s">
        <v>155</v>
      </c>
      <c r="H7" s="331" t="s">
        <v>56</v>
      </c>
      <c r="I7" s="331" t="s">
        <v>156</v>
      </c>
      <c r="J7" s="371" t="n">
        <v>175</v>
      </c>
      <c r="K7" s="371" t="n">
        <f>IF(F7="","",IFERROR(VLOOKUP(F7,'商品カタログ'!$A:$O,11,FALSE),""))</f>
        <v>110</v>
      </c>
      <c r="L7" s="371" t="n">
        <f>IF(F7="","",IFERROR(VLOOKUP(F7,'商品カタログ'!$A:$O,12,FALSE),""))</f>
        <v>200</v>
      </c>
      <c r="M7" s="371" t="n">
        <f>IF(F7="","",IFERROR(VLOOKUP(F7,'商品カタログ'!$A:$O,13,FALSE),""))</f>
        <v>480</v>
      </c>
      <c r="N7" s="371" t="n">
        <v>58</v>
      </c>
      <c r="O7" s="371" t="n">
        <f>IF(F7="","",IFERROR(VLOOKUP(F7,'商品カタログ'!$A:$O,10,FALSE),""))</f>
        <v>7</v>
      </c>
      <c r="P7" s="371" t="n">
        <f>IF(F7="","",IF(OR(J7&lt;=L7,J7-N7*O7&lt;=K7),MAX(IFERROR(VLOOKUP(F7,'商品カタログ'!$A:$O,8,FALSE),0),IFERROR(CEILING(MAX(0,M7-J7),MAX(1,VLOOKUP(F7,'商品カタログ'!$A:$O,9,FALSE))),MAX(0,M7-J7))),0))</f>
        <v>312</v>
      </c>
      <c r="Q7" s="371" t="n">
        <v>320</v>
      </c>
      <c r="R7" s="331" t="s">
        <v>323</v>
      </c>
      <c r="S7" s="377" t="n">
        <f>IF(F7="","",IFERROR(VLOOKUP(F7,'商品カタログ'!$A:$O,14,FALSE),""))</f>
        <v>6.6</v>
      </c>
      <c r="T7" s="377" t="n">
        <f>IF(F7="","",IFERROR(Q7*S7,0))</f>
        <v>2112</v>
      </c>
      <c r="U7" s="331" t="s">
        <v>316</v>
      </c>
      <c r="V7" s="331" t="s">
        <v>43</v>
      </c>
      <c r="W7" s="365" t="n">
        <f>IF(OR(B7="",O7=""),"",B7+O7)</f>
        <v>46136</v>
      </c>
      <c r="X7" s="365"/>
      <c r="Y7" s="371"/>
      <c r="Z7" s="371" t="str">
        <f>IF(F7="","",IF(V7="入荷済み",Y7-Q7,IF(V7="一部入荷",Y7-Q7,"")))</f>
      </c>
      <c r="AA7" s="331" t="s">
        <v>100</v>
      </c>
      <c r="AB7" s="331" t="s">
        <v>101</v>
      </c>
      <c r="AC7" s="331" t="s">
        <v>244</v>
      </c>
      <c r="AD7" s="332" t="s">
        <v>312</v>
      </c>
    </row>
    <row r="8" ht="19" customHeight="true">
      <c r="A8" s="330" t="s">
        <v>324</v>
      </c>
      <c r="B8" s="365" t="n">
        <v>46130</v>
      </c>
      <c r="C8" s="331" t="s">
        <v>102</v>
      </c>
      <c r="D8" s="331" t="s">
        <v>47</v>
      </c>
      <c r="E8" s="331" t="s">
        <v>103</v>
      </c>
      <c r="F8" s="331" t="s">
        <v>325</v>
      </c>
      <c r="G8" s="331" t="s">
        <v>160</v>
      </c>
      <c r="H8" s="331" t="s">
        <v>45</v>
      </c>
      <c r="I8" s="331" t="s">
        <v>161</v>
      </c>
      <c r="J8" s="371" t="n">
        <v>70</v>
      </c>
      <c r="K8" s="371" t="n">
        <f>IF(F8="","",IFERROR(VLOOKUP(F8,'商品カタログ'!$A:$O,11,FALSE),""))</f>
        <v>55</v>
      </c>
      <c r="L8" s="371" t="n">
        <f>IF(F8="","",IFERROR(VLOOKUP(F8,'商品カタログ'!$A:$O,12,FALSE),""))</f>
        <v>100</v>
      </c>
      <c r="M8" s="371" t="n">
        <f>IF(F8="","",IFERROR(VLOOKUP(F8,'商品カタログ'!$A:$O,13,FALSE),""))</f>
        <v>260</v>
      </c>
      <c r="N8" s="371" t="n">
        <v>12</v>
      </c>
      <c r="O8" s="371" t="n">
        <f>IF(F8="","",IFERROR(VLOOKUP(F8,'商品カタログ'!$A:$O,10,FALSE),""))</f>
        <v>8</v>
      </c>
      <c r="P8" s="371" t="n">
        <f>IF(F8="","",IF(OR(J8&lt;=L8,J8-N8*O8&lt;=K8),MAX(IFERROR(VLOOKUP(F8,'商品カタログ'!$A:$O,8,FALSE),0),IFERROR(CEILING(MAX(0,M8-J8),MAX(1,VLOOKUP(F8,'商品カタログ'!$A:$O,9,FALSE))),MAX(0,M8-J8))),0))</f>
        <v>192</v>
      </c>
      <c r="Q8" s="371" t="n">
        <v>120</v>
      </c>
      <c r="R8" s="331" t="s">
        <v>326</v>
      </c>
      <c r="S8" s="377" t="n">
        <f>IF(F8="","",IFERROR(VLOOKUP(F8,'商品カタログ'!$A:$O,14,FALSE),""))</f>
        <v>18.5</v>
      </c>
      <c r="T8" s="377" t="n">
        <f>IF(F8="","",IFERROR(Q8*S8,0))</f>
        <v>2220</v>
      </c>
      <c r="U8" s="331" t="s">
        <v>311</v>
      </c>
      <c r="V8" s="331" t="s">
        <v>46</v>
      </c>
      <c r="W8" s="365" t="n">
        <f>IF(OR(B8="",O8=""),"",B8+O8)</f>
        <v>46138</v>
      </c>
      <c r="X8" s="365"/>
      <c r="Y8" s="371"/>
      <c r="Z8" s="371" t="str">
        <f>IF(F8="","",IF(V8="入荷済み",Y8-Q8,IF(V8="一部入荷",Y8-Q8,"")))</f>
      </c>
      <c r="AA8" s="331" t="s">
        <v>104</v>
      </c>
      <c r="AB8" s="331" t="s">
        <v>105</v>
      </c>
      <c r="AC8" s="331" t="s">
        <v>244</v>
      </c>
      <c r="AD8" s="332" t="s">
        <v>312</v>
      </c>
    </row>
    <row r="9" ht="19" customHeight="true">
      <c r="A9" s="330" t="s">
        <v>327</v>
      </c>
      <c r="B9" s="365" t="n">
        <v>46131</v>
      </c>
      <c r="C9" s="331" t="s">
        <v>88</v>
      </c>
      <c r="D9" s="331" t="s">
        <v>58</v>
      </c>
      <c r="E9" s="331" t="s">
        <v>106</v>
      </c>
      <c r="F9" s="331" t="s">
        <v>328</v>
      </c>
      <c r="G9" s="331" t="s">
        <v>142</v>
      </c>
      <c r="H9" s="331" t="s">
        <v>51</v>
      </c>
      <c r="I9" s="331" t="s">
        <v>144</v>
      </c>
      <c r="J9" s="371" t="n">
        <v>78</v>
      </c>
      <c r="K9" s="371" t="n">
        <f>IF(F9="","",IFERROR(VLOOKUP(F9,'商品カタログ'!$A:$O,11,FALSE),""))</f>
        <v>80</v>
      </c>
      <c r="L9" s="371" t="n">
        <f>IF(F9="","",IFERROR(VLOOKUP(F9,'商品カタログ'!$A:$O,12,FALSE),""))</f>
        <v>150</v>
      </c>
      <c r="M9" s="371" t="n">
        <f>IF(F9="","",IFERROR(VLOOKUP(F9,'商品カタログ'!$A:$O,13,FALSE),""))</f>
        <v>420</v>
      </c>
      <c r="N9" s="371" t="n">
        <v>20</v>
      </c>
      <c r="O9" s="371" t="n">
        <f>IF(F9="","",IFERROR(VLOOKUP(F9,'商品カタログ'!$A:$O,10,FALSE),""))</f>
        <v>7</v>
      </c>
      <c r="P9" s="371" t="n">
        <f>IF(F9="","",IF(OR(J9&lt;=L9,J9-N9*O9&lt;=K9),MAX(IFERROR(VLOOKUP(F9,'商品カタログ'!$A:$O,8,FALSE),0),IFERROR(CEILING(MAX(0,M9-J9),MAX(1,VLOOKUP(F9,'商品カタログ'!$A:$O,9,FALSE))),MAX(0,M9-J9))),0))</f>
        <v>342</v>
      </c>
      <c r="Q9" s="371" t="n">
        <v>120</v>
      </c>
      <c r="R9" s="331" t="s">
        <v>320</v>
      </c>
      <c r="S9" s="377" t="n">
        <f>IF(F9="","",IFERROR(VLOOKUP(F9,'商品カタログ'!$A:$O,14,FALSE),""))</f>
        <v>11.8</v>
      </c>
      <c r="T9" s="377" t="n">
        <f>IF(F9="","",IFERROR(Q9*S9,0))</f>
        <v>1416</v>
      </c>
      <c r="U9" s="331" t="s">
        <v>316</v>
      </c>
      <c r="V9" s="331" t="s">
        <v>49</v>
      </c>
      <c r="W9" s="365" t="n">
        <f>IF(OR(B9="",O9=""),"",B9+O9)</f>
        <v>46138</v>
      </c>
      <c r="X9" s="365"/>
      <c r="Y9" s="371"/>
      <c r="Z9" s="371" t="str">
        <f>IF(F9="","",IF(V9="入荷済み",Y9-Q9,IF(V9="一部入荷",Y9-Q9,"")))</f>
      </c>
      <c r="AA9" s="331" t="s">
        <v>107</v>
      </c>
      <c r="AB9" s="331" t="s">
        <v>108</v>
      </c>
      <c r="AC9" s="331" t="s">
        <v>418</v>
      </c>
      <c r="AD9" s="332" t="s">
        <v>312</v>
      </c>
    </row>
    <row r="10" ht="19" customHeight="true">
      <c r="A10" s="330" t="s">
        <v>329</v>
      </c>
      <c r="B10" s="365" t="n">
        <v>46132</v>
      </c>
      <c r="C10" s="331" t="s">
        <v>109</v>
      </c>
      <c r="D10" s="331" t="s">
        <v>53</v>
      </c>
      <c r="E10" s="331" t="s">
        <v>99</v>
      </c>
      <c r="F10" s="331" t="s">
        <v>330</v>
      </c>
      <c r="G10" s="331" t="s">
        <v>153</v>
      </c>
      <c r="H10" s="331" t="s">
        <v>48</v>
      </c>
      <c r="I10" s="331" t="s">
        <v>154</v>
      </c>
      <c r="J10" s="371" t="n">
        <v>33</v>
      </c>
      <c r="K10" s="371" t="n">
        <f>IF(F10="","",IFERROR(VLOOKUP(F10,'商品カタログ'!$A:$O,11,FALSE),""))</f>
        <v>25</v>
      </c>
      <c r="L10" s="371" t="n">
        <f>IF(F10="","",IFERROR(VLOOKUP(F10,'商品カタログ'!$A:$O,12,FALSE),""))</f>
        <v>55</v>
      </c>
      <c r="M10" s="371" t="n">
        <f>IF(F10="","",IFERROR(VLOOKUP(F10,'商品カタログ'!$A:$O,13,FALSE),""))</f>
        <v>150</v>
      </c>
      <c r="N10" s="371" t="n">
        <v>18</v>
      </c>
      <c r="O10" s="371" t="n">
        <f>IF(F10="","",IFERROR(VLOOKUP(F10,'商品カタログ'!$A:$O,10,FALSE),""))</f>
        <v>10</v>
      </c>
      <c r="P10" s="371" t="n">
        <f>IF(F10="","",IF(OR(J10&lt;=L10,J10-N10*O10&lt;=K10),MAX(IFERROR(VLOOKUP(F10,'商品カタログ'!$A:$O,8,FALSE),0),IFERROR(CEILING(MAX(0,M10-J10),MAX(1,VLOOKUP(F10,'商品カタログ'!$A:$O,9,FALSE))),MAX(0,M10-J10))),0))</f>
        <v>118</v>
      </c>
      <c r="Q10" s="371" t="n">
        <v>90</v>
      </c>
      <c r="R10" s="331" t="s">
        <v>326</v>
      </c>
      <c r="S10" s="377" t="n">
        <f>IF(F10="","",IFERROR(VLOOKUP(F10,'商品カタログ'!$A:$O,14,FALSE),""))</f>
        <v>69</v>
      </c>
      <c r="T10" s="377" t="n">
        <f>IF(F10="","",IFERROR(Q10*S10,0))</f>
        <v>6210</v>
      </c>
      <c r="U10" s="331" t="s">
        <v>96</v>
      </c>
      <c r="V10" s="331" t="s">
        <v>29</v>
      </c>
      <c r="W10" s="365" t="n">
        <f>IF(OR(B10="",O10=""),"",B10+O10)</f>
        <v>46142</v>
      </c>
      <c r="X10" s="365"/>
      <c r="Y10" s="371"/>
      <c r="Z10" s="371" t="str">
        <f>IF(F10="","",IF(V10="入荷済み",Y10-Q10,IF(V10="一部入荷",Y10-Q10,"")))</f>
      </c>
      <c r="AA10" s="331" t="s">
        <v>100</v>
      </c>
      <c r="AB10" s="331" t="s">
        <v>110</v>
      </c>
      <c r="AC10" s="331" t="s">
        <v>244</v>
      </c>
      <c r="AD10" s="332" t="s">
        <v>312</v>
      </c>
    </row>
    <row r="11" ht="19" customHeight="true">
      <c r="A11" s="330" t="s">
        <v>331</v>
      </c>
      <c r="B11" s="365" t="n">
        <v>46133</v>
      </c>
      <c r="C11" s="331" t="s">
        <v>111</v>
      </c>
      <c r="D11" s="331" t="s">
        <v>50</v>
      </c>
      <c r="E11" s="331" t="s">
        <v>112</v>
      </c>
      <c r="F11" s="331" t="s">
        <v>332</v>
      </c>
      <c r="G11" s="331" t="s">
        <v>138</v>
      </c>
      <c r="H11" s="331" t="s">
        <v>61</v>
      </c>
      <c r="I11" s="331" t="s">
        <v>140</v>
      </c>
      <c r="J11" s="371" t="n">
        <v>155</v>
      </c>
      <c r="K11" s="371" t="n">
        <f>IF(F11="","",IFERROR(VLOOKUP(F11,'商品カタログ'!$A:$O,11,FALSE),""))</f>
        <v>150</v>
      </c>
      <c r="L11" s="371" t="n">
        <f>IF(F11="","",IFERROR(VLOOKUP(F11,'商品カタログ'!$A:$O,12,FALSE),""))</f>
        <v>260</v>
      </c>
      <c r="M11" s="371" t="n">
        <f>IF(F11="","",IFERROR(VLOOKUP(F11,'商品カタログ'!$A:$O,13,FALSE),""))</f>
        <v>700</v>
      </c>
      <c r="N11" s="371" t="n">
        <v>30</v>
      </c>
      <c r="O11" s="371" t="n">
        <f>IF(F11="","",IFERROR(VLOOKUP(F11,'商品カタログ'!$A:$O,10,FALSE),""))</f>
        <v>5</v>
      </c>
      <c r="P11" s="371" t="n">
        <f>IF(F11="","",IF(OR(J11&lt;=L11,J11-N11*O11&lt;=K11),MAX(IFERROR(VLOOKUP(F11,'商品カタログ'!$A:$O,8,FALSE),0),IFERROR(CEILING(MAX(0,M11-J11),MAX(1,VLOOKUP(F11,'商品カタログ'!$A:$O,9,FALSE))),MAX(0,M11-J11))),0))</f>
        <v>550</v>
      </c>
      <c r="Q11" s="371" t="n">
        <v>180</v>
      </c>
      <c r="R11" s="331" t="s">
        <v>315</v>
      </c>
      <c r="S11" s="377" t="n">
        <f>IF(F11="","",IFERROR(VLOOKUP(F11,'商品カタログ'!$A:$O,14,FALSE),""))</f>
        <v>8.5</v>
      </c>
      <c r="T11" s="377" t="n">
        <f>IF(F11="","",IFERROR(Q11*S11,0))</f>
        <v>1530</v>
      </c>
      <c r="U11" s="331" t="s">
        <v>311</v>
      </c>
      <c r="V11" s="331" t="s">
        <v>52</v>
      </c>
      <c r="W11" s="365" t="n">
        <f>IF(OR(B11="",O11=""),"",B11+O11)</f>
        <v>46138</v>
      </c>
      <c r="X11" s="365" t="n">
        <v>46135</v>
      </c>
      <c r="Y11" s="371" t="n">
        <v>90</v>
      </c>
      <c r="Z11" s="371" t="n">
        <f>IF(F11="","",IF(V11="入荷済み",Y11-Q11,IF(V11="一部入荷",Y11-Q11,"")))</f>
        <v>-90</v>
      </c>
      <c r="AA11" s="331" t="s">
        <v>113</v>
      </c>
      <c r="AB11" s="331" t="s">
        <v>114</v>
      </c>
      <c r="AC11" s="331" t="s">
        <v>244</v>
      </c>
      <c r="AD11" s="332" t="s">
        <v>317</v>
      </c>
    </row>
    <row r="12" ht="19" customHeight="true">
      <c r="A12" s="330" t="s">
        <v>333</v>
      </c>
      <c r="B12" s="365" t="n">
        <v>46133</v>
      </c>
      <c r="C12" s="331" t="s">
        <v>94</v>
      </c>
      <c r="D12" s="331" t="s">
        <v>44</v>
      </c>
      <c r="E12" s="331" t="s">
        <v>91</v>
      </c>
      <c r="F12" s="331" t="s">
        <v>334</v>
      </c>
      <c r="G12" s="331" t="s">
        <v>152</v>
      </c>
      <c r="H12" s="331" t="s">
        <v>54</v>
      </c>
      <c r="I12" s="331" t="s">
        <v>151</v>
      </c>
      <c r="J12" s="371" t="n">
        <v>44</v>
      </c>
      <c r="K12" s="371" t="n">
        <f>IF(F12="","",IFERROR(VLOOKUP(F12,'商品カタログ'!$A:$O,11,FALSE),""))</f>
        <v>30</v>
      </c>
      <c r="L12" s="371" t="n">
        <f>IF(F12="","",IFERROR(VLOOKUP(F12,'商品カタログ'!$A:$O,12,FALSE),""))</f>
        <v>70</v>
      </c>
      <c r="M12" s="371" t="n">
        <f>IF(F12="","",IFERROR(VLOOKUP(F12,'商品カタログ'!$A:$O,13,FALSE),""))</f>
        <v>180</v>
      </c>
      <c r="N12" s="371" t="n">
        <v>9</v>
      </c>
      <c r="O12" s="371" t="n">
        <f>IF(F12="","",IFERROR(VLOOKUP(F12,'商品カタログ'!$A:$O,10,FALSE),""))</f>
        <v>15</v>
      </c>
      <c r="P12" s="371" t="n">
        <f>IF(F12="","",IF(OR(J12&lt;=L12,J12-N12*O12&lt;=K12),MAX(IFERROR(VLOOKUP(F12,'商品カタログ'!$A:$O,8,FALSE),0),IFERROR(CEILING(MAX(0,M12-J12),MAX(1,VLOOKUP(F12,'商品カタログ'!$A:$O,9,FALSE))),MAX(0,M12-J12))),0))</f>
        <v>136</v>
      </c>
      <c r="Q12" s="371" t="n">
        <v>88</v>
      </c>
      <c r="R12" s="331" t="s">
        <v>335</v>
      </c>
      <c r="S12" s="377" t="n">
        <f>IF(F12="","",IFERROR(VLOOKUP(F12,'商品カタログ'!$A:$O,14,FALSE),""))</f>
        <v>78</v>
      </c>
      <c r="T12" s="377" t="n">
        <f>IF(F12="","",IFERROR(Q12*S12,0))</f>
        <v>6864</v>
      </c>
      <c r="U12" s="331" t="s">
        <v>311</v>
      </c>
      <c r="V12" s="331" t="s">
        <v>38</v>
      </c>
      <c r="W12" s="365" t="n">
        <f>IF(OR(B12="",O12=""),"",B12+O12)</f>
        <v>46148</v>
      </c>
      <c r="X12" s="365"/>
      <c r="Y12" s="371"/>
      <c r="Z12" s="371" t="str">
        <f>IF(F12="","",IF(V12="入荷済み",Y12-Q12,IF(V12="一部入荷",Y12-Q12,"")))</f>
      </c>
      <c r="AA12" s="331" t="s">
        <v>92</v>
      </c>
      <c r="AB12" s="331" t="s">
        <v>115</v>
      </c>
      <c r="AC12" s="331" t="s">
        <v>244</v>
      </c>
      <c r="AD12" s="332" t="s">
        <v>312</v>
      </c>
    </row>
    <row r="13" ht="19" customHeight="true">
      <c r="A13" s="330" t="s">
        <v>336</v>
      </c>
      <c r="B13" s="365" t="n">
        <v>46134</v>
      </c>
      <c r="C13" s="331" t="s">
        <v>88</v>
      </c>
      <c r="D13" s="331" t="s">
        <v>417</v>
      </c>
      <c r="E13" s="331" t="s">
        <v>116</v>
      </c>
      <c r="F13" s="331" t="s">
        <v>337</v>
      </c>
      <c r="G13" s="331" t="s">
        <v>157</v>
      </c>
      <c r="H13" s="331" t="s">
        <v>42</v>
      </c>
      <c r="I13" s="331" t="s">
        <v>159</v>
      </c>
      <c r="J13" s="371" t="n">
        <v>85</v>
      </c>
      <c r="K13" s="371" t="n">
        <f>IF(F13="","",IFERROR(VLOOKUP(F13,'商品カタログ'!$A:$O,11,FALSE),""))</f>
        <v>70</v>
      </c>
      <c r="L13" s="371" t="n">
        <f>IF(F13="","",IFERROR(VLOOKUP(F13,'商品カタログ'!$A:$O,12,FALSE),""))</f>
        <v>130</v>
      </c>
      <c r="M13" s="371" t="n">
        <f>IF(F13="","",IFERROR(VLOOKUP(F13,'商品カタログ'!$A:$O,13,FALSE),""))</f>
        <v>300</v>
      </c>
      <c r="N13" s="371" t="n">
        <v>22</v>
      </c>
      <c r="O13" s="371" t="n">
        <f>IF(F13="","",IFERROR(VLOOKUP(F13,'商品カタログ'!$A:$O,10,FALSE),""))</f>
        <v>5</v>
      </c>
      <c r="P13" s="371" t="n">
        <f>IF(F13="","",IF(OR(J13&lt;=L13,J13-N13*O13&lt;=K13),MAX(IFERROR(VLOOKUP(F13,'商品カタログ'!$A:$O,8,FALSE),0),IFERROR(CEILING(MAX(0,M13-J13),MAX(1,VLOOKUP(F13,'商品カタログ'!$A:$O,9,FALSE))),MAX(0,M13-J13))),0))</f>
        <v>215</v>
      </c>
      <c r="Q13" s="371" t="n">
        <v>150</v>
      </c>
      <c r="R13" s="331" t="s">
        <v>323</v>
      </c>
      <c r="S13" s="377" t="n">
        <f>IF(F13="","",IFERROR(VLOOKUP(F13,'商品カタログ'!$A:$O,14,FALSE),""))</f>
        <v>22</v>
      </c>
      <c r="T13" s="377" t="n">
        <f>IF(F13="","",IFERROR(Q13*S13,0))</f>
        <v>3300</v>
      </c>
      <c r="U13" s="331" t="s">
        <v>338</v>
      </c>
      <c r="V13" s="331" t="s">
        <v>55</v>
      </c>
      <c r="W13" s="365" t="n">
        <f>IF(OR(B13="",O13=""),"",B13+O13)</f>
        <v>46139</v>
      </c>
      <c r="X13" s="365" t="n">
        <v>46135</v>
      </c>
      <c r="Y13" s="371" t="n">
        <v>150</v>
      </c>
      <c r="Z13" s="371" t="n">
        <f>IF(F13="","",IF(V13="入荷済み",Y13-Q13,IF(V13="一部入荷",Y13-Q13,"")))</f>
        <v>0</v>
      </c>
      <c r="AA13" s="331" t="s">
        <v>117</v>
      </c>
      <c r="AB13" s="331" t="s">
        <v>118</v>
      </c>
      <c r="AC13" s="331" t="s">
        <v>419</v>
      </c>
      <c r="AD13" s="332" t="s">
        <v>312</v>
      </c>
    </row>
    <row r="14" ht="19" customHeight="true">
      <c r="A14" s="330" t="s">
        <v>339</v>
      </c>
      <c r="B14" s="365" t="n">
        <v>46134</v>
      </c>
      <c r="C14" s="331" t="s">
        <v>88</v>
      </c>
      <c r="D14" s="331" t="s">
        <v>60</v>
      </c>
      <c r="E14" s="331" t="s">
        <v>89</v>
      </c>
      <c r="F14" s="331" t="s">
        <v>340</v>
      </c>
      <c r="G14" s="331" t="s">
        <v>162</v>
      </c>
      <c r="H14" s="331" t="s">
        <v>40</v>
      </c>
      <c r="I14" s="331" t="s">
        <v>163</v>
      </c>
      <c r="J14" s="371" t="n">
        <v>188</v>
      </c>
      <c r="K14" s="371" t="n">
        <f>IF(F14="","",IFERROR(VLOOKUP(F14,'商品カタログ'!$A:$O,11,FALSE),""))</f>
        <v>150</v>
      </c>
      <c r="L14" s="371" t="n">
        <f>IF(F14="","",IFERROR(VLOOKUP(F14,'商品カタログ'!$A:$O,12,FALSE),""))</f>
        <v>260</v>
      </c>
      <c r="M14" s="371" t="n">
        <f>IF(F14="","",IFERROR(VLOOKUP(F14,'商品カタログ'!$A:$O,13,FALSE),""))</f>
        <v>650</v>
      </c>
      <c r="N14" s="371" t="n">
        <v>40</v>
      </c>
      <c r="O14" s="371" t="n">
        <f>IF(F14="","",IFERROR(VLOOKUP(F14,'商品カタログ'!$A:$O,10,FALSE),""))</f>
        <v>6</v>
      </c>
      <c r="P14" s="371" t="n">
        <f>IF(F14="","",IF(OR(J14&lt;=L14,J14-N14*O14&lt;=K14),MAX(IFERROR(VLOOKUP(F14,'商品カタログ'!$A:$O,8,FALSE),0),IFERROR(CEILING(MAX(0,M14-J14),MAX(1,VLOOKUP(F14,'商品カタログ'!$A:$O,9,FALSE))),MAX(0,M14-J14))),0))</f>
        <v>470</v>
      </c>
      <c r="Q14" s="371" t="n">
        <v>260</v>
      </c>
      <c r="R14" s="331" t="s">
        <v>320</v>
      </c>
      <c r="S14" s="377" t="n">
        <f>IF(F14="","",IFERROR(VLOOKUP(F14,'商品カタログ'!$A:$O,14,FALSE),""))</f>
        <v>5.8</v>
      </c>
      <c r="T14" s="377" t="n">
        <f>IF(F14="","",IFERROR(Q14*S14,0))</f>
        <v>1508</v>
      </c>
      <c r="U14" s="331" t="s">
        <v>311</v>
      </c>
      <c r="V14" s="331" t="s">
        <v>43</v>
      </c>
      <c r="W14" s="365" t="n">
        <f>IF(OR(B14="",O14=""),"",B14+O14)</f>
        <v>46140</v>
      </c>
      <c r="X14" s="365"/>
      <c r="Y14" s="371"/>
      <c r="Z14" s="371" t="str">
        <f>IF(F14="","",IF(V14="入荷済み",Y14-Q14,IF(V14="一部入荷",Y14-Q14,"")))</f>
      </c>
      <c r="AA14" s="331" t="s">
        <v>90</v>
      </c>
      <c r="AB14" s="331" t="s">
        <v>119</v>
      </c>
      <c r="AC14" s="331" t="s">
        <v>244</v>
      </c>
      <c r="AD14" s="332" t="s">
        <v>312</v>
      </c>
    </row>
    <row r="15" ht="19" customHeight="true">
      <c r="A15" s="330" t="s">
        <v>341</v>
      </c>
      <c r="B15" s="365" t="n">
        <v>46135</v>
      </c>
      <c r="C15" s="331" t="s">
        <v>102</v>
      </c>
      <c r="D15" s="331" t="s">
        <v>39</v>
      </c>
      <c r="E15" s="331" t="s">
        <v>106</v>
      </c>
      <c r="F15" s="331" t="s">
        <v>342</v>
      </c>
      <c r="G15" s="331" t="s">
        <v>145</v>
      </c>
      <c r="H15" s="331" t="s">
        <v>51</v>
      </c>
      <c r="I15" s="331" t="s">
        <v>144</v>
      </c>
      <c r="J15" s="371" t="n">
        <v>142</v>
      </c>
      <c r="K15" s="371" t="n">
        <f>IF(F15="","",IFERROR(VLOOKUP(F15,'商品カタログ'!$A:$O,11,FALSE),""))</f>
        <v>120</v>
      </c>
      <c r="L15" s="371" t="n">
        <f>IF(F15="","",IFERROR(VLOOKUP(F15,'商品カタログ'!$A:$O,12,FALSE),""))</f>
        <v>220</v>
      </c>
      <c r="M15" s="371" t="n">
        <f>IF(F15="","",IFERROR(VLOOKUP(F15,'商品カタログ'!$A:$O,13,FALSE),""))</f>
        <v>520</v>
      </c>
      <c r="N15" s="371" t="n">
        <v>24</v>
      </c>
      <c r="O15" s="371" t="n">
        <f>IF(F15="","",IFERROR(VLOOKUP(F15,'商品カタログ'!$A:$O,10,FALSE),""))</f>
        <v>6</v>
      </c>
      <c r="P15" s="371" t="n">
        <f>IF(F15="","",IF(OR(J15&lt;=L15,J15-N15*O15&lt;=K15),MAX(IFERROR(VLOOKUP(F15,'商品カタログ'!$A:$O,8,FALSE),0),IFERROR(CEILING(MAX(0,M15-J15),MAX(1,VLOOKUP(F15,'商品カタログ'!$A:$O,9,FALSE))),MAX(0,M15-J15))),0))</f>
        <v>384</v>
      </c>
      <c r="Q15" s="371" t="n">
        <v>200</v>
      </c>
      <c r="R15" s="331" t="s">
        <v>343</v>
      </c>
      <c r="S15" s="377" t="n">
        <f>IF(F15="","",IFERROR(VLOOKUP(F15,'商品カタログ'!$A:$O,14,FALSE),""))</f>
        <v>12.5</v>
      </c>
      <c r="T15" s="377" t="n">
        <f>IF(F15="","",IFERROR(Q15*S15,0))</f>
        <v>2500</v>
      </c>
      <c r="U15" s="331" t="s">
        <v>311</v>
      </c>
      <c r="V15" s="331" t="s">
        <v>46</v>
      </c>
      <c r="W15" s="365" t="n">
        <f>IF(OR(B15="",O15=""),"",B15+O15)</f>
        <v>46141</v>
      </c>
      <c r="X15" s="365"/>
      <c r="Y15" s="371"/>
      <c r="Z15" s="371" t="str">
        <f>IF(F15="","",IF(V15="入荷済み",Y15-Q15,IF(V15="一部入荷",Y15-Q15,"")))</f>
      </c>
      <c r="AA15" s="331" t="s">
        <v>107</v>
      </c>
      <c r="AB15" s="331" t="s">
        <v>120</v>
      </c>
      <c r="AC15" s="331" t="s">
        <v>244</v>
      </c>
      <c r="AD15" s="332" t="s">
        <v>312</v>
      </c>
    </row>
    <row r="16" ht="19" customHeight="true">
      <c r="A16" s="330" t="s">
        <v>344</v>
      </c>
      <c r="B16" s="365" t="n">
        <v>46135</v>
      </c>
      <c r="C16" s="331" t="s">
        <v>109</v>
      </c>
      <c r="D16" s="331" t="s">
        <v>53</v>
      </c>
      <c r="E16" s="331" t="s">
        <v>95</v>
      </c>
      <c r="F16" s="331" t="s">
        <v>345</v>
      </c>
      <c r="G16" s="331" t="s">
        <v>136</v>
      </c>
      <c r="H16" s="331" t="s">
        <v>62</v>
      </c>
      <c r="I16" s="331" t="s">
        <v>134</v>
      </c>
      <c r="J16" s="371" t="n">
        <v>36</v>
      </c>
      <c r="K16" s="371" t="n">
        <f>IF(F16="","",IFERROR(VLOOKUP(F16,'商品カタログ'!$A:$O,11,FALSE),""))</f>
        <v>24</v>
      </c>
      <c r="L16" s="371" t="n">
        <f>IF(F16="","",IFERROR(VLOOKUP(F16,'商品カタログ'!$A:$O,12,FALSE),""))</f>
        <v>50</v>
      </c>
      <c r="M16" s="371" t="n">
        <f>IF(F16="","",IFERROR(VLOOKUP(F16,'商品カタログ'!$A:$O,13,FALSE),""))</f>
        <v>140</v>
      </c>
      <c r="N16" s="371" t="n">
        <v>28</v>
      </c>
      <c r="O16" s="371" t="n">
        <f>IF(F16="","",IFERROR(VLOOKUP(F16,'商品カタログ'!$A:$O,10,FALSE),""))</f>
        <v>4</v>
      </c>
      <c r="P16" s="371" t="n">
        <f>IF(F16="","",IF(OR(J16&lt;=L16,J16-N16*O16&lt;=K16),MAX(IFERROR(VLOOKUP(F16,'商品カタログ'!$A:$O,8,FALSE),0),IFERROR(CEILING(MAX(0,M16-J16),MAX(1,VLOOKUP(F16,'商品カタログ'!$A:$O,9,FALSE))),MAX(0,M16-J16))),0))</f>
        <v>105</v>
      </c>
      <c r="Q16" s="371" t="n">
        <v>95</v>
      </c>
      <c r="R16" s="331" t="s">
        <v>310</v>
      </c>
      <c r="S16" s="377" t="n">
        <f>IF(F16="","",IFERROR(VLOOKUP(F16,'商品カタログ'!$A:$O,14,FALSE),""))</f>
        <v>42</v>
      </c>
      <c r="T16" s="377" t="n">
        <f>IF(F16="","",IFERROR(Q16*S16,0))</f>
        <v>3990</v>
      </c>
      <c r="U16" s="331" t="s">
        <v>96</v>
      </c>
      <c r="V16" s="331" t="s">
        <v>29</v>
      </c>
      <c r="W16" s="365" t="n">
        <f>IF(OR(B16="",O16=""),"",B16+O16)</f>
        <v>46139</v>
      </c>
      <c r="X16" s="365"/>
      <c r="Y16" s="371"/>
      <c r="Z16" s="371" t="str">
        <f>IF(F16="","",IF(V16="入荷済み",Y16-Q16,IF(V16="一部入荷",Y16-Q16,"")))</f>
      </c>
      <c r="AA16" s="331" t="s">
        <v>97</v>
      </c>
      <c r="AB16" s="331" t="s">
        <v>121</v>
      </c>
      <c r="AC16" s="331" t="s">
        <v>244</v>
      </c>
      <c r="AD16" s="332" t="s">
        <v>312</v>
      </c>
    </row>
    <row r="17" ht="19" customHeight="true">
      <c r="A17" s="330" t="s">
        <v>346</v>
      </c>
      <c r="B17" s="365" t="n">
        <v>46136</v>
      </c>
      <c r="C17" s="331" t="s">
        <v>88</v>
      </c>
      <c r="D17" s="331" t="s">
        <v>305</v>
      </c>
      <c r="E17" s="331" t="s">
        <v>91</v>
      </c>
      <c r="F17" s="331" t="s">
        <v>347</v>
      </c>
      <c r="G17" s="331" t="s">
        <v>148</v>
      </c>
      <c r="H17" s="331" t="s">
        <v>59</v>
      </c>
      <c r="I17" s="331" t="s">
        <v>147</v>
      </c>
      <c r="J17" s="371" t="n">
        <v>38</v>
      </c>
      <c r="K17" s="371" t="n">
        <f>IF(F17="","",IFERROR(VLOOKUP(F17,'商品カタログ'!$A:$O,11,FALSE),""))</f>
        <v>50</v>
      </c>
      <c r="L17" s="371" t="n">
        <f>IF(F17="","",IFERROR(VLOOKUP(F17,'商品カタログ'!$A:$O,12,FALSE),""))</f>
        <v>90</v>
      </c>
      <c r="M17" s="371" t="n">
        <f>IF(F17="","",IFERROR(VLOOKUP(F17,'商品カタログ'!$A:$O,13,FALSE),""))</f>
        <v>180</v>
      </c>
      <c r="N17" s="371" t="n">
        <v>26</v>
      </c>
      <c r="O17" s="371" t="n">
        <f>IF(F17="","",IFERROR(VLOOKUP(F17,'商品カタログ'!$A:$O,10,FALSE),""))</f>
        <v>2</v>
      </c>
      <c r="P17" s="371" t="n">
        <f>IF(F17="","",IF(OR(J17&lt;=L17,J17-N17*O17&lt;=K17),MAX(IFERROR(VLOOKUP(F17,'商品カタログ'!$A:$O,8,FALSE),0),IFERROR(CEILING(MAX(0,M17-J17),MAX(1,VLOOKUP(F17,'商品カタログ'!$A:$O,9,FALSE))),MAX(0,M17-J17))),0))</f>
        <v>145</v>
      </c>
      <c r="Q17" s="371" t="n">
        <v>70</v>
      </c>
      <c r="R17" s="331" t="s">
        <v>348</v>
      </c>
      <c r="S17" s="377" t="n">
        <f>IF(F17="","",IFERROR(VLOOKUP(F17,'商品カタログ'!$A:$O,14,FALSE),""))</f>
        <v>13.6</v>
      </c>
      <c r="T17" s="377" t="n">
        <f>IF(F17="","",IFERROR(Q17*S17,0))</f>
        <v>952</v>
      </c>
      <c r="U17" s="331" t="s">
        <v>316</v>
      </c>
      <c r="V17" s="331" t="s">
        <v>38</v>
      </c>
      <c r="W17" s="365" t="n">
        <f>IF(OR(B17="",O17=""),"",B17+O17)</f>
        <v>46138</v>
      </c>
      <c r="X17" s="365"/>
      <c r="Y17" s="371"/>
      <c r="Z17" s="371" t="str">
        <f>IF(F17="","",IF(V17="入荷済み",Y17-Q17,IF(V17="一部入荷",Y17-Q17,"")))</f>
      </c>
      <c r="AA17" s="331" t="s">
        <v>92</v>
      </c>
      <c r="AB17" s="331" t="s">
        <v>122</v>
      </c>
      <c r="AC17" s="331" t="s">
        <v>418</v>
      </c>
      <c r="AD17" s="332" t="s">
        <v>312</v>
      </c>
    </row>
    <row r="18" ht="19" customHeight="true">
      <c r="A18" s="330" t="s">
        <v>349</v>
      </c>
      <c r="B18" s="365" t="n">
        <v>46136</v>
      </c>
      <c r="C18" s="331" t="s">
        <v>111</v>
      </c>
      <c r="D18" s="331" t="s">
        <v>39</v>
      </c>
      <c r="E18" s="331" t="s">
        <v>112</v>
      </c>
      <c r="F18" s="331" t="s">
        <v>350</v>
      </c>
      <c r="G18" s="331" t="s">
        <v>150</v>
      </c>
      <c r="H18" s="331" t="s">
        <v>54</v>
      </c>
      <c r="I18" s="331" t="s">
        <v>151</v>
      </c>
      <c r="J18" s="371" t="n">
        <v>50</v>
      </c>
      <c r="K18" s="371" t="n">
        <f>IF(F18="","",IFERROR(VLOOKUP(F18,'商品カタログ'!$A:$O,11,FALSE),""))</f>
        <v>40</v>
      </c>
      <c r="L18" s="371" t="n">
        <f>IF(F18="","",IFERROR(VLOOKUP(F18,'商品カタログ'!$A:$O,12,FALSE),""))</f>
        <v>80</v>
      </c>
      <c r="M18" s="371" t="n">
        <f>IF(F18="","",IFERROR(VLOOKUP(F18,'商品カタログ'!$A:$O,13,FALSE),""))</f>
        <v>220</v>
      </c>
      <c r="N18" s="371" t="n">
        <v>10</v>
      </c>
      <c r="O18" s="371" t="n">
        <f>IF(F18="","",IFERROR(VLOOKUP(F18,'商品カタログ'!$A:$O,10,FALSE),""))</f>
        <v>12</v>
      </c>
      <c r="P18" s="371" t="n">
        <f>IF(F18="","",IF(OR(J18&lt;=L18,J18-N18*O18&lt;=K18),MAX(IFERROR(VLOOKUP(F18,'商品カタログ'!$A:$O,8,FALSE),0),IFERROR(CEILING(MAX(0,M18-J18),MAX(1,VLOOKUP(F18,'商品カタログ'!$A:$O,9,FALSE))),MAX(0,M18-J18))),0))</f>
        <v>171</v>
      </c>
      <c r="Q18" s="371" t="n">
        <v>80</v>
      </c>
      <c r="R18" s="331" t="s">
        <v>335</v>
      </c>
      <c r="S18" s="377" t="n">
        <f>IF(F18="","",IFERROR(VLOOKUP(F18,'商品カタログ'!$A:$O,14,FALSE),""))</f>
        <v>29</v>
      </c>
      <c r="T18" s="377" t="n">
        <f>IF(F18="","",IFERROR(Q18*S18,0))</f>
        <v>2320</v>
      </c>
      <c r="U18" s="331" t="s">
        <v>338</v>
      </c>
      <c r="V18" s="331" t="s">
        <v>57</v>
      </c>
      <c r="W18" s="365" t="n">
        <f>IF(OR(B18="",O18=""),"",B18+O18)</f>
        <v>46148</v>
      </c>
      <c r="X18" s="365"/>
      <c r="Y18" s="371"/>
      <c r="Z18" s="371" t="str">
        <f>IF(F18="","",IF(V18="入荷済み",Y18-Q18,IF(V18="一部入荷",Y18-Q18,"")))</f>
      </c>
      <c r="AA18" s="331" t="s">
        <v>113</v>
      </c>
      <c r="AB18" s="331" t="s">
        <v>123</v>
      </c>
      <c r="AC18" s="331" t="s">
        <v>57</v>
      </c>
      <c r="AD18" s="332" t="s">
        <v>312</v>
      </c>
    </row>
    <row r="19" ht="19" customHeight="true">
      <c r="A19" s="330" t="str">
        <f>IF(F19="","","RL-"&amp;TEXT(ROW()-3,"0000"))</f>
      </c>
      <c r="B19" s="365"/>
      <c r="C19" s="331"/>
      <c r="D19" s="331"/>
      <c r="E19" s="331"/>
      <c r="F19" s="331"/>
      <c r="G19" s="331" t="str">
        <f>IF(F19="","",IFERROR(VLOOKUP(F19,'商品カタログ'!$A:$O,2,FALSE),""))</f>
      </c>
      <c r="H19" s="331" t="str">
        <f>IF(F19="","",IFERROR(VLOOKUP(F19,'商品カタログ'!$A:$O,3,FALSE),""))</f>
      </c>
      <c r="I19" s="331" t="str">
        <f>IF(F19="","",IFERROR(VLOOKUP(F19,'商品カタログ'!$A:$O,7,FALSE),""))</f>
      </c>
      <c r="J19" s="371"/>
      <c r="K19" s="371" t="str">
        <f>IF(F19="","",IFERROR(VLOOKUP(F19,'商品カタログ'!$A:$O,11,FALSE),""))</f>
      </c>
      <c r="L19" s="371" t="str">
        <f>IF(F19="","",IFERROR(VLOOKUP(F19,'商品カタログ'!$A:$O,12,FALSE),""))</f>
      </c>
      <c r="M19" s="371" t="str">
        <f>IF(F19="","",IFERROR(VLOOKUP(F19,'商品カタログ'!$A:$O,13,FALSE),""))</f>
      </c>
      <c r="N19" s="371"/>
      <c r="O19" s="371" t="str">
        <f>IF(F19="","",IFERROR(VLOOKUP(F19,'商品カタログ'!$A:$O,10,FALSE),""))</f>
      </c>
      <c r="P19" s="371" t="str">
        <f>IF(F19="","",IF(OR(J19&lt;=L19,J19-N19*O19&lt;=K19),MAX(IFERROR(VLOOKUP(F19,'商品カタログ'!$A:$O,8,FALSE),0),IFERROR(CEILING(MAX(0,M19-J19),MAX(1,VLOOKUP(F19,'商品カタログ'!$A:$O,9,FALSE))),MAX(0,M19-J19))),0))</f>
      </c>
      <c r="Q19" s="371"/>
      <c r="R19" s="331" t="str">
        <f>IF(F19="","",IFERROR(VLOOKUP(F19,'商品カタログ'!$A:$O,6,FALSE),""))</f>
      </c>
      <c r="S19" s="377" t="str">
        <f>IF(F19="","",IFERROR(VLOOKUP(F19,'商品カタログ'!$A:$O,14,FALSE),""))</f>
      </c>
      <c r="T19" s="377" t="str">
        <f>IF(F19="","",IFERROR(Q19*S19,0))</f>
      </c>
      <c r="U19" s="331"/>
      <c r="V19" s="331"/>
      <c r="W19" s="365" t="str">
        <f>IF(OR(B19="",O19=""),"",B19+O19)</f>
      </c>
      <c r="X19" s="365"/>
      <c r="Y19" s="371"/>
      <c r="Z19" s="371" t="str">
        <f>IF(F19="","",IF(V19="入荷済み",Y19-Q19,IF(V19="一部入荷",Y19-Q19,"")))</f>
      </c>
      <c r="AA19" s="331"/>
      <c r="AB19" s="331"/>
      <c r="AC19" s="331" t="str">
        <f>IF(F19="","",IF(V19="キャンセル済み","キャンセル済み",IF(AND(V19="入荷済み",Y19&gt;=Q19),"通常",IF(AND(W19&lt;TODAY(),W19&lt;&gt;"",V19&lt;&gt;"入荷済み"),"入荷遅延",IF(J19&lt;=K19,"セキュリティ在庫割れ",IF(J19&lt;=L19,"発注点到達",IF(Q19&lt;P19,"申請数が推奨数未満","通常")))))))</f>
      </c>
      <c r="AD19" s="332" t="str">
        <f>IF(F19="","",IF(N19=0,"不明",IF(J19/N19&lt;O19,"高リスク：リードタイム不足",IF(J19/N19&lt;O19+3,"中リスク","低リスク"))))</f>
      </c>
    </row>
    <row r="20" ht="19" customHeight="true">
      <c r="A20" s="330" t="str">
        <f>IF(F20="","","RL-"&amp;TEXT(ROW()-3,"0000"))</f>
      </c>
      <c r="B20" s="365"/>
      <c r="C20" s="331"/>
      <c r="D20" s="331"/>
      <c r="E20" s="331"/>
      <c r="F20" s="331"/>
      <c r="G20" s="331" t="str">
        <f>IF(F20="","",IFERROR(VLOOKUP(F20,'商品カタログ'!$A:$O,2,FALSE),""))</f>
      </c>
      <c r="H20" s="331" t="str">
        <f>IF(F20="","",IFERROR(VLOOKUP(F20,'商品カタログ'!$A:$O,3,FALSE),""))</f>
      </c>
      <c r="I20" s="331" t="str">
        <f>IF(F20="","",IFERROR(VLOOKUP(F20,'商品カタログ'!$A:$O,7,FALSE),""))</f>
      </c>
      <c r="J20" s="371"/>
      <c r="K20" s="371" t="str">
        <f>IF(F20="","",IFERROR(VLOOKUP(F20,'商品カタログ'!$A:$O,11,FALSE),""))</f>
      </c>
      <c r="L20" s="371" t="str">
        <f>IF(F20="","",IFERROR(VLOOKUP(F20,'商品カタログ'!$A:$O,12,FALSE),""))</f>
      </c>
      <c r="M20" s="371" t="str">
        <f>IF(F20="","",IFERROR(VLOOKUP(F20,'商品カタログ'!$A:$O,13,FALSE),""))</f>
      </c>
      <c r="N20" s="371"/>
      <c r="O20" s="371" t="str">
        <f>IF(F20="","",IFERROR(VLOOKUP(F20,'商品カタログ'!$A:$O,10,FALSE),""))</f>
      </c>
      <c r="P20" s="371" t="str">
        <f>IF(F20="","",IF(OR(J20&lt;=L20,J20-N20*O20&lt;=K20),MAX(IFERROR(VLOOKUP(F20,'商品カタログ'!$A:$O,8,FALSE),0),IFERROR(CEILING(MAX(0,M20-J20),MAX(1,VLOOKUP(F20,'商品カタログ'!$A:$O,9,FALSE))),MAX(0,M20-J20))),0))</f>
      </c>
      <c r="Q20" s="371"/>
      <c r="R20" s="331" t="str">
        <f>IF(F20="","",IFERROR(VLOOKUP(F20,'商品カタログ'!$A:$O,6,FALSE),""))</f>
      </c>
      <c r="S20" s="377" t="str">
        <f>IF(F20="","",IFERROR(VLOOKUP(F20,'商品カタログ'!$A:$O,14,FALSE),""))</f>
      </c>
      <c r="T20" s="377" t="str">
        <f>IF(F20="","",IFERROR(Q20*S20,0))</f>
      </c>
      <c r="U20" s="331"/>
      <c r="V20" s="331"/>
      <c r="W20" s="365" t="str">
        <f>IF(OR(B20="",O20=""),"",B20+O20)</f>
      </c>
      <c r="X20" s="365"/>
      <c r="Y20" s="371"/>
      <c r="Z20" s="371" t="str">
        <f>IF(F20="","",IF(V20="入荷済み",Y20-Q20,IF(V20="一部入荷",Y20-Q20,"")))</f>
      </c>
      <c r="AA20" s="331"/>
      <c r="AB20" s="331"/>
      <c r="AC20" s="331" t="str">
        <f>IF(F20="","",IF(V20="キャンセル済み","キャンセル済み",IF(AND(V20="入荷済み",Y20&gt;=Q20),"通常",IF(AND(W20&lt;TODAY(),W20&lt;&gt;"",V20&lt;&gt;"入荷済み"),"入荷遅延",IF(J20&lt;=K20,"セキュリティ在庫割れ",IF(J20&lt;=L20,"発注点到達",IF(Q20&lt;P20,"申請数が推奨数未満","通常")))))))</f>
      </c>
      <c r="AD20" s="332" t="str">
        <f>IF(F20="","",IF(N20=0,"不明",IF(J20/N20&lt;O20,"高リスク：リードタイム不足",IF(J20/N20&lt;O20+3,"中リスク","低リスク"))))</f>
      </c>
    </row>
    <row r="21" ht="19" customHeight="true">
      <c r="A21" s="330" t="str">
        <f>IF(F21="","","RL-"&amp;TEXT(ROW()-3,"0000"))</f>
      </c>
      <c r="B21" s="365"/>
      <c r="C21" s="331"/>
      <c r="D21" s="331"/>
      <c r="E21" s="331"/>
      <c r="F21" s="331"/>
      <c r="G21" s="331" t="str">
        <f>IF(F21="","",IFERROR(VLOOKUP(F21,'商品カタログ'!$A:$O,2,FALSE),""))</f>
      </c>
      <c r="H21" s="331" t="str">
        <f>IF(F21="","",IFERROR(VLOOKUP(F21,'商品カタログ'!$A:$O,3,FALSE),""))</f>
      </c>
      <c r="I21" s="331" t="str">
        <f>IF(F21="","",IFERROR(VLOOKUP(F21,'商品カタログ'!$A:$O,7,FALSE),""))</f>
      </c>
      <c r="J21" s="371"/>
      <c r="K21" s="371" t="str">
        <f>IF(F21="","",IFERROR(VLOOKUP(F21,'商品カタログ'!$A:$O,11,FALSE),""))</f>
      </c>
      <c r="L21" s="371" t="str">
        <f>IF(F21="","",IFERROR(VLOOKUP(F21,'商品カタログ'!$A:$O,12,FALSE),""))</f>
      </c>
      <c r="M21" s="371" t="str">
        <f>IF(F21="","",IFERROR(VLOOKUP(F21,'商品カタログ'!$A:$O,13,FALSE),""))</f>
      </c>
      <c r="N21" s="371"/>
      <c r="O21" s="371" t="str">
        <f>IF(F21="","",IFERROR(VLOOKUP(F21,'商品カタログ'!$A:$O,10,FALSE),""))</f>
      </c>
      <c r="P21" s="371" t="str">
        <f>IF(F21="","",IF(OR(J21&lt;=L21,J21-N21*O21&lt;=K21),MAX(IFERROR(VLOOKUP(F21,'商品カタログ'!$A:$O,8,FALSE),0),IFERROR(CEILING(MAX(0,M21-J21),MAX(1,VLOOKUP(F21,'商品カタログ'!$A:$O,9,FALSE))),MAX(0,M21-J21))),0))</f>
      </c>
      <c r="Q21" s="371"/>
      <c r="R21" s="331" t="str">
        <f>IF(F21="","",IFERROR(VLOOKUP(F21,'商品カタログ'!$A:$O,6,FALSE),""))</f>
      </c>
      <c r="S21" s="377" t="str">
        <f>IF(F21="","",IFERROR(VLOOKUP(F21,'商品カタログ'!$A:$O,14,FALSE),""))</f>
      </c>
      <c r="T21" s="377" t="str">
        <f>IF(F21="","",IFERROR(Q21*S21,0))</f>
      </c>
      <c r="U21" s="331"/>
      <c r="V21" s="331"/>
      <c r="W21" s="365" t="str">
        <f>IF(OR(B21="",O21=""),"",B21+O21)</f>
      </c>
      <c r="X21" s="365"/>
      <c r="Y21" s="371"/>
      <c r="Z21" s="371" t="str">
        <f>IF(F21="","",IF(V21="入荷済み",Y21-Q21,IF(V21="一部入荷",Y21-Q21,"")))</f>
      </c>
      <c r="AA21" s="331"/>
      <c r="AB21" s="331"/>
      <c r="AC21" s="331" t="str">
        <f>IF(F21="","",IF(V21="キャンセル済み","キャンセル済み",IF(AND(V21="入荷済み",Y21&gt;=Q21),"通常",IF(AND(W21&lt;TODAY(),W21&lt;&gt;"",V21&lt;&gt;"入荷済み"),"入荷遅延",IF(J21&lt;=K21,"セキュリティ在庫割れ",IF(J21&lt;=L21,"発注点到達",IF(Q21&lt;P21,"申請数が推奨数未満","通常")))))))</f>
      </c>
      <c r="AD21" s="332" t="str">
        <f>IF(F21="","",IF(N21=0,"不明",IF(J21/N21&lt;O21,"高リスク：リードタイム不足",IF(J21/N21&lt;O21+3,"中リスク","低リスク"))))</f>
      </c>
    </row>
    <row r="22" ht="19" customHeight="true">
      <c r="A22" s="330" t="str">
        <f>IF(F22="","","RL-"&amp;TEXT(ROW()-3,"0000"))</f>
      </c>
      <c r="B22" s="365"/>
      <c r="C22" s="331"/>
      <c r="D22" s="331"/>
      <c r="E22" s="331"/>
      <c r="F22" s="331"/>
      <c r="G22" s="331" t="str">
        <f>IF(F22="","",IFERROR(VLOOKUP(F22,'商品カタログ'!$A:$O,2,FALSE),""))</f>
      </c>
      <c r="H22" s="331" t="str">
        <f>IF(F22="","",IFERROR(VLOOKUP(F22,'商品カタログ'!$A:$O,3,FALSE),""))</f>
      </c>
      <c r="I22" s="331" t="str">
        <f>IF(F22="","",IFERROR(VLOOKUP(F22,'商品カタログ'!$A:$O,7,FALSE),""))</f>
      </c>
      <c r="J22" s="371"/>
      <c r="K22" s="371" t="str">
        <f>IF(F22="","",IFERROR(VLOOKUP(F22,'商品カタログ'!$A:$O,11,FALSE),""))</f>
      </c>
      <c r="L22" s="371" t="str">
        <f>IF(F22="","",IFERROR(VLOOKUP(F22,'商品カタログ'!$A:$O,12,FALSE),""))</f>
      </c>
      <c r="M22" s="371" t="str">
        <f>IF(F22="","",IFERROR(VLOOKUP(F22,'商品カタログ'!$A:$O,13,FALSE),""))</f>
      </c>
      <c r="N22" s="371"/>
      <c r="O22" s="371" t="str">
        <f>IF(F22="","",IFERROR(VLOOKUP(F22,'商品カタログ'!$A:$O,10,FALSE),""))</f>
      </c>
      <c r="P22" s="371" t="str">
        <f>IF(F22="","",IF(OR(J22&lt;=L22,J22-N22*O22&lt;=K22),MAX(IFERROR(VLOOKUP(F22,'商品カタログ'!$A:$O,8,FALSE),0),IFERROR(CEILING(MAX(0,M22-J22),MAX(1,VLOOKUP(F22,'商品カタログ'!$A:$O,9,FALSE))),MAX(0,M22-J22))),0))</f>
      </c>
      <c r="Q22" s="371"/>
      <c r="R22" s="331" t="str">
        <f>IF(F22="","",IFERROR(VLOOKUP(F22,'商品カタログ'!$A:$O,6,FALSE),""))</f>
      </c>
      <c r="S22" s="377" t="str">
        <f>IF(F22="","",IFERROR(VLOOKUP(F22,'商品カタログ'!$A:$O,14,FALSE),""))</f>
      </c>
      <c r="T22" s="377" t="str">
        <f>IF(F22="","",IFERROR(Q22*S22,0))</f>
      </c>
      <c r="U22" s="331"/>
      <c r="V22" s="331"/>
      <c r="W22" s="365" t="str">
        <f>IF(OR(B22="",O22=""),"",B22+O22)</f>
      </c>
      <c r="X22" s="365"/>
      <c r="Y22" s="371"/>
      <c r="Z22" s="371" t="str">
        <f>IF(F22="","",IF(V22="入荷済み",Y22-Q22,IF(V22="一部入荷",Y22-Q22,"")))</f>
      </c>
      <c r="AA22" s="331"/>
      <c r="AB22" s="331"/>
      <c r="AC22" s="331" t="str">
        <f>IF(F22="","",IF(V22="キャンセル済み","キャンセル済み",IF(AND(V22="入荷済み",Y22&gt;=Q22),"通常",IF(AND(W22&lt;TODAY(),W22&lt;&gt;"",V22&lt;&gt;"入荷済み"),"入荷遅延",IF(J22&lt;=K22,"セキュリティ在庫割れ",IF(J22&lt;=L22,"発注点到達",IF(Q22&lt;P22,"申請数が推奨数未満","通常")))))))</f>
      </c>
      <c r="AD22" s="332" t="str">
        <f>IF(F22="","",IF(N22=0,"不明",IF(J22/N22&lt;O22,"高リスク：リードタイム不足",IF(J22/N22&lt;O22+3,"中リスク","低リスク"))))</f>
      </c>
    </row>
    <row r="23" ht="19" customHeight="true">
      <c r="A23" s="330" t="str">
        <f>IF(F23="","","RL-"&amp;TEXT(ROW()-3,"0000"))</f>
      </c>
      <c r="B23" s="365"/>
      <c r="C23" s="331"/>
      <c r="D23" s="331"/>
      <c r="E23" s="331"/>
      <c r="F23" s="331"/>
      <c r="G23" s="331" t="str">
        <f>IF(F23="","",IFERROR(VLOOKUP(F23,'商品カタログ'!$A:$O,2,FALSE),""))</f>
      </c>
      <c r="H23" s="331" t="str">
        <f>IF(F23="","",IFERROR(VLOOKUP(F23,'商品カタログ'!$A:$O,3,FALSE),""))</f>
      </c>
      <c r="I23" s="331" t="str">
        <f>IF(F23="","",IFERROR(VLOOKUP(F23,'商品カタログ'!$A:$O,7,FALSE),""))</f>
      </c>
      <c r="J23" s="371"/>
      <c r="K23" s="371" t="str">
        <f>IF(F23="","",IFERROR(VLOOKUP(F23,'商品カタログ'!$A:$O,11,FALSE),""))</f>
      </c>
      <c r="L23" s="371" t="str">
        <f>IF(F23="","",IFERROR(VLOOKUP(F23,'商品カタログ'!$A:$O,12,FALSE),""))</f>
      </c>
      <c r="M23" s="371" t="str">
        <f>IF(F23="","",IFERROR(VLOOKUP(F23,'商品カタログ'!$A:$O,13,FALSE),""))</f>
      </c>
      <c r="N23" s="371"/>
      <c r="O23" s="371" t="str">
        <f>IF(F23="","",IFERROR(VLOOKUP(F23,'商品カタログ'!$A:$O,10,FALSE),""))</f>
      </c>
      <c r="P23" s="371" t="str">
        <f>IF(F23="","",IF(OR(J23&lt;=L23,J23-N23*O23&lt;=K23),MAX(IFERROR(VLOOKUP(F23,'商品カタログ'!$A:$O,8,FALSE),0),IFERROR(CEILING(MAX(0,M23-J23),MAX(1,VLOOKUP(F23,'商品カタログ'!$A:$O,9,FALSE))),MAX(0,M23-J23))),0))</f>
      </c>
      <c r="Q23" s="371"/>
      <c r="R23" s="331" t="str">
        <f>IF(F23="","",IFERROR(VLOOKUP(F23,'商品カタログ'!$A:$O,6,FALSE),""))</f>
      </c>
      <c r="S23" s="377" t="str">
        <f>IF(F23="","",IFERROR(VLOOKUP(F23,'商品カタログ'!$A:$O,14,FALSE),""))</f>
      </c>
      <c r="T23" s="377" t="str">
        <f>IF(F23="","",IFERROR(Q23*S23,0))</f>
      </c>
      <c r="U23" s="331"/>
      <c r="V23" s="331"/>
      <c r="W23" s="365" t="str">
        <f>IF(OR(B23="",O23=""),"",B23+O23)</f>
      </c>
      <c r="X23" s="365"/>
      <c r="Y23" s="371"/>
      <c r="Z23" s="371" t="str">
        <f>IF(F23="","",IF(V23="入荷済み",Y23-Q23,IF(V23="一部入荷",Y23-Q23,"")))</f>
      </c>
      <c r="AA23" s="331"/>
      <c r="AB23" s="331"/>
      <c r="AC23" s="331" t="str">
        <f>IF(F23="","",IF(V23="キャンセル済み","キャンセル済み",IF(AND(V23="入荷済み",Y23&gt;=Q23),"通常",IF(AND(W23&lt;TODAY(),W23&lt;&gt;"",V23&lt;&gt;"入荷済み"),"入荷遅延",IF(J23&lt;=K23,"セキュリティ在庫割れ",IF(J23&lt;=L23,"発注点到達",IF(Q23&lt;P23,"申請数が推奨数未満","通常")))))))</f>
      </c>
      <c r="AD23" s="332" t="str">
        <f>IF(F23="","",IF(N23=0,"不明",IF(J23/N23&lt;O23,"高リスク：リードタイム不足",IF(J23/N23&lt;O23+3,"中リスク","低リスク"))))</f>
      </c>
    </row>
    <row r="24" ht="19" customHeight="true">
      <c r="A24" s="330" t="str">
        <f>IF(F24="","","RL-"&amp;TEXT(ROW()-3,"0000"))</f>
      </c>
      <c r="B24" s="365"/>
      <c r="C24" s="331"/>
      <c r="D24" s="331"/>
      <c r="E24" s="331"/>
      <c r="F24" s="331"/>
      <c r="G24" s="331" t="str">
        <f>IF(F24="","",IFERROR(VLOOKUP(F24,'商品カタログ'!$A:$O,2,FALSE),""))</f>
      </c>
      <c r="H24" s="331" t="str">
        <f>IF(F24="","",IFERROR(VLOOKUP(F24,'商品カタログ'!$A:$O,3,FALSE),""))</f>
      </c>
      <c r="I24" s="331" t="str">
        <f>IF(F24="","",IFERROR(VLOOKUP(F24,'商品カタログ'!$A:$O,7,FALSE),""))</f>
      </c>
      <c r="J24" s="371"/>
      <c r="K24" s="371" t="str">
        <f>IF(F24="","",IFERROR(VLOOKUP(F24,'商品カタログ'!$A:$O,11,FALSE),""))</f>
      </c>
      <c r="L24" s="371" t="str">
        <f>IF(F24="","",IFERROR(VLOOKUP(F24,'商品カタログ'!$A:$O,12,FALSE),""))</f>
      </c>
      <c r="M24" s="371" t="str">
        <f>IF(F24="","",IFERROR(VLOOKUP(F24,'商品カタログ'!$A:$O,13,FALSE),""))</f>
      </c>
      <c r="N24" s="371"/>
      <c r="O24" s="371" t="str">
        <f>IF(F24="","",IFERROR(VLOOKUP(F24,'商品カタログ'!$A:$O,10,FALSE),""))</f>
      </c>
      <c r="P24" s="371" t="str">
        <f>IF(F24="","",IF(OR(J24&lt;=L24,J24-N24*O24&lt;=K24),MAX(IFERROR(VLOOKUP(F24,'商品カタログ'!$A:$O,8,FALSE),0),IFERROR(CEILING(MAX(0,M24-J24),MAX(1,VLOOKUP(F24,'商品カタログ'!$A:$O,9,FALSE))),MAX(0,M24-J24))),0))</f>
      </c>
      <c r="Q24" s="371"/>
      <c r="R24" s="331" t="str">
        <f>IF(F24="","",IFERROR(VLOOKUP(F24,'商品カタログ'!$A:$O,6,FALSE),""))</f>
      </c>
      <c r="S24" s="377" t="str">
        <f>IF(F24="","",IFERROR(VLOOKUP(F24,'商品カタログ'!$A:$O,14,FALSE),""))</f>
      </c>
      <c r="T24" s="377" t="str">
        <f>IF(F24="","",IFERROR(Q24*S24,0))</f>
      </c>
      <c r="U24" s="331"/>
      <c r="V24" s="331"/>
      <c r="W24" s="365" t="str">
        <f>IF(OR(B24="",O24=""),"",B24+O24)</f>
      </c>
      <c r="X24" s="365"/>
      <c r="Y24" s="371"/>
      <c r="Z24" s="371" t="str">
        <f>IF(F24="","",IF(V24="入荷済み",Y24-Q24,IF(V24="一部入荷",Y24-Q24,"")))</f>
      </c>
      <c r="AA24" s="331"/>
      <c r="AB24" s="331"/>
      <c r="AC24" s="331" t="str">
        <f>IF(F24="","",IF(V24="キャンセル済み","キャンセル済み",IF(AND(V24="入荷済み",Y24&gt;=Q24),"通常",IF(AND(W24&lt;TODAY(),W24&lt;&gt;"",V24&lt;&gt;"入荷済み"),"入荷遅延",IF(J24&lt;=K24,"セキュリティ在庫割れ",IF(J24&lt;=L24,"発注点到達",IF(Q24&lt;P24,"申請数が推奨数未満","通常")))))))</f>
      </c>
      <c r="AD24" s="332" t="str">
        <f>IF(F24="","",IF(N24=0,"不明",IF(J24/N24&lt;O24,"高リスク：リードタイム不足",IF(J24/N24&lt;O24+3,"中リスク","低リスク"))))</f>
      </c>
    </row>
    <row r="25" ht="19" customHeight="true">
      <c r="A25" s="330" t="str">
        <f>IF(F25="","","RL-"&amp;TEXT(ROW()-3,"0000"))</f>
      </c>
      <c r="B25" s="365"/>
      <c r="C25" s="331"/>
      <c r="D25" s="331"/>
      <c r="E25" s="331"/>
      <c r="F25" s="331"/>
      <c r="G25" s="331" t="str">
        <f>IF(F25="","",IFERROR(VLOOKUP(F25,'商品カタログ'!$A:$O,2,FALSE),""))</f>
      </c>
      <c r="H25" s="331" t="str">
        <f>IF(F25="","",IFERROR(VLOOKUP(F25,'商品カタログ'!$A:$O,3,FALSE),""))</f>
      </c>
      <c r="I25" s="331" t="str">
        <f>IF(F25="","",IFERROR(VLOOKUP(F25,'商品カタログ'!$A:$O,7,FALSE),""))</f>
      </c>
      <c r="J25" s="371"/>
      <c r="K25" s="371" t="str">
        <f>IF(F25="","",IFERROR(VLOOKUP(F25,'商品カタログ'!$A:$O,11,FALSE),""))</f>
      </c>
      <c r="L25" s="371" t="str">
        <f>IF(F25="","",IFERROR(VLOOKUP(F25,'商品カタログ'!$A:$O,12,FALSE),""))</f>
      </c>
      <c r="M25" s="371" t="str">
        <f>IF(F25="","",IFERROR(VLOOKUP(F25,'商品カタログ'!$A:$O,13,FALSE),""))</f>
      </c>
      <c r="N25" s="371"/>
      <c r="O25" s="371" t="str">
        <f>IF(F25="","",IFERROR(VLOOKUP(F25,'商品カタログ'!$A:$O,10,FALSE),""))</f>
      </c>
      <c r="P25" s="371" t="str">
        <f>IF(F25="","",IF(OR(J25&lt;=L25,J25-N25*O25&lt;=K25),MAX(IFERROR(VLOOKUP(F25,'商品カタログ'!$A:$O,8,FALSE),0),IFERROR(CEILING(MAX(0,M25-J25),MAX(1,VLOOKUP(F25,'商品カタログ'!$A:$O,9,FALSE))),MAX(0,M25-J25))),0))</f>
      </c>
      <c r="Q25" s="371"/>
      <c r="R25" s="331" t="str">
        <f>IF(F25="","",IFERROR(VLOOKUP(F25,'商品カタログ'!$A:$O,6,FALSE),""))</f>
      </c>
      <c r="S25" s="377" t="str">
        <f>IF(F25="","",IFERROR(VLOOKUP(F25,'商品カタログ'!$A:$O,14,FALSE),""))</f>
      </c>
      <c r="T25" s="377" t="str">
        <f>IF(F25="","",IFERROR(Q25*S25,0))</f>
      </c>
      <c r="U25" s="331"/>
      <c r="V25" s="331"/>
      <c r="W25" s="365" t="str">
        <f>IF(OR(B25="",O25=""),"",B25+O25)</f>
      </c>
      <c r="X25" s="365"/>
      <c r="Y25" s="371"/>
      <c r="Z25" s="371" t="str">
        <f>IF(F25="","",IF(V25="入荷済み",Y25-Q25,IF(V25="一部入荷",Y25-Q25,"")))</f>
      </c>
      <c r="AA25" s="331"/>
      <c r="AB25" s="331"/>
      <c r="AC25" s="331" t="str">
        <f>IF(F25="","",IF(V25="キャンセル済み","キャンセル済み",IF(AND(V25="入荷済み",Y25&gt;=Q25),"通常",IF(AND(W25&lt;TODAY(),W25&lt;&gt;"",V25&lt;&gt;"入荷済み"),"入荷遅延",IF(J25&lt;=K25,"セキュリティ在庫割れ",IF(J25&lt;=L25,"発注点到達",IF(Q25&lt;P25,"申請数が推奨数未満","通常")))))))</f>
      </c>
      <c r="AD25" s="332" t="str">
        <f>IF(F25="","",IF(N25=0,"不明",IF(J25/N25&lt;O25,"高リスク：リードタイム不足",IF(J25/N25&lt;O25+3,"中リスク","低リスク"))))</f>
      </c>
    </row>
    <row r="26" ht="19" customHeight="true">
      <c r="A26" s="330" t="str">
        <f>IF(F26="","","RL-"&amp;TEXT(ROW()-3,"0000"))</f>
      </c>
      <c r="B26" s="365"/>
      <c r="C26" s="331"/>
      <c r="D26" s="331"/>
      <c r="E26" s="331"/>
      <c r="F26" s="331"/>
      <c r="G26" s="331" t="str">
        <f>IF(F26="","",IFERROR(VLOOKUP(F26,'商品カタログ'!$A:$O,2,FALSE),""))</f>
      </c>
      <c r="H26" s="331" t="str">
        <f>IF(F26="","",IFERROR(VLOOKUP(F26,'商品カタログ'!$A:$O,3,FALSE),""))</f>
      </c>
      <c r="I26" s="331" t="str">
        <f>IF(F26="","",IFERROR(VLOOKUP(F26,'商品カタログ'!$A:$O,7,FALSE),""))</f>
      </c>
      <c r="J26" s="371"/>
      <c r="K26" s="371" t="str">
        <f>IF(F26="","",IFERROR(VLOOKUP(F26,'商品カタログ'!$A:$O,11,FALSE),""))</f>
      </c>
      <c r="L26" s="371" t="str">
        <f>IF(F26="","",IFERROR(VLOOKUP(F26,'商品カタログ'!$A:$O,12,FALSE),""))</f>
      </c>
      <c r="M26" s="371" t="str">
        <f>IF(F26="","",IFERROR(VLOOKUP(F26,'商品カタログ'!$A:$O,13,FALSE),""))</f>
      </c>
      <c r="N26" s="371"/>
      <c r="O26" s="371" t="str">
        <f>IF(F26="","",IFERROR(VLOOKUP(F26,'商品カタログ'!$A:$O,10,FALSE),""))</f>
      </c>
      <c r="P26" s="371" t="str">
        <f>IF(F26="","",IF(OR(J26&lt;=L26,J26-N26*O26&lt;=K26),MAX(IFERROR(VLOOKUP(F26,'商品カタログ'!$A:$O,8,FALSE),0),IFERROR(CEILING(MAX(0,M26-J26),MAX(1,VLOOKUP(F26,'商品カタログ'!$A:$O,9,FALSE))),MAX(0,M26-J26))),0))</f>
      </c>
      <c r="Q26" s="371"/>
      <c r="R26" s="331" t="str">
        <f>IF(F26="","",IFERROR(VLOOKUP(F26,'商品カタログ'!$A:$O,6,FALSE),""))</f>
      </c>
      <c r="S26" s="377" t="str">
        <f>IF(F26="","",IFERROR(VLOOKUP(F26,'商品カタログ'!$A:$O,14,FALSE),""))</f>
      </c>
      <c r="T26" s="377" t="str">
        <f>IF(F26="","",IFERROR(Q26*S26,0))</f>
      </c>
      <c r="U26" s="331"/>
      <c r="V26" s="331"/>
      <c r="W26" s="365" t="str">
        <f>IF(OR(B26="",O26=""),"",B26+O26)</f>
      </c>
      <c r="X26" s="365"/>
      <c r="Y26" s="371"/>
      <c r="Z26" s="371" t="str">
        <f>IF(F26="","",IF(V26="入荷済み",Y26-Q26,IF(V26="一部入荷",Y26-Q26,"")))</f>
      </c>
      <c r="AA26" s="331"/>
      <c r="AB26" s="331"/>
      <c r="AC26" s="331" t="str">
        <f>IF(F26="","",IF(V26="キャンセル済み","キャンセル済み",IF(AND(V26="入荷済み",Y26&gt;=Q26),"通常",IF(AND(W26&lt;TODAY(),W26&lt;&gt;"",V26&lt;&gt;"入荷済み"),"入荷遅延",IF(J26&lt;=K26,"セキュリティ在庫割れ",IF(J26&lt;=L26,"発注点到達",IF(Q26&lt;P26,"申請数が推奨数未満","通常")))))))</f>
      </c>
      <c r="AD26" s="332" t="str">
        <f>IF(F26="","",IF(N26=0,"不明",IF(J26/N26&lt;O26,"高リスク：リードタイム不足",IF(J26/N26&lt;O26+3,"中リスク","低リスク"))))</f>
      </c>
    </row>
    <row r="27" ht="19" customHeight="true">
      <c r="A27" s="330" t="str">
        <f>IF(F27="","","RL-"&amp;TEXT(ROW()-3,"0000"))</f>
      </c>
      <c r="B27" s="365"/>
      <c r="C27" s="331"/>
      <c r="D27" s="331"/>
      <c r="E27" s="331"/>
      <c r="F27" s="331"/>
      <c r="G27" s="331" t="str">
        <f>IF(F27="","",IFERROR(VLOOKUP(F27,'商品カタログ'!$A:$O,2,FALSE),""))</f>
      </c>
      <c r="H27" s="331" t="str">
        <f>IF(F27="","",IFERROR(VLOOKUP(F27,'商品カタログ'!$A:$O,3,FALSE),""))</f>
      </c>
      <c r="I27" s="331" t="str">
        <f>IF(F27="","",IFERROR(VLOOKUP(F27,'商品カタログ'!$A:$O,7,FALSE),""))</f>
      </c>
      <c r="J27" s="371"/>
      <c r="K27" s="371" t="str">
        <f>IF(F27="","",IFERROR(VLOOKUP(F27,'商品カタログ'!$A:$O,11,FALSE),""))</f>
      </c>
      <c r="L27" s="371" t="str">
        <f>IF(F27="","",IFERROR(VLOOKUP(F27,'商品カタログ'!$A:$O,12,FALSE),""))</f>
      </c>
      <c r="M27" s="371" t="str">
        <f>IF(F27="","",IFERROR(VLOOKUP(F27,'商品カタログ'!$A:$O,13,FALSE),""))</f>
      </c>
      <c r="N27" s="371"/>
      <c r="O27" s="371" t="str">
        <f>IF(F27="","",IFERROR(VLOOKUP(F27,'商品カタログ'!$A:$O,10,FALSE),""))</f>
      </c>
      <c r="P27" s="371" t="str">
        <f>IF(F27="","",IF(OR(J27&lt;=L27,J27-N27*O27&lt;=K27),MAX(IFERROR(VLOOKUP(F27,'商品カタログ'!$A:$O,8,FALSE),0),IFERROR(CEILING(MAX(0,M27-J27),MAX(1,VLOOKUP(F27,'商品カタログ'!$A:$O,9,FALSE))),MAX(0,M27-J27))),0))</f>
      </c>
      <c r="Q27" s="371"/>
      <c r="R27" s="331" t="str">
        <f>IF(F27="","",IFERROR(VLOOKUP(F27,'商品カタログ'!$A:$O,6,FALSE),""))</f>
      </c>
      <c r="S27" s="377" t="str">
        <f>IF(F27="","",IFERROR(VLOOKUP(F27,'商品カタログ'!$A:$O,14,FALSE),""))</f>
      </c>
      <c r="T27" s="377" t="str">
        <f>IF(F27="","",IFERROR(Q27*S27,0))</f>
      </c>
      <c r="U27" s="331"/>
      <c r="V27" s="331"/>
      <c r="W27" s="365" t="str">
        <f>IF(OR(B27="",O27=""),"",B27+O27)</f>
      </c>
      <c r="X27" s="365"/>
      <c r="Y27" s="371"/>
      <c r="Z27" s="371" t="str">
        <f>IF(F27="","",IF(V27="入荷済み",Y27-Q27,IF(V27="一部入荷",Y27-Q27,"")))</f>
      </c>
      <c r="AA27" s="331"/>
      <c r="AB27" s="331"/>
      <c r="AC27" s="331" t="str">
        <f>IF(F27="","",IF(V27="キャンセル済み","キャンセル済み",IF(AND(V27="入荷済み",Y27&gt;=Q27),"通常",IF(AND(W27&lt;TODAY(),W27&lt;&gt;"",V27&lt;&gt;"入荷済み"),"入荷遅延",IF(J27&lt;=K27,"セキュリティ在庫割れ",IF(J27&lt;=L27,"発注点到達",IF(Q27&lt;P27,"申請数が推奨数未満","通常")))))))</f>
      </c>
      <c r="AD27" s="332" t="str">
        <f>IF(F27="","",IF(N27=0,"不明",IF(J27/N27&lt;O27,"高リスク：リードタイム不足",IF(J27/N27&lt;O27+3,"中リスク","低リスク"))))</f>
      </c>
    </row>
    <row r="28" ht="19" customHeight="true">
      <c r="A28" s="330" t="str">
        <f>IF(F28="","","RL-"&amp;TEXT(ROW()-3,"0000"))</f>
      </c>
      <c r="B28" s="365"/>
      <c r="C28" s="331"/>
      <c r="D28" s="331"/>
      <c r="E28" s="331"/>
      <c r="F28" s="331"/>
      <c r="G28" s="331" t="str">
        <f>IF(F28="","",IFERROR(VLOOKUP(F28,'商品カタログ'!$A:$O,2,FALSE),""))</f>
      </c>
      <c r="H28" s="331" t="str">
        <f>IF(F28="","",IFERROR(VLOOKUP(F28,'商品カタログ'!$A:$O,3,FALSE),""))</f>
      </c>
      <c r="I28" s="331" t="str">
        <f>IF(F28="","",IFERROR(VLOOKUP(F28,'商品カタログ'!$A:$O,7,FALSE),""))</f>
      </c>
      <c r="J28" s="371"/>
      <c r="K28" s="371" t="str">
        <f>IF(F28="","",IFERROR(VLOOKUP(F28,'商品カタログ'!$A:$O,11,FALSE),""))</f>
      </c>
      <c r="L28" s="371" t="str">
        <f>IF(F28="","",IFERROR(VLOOKUP(F28,'商品カタログ'!$A:$O,12,FALSE),""))</f>
      </c>
      <c r="M28" s="371" t="str">
        <f>IF(F28="","",IFERROR(VLOOKUP(F28,'商品カタログ'!$A:$O,13,FALSE),""))</f>
      </c>
      <c r="N28" s="371"/>
      <c r="O28" s="371" t="str">
        <f>IF(F28="","",IFERROR(VLOOKUP(F28,'商品カタログ'!$A:$O,10,FALSE),""))</f>
      </c>
      <c r="P28" s="371" t="str">
        <f>IF(F28="","",IF(OR(J28&lt;=L28,J28-N28*O28&lt;=K28),MAX(IFERROR(VLOOKUP(F28,'商品カタログ'!$A:$O,8,FALSE),0),IFERROR(CEILING(MAX(0,M28-J28),MAX(1,VLOOKUP(F28,'商品カタログ'!$A:$O,9,FALSE))),MAX(0,M28-J28))),0))</f>
      </c>
      <c r="Q28" s="371"/>
      <c r="R28" s="331" t="str">
        <f>IF(F28="","",IFERROR(VLOOKUP(F28,'商品カタログ'!$A:$O,6,FALSE),""))</f>
      </c>
      <c r="S28" s="377" t="str">
        <f>IF(F28="","",IFERROR(VLOOKUP(F28,'商品カタログ'!$A:$O,14,FALSE),""))</f>
      </c>
      <c r="T28" s="377" t="str">
        <f>IF(F28="","",IFERROR(Q28*S28,0))</f>
      </c>
      <c r="U28" s="331"/>
      <c r="V28" s="331"/>
      <c r="W28" s="365" t="str">
        <f>IF(OR(B28="",O28=""),"",B28+O28)</f>
      </c>
      <c r="X28" s="365"/>
      <c r="Y28" s="371"/>
      <c r="Z28" s="371" t="str">
        <f>IF(F28="","",IF(V28="入荷済み",Y28-Q28,IF(V28="一部入荷",Y28-Q28,"")))</f>
      </c>
      <c r="AA28" s="331"/>
      <c r="AB28" s="331"/>
      <c r="AC28" s="331" t="str">
        <f>IF(F28="","",IF(V28="キャンセル済み","キャンセル済み",IF(AND(V28="入荷済み",Y28&gt;=Q28),"通常",IF(AND(W28&lt;TODAY(),W28&lt;&gt;"",V28&lt;&gt;"入荷済み"),"入荷遅延",IF(J28&lt;=K28,"セキュリティ在庫割れ",IF(J28&lt;=L28,"発注点到達",IF(Q28&lt;P28,"申請数が推奨数未満","通常")))))))</f>
      </c>
      <c r="AD28" s="332" t="str">
        <f>IF(F28="","",IF(N28=0,"不明",IF(J28/N28&lt;O28,"高リスク：リードタイム不足",IF(J28/N28&lt;O28+3,"中リスク","低リスク"))))</f>
      </c>
    </row>
    <row r="29" ht="19" customHeight="true">
      <c r="A29" s="330" t="str">
        <f>IF(F29="","","RL-"&amp;TEXT(ROW()-3,"0000"))</f>
      </c>
      <c r="B29" s="365"/>
      <c r="C29" s="331"/>
      <c r="D29" s="331"/>
      <c r="E29" s="331"/>
      <c r="F29" s="331"/>
      <c r="G29" s="331" t="str">
        <f>IF(F29="","",IFERROR(VLOOKUP(F29,'商品カタログ'!$A:$O,2,FALSE),""))</f>
      </c>
      <c r="H29" s="331" t="str">
        <f>IF(F29="","",IFERROR(VLOOKUP(F29,'商品カタログ'!$A:$O,3,FALSE),""))</f>
      </c>
      <c r="I29" s="331" t="str">
        <f>IF(F29="","",IFERROR(VLOOKUP(F29,'商品カタログ'!$A:$O,7,FALSE),""))</f>
      </c>
      <c r="J29" s="371"/>
      <c r="K29" s="371" t="str">
        <f>IF(F29="","",IFERROR(VLOOKUP(F29,'商品カタログ'!$A:$O,11,FALSE),""))</f>
      </c>
      <c r="L29" s="371" t="str">
        <f>IF(F29="","",IFERROR(VLOOKUP(F29,'商品カタログ'!$A:$O,12,FALSE),""))</f>
      </c>
      <c r="M29" s="371" t="str">
        <f>IF(F29="","",IFERROR(VLOOKUP(F29,'商品カタログ'!$A:$O,13,FALSE),""))</f>
      </c>
      <c r="N29" s="371"/>
      <c r="O29" s="371" t="str">
        <f>IF(F29="","",IFERROR(VLOOKUP(F29,'商品カタログ'!$A:$O,10,FALSE),""))</f>
      </c>
      <c r="P29" s="371" t="str">
        <f>IF(F29="","",IF(OR(J29&lt;=L29,J29-N29*O29&lt;=K29),MAX(IFERROR(VLOOKUP(F29,'商品カタログ'!$A:$O,8,FALSE),0),IFERROR(CEILING(MAX(0,M29-J29),MAX(1,VLOOKUP(F29,'商品カタログ'!$A:$O,9,FALSE))),MAX(0,M29-J29))),0))</f>
      </c>
      <c r="Q29" s="371"/>
      <c r="R29" s="331" t="str">
        <f>IF(F29="","",IFERROR(VLOOKUP(F29,'商品カタログ'!$A:$O,6,FALSE),""))</f>
      </c>
      <c r="S29" s="377" t="str">
        <f>IF(F29="","",IFERROR(VLOOKUP(F29,'商品カタログ'!$A:$O,14,FALSE),""))</f>
      </c>
      <c r="T29" s="377" t="str">
        <f>IF(F29="","",IFERROR(Q29*S29,0))</f>
      </c>
      <c r="U29" s="331"/>
      <c r="V29" s="331"/>
      <c r="W29" s="365" t="str">
        <f>IF(OR(B29="",O29=""),"",B29+O29)</f>
      </c>
      <c r="X29" s="365"/>
      <c r="Y29" s="371"/>
      <c r="Z29" s="371" t="str">
        <f>IF(F29="","",IF(V29="入荷済み",Y29-Q29,IF(V29="一部入荷",Y29-Q29,"")))</f>
      </c>
      <c r="AA29" s="331"/>
      <c r="AB29" s="331"/>
      <c r="AC29" s="331" t="str">
        <f>IF(F29="","",IF(V29="キャンセル済み","キャンセル済み",IF(AND(V29="入荷済み",Y29&gt;=Q29),"通常",IF(AND(W29&lt;TODAY(),W29&lt;&gt;"",V29&lt;&gt;"入荷済み"),"入荷遅延",IF(J29&lt;=K29,"セキュリティ在庫割れ",IF(J29&lt;=L29,"発注点到達",IF(Q29&lt;P29,"申請数が推奨数未満","通常")))))))</f>
      </c>
      <c r="AD29" s="332" t="str">
        <f>IF(F29="","",IF(N29=0,"不明",IF(J29/N29&lt;O29,"高リスク：リードタイム不足",IF(J29/N29&lt;O29+3,"中リスク","低リスク"))))</f>
      </c>
    </row>
    <row r="30" ht="19" customHeight="true">
      <c r="A30" s="330" t="str">
        <f>IF(F30="","","RL-"&amp;TEXT(ROW()-3,"0000"))</f>
      </c>
      <c r="B30" s="365"/>
      <c r="C30" s="331"/>
      <c r="D30" s="331"/>
      <c r="E30" s="331"/>
      <c r="F30" s="331"/>
      <c r="G30" s="331" t="str">
        <f>IF(F30="","",IFERROR(VLOOKUP(F30,'商品カタログ'!$A:$O,2,FALSE),""))</f>
      </c>
      <c r="H30" s="331" t="str">
        <f>IF(F30="","",IFERROR(VLOOKUP(F30,'商品カタログ'!$A:$O,3,FALSE),""))</f>
      </c>
      <c r="I30" s="331" t="str">
        <f>IF(F30="","",IFERROR(VLOOKUP(F30,'商品カタログ'!$A:$O,7,FALSE),""))</f>
      </c>
      <c r="J30" s="371"/>
      <c r="K30" s="371" t="str">
        <f>IF(F30="","",IFERROR(VLOOKUP(F30,'商品カタログ'!$A:$O,11,FALSE),""))</f>
      </c>
      <c r="L30" s="371" t="str">
        <f>IF(F30="","",IFERROR(VLOOKUP(F30,'商品カタログ'!$A:$O,12,FALSE),""))</f>
      </c>
      <c r="M30" s="371" t="str">
        <f>IF(F30="","",IFERROR(VLOOKUP(F30,'商品カタログ'!$A:$O,13,FALSE),""))</f>
      </c>
      <c r="N30" s="371"/>
      <c r="O30" s="371" t="str">
        <f>IF(F30="","",IFERROR(VLOOKUP(F30,'商品カタログ'!$A:$O,10,FALSE),""))</f>
      </c>
      <c r="P30" s="371" t="str">
        <f>IF(F30="","",IF(OR(J30&lt;=L30,J30-N30*O30&lt;=K30),MAX(IFERROR(VLOOKUP(F30,'商品カタログ'!$A:$O,8,FALSE),0),IFERROR(CEILING(MAX(0,M30-J30),MAX(1,VLOOKUP(F30,'商品カタログ'!$A:$O,9,FALSE))),MAX(0,M30-J30))),0))</f>
      </c>
      <c r="Q30" s="371"/>
      <c r="R30" s="331" t="str">
        <f>IF(F30="","",IFERROR(VLOOKUP(F30,'商品カタログ'!$A:$O,6,FALSE),""))</f>
      </c>
      <c r="S30" s="377" t="str">
        <f>IF(F30="","",IFERROR(VLOOKUP(F30,'商品カタログ'!$A:$O,14,FALSE),""))</f>
      </c>
      <c r="T30" s="377" t="str">
        <f>IF(F30="","",IFERROR(Q30*S30,0))</f>
      </c>
      <c r="U30" s="331"/>
      <c r="V30" s="331"/>
      <c r="W30" s="365" t="str">
        <f>IF(OR(B30="",O30=""),"",B30+O30)</f>
      </c>
      <c r="X30" s="365"/>
      <c r="Y30" s="371"/>
      <c r="Z30" s="371" t="str">
        <f>IF(F30="","",IF(V30="入荷済み",Y30-Q30,IF(V30="一部入荷",Y30-Q30,"")))</f>
      </c>
      <c r="AA30" s="331"/>
      <c r="AB30" s="331"/>
      <c r="AC30" s="331" t="str">
        <f>IF(F30="","",IF(V30="キャンセル済み","キャンセル済み",IF(AND(V30="入荷済み",Y30&gt;=Q30),"通常",IF(AND(W30&lt;TODAY(),W30&lt;&gt;"",V30&lt;&gt;"入荷済み"),"入荷遅延",IF(J30&lt;=K30,"セキュリティ在庫割れ",IF(J30&lt;=L30,"発注点到達",IF(Q30&lt;P30,"申請数が推奨数未満","通常")))))))</f>
      </c>
      <c r="AD30" s="332" t="str">
        <f>IF(F30="","",IF(N30=0,"不明",IF(J30/N30&lt;O30,"高リスク：リードタイム不足",IF(J30/N30&lt;O30+3,"中リスク","低リスク"))))</f>
      </c>
    </row>
    <row r="31" ht="19" customHeight="true">
      <c r="A31" s="330" t="str">
        <f>IF(F31="","","RL-"&amp;TEXT(ROW()-3,"0000"))</f>
      </c>
      <c r="B31" s="365"/>
      <c r="C31" s="331"/>
      <c r="D31" s="331"/>
      <c r="E31" s="331"/>
      <c r="F31" s="331"/>
      <c r="G31" s="331" t="str">
        <f>IF(F31="","",IFERROR(VLOOKUP(F31,'商品カタログ'!$A:$O,2,FALSE),""))</f>
      </c>
      <c r="H31" s="331" t="str">
        <f>IF(F31="","",IFERROR(VLOOKUP(F31,'商品カタログ'!$A:$O,3,FALSE),""))</f>
      </c>
      <c r="I31" s="331" t="str">
        <f>IF(F31="","",IFERROR(VLOOKUP(F31,'商品カタログ'!$A:$O,7,FALSE),""))</f>
      </c>
      <c r="J31" s="371"/>
      <c r="K31" s="371" t="str">
        <f>IF(F31="","",IFERROR(VLOOKUP(F31,'商品カタログ'!$A:$O,11,FALSE),""))</f>
      </c>
      <c r="L31" s="371" t="str">
        <f>IF(F31="","",IFERROR(VLOOKUP(F31,'商品カタログ'!$A:$O,12,FALSE),""))</f>
      </c>
      <c r="M31" s="371" t="str">
        <f>IF(F31="","",IFERROR(VLOOKUP(F31,'商品カタログ'!$A:$O,13,FALSE),""))</f>
      </c>
      <c r="N31" s="371"/>
      <c r="O31" s="371" t="str">
        <f>IF(F31="","",IFERROR(VLOOKUP(F31,'商品カタログ'!$A:$O,10,FALSE),""))</f>
      </c>
      <c r="P31" s="371" t="str">
        <f>IF(F31="","",IF(OR(J31&lt;=L31,J31-N31*O31&lt;=K31),MAX(IFERROR(VLOOKUP(F31,'商品カタログ'!$A:$O,8,FALSE),0),IFERROR(CEILING(MAX(0,M31-J31),MAX(1,VLOOKUP(F31,'商品カタログ'!$A:$O,9,FALSE))),MAX(0,M31-J31))),0))</f>
      </c>
      <c r="Q31" s="371"/>
      <c r="R31" s="331" t="str">
        <f>IF(F31="","",IFERROR(VLOOKUP(F31,'商品カタログ'!$A:$O,6,FALSE),""))</f>
      </c>
      <c r="S31" s="377" t="str">
        <f>IF(F31="","",IFERROR(VLOOKUP(F31,'商品カタログ'!$A:$O,14,FALSE),""))</f>
      </c>
      <c r="T31" s="377" t="str">
        <f>IF(F31="","",IFERROR(Q31*S31,0))</f>
      </c>
      <c r="U31" s="331"/>
      <c r="V31" s="331"/>
      <c r="W31" s="365" t="str">
        <f>IF(OR(B31="",O31=""),"",B31+O31)</f>
      </c>
      <c r="X31" s="365"/>
      <c r="Y31" s="371"/>
      <c r="Z31" s="371" t="str">
        <f>IF(F31="","",IF(V31="入荷済み",Y31-Q31,IF(V31="一部入荷",Y31-Q31,"")))</f>
      </c>
      <c r="AA31" s="331"/>
      <c r="AB31" s="331"/>
      <c r="AC31" s="331" t="str">
        <f>IF(F31="","",IF(V31="キャンセル済み","キャンセル済み",IF(AND(V31="入荷済み",Y31&gt;=Q31),"通常",IF(AND(W31&lt;TODAY(),W31&lt;&gt;"",V31&lt;&gt;"入荷済み"),"入荷遅延",IF(J31&lt;=K31,"セキュリティ在庫割れ",IF(J31&lt;=L31,"発注点到達",IF(Q31&lt;P31,"申請数が推奨数未満","通常")))))))</f>
      </c>
      <c r="AD31" s="332" t="str">
        <f>IF(F31="","",IF(N31=0,"不明",IF(J31/N31&lt;O31,"高リスク：リードタイム不足",IF(J31/N31&lt;O31+3,"中リスク","低リスク"))))</f>
      </c>
    </row>
    <row r="32" ht="19" customHeight="true">
      <c r="A32" s="330" t="str">
        <f>IF(F32="","","RL-"&amp;TEXT(ROW()-3,"0000"))</f>
      </c>
      <c r="B32" s="365"/>
      <c r="C32" s="331"/>
      <c r="D32" s="331"/>
      <c r="E32" s="331"/>
      <c r="F32" s="331"/>
      <c r="G32" s="331" t="str">
        <f>IF(F32="","",IFERROR(VLOOKUP(F32,'商品カタログ'!$A:$O,2,FALSE),""))</f>
      </c>
      <c r="H32" s="331" t="str">
        <f>IF(F32="","",IFERROR(VLOOKUP(F32,'商品カタログ'!$A:$O,3,FALSE),""))</f>
      </c>
      <c r="I32" s="331" t="str">
        <f>IF(F32="","",IFERROR(VLOOKUP(F32,'商品カタログ'!$A:$O,7,FALSE),""))</f>
      </c>
      <c r="J32" s="371"/>
      <c r="K32" s="371" t="str">
        <f>IF(F32="","",IFERROR(VLOOKUP(F32,'商品カタログ'!$A:$O,11,FALSE),""))</f>
      </c>
      <c r="L32" s="371" t="str">
        <f>IF(F32="","",IFERROR(VLOOKUP(F32,'商品カタログ'!$A:$O,12,FALSE),""))</f>
      </c>
      <c r="M32" s="371" t="str">
        <f>IF(F32="","",IFERROR(VLOOKUP(F32,'商品カタログ'!$A:$O,13,FALSE),""))</f>
      </c>
      <c r="N32" s="371"/>
      <c r="O32" s="371" t="str">
        <f>IF(F32="","",IFERROR(VLOOKUP(F32,'商品カタログ'!$A:$O,10,FALSE),""))</f>
      </c>
      <c r="P32" s="371" t="str">
        <f>IF(F32="","",IF(OR(J32&lt;=L32,J32-N32*O32&lt;=K32),MAX(IFERROR(VLOOKUP(F32,'商品カタログ'!$A:$O,8,FALSE),0),IFERROR(CEILING(MAX(0,M32-J32),MAX(1,VLOOKUP(F32,'商品カタログ'!$A:$O,9,FALSE))),MAX(0,M32-J32))),0))</f>
      </c>
      <c r="Q32" s="371"/>
      <c r="R32" s="331" t="str">
        <f>IF(F32="","",IFERROR(VLOOKUP(F32,'商品カタログ'!$A:$O,6,FALSE),""))</f>
      </c>
      <c r="S32" s="377" t="str">
        <f>IF(F32="","",IFERROR(VLOOKUP(F32,'商品カタログ'!$A:$O,14,FALSE),""))</f>
      </c>
      <c r="T32" s="377" t="str">
        <f>IF(F32="","",IFERROR(Q32*S32,0))</f>
      </c>
      <c r="U32" s="331"/>
      <c r="V32" s="331"/>
      <c r="W32" s="365" t="str">
        <f>IF(OR(B32="",O32=""),"",B32+O32)</f>
      </c>
      <c r="X32" s="365"/>
      <c r="Y32" s="371"/>
      <c r="Z32" s="371" t="str">
        <f>IF(F32="","",IF(V32="入荷済み",Y32-Q32,IF(V32="一部入荷",Y32-Q32,"")))</f>
      </c>
      <c r="AA32" s="331"/>
      <c r="AB32" s="331"/>
      <c r="AC32" s="331" t="str">
        <f>IF(F32="","",IF(V32="キャンセル済み","キャンセル済み",IF(AND(V32="入荷済み",Y32&gt;=Q32),"通常",IF(AND(W32&lt;TODAY(),W32&lt;&gt;"",V32&lt;&gt;"入荷済み"),"入荷遅延",IF(J32&lt;=K32,"セキュリティ在庫割れ",IF(J32&lt;=L32,"発注点到達",IF(Q32&lt;P32,"申請数が推奨数未満","通常")))))))</f>
      </c>
      <c r="AD32" s="332" t="str">
        <f>IF(F32="","",IF(N32=0,"不明",IF(J32/N32&lt;O32,"高リスク：リードタイム不足",IF(J32/N32&lt;O32+3,"中リスク","低リスク"))))</f>
      </c>
    </row>
    <row r="33" ht="19" customHeight="true">
      <c r="A33" s="330" t="str">
        <f>IF(F33="","","RL-"&amp;TEXT(ROW()-3,"0000"))</f>
      </c>
      <c r="B33" s="365"/>
      <c r="C33" s="331"/>
      <c r="D33" s="331"/>
      <c r="E33" s="331"/>
      <c r="F33" s="331"/>
      <c r="G33" s="331" t="str">
        <f>IF(F33="","",IFERROR(VLOOKUP(F33,'商品カタログ'!$A:$O,2,FALSE),""))</f>
      </c>
      <c r="H33" s="331" t="str">
        <f>IF(F33="","",IFERROR(VLOOKUP(F33,'商品カタログ'!$A:$O,3,FALSE),""))</f>
      </c>
      <c r="I33" s="331" t="str">
        <f>IF(F33="","",IFERROR(VLOOKUP(F33,'商品カタログ'!$A:$O,7,FALSE),""))</f>
      </c>
      <c r="J33" s="371"/>
      <c r="K33" s="371" t="str">
        <f>IF(F33="","",IFERROR(VLOOKUP(F33,'商品カタログ'!$A:$O,11,FALSE),""))</f>
      </c>
      <c r="L33" s="371" t="str">
        <f>IF(F33="","",IFERROR(VLOOKUP(F33,'商品カタログ'!$A:$O,12,FALSE),""))</f>
      </c>
      <c r="M33" s="371" t="str">
        <f>IF(F33="","",IFERROR(VLOOKUP(F33,'商品カタログ'!$A:$O,13,FALSE),""))</f>
      </c>
      <c r="N33" s="371"/>
      <c r="O33" s="371" t="str">
        <f>IF(F33="","",IFERROR(VLOOKUP(F33,'商品カタログ'!$A:$O,10,FALSE),""))</f>
      </c>
      <c r="P33" s="371" t="str">
        <f>IF(F33="","",IF(OR(J33&lt;=L33,J33-N33*O33&lt;=K33),MAX(IFERROR(VLOOKUP(F33,'商品カタログ'!$A:$O,8,FALSE),0),IFERROR(CEILING(MAX(0,M33-J33),MAX(1,VLOOKUP(F33,'商品カタログ'!$A:$O,9,FALSE))),MAX(0,M33-J33))),0))</f>
      </c>
      <c r="Q33" s="371"/>
      <c r="R33" s="331" t="str">
        <f>IF(F33="","",IFERROR(VLOOKUP(F33,'商品カタログ'!$A:$O,6,FALSE),""))</f>
      </c>
      <c r="S33" s="377" t="str">
        <f>IF(F33="","",IFERROR(VLOOKUP(F33,'商品カタログ'!$A:$O,14,FALSE),""))</f>
      </c>
      <c r="T33" s="377" t="str">
        <f>IF(F33="","",IFERROR(Q33*S33,0))</f>
      </c>
      <c r="U33" s="331"/>
      <c r="V33" s="331"/>
      <c r="W33" s="365" t="str">
        <f>IF(OR(B33="",O33=""),"",B33+O33)</f>
      </c>
      <c r="X33" s="365"/>
      <c r="Y33" s="371"/>
      <c r="Z33" s="371" t="str">
        <f>IF(F33="","",IF(V33="入荷済み",Y33-Q33,IF(V33="一部入荷",Y33-Q33,"")))</f>
      </c>
      <c r="AA33" s="331"/>
      <c r="AB33" s="331"/>
      <c r="AC33" s="331" t="str">
        <f>IF(F33="","",IF(V33="キャンセル済み","キャンセル済み",IF(AND(V33="入荷済み",Y33&gt;=Q33),"通常",IF(AND(W33&lt;TODAY(),W33&lt;&gt;"",V33&lt;&gt;"入荷済み"),"入荷遅延",IF(J33&lt;=K33,"セキュリティ在庫割れ",IF(J33&lt;=L33,"発注点到達",IF(Q33&lt;P33,"申請数が推奨数未満","通常")))))))</f>
      </c>
      <c r="AD33" s="332" t="str">
        <f>IF(F33="","",IF(N33=0,"不明",IF(J33/N33&lt;O33,"高リスク：リードタイム不足",IF(J33/N33&lt;O33+3,"中リスク","低リスク"))))</f>
      </c>
    </row>
    <row r="34" ht="19" customHeight="true">
      <c r="A34" s="330" t="str">
        <f>IF(F34="","","RL-"&amp;TEXT(ROW()-3,"0000"))</f>
      </c>
      <c r="B34" s="365"/>
      <c r="C34" s="331"/>
      <c r="D34" s="331"/>
      <c r="E34" s="331"/>
      <c r="F34" s="331"/>
      <c r="G34" s="331" t="str">
        <f>IF(F34="","",IFERROR(VLOOKUP(F34,'商品カタログ'!$A:$O,2,FALSE),""))</f>
      </c>
      <c r="H34" s="331" t="str">
        <f>IF(F34="","",IFERROR(VLOOKUP(F34,'商品カタログ'!$A:$O,3,FALSE),""))</f>
      </c>
      <c r="I34" s="331" t="str">
        <f>IF(F34="","",IFERROR(VLOOKUP(F34,'商品カタログ'!$A:$O,7,FALSE),""))</f>
      </c>
      <c r="J34" s="371"/>
      <c r="K34" s="371" t="str">
        <f>IF(F34="","",IFERROR(VLOOKUP(F34,'商品カタログ'!$A:$O,11,FALSE),""))</f>
      </c>
      <c r="L34" s="371" t="str">
        <f>IF(F34="","",IFERROR(VLOOKUP(F34,'商品カタログ'!$A:$O,12,FALSE),""))</f>
      </c>
      <c r="M34" s="371" t="str">
        <f>IF(F34="","",IFERROR(VLOOKUP(F34,'商品カタログ'!$A:$O,13,FALSE),""))</f>
      </c>
      <c r="N34" s="371"/>
      <c r="O34" s="371" t="str">
        <f>IF(F34="","",IFERROR(VLOOKUP(F34,'商品カタログ'!$A:$O,10,FALSE),""))</f>
      </c>
      <c r="P34" s="371" t="str">
        <f>IF(F34="","",IF(OR(J34&lt;=L34,J34-N34*O34&lt;=K34),MAX(IFERROR(VLOOKUP(F34,'商品カタログ'!$A:$O,8,FALSE),0),IFERROR(CEILING(MAX(0,M34-J34),MAX(1,VLOOKUP(F34,'商品カタログ'!$A:$O,9,FALSE))),MAX(0,M34-J34))),0))</f>
      </c>
      <c r="Q34" s="371"/>
      <c r="R34" s="331" t="str">
        <f>IF(F34="","",IFERROR(VLOOKUP(F34,'商品カタログ'!$A:$O,6,FALSE),""))</f>
      </c>
      <c r="S34" s="377" t="str">
        <f>IF(F34="","",IFERROR(VLOOKUP(F34,'商品カタログ'!$A:$O,14,FALSE),""))</f>
      </c>
      <c r="T34" s="377" t="str">
        <f>IF(F34="","",IFERROR(Q34*S34,0))</f>
      </c>
      <c r="U34" s="331"/>
      <c r="V34" s="331"/>
      <c r="W34" s="365" t="str">
        <f>IF(OR(B34="",O34=""),"",B34+O34)</f>
      </c>
      <c r="X34" s="365"/>
      <c r="Y34" s="371"/>
      <c r="Z34" s="371" t="str">
        <f>IF(F34="","",IF(V34="入荷済み",Y34-Q34,IF(V34="一部入荷",Y34-Q34,"")))</f>
      </c>
      <c r="AA34" s="331"/>
      <c r="AB34" s="331"/>
      <c r="AC34" s="331" t="str">
        <f>IF(F34="","",IF(V34="キャンセル済み","キャンセル済み",IF(AND(V34="入荷済み",Y34&gt;=Q34),"通常",IF(AND(W34&lt;TODAY(),W34&lt;&gt;"",V34&lt;&gt;"入荷済み"),"入荷遅延",IF(J34&lt;=K34,"セキュリティ在庫割れ",IF(J34&lt;=L34,"発注点到達",IF(Q34&lt;P34,"申請数が推奨数未満","通常")))))))</f>
      </c>
      <c r="AD34" s="332" t="str">
        <f>IF(F34="","",IF(N34=0,"不明",IF(J34/N34&lt;O34,"高リスク：リードタイム不足",IF(J34/N34&lt;O34+3,"中リスク","低リスク"))))</f>
      </c>
    </row>
    <row r="35" ht="19" customHeight="true">
      <c r="A35" s="330" t="str">
        <f>IF(F35="","","RL-"&amp;TEXT(ROW()-3,"0000"))</f>
      </c>
      <c r="B35" s="365"/>
      <c r="C35" s="331"/>
      <c r="D35" s="331"/>
      <c r="E35" s="331"/>
      <c r="F35" s="331"/>
      <c r="G35" s="331" t="str">
        <f>IF(F35="","",IFERROR(VLOOKUP(F35,'商品カタログ'!$A:$O,2,FALSE),""))</f>
      </c>
      <c r="H35" s="331" t="str">
        <f>IF(F35="","",IFERROR(VLOOKUP(F35,'商品カタログ'!$A:$O,3,FALSE),""))</f>
      </c>
      <c r="I35" s="331" t="str">
        <f>IF(F35="","",IFERROR(VLOOKUP(F35,'商品カタログ'!$A:$O,7,FALSE),""))</f>
      </c>
      <c r="J35" s="371"/>
      <c r="K35" s="371" t="str">
        <f>IF(F35="","",IFERROR(VLOOKUP(F35,'商品カタログ'!$A:$O,11,FALSE),""))</f>
      </c>
      <c r="L35" s="371" t="str">
        <f>IF(F35="","",IFERROR(VLOOKUP(F35,'商品カタログ'!$A:$O,12,FALSE),""))</f>
      </c>
      <c r="M35" s="371" t="str">
        <f>IF(F35="","",IFERROR(VLOOKUP(F35,'商品カタログ'!$A:$O,13,FALSE),""))</f>
      </c>
      <c r="N35" s="371"/>
      <c r="O35" s="371" t="str">
        <f>IF(F35="","",IFERROR(VLOOKUP(F35,'商品カタログ'!$A:$O,10,FALSE),""))</f>
      </c>
      <c r="P35" s="371" t="str">
        <f>IF(F35="","",IF(OR(J35&lt;=L35,J35-N35*O35&lt;=K35),MAX(IFERROR(VLOOKUP(F35,'商品カタログ'!$A:$O,8,FALSE),0),IFERROR(CEILING(MAX(0,M35-J35),MAX(1,VLOOKUP(F35,'商品カタログ'!$A:$O,9,FALSE))),MAX(0,M35-J35))),0))</f>
      </c>
      <c r="Q35" s="371"/>
      <c r="R35" s="331" t="str">
        <f>IF(F35="","",IFERROR(VLOOKUP(F35,'商品カタログ'!$A:$O,6,FALSE),""))</f>
      </c>
      <c r="S35" s="377" t="str">
        <f>IF(F35="","",IFERROR(VLOOKUP(F35,'商品カタログ'!$A:$O,14,FALSE),""))</f>
      </c>
      <c r="T35" s="377" t="str">
        <f>IF(F35="","",IFERROR(Q35*S35,0))</f>
      </c>
      <c r="U35" s="331"/>
      <c r="V35" s="331"/>
      <c r="W35" s="365" t="str">
        <f>IF(OR(B35="",O35=""),"",B35+O35)</f>
      </c>
      <c r="X35" s="365"/>
      <c r="Y35" s="371"/>
      <c r="Z35" s="371" t="str">
        <f>IF(F35="","",IF(V35="入荷済み",Y35-Q35,IF(V35="一部入荷",Y35-Q35,"")))</f>
      </c>
      <c r="AA35" s="331"/>
      <c r="AB35" s="331"/>
      <c r="AC35" s="331" t="str">
        <f>IF(F35="","",IF(V35="キャンセル済み","キャンセル済み",IF(AND(V35="入荷済み",Y35&gt;=Q35),"通常",IF(AND(W35&lt;TODAY(),W35&lt;&gt;"",V35&lt;&gt;"入荷済み"),"入荷遅延",IF(J35&lt;=K35,"セキュリティ在庫割れ",IF(J35&lt;=L35,"発注点到達",IF(Q35&lt;P35,"申請数が推奨数未満","通常")))))))</f>
      </c>
      <c r="AD35" s="332" t="str">
        <f>IF(F35="","",IF(N35=0,"不明",IF(J35/N35&lt;O35,"高リスク：リードタイム不足",IF(J35/N35&lt;O35+3,"中リスク","低リスク"))))</f>
      </c>
    </row>
    <row r="36" ht="19" customHeight="true">
      <c r="A36" s="330" t="str">
        <f>IF(F36="","","RL-"&amp;TEXT(ROW()-3,"0000"))</f>
      </c>
      <c r="B36" s="365"/>
      <c r="C36" s="331"/>
      <c r="D36" s="331"/>
      <c r="E36" s="331"/>
      <c r="F36" s="331"/>
      <c r="G36" s="331" t="str">
        <f>IF(F36="","",IFERROR(VLOOKUP(F36,'商品カタログ'!$A:$O,2,FALSE),""))</f>
      </c>
      <c r="H36" s="331" t="str">
        <f>IF(F36="","",IFERROR(VLOOKUP(F36,'商品カタログ'!$A:$O,3,FALSE),""))</f>
      </c>
      <c r="I36" s="331" t="str">
        <f>IF(F36="","",IFERROR(VLOOKUP(F36,'商品カタログ'!$A:$O,7,FALSE),""))</f>
      </c>
      <c r="J36" s="371"/>
      <c r="K36" s="371" t="str">
        <f>IF(F36="","",IFERROR(VLOOKUP(F36,'商品カタログ'!$A:$O,11,FALSE),""))</f>
      </c>
      <c r="L36" s="371" t="str">
        <f>IF(F36="","",IFERROR(VLOOKUP(F36,'商品カタログ'!$A:$O,12,FALSE),""))</f>
      </c>
      <c r="M36" s="371" t="str">
        <f>IF(F36="","",IFERROR(VLOOKUP(F36,'商品カタログ'!$A:$O,13,FALSE),""))</f>
      </c>
      <c r="N36" s="371"/>
      <c r="O36" s="371" t="str">
        <f>IF(F36="","",IFERROR(VLOOKUP(F36,'商品カタログ'!$A:$O,10,FALSE),""))</f>
      </c>
      <c r="P36" s="371" t="str">
        <f>IF(F36="","",IF(OR(J36&lt;=L36,J36-N36*O36&lt;=K36),MAX(IFERROR(VLOOKUP(F36,'商品カタログ'!$A:$O,8,FALSE),0),IFERROR(CEILING(MAX(0,M36-J36),MAX(1,VLOOKUP(F36,'商品カタログ'!$A:$O,9,FALSE))),MAX(0,M36-J36))),0))</f>
      </c>
      <c r="Q36" s="371"/>
      <c r="R36" s="331" t="str">
        <f>IF(F36="","",IFERROR(VLOOKUP(F36,'商品カタログ'!$A:$O,6,FALSE),""))</f>
      </c>
      <c r="S36" s="377" t="str">
        <f>IF(F36="","",IFERROR(VLOOKUP(F36,'商品カタログ'!$A:$O,14,FALSE),""))</f>
      </c>
      <c r="T36" s="377" t="str">
        <f>IF(F36="","",IFERROR(Q36*S36,0))</f>
      </c>
      <c r="U36" s="331"/>
      <c r="V36" s="331"/>
      <c r="W36" s="365" t="str">
        <f>IF(OR(B36="",O36=""),"",B36+O36)</f>
      </c>
      <c r="X36" s="365"/>
      <c r="Y36" s="371"/>
      <c r="Z36" s="371" t="str">
        <f>IF(F36="","",IF(V36="入荷済み",Y36-Q36,IF(V36="一部入荷",Y36-Q36,"")))</f>
      </c>
      <c r="AA36" s="331"/>
      <c r="AB36" s="331"/>
      <c r="AC36" s="331" t="str">
        <f>IF(F36="","",IF(V36="キャンセル済み","キャンセル済み",IF(AND(V36="入荷済み",Y36&gt;=Q36),"通常",IF(AND(W36&lt;TODAY(),W36&lt;&gt;"",V36&lt;&gt;"入荷済み"),"入荷遅延",IF(J36&lt;=K36,"セキュリティ在庫割れ",IF(J36&lt;=L36,"発注点到達",IF(Q36&lt;P36,"申請数が推奨数未満","通常")))))))</f>
      </c>
      <c r="AD36" s="332" t="str">
        <f>IF(F36="","",IF(N36=0,"不明",IF(J36/N36&lt;O36,"高リスク：リードタイム不足",IF(J36/N36&lt;O36+3,"中リスク","低リスク"))))</f>
      </c>
    </row>
    <row r="37" ht="19" customHeight="true">
      <c r="A37" s="330" t="str">
        <f>IF(F37="","","RL-"&amp;TEXT(ROW()-3,"0000"))</f>
      </c>
      <c r="B37" s="365"/>
      <c r="C37" s="331"/>
      <c r="D37" s="331"/>
      <c r="E37" s="331"/>
      <c r="F37" s="331"/>
      <c r="G37" s="331" t="str">
        <f>IF(F37="","",IFERROR(VLOOKUP(F37,'商品カタログ'!$A:$O,2,FALSE),""))</f>
      </c>
      <c r="H37" s="331" t="str">
        <f>IF(F37="","",IFERROR(VLOOKUP(F37,'商品カタログ'!$A:$O,3,FALSE),""))</f>
      </c>
      <c r="I37" s="331" t="str">
        <f>IF(F37="","",IFERROR(VLOOKUP(F37,'商品カタログ'!$A:$O,7,FALSE),""))</f>
      </c>
      <c r="J37" s="371"/>
      <c r="K37" s="371" t="str">
        <f>IF(F37="","",IFERROR(VLOOKUP(F37,'商品カタログ'!$A:$O,11,FALSE),""))</f>
      </c>
      <c r="L37" s="371" t="str">
        <f>IF(F37="","",IFERROR(VLOOKUP(F37,'商品カタログ'!$A:$O,12,FALSE),""))</f>
      </c>
      <c r="M37" s="371" t="str">
        <f>IF(F37="","",IFERROR(VLOOKUP(F37,'商品カタログ'!$A:$O,13,FALSE),""))</f>
      </c>
      <c r="N37" s="371"/>
      <c r="O37" s="371" t="str">
        <f>IF(F37="","",IFERROR(VLOOKUP(F37,'商品カタログ'!$A:$O,10,FALSE),""))</f>
      </c>
      <c r="P37" s="371" t="str">
        <f>IF(F37="","",IF(OR(J37&lt;=L37,J37-N37*O37&lt;=K37),MAX(IFERROR(VLOOKUP(F37,'商品カタログ'!$A:$O,8,FALSE),0),IFERROR(CEILING(MAX(0,M37-J37),MAX(1,VLOOKUP(F37,'商品カタログ'!$A:$O,9,FALSE))),MAX(0,M37-J37))),0))</f>
      </c>
      <c r="Q37" s="371"/>
      <c r="R37" s="331" t="str">
        <f>IF(F37="","",IFERROR(VLOOKUP(F37,'商品カタログ'!$A:$O,6,FALSE),""))</f>
      </c>
      <c r="S37" s="377" t="str">
        <f>IF(F37="","",IFERROR(VLOOKUP(F37,'商品カタログ'!$A:$O,14,FALSE),""))</f>
      </c>
      <c r="T37" s="377" t="str">
        <f>IF(F37="","",IFERROR(Q37*S37,0))</f>
      </c>
      <c r="U37" s="331"/>
      <c r="V37" s="331"/>
      <c r="W37" s="365" t="str">
        <f>IF(OR(B37="",O37=""),"",B37+O37)</f>
      </c>
      <c r="X37" s="365"/>
      <c r="Y37" s="371"/>
      <c r="Z37" s="371" t="str">
        <f>IF(F37="","",IF(V37="入荷済み",Y37-Q37,IF(V37="一部入荷",Y37-Q37,"")))</f>
      </c>
      <c r="AA37" s="331"/>
      <c r="AB37" s="331"/>
      <c r="AC37" s="331" t="str">
        <f>IF(F37="","",IF(V37="キャンセル済み","キャンセル済み",IF(AND(V37="入荷済み",Y37&gt;=Q37),"通常",IF(AND(W37&lt;TODAY(),W37&lt;&gt;"",V37&lt;&gt;"入荷済み"),"入荷遅延",IF(J37&lt;=K37,"セキュリティ在庫割れ",IF(J37&lt;=L37,"発注点到達",IF(Q37&lt;P37,"申請数が推奨数未満","通常")))))))</f>
      </c>
      <c r="AD37" s="332" t="str">
        <f>IF(F37="","",IF(N37=0,"不明",IF(J37/N37&lt;O37,"高リスク：リードタイム不足",IF(J37/N37&lt;O37+3,"中リスク","低リスク"))))</f>
      </c>
    </row>
    <row r="38" ht="19" customHeight="true">
      <c r="A38" s="330" t="str">
        <f>IF(F38="","","RL-"&amp;TEXT(ROW()-3,"0000"))</f>
      </c>
      <c r="B38" s="365"/>
      <c r="C38" s="331"/>
      <c r="D38" s="331"/>
      <c r="E38" s="331"/>
      <c r="F38" s="331"/>
      <c r="G38" s="331" t="str">
        <f>IF(F38="","",IFERROR(VLOOKUP(F38,'商品カタログ'!$A:$O,2,FALSE),""))</f>
      </c>
      <c r="H38" s="331" t="str">
        <f>IF(F38="","",IFERROR(VLOOKUP(F38,'商品カタログ'!$A:$O,3,FALSE),""))</f>
      </c>
      <c r="I38" s="331" t="str">
        <f>IF(F38="","",IFERROR(VLOOKUP(F38,'商品カタログ'!$A:$O,7,FALSE),""))</f>
      </c>
      <c r="J38" s="371"/>
      <c r="K38" s="371" t="str">
        <f>IF(F38="","",IFERROR(VLOOKUP(F38,'商品カタログ'!$A:$O,11,FALSE),""))</f>
      </c>
      <c r="L38" s="371" t="str">
        <f>IF(F38="","",IFERROR(VLOOKUP(F38,'商品カタログ'!$A:$O,12,FALSE),""))</f>
      </c>
      <c r="M38" s="371" t="str">
        <f>IF(F38="","",IFERROR(VLOOKUP(F38,'商品カタログ'!$A:$O,13,FALSE),""))</f>
      </c>
      <c r="N38" s="371"/>
      <c r="O38" s="371" t="str">
        <f>IF(F38="","",IFERROR(VLOOKUP(F38,'商品カタログ'!$A:$O,10,FALSE),""))</f>
      </c>
      <c r="P38" s="371" t="str">
        <f>IF(F38="","",IF(OR(J38&lt;=L38,J38-N38*O38&lt;=K38),MAX(IFERROR(VLOOKUP(F38,'商品カタログ'!$A:$O,8,FALSE),0),IFERROR(CEILING(MAX(0,M38-J38),MAX(1,VLOOKUP(F38,'商品カタログ'!$A:$O,9,FALSE))),MAX(0,M38-J38))),0))</f>
      </c>
      <c r="Q38" s="371"/>
      <c r="R38" s="331" t="str">
        <f>IF(F38="","",IFERROR(VLOOKUP(F38,'商品カタログ'!$A:$O,6,FALSE),""))</f>
      </c>
      <c r="S38" s="377" t="str">
        <f>IF(F38="","",IFERROR(VLOOKUP(F38,'商品カタログ'!$A:$O,14,FALSE),""))</f>
      </c>
      <c r="T38" s="377" t="str">
        <f>IF(F38="","",IFERROR(Q38*S38,0))</f>
      </c>
      <c r="U38" s="331"/>
      <c r="V38" s="331"/>
      <c r="W38" s="365" t="str">
        <f>IF(OR(B38="",O38=""),"",B38+O38)</f>
      </c>
      <c r="X38" s="365"/>
      <c r="Y38" s="371"/>
      <c r="Z38" s="371" t="str">
        <f>IF(F38="","",IF(V38="入荷済み",Y38-Q38,IF(V38="一部入荷",Y38-Q38,"")))</f>
      </c>
      <c r="AA38" s="331"/>
      <c r="AB38" s="331"/>
      <c r="AC38" s="331" t="str">
        <f>IF(F38="","",IF(V38="キャンセル済み","キャンセル済み",IF(AND(V38="入荷済み",Y38&gt;=Q38),"通常",IF(AND(W38&lt;TODAY(),W38&lt;&gt;"",V38&lt;&gt;"入荷済み"),"入荷遅延",IF(J38&lt;=K38,"セキュリティ在庫割れ",IF(J38&lt;=L38,"発注点到達",IF(Q38&lt;P38,"申請数が推奨数未満","通常")))))))</f>
      </c>
      <c r="AD38" s="332" t="str">
        <f>IF(F38="","",IF(N38=0,"不明",IF(J38/N38&lt;O38,"高リスク：リードタイム不足",IF(J38/N38&lt;O38+3,"中リスク","低リスク"))))</f>
      </c>
    </row>
    <row r="39" ht="19" customHeight="true">
      <c r="A39" s="330" t="str">
        <f>IF(F39="","","RL-"&amp;TEXT(ROW()-3,"0000"))</f>
      </c>
      <c r="B39" s="365"/>
      <c r="C39" s="331"/>
      <c r="D39" s="331"/>
      <c r="E39" s="331"/>
      <c r="F39" s="331"/>
      <c r="G39" s="331" t="str">
        <f>IF(F39="","",IFERROR(VLOOKUP(F39,'商品カタログ'!$A:$O,2,FALSE),""))</f>
      </c>
      <c r="H39" s="331" t="str">
        <f>IF(F39="","",IFERROR(VLOOKUP(F39,'商品カタログ'!$A:$O,3,FALSE),""))</f>
      </c>
      <c r="I39" s="331" t="str">
        <f>IF(F39="","",IFERROR(VLOOKUP(F39,'商品カタログ'!$A:$O,7,FALSE),""))</f>
      </c>
      <c r="J39" s="371"/>
      <c r="K39" s="371" t="str">
        <f>IF(F39="","",IFERROR(VLOOKUP(F39,'商品カタログ'!$A:$O,11,FALSE),""))</f>
      </c>
      <c r="L39" s="371" t="str">
        <f>IF(F39="","",IFERROR(VLOOKUP(F39,'商品カタログ'!$A:$O,12,FALSE),""))</f>
      </c>
      <c r="M39" s="371" t="str">
        <f>IF(F39="","",IFERROR(VLOOKUP(F39,'商品カタログ'!$A:$O,13,FALSE),""))</f>
      </c>
      <c r="N39" s="371"/>
      <c r="O39" s="371" t="str">
        <f>IF(F39="","",IFERROR(VLOOKUP(F39,'商品カタログ'!$A:$O,10,FALSE),""))</f>
      </c>
      <c r="P39" s="371" t="str">
        <f>IF(F39="","",IF(OR(J39&lt;=L39,J39-N39*O39&lt;=K39),MAX(IFERROR(VLOOKUP(F39,'商品カタログ'!$A:$O,8,FALSE),0),IFERROR(CEILING(MAX(0,M39-J39),MAX(1,VLOOKUP(F39,'商品カタログ'!$A:$O,9,FALSE))),MAX(0,M39-J39))),0))</f>
      </c>
      <c r="Q39" s="371"/>
      <c r="R39" s="331" t="str">
        <f>IF(F39="","",IFERROR(VLOOKUP(F39,'商品カタログ'!$A:$O,6,FALSE),""))</f>
      </c>
      <c r="S39" s="377" t="str">
        <f>IF(F39="","",IFERROR(VLOOKUP(F39,'商品カタログ'!$A:$O,14,FALSE),""))</f>
      </c>
      <c r="T39" s="377" t="str">
        <f>IF(F39="","",IFERROR(Q39*S39,0))</f>
      </c>
      <c r="U39" s="331"/>
      <c r="V39" s="331"/>
      <c r="W39" s="365" t="str">
        <f>IF(OR(B39="",O39=""),"",B39+O39)</f>
      </c>
      <c r="X39" s="365"/>
      <c r="Y39" s="371"/>
      <c r="Z39" s="371" t="str">
        <f>IF(F39="","",IF(V39="入荷済み",Y39-Q39,IF(V39="一部入荷",Y39-Q39,"")))</f>
      </c>
      <c r="AA39" s="331"/>
      <c r="AB39" s="331"/>
      <c r="AC39" s="331" t="str">
        <f>IF(F39="","",IF(V39="キャンセル済み","キャンセル済み",IF(AND(V39="入荷済み",Y39&gt;=Q39),"通常",IF(AND(W39&lt;TODAY(),W39&lt;&gt;"",V39&lt;&gt;"入荷済み"),"入荷遅延",IF(J39&lt;=K39,"セキュリティ在庫割れ",IF(J39&lt;=L39,"発注点到達",IF(Q39&lt;P39,"申請数が推奨数未満","通常")))))))</f>
      </c>
      <c r="AD39" s="332" t="str">
        <f>IF(F39="","",IF(N39=0,"不明",IF(J39/N39&lt;O39,"高リスク：リードタイム不足",IF(J39/N39&lt;O39+3,"中リスク","低リスク"))))</f>
      </c>
    </row>
    <row r="40" ht="19" customHeight="true">
      <c r="A40" s="330" t="str">
        <f>IF(F40="","","RL-"&amp;TEXT(ROW()-3,"0000"))</f>
      </c>
      <c r="B40" s="365"/>
      <c r="C40" s="331"/>
      <c r="D40" s="331"/>
      <c r="E40" s="331"/>
      <c r="F40" s="331"/>
      <c r="G40" s="331" t="str">
        <f>IF(F40="","",IFERROR(VLOOKUP(F40,'商品カタログ'!$A:$O,2,FALSE),""))</f>
      </c>
      <c r="H40" s="331" t="str">
        <f>IF(F40="","",IFERROR(VLOOKUP(F40,'商品カタログ'!$A:$O,3,FALSE),""))</f>
      </c>
      <c r="I40" s="331" t="str">
        <f>IF(F40="","",IFERROR(VLOOKUP(F40,'商品カタログ'!$A:$O,7,FALSE),""))</f>
      </c>
      <c r="J40" s="371"/>
      <c r="K40" s="371" t="str">
        <f>IF(F40="","",IFERROR(VLOOKUP(F40,'商品カタログ'!$A:$O,11,FALSE),""))</f>
      </c>
      <c r="L40" s="371" t="str">
        <f>IF(F40="","",IFERROR(VLOOKUP(F40,'商品カタログ'!$A:$O,12,FALSE),""))</f>
      </c>
      <c r="M40" s="371" t="str">
        <f>IF(F40="","",IFERROR(VLOOKUP(F40,'商品カタログ'!$A:$O,13,FALSE),""))</f>
      </c>
      <c r="N40" s="371"/>
      <c r="O40" s="371" t="str">
        <f>IF(F40="","",IFERROR(VLOOKUP(F40,'商品カタログ'!$A:$O,10,FALSE),""))</f>
      </c>
      <c r="P40" s="371" t="str">
        <f>IF(F40="","",IF(OR(J40&lt;=L40,J40-N40*O40&lt;=K40),MAX(IFERROR(VLOOKUP(F40,'商品カタログ'!$A:$O,8,FALSE),0),IFERROR(CEILING(MAX(0,M40-J40),MAX(1,VLOOKUP(F40,'商品カタログ'!$A:$O,9,FALSE))),MAX(0,M40-J40))),0))</f>
      </c>
      <c r="Q40" s="371"/>
      <c r="R40" s="331" t="str">
        <f>IF(F40="","",IFERROR(VLOOKUP(F40,'商品カタログ'!$A:$O,6,FALSE),""))</f>
      </c>
      <c r="S40" s="377" t="str">
        <f>IF(F40="","",IFERROR(VLOOKUP(F40,'商品カタログ'!$A:$O,14,FALSE),""))</f>
      </c>
      <c r="T40" s="377" t="str">
        <f>IF(F40="","",IFERROR(Q40*S40,0))</f>
      </c>
      <c r="U40" s="331"/>
      <c r="V40" s="331"/>
      <c r="W40" s="365" t="str">
        <f>IF(OR(B40="",O40=""),"",B40+O40)</f>
      </c>
      <c r="X40" s="365"/>
      <c r="Y40" s="371"/>
      <c r="Z40" s="371" t="str">
        <f>IF(F40="","",IF(V40="入荷済み",Y40-Q40,IF(V40="一部入荷",Y40-Q40,"")))</f>
      </c>
      <c r="AA40" s="331"/>
      <c r="AB40" s="331"/>
      <c r="AC40" s="331" t="str">
        <f>IF(F40="","",IF(V40="キャンセル済み","キャンセル済み",IF(AND(V40="入荷済み",Y40&gt;=Q40),"通常",IF(AND(W40&lt;TODAY(),W40&lt;&gt;"",V40&lt;&gt;"入荷済み"),"入荷遅延",IF(J40&lt;=K40,"セキュリティ在庫割れ",IF(J40&lt;=L40,"発注点到達",IF(Q40&lt;P40,"申請数が推奨数未満","通常")))))))</f>
      </c>
      <c r="AD40" s="332" t="str">
        <f>IF(F40="","",IF(N40=0,"不明",IF(J40/N40&lt;O40,"高リスク：リードタイム不足",IF(J40/N40&lt;O40+3,"中リスク","低リスク"))))</f>
      </c>
    </row>
    <row r="41" ht="19" customHeight="true">
      <c r="A41" s="330" t="str">
        <f>IF(F41="","","RL-"&amp;TEXT(ROW()-3,"0000"))</f>
      </c>
      <c r="B41" s="365"/>
      <c r="C41" s="331"/>
      <c r="D41" s="331"/>
      <c r="E41" s="331"/>
      <c r="F41" s="331"/>
      <c r="G41" s="331" t="str">
        <f>IF(F41="","",IFERROR(VLOOKUP(F41,'商品カタログ'!$A:$O,2,FALSE),""))</f>
      </c>
      <c r="H41" s="331" t="str">
        <f>IF(F41="","",IFERROR(VLOOKUP(F41,'商品カタログ'!$A:$O,3,FALSE),""))</f>
      </c>
      <c r="I41" s="331" t="str">
        <f>IF(F41="","",IFERROR(VLOOKUP(F41,'商品カタログ'!$A:$O,7,FALSE),""))</f>
      </c>
      <c r="J41" s="371"/>
      <c r="K41" s="371" t="str">
        <f>IF(F41="","",IFERROR(VLOOKUP(F41,'商品カタログ'!$A:$O,11,FALSE),""))</f>
      </c>
      <c r="L41" s="371" t="str">
        <f>IF(F41="","",IFERROR(VLOOKUP(F41,'商品カタログ'!$A:$O,12,FALSE),""))</f>
      </c>
      <c r="M41" s="371" t="str">
        <f>IF(F41="","",IFERROR(VLOOKUP(F41,'商品カタログ'!$A:$O,13,FALSE),""))</f>
      </c>
      <c r="N41" s="371"/>
      <c r="O41" s="371" t="str">
        <f>IF(F41="","",IFERROR(VLOOKUP(F41,'商品カタログ'!$A:$O,10,FALSE),""))</f>
      </c>
      <c r="P41" s="371" t="str">
        <f>IF(F41="","",IF(OR(J41&lt;=L41,J41-N41*O41&lt;=K41),MAX(IFERROR(VLOOKUP(F41,'商品カタログ'!$A:$O,8,FALSE),0),IFERROR(CEILING(MAX(0,M41-J41),MAX(1,VLOOKUP(F41,'商品カタログ'!$A:$O,9,FALSE))),MAX(0,M41-J41))),0))</f>
      </c>
      <c r="Q41" s="371"/>
      <c r="R41" s="331" t="str">
        <f>IF(F41="","",IFERROR(VLOOKUP(F41,'商品カタログ'!$A:$O,6,FALSE),""))</f>
      </c>
      <c r="S41" s="377" t="str">
        <f>IF(F41="","",IFERROR(VLOOKUP(F41,'商品カタログ'!$A:$O,14,FALSE),""))</f>
      </c>
      <c r="T41" s="377" t="str">
        <f>IF(F41="","",IFERROR(Q41*S41,0))</f>
      </c>
      <c r="U41" s="331"/>
      <c r="V41" s="331"/>
      <c r="W41" s="365" t="str">
        <f>IF(OR(B41="",O41=""),"",B41+O41)</f>
      </c>
      <c r="X41" s="365"/>
      <c r="Y41" s="371"/>
      <c r="Z41" s="371" t="str">
        <f>IF(F41="","",IF(V41="入荷済み",Y41-Q41,IF(V41="一部入荷",Y41-Q41,"")))</f>
      </c>
      <c r="AA41" s="331"/>
      <c r="AB41" s="331"/>
      <c r="AC41" s="331" t="str">
        <f>IF(F41="","",IF(V41="キャンセル済み","キャンセル済み",IF(AND(V41="入荷済み",Y41&gt;=Q41),"通常",IF(AND(W41&lt;TODAY(),W41&lt;&gt;"",V41&lt;&gt;"入荷済み"),"入荷遅延",IF(J41&lt;=K41,"セキュリティ在庫割れ",IF(J41&lt;=L41,"発注点到達",IF(Q41&lt;P41,"申請数が推奨数未満","通常")))))))</f>
      </c>
      <c r="AD41" s="332" t="str">
        <f>IF(F41="","",IF(N41=0,"不明",IF(J41/N41&lt;O41,"高リスク：リードタイム不足",IF(J41/N41&lt;O41+3,"中リスク","低リスク"))))</f>
      </c>
    </row>
    <row r="42" ht="19" customHeight="true">
      <c r="A42" s="330" t="str">
        <f>IF(F42="","","RL-"&amp;TEXT(ROW()-3,"0000"))</f>
      </c>
      <c r="B42" s="365"/>
      <c r="C42" s="331"/>
      <c r="D42" s="331"/>
      <c r="E42" s="331"/>
      <c r="F42" s="331"/>
      <c r="G42" s="331" t="str">
        <f>IF(F42="","",IFERROR(VLOOKUP(F42,'商品カタログ'!$A:$O,2,FALSE),""))</f>
      </c>
      <c r="H42" s="331" t="str">
        <f>IF(F42="","",IFERROR(VLOOKUP(F42,'商品カタログ'!$A:$O,3,FALSE),""))</f>
      </c>
      <c r="I42" s="331" t="str">
        <f>IF(F42="","",IFERROR(VLOOKUP(F42,'商品カタログ'!$A:$O,7,FALSE),""))</f>
      </c>
      <c r="J42" s="371"/>
      <c r="K42" s="371" t="str">
        <f>IF(F42="","",IFERROR(VLOOKUP(F42,'商品カタログ'!$A:$O,11,FALSE),""))</f>
      </c>
      <c r="L42" s="371" t="str">
        <f>IF(F42="","",IFERROR(VLOOKUP(F42,'商品カタログ'!$A:$O,12,FALSE),""))</f>
      </c>
      <c r="M42" s="371" t="str">
        <f>IF(F42="","",IFERROR(VLOOKUP(F42,'商品カタログ'!$A:$O,13,FALSE),""))</f>
      </c>
      <c r="N42" s="371"/>
      <c r="O42" s="371" t="str">
        <f>IF(F42="","",IFERROR(VLOOKUP(F42,'商品カタログ'!$A:$O,10,FALSE),""))</f>
      </c>
      <c r="P42" s="371" t="str">
        <f>IF(F42="","",IF(OR(J42&lt;=L42,J42-N42*O42&lt;=K42),MAX(IFERROR(VLOOKUP(F42,'商品カタログ'!$A:$O,8,FALSE),0),IFERROR(CEILING(MAX(0,M42-J42),MAX(1,VLOOKUP(F42,'商品カタログ'!$A:$O,9,FALSE))),MAX(0,M42-J42))),0))</f>
      </c>
      <c r="Q42" s="371"/>
      <c r="R42" s="331" t="str">
        <f>IF(F42="","",IFERROR(VLOOKUP(F42,'商品カタログ'!$A:$O,6,FALSE),""))</f>
      </c>
      <c r="S42" s="377" t="str">
        <f>IF(F42="","",IFERROR(VLOOKUP(F42,'商品カタログ'!$A:$O,14,FALSE),""))</f>
      </c>
      <c r="T42" s="377" t="str">
        <f>IF(F42="","",IFERROR(Q42*S42,0))</f>
      </c>
      <c r="U42" s="331"/>
      <c r="V42" s="331"/>
      <c r="W42" s="365" t="str">
        <f>IF(OR(B42="",O42=""),"",B42+O42)</f>
      </c>
      <c r="X42" s="365"/>
      <c r="Y42" s="371"/>
      <c r="Z42" s="371" t="str">
        <f>IF(F42="","",IF(V42="入荷済み",Y42-Q42,IF(V42="一部入荷",Y42-Q42,"")))</f>
      </c>
      <c r="AA42" s="331"/>
      <c r="AB42" s="331"/>
      <c r="AC42" s="331" t="str">
        <f>IF(F42="","",IF(V42="キャンセル済み","キャンセル済み",IF(AND(V42="入荷済み",Y42&gt;=Q42),"通常",IF(AND(W42&lt;TODAY(),W42&lt;&gt;"",V42&lt;&gt;"入荷済み"),"入荷遅延",IF(J42&lt;=K42,"セキュリティ在庫割れ",IF(J42&lt;=L42,"発注点到達",IF(Q42&lt;P42,"申請数が推奨数未満","通常")))))))</f>
      </c>
      <c r="AD42" s="332" t="str">
        <f>IF(F42="","",IF(N42=0,"不明",IF(J42/N42&lt;O42,"高リスク：リードタイム不足",IF(J42/N42&lt;O42+3,"中リスク","低リスク"))))</f>
      </c>
    </row>
    <row r="43" ht="19" customHeight="true">
      <c r="A43" s="330" t="str">
        <f>IF(F43="","","RL-"&amp;TEXT(ROW()-3,"0000"))</f>
      </c>
      <c r="B43" s="365"/>
      <c r="C43" s="331"/>
      <c r="D43" s="331"/>
      <c r="E43" s="331"/>
      <c r="F43" s="331"/>
      <c r="G43" s="331" t="str">
        <f>IF(F43="","",IFERROR(VLOOKUP(F43,'商品カタログ'!$A:$O,2,FALSE),""))</f>
      </c>
      <c r="H43" s="331" t="str">
        <f>IF(F43="","",IFERROR(VLOOKUP(F43,'商品カタログ'!$A:$O,3,FALSE),""))</f>
      </c>
      <c r="I43" s="331" t="str">
        <f>IF(F43="","",IFERROR(VLOOKUP(F43,'商品カタログ'!$A:$O,7,FALSE),""))</f>
      </c>
      <c r="J43" s="371"/>
      <c r="K43" s="371" t="str">
        <f>IF(F43="","",IFERROR(VLOOKUP(F43,'商品カタログ'!$A:$O,11,FALSE),""))</f>
      </c>
      <c r="L43" s="371" t="str">
        <f>IF(F43="","",IFERROR(VLOOKUP(F43,'商品カタログ'!$A:$O,12,FALSE),""))</f>
      </c>
      <c r="M43" s="371" t="str">
        <f>IF(F43="","",IFERROR(VLOOKUP(F43,'商品カタログ'!$A:$O,13,FALSE),""))</f>
      </c>
      <c r="N43" s="371"/>
      <c r="O43" s="371" t="str">
        <f>IF(F43="","",IFERROR(VLOOKUP(F43,'商品カタログ'!$A:$O,10,FALSE),""))</f>
      </c>
      <c r="P43" s="371" t="str">
        <f>IF(F43="","",IF(OR(J43&lt;=L43,J43-N43*O43&lt;=K43),MAX(IFERROR(VLOOKUP(F43,'商品カタログ'!$A:$O,8,FALSE),0),IFERROR(CEILING(MAX(0,M43-J43),MAX(1,VLOOKUP(F43,'商品カタログ'!$A:$O,9,FALSE))),MAX(0,M43-J43))),0))</f>
      </c>
      <c r="Q43" s="371"/>
      <c r="R43" s="331" t="str">
        <f>IF(F43="","",IFERROR(VLOOKUP(F43,'商品カタログ'!$A:$O,6,FALSE),""))</f>
      </c>
      <c r="S43" s="377" t="str">
        <f>IF(F43="","",IFERROR(VLOOKUP(F43,'商品カタログ'!$A:$O,14,FALSE),""))</f>
      </c>
      <c r="T43" s="377" t="str">
        <f>IF(F43="","",IFERROR(Q43*S43,0))</f>
      </c>
      <c r="U43" s="331"/>
      <c r="V43" s="331"/>
      <c r="W43" s="365" t="str">
        <f>IF(OR(B43="",O43=""),"",B43+O43)</f>
      </c>
      <c r="X43" s="365"/>
      <c r="Y43" s="371"/>
      <c r="Z43" s="371" t="str">
        <f>IF(F43="","",IF(V43="入荷済み",Y43-Q43,IF(V43="一部入荷",Y43-Q43,"")))</f>
      </c>
      <c r="AA43" s="331"/>
      <c r="AB43" s="331"/>
      <c r="AC43" s="331" t="str">
        <f>IF(F43="","",IF(V43="キャンセル済み","キャンセル済み",IF(AND(V43="入荷済み",Y43&gt;=Q43),"通常",IF(AND(W43&lt;TODAY(),W43&lt;&gt;"",V43&lt;&gt;"入荷済み"),"入荷遅延",IF(J43&lt;=K43,"セキュリティ在庫割れ",IF(J43&lt;=L43,"発注点到達",IF(Q43&lt;P43,"申請数が推奨数未満","通常")))))))</f>
      </c>
      <c r="AD43" s="332" t="str">
        <f>IF(F43="","",IF(N43=0,"不明",IF(J43/N43&lt;O43,"高リスク：リードタイム不足",IF(J43/N43&lt;O43+3,"中リスク","低リスク"))))</f>
      </c>
    </row>
    <row r="44" ht="19" customHeight="true">
      <c r="A44" s="330" t="str">
        <f>IF(F44="","","RL-"&amp;TEXT(ROW()-3,"0000"))</f>
      </c>
      <c r="B44" s="365"/>
      <c r="C44" s="331"/>
      <c r="D44" s="331"/>
      <c r="E44" s="331"/>
      <c r="F44" s="331"/>
      <c r="G44" s="331" t="str">
        <f>IF(F44="","",IFERROR(VLOOKUP(F44,'商品カタログ'!$A:$O,2,FALSE),""))</f>
      </c>
      <c r="H44" s="331" t="str">
        <f>IF(F44="","",IFERROR(VLOOKUP(F44,'商品カタログ'!$A:$O,3,FALSE),""))</f>
      </c>
      <c r="I44" s="331" t="str">
        <f>IF(F44="","",IFERROR(VLOOKUP(F44,'商品カタログ'!$A:$O,7,FALSE),""))</f>
      </c>
      <c r="J44" s="371"/>
      <c r="K44" s="371" t="str">
        <f>IF(F44="","",IFERROR(VLOOKUP(F44,'商品カタログ'!$A:$O,11,FALSE),""))</f>
      </c>
      <c r="L44" s="371" t="str">
        <f>IF(F44="","",IFERROR(VLOOKUP(F44,'商品カタログ'!$A:$O,12,FALSE),""))</f>
      </c>
      <c r="M44" s="371" t="str">
        <f>IF(F44="","",IFERROR(VLOOKUP(F44,'商品カタログ'!$A:$O,13,FALSE),""))</f>
      </c>
      <c r="N44" s="371"/>
      <c r="O44" s="371" t="str">
        <f>IF(F44="","",IFERROR(VLOOKUP(F44,'商品カタログ'!$A:$O,10,FALSE),""))</f>
      </c>
      <c r="P44" s="371" t="str">
        <f>IF(F44="","",IF(OR(J44&lt;=L44,J44-N44*O44&lt;=K44),MAX(IFERROR(VLOOKUP(F44,'商品カタログ'!$A:$O,8,FALSE),0),IFERROR(CEILING(MAX(0,M44-J44),MAX(1,VLOOKUP(F44,'商品カタログ'!$A:$O,9,FALSE))),MAX(0,M44-J44))),0))</f>
      </c>
      <c r="Q44" s="371"/>
      <c r="R44" s="331" t="str">
        <f>IF(F44="","",IFERROR(VLOOKUP(F44,'商品カタログ'!$A:$O,6,FALSE),""))</f>
      </c>
      <c r="S44" s="377" t="str">
        <f>IF(F44="","",IFERROR(VLOOKUP(F44,'商品カタログ'!$A:$O,14,FALSE),""))</f>
      </c>
      <c r="T44" s="377" t="str">
        <f>IF(F44="","",IFERROR(Q44*S44,0))</f>
      </c>
      <c r="U44" s="331"/>
      <c r="V44" s="331"/>
      <c r="W44" s="365" t="str">
        <f>IF(OR(B44="",O44=""),"",B44+O44)</f>
      </c>
      <c r="X44" s="365"/>
      <c r="Y44" s="371"/>
      <c r="Z44" s="371" t="str">
        <f>IF(F44="","",IF(V44="入荷済み",Y44-Q44,IF(V44="一部入荷",Y44-Q44,"")))</f>
      </c>
      <c r="AA44" s="331"/>
      <c r="AB44" s="331"/>
      <c r="AC44" s="331" t="str">
        <f>IF(F44="","",IF(V44="キャンセル済み","キャンセル済み",IF(AND(V44="入荷済み",Y44&gt;=Q44),"通常",IF(AND(W44&lt;TODAY(),W44&lt;&gt;"",V44&lt;&gt;"入荷済み"),"入荷遅延",IF(J44&lt;=K44,"セキュリティ在庫割れ",IF(J44&lt;=L44,"発注点到達",IF(Q44&lt;P44,"申請数が推奨数未満","通常")))))))</f>
      </c>
      <c r="AD44" s="332" t="str">
        <f>IF(F44="","",IF(N44=0,"不明",IF(J44/N44&lt;O44,"高リスク：リードタイム不足",IF(J44/N44&lt;O44+3,"中リスク","低リスク"))))</f>
      </c>
    </row>
    <row r="45" ht="19" customHeight="true">
      <c r="A45" s="330" t="str">
        <f>IF(F45="","","RL-"&amp;TEXT(ROW()-3,"0000"))</f>
      </c>
      <c r="B45" s="365"/>
      <c r="C45" s="331"/>
      <c r="D45" s="331"/>
      <c r="E45" s="331"/>
      <c r="F45" s="331"/>
      <c r="G45" s="331" t="str">
        <f>IF(F45="","",IFERROR(VLOOKUP(F45,'商品カタログ'!$A:$O,2,FALSE),""))</f>
      </c>
      <c r="H45" s="331" t="str">
        <f>IF(F45="","",IFERROR(VLOOKUP(F45,'商品カタログ'!$A:$O,3,FALSE),""))</f>
      </c>
      <c r="I45" s="331" t="str">
        <f>IF(F45="","",IFERROR(VLOOKUP(F45,'商品カタログ'!$A:$O,7,FALSE),""))</f>
      </c>
      <c r="J45" s="371"/>
      <c r="K45" s="371" t="str">
        <f>IF(F45="","",IFERROR(VLOOKUP(F45,'商品カタログ'!$A:$O,11,FALSE),""))</f>
      </c>
      <c r="L45" s="371" t="str">
        <f>IF(F45="","",IFERROR(VLOOKUP(F45,'商品カタログ'!$A:$O,12,FALSE),""))</f>
      </c>
      <c r="M45" s="371" t="str">
        <f>IF(F45="","",IFERROR(VLOOKUP(F45,'商品カタログ'!$A:$O,13,FALSE),""))</f>
      </c>
      <c r="N45" s="371"/>
      <c r="O45" s="371" t="str">
        <f>IF(F45="","",IFERROR(VLOOKUP(F45,'商品カタログ'!$A:$O,10,FALSE),""))</f>
      </c>
      <c r="P45" s="371" t="str">
        <f>IF(F45="","",IF(OR(J45&lt;=L45,J45-N45*O45&lt;=K45),MAX(IFERROR(VLOOKUP(F45,'商品カタログ'!$A:$O,8,FALSE),0),IFERROR(CEILING(MAX(0,M45-J45),MAX(1,VLOOKUP(F45,'商品カタログ'!$A:$O,9,FALSE))),MAX(0,M45-J45))),0))</f>
      </c>
      <c r="Q45" s="371"/>
      <c r="R45" s="331" t="str">
        <f>IF(F45="","",IFERROR(VLOOKUP(F45,'商品カタログ'!$A:$O,6,FALSE),""))</f>
      </c>
      <c r="S45" s="377" t="str">
        <f>IF(F45="","",IFERROR(VLOOKUP(F45,'商品カタログ'!$A:$O,14,FALSE),""))</f>
      </c>
      <c r="T45" s="377" t="str">
        <f>IF(F45="","",IFERROR(Q45*S45,0))</f>
      </c>
      <c r="U45" s="331"/>
      <c r="V45" s="331"/>
      <c r="W45" s="365" t="str">
        <f>IF(OR(B45="",O45=""),"",B45+O45)</f>
      </c>
      <c r="X45" s="365"/>
      <c r="Y45" s="371"/>
      <c r="Z45" s="371" t="str">
        <f>IF(F45="","",IF(V45="入荷済み",Y45-Q45,IF(V45="一部入荷",Y45-Q45,"")))</f>
      </c>
      <c r="AA45" s="331"/>
      <c r="AB45" s="331"/>
      <c r="AC45" s="331" t="str">
        <f>IF(F45="","",IF(V45="キャンセル済み","キャンセル済み",IF(AND(V45="入荷済み",Y45&gt;=Q45),"通常",IF(AND(W45&lt;TODAY(),W45&lt;&gt;"",V45&lt;&gt;"入荷済み"),"入荷遅延",IF(J45&lt;=K45,"セキュリティ在庫割れ",IF(J45&lt;=L45,"発注点到達",IF(Q45&lt;P45,"申請数が推奨数未満","通常")))))))</f>
      </c>
      <c r="AD45" s="332" t="str">
        <f>IF(F45="","",IF(N45=0,"不明",IF(J45/N45&lt;O45,"高リスク：リードタイム不足",IF(J45/N45&lt;O45+3,"中リスク","低リスク"))))</f>
      </c>
    </row>
    <row r="46" ht="19" customHeight="true">
      <c r="A46" s="330" t="str">
        <f>IF(F46="","","RL-"&amp;TEXT(ROW()-3,"0000"))</f>
      </c>
      <c r="B46" s="365"/>
      <c r="C46" s="331"/>
      <c r="D46" s="331"/>
      <c r="E46" s="331"/>
      <c r="F46" s="331"/>
      <c r="G46" s="331" t="str">
        <f>IF(F46="","",IFERROR(VLOOKUP(F46,'商品カタログ'!$A:$O,2,FALSE),""))</f>
      </c>
      <c r="H46" s="331" t="str">
        <f>IF(F46="","",IFERROR(VLOOKUP(F46,'商品カタログ'!$A:$O,3,FALSE),""))</f>
      </c>
      <c r="I46" s="331" t="str">
        <f>IF(F46="","",IFERROR(VLOOKUP(F46,'商品カタログ'!$A:$O,7,FALSE),""))</f>
      </c>
      <c r="J46" s="371"/>
      <c r="K46" s="371" t="str">
        <f>IF(F46="","",IFERROR(VLOOKUP(F46,'商品カタログ'!$A:$O,11,FALSE),""))</f>
      </c>
      <c r="L46" s="371" t="str">
        <f>IF(F46="","",IFERROR(VLOOKUP(F46,'商品カタログ'!$A:$O,12,FALSE),""))</f>
      </c>
      <c r="M46" s="371" t="str">
        <f>IF(F46="","",IFERROR(VLOOKUP(F46,'商品カタログ'!$A:$O,13,FALSE),""))</f>
      </c>
      <c r="N46" s="371"/>
      <c r="O46" s="371" t="str">
        <f>IF(F46="","",IFERROR(VLOOKUP(F46,'商品カタログ'!$A:$O,10,FALSE),""))</f>
      </c>
      <c r="P46" s="371" t="str">
        <f>IF(F46="","",IF(OR(J46&lt;=L46,J46-N46*O46&lt;=K46),MAX(IFERROR(VLOOKUP(F46,'商品カタログ'!$A:$O,8,FALSE),0),IFERROR(CEILING(MAX(0,M46-J46),MAX(1,VLOOKUP(F46,'商品カタログ'!$A:$O,9,FALSE))),MAX(0,M46-J46))),0))</f>
      </c>
      <c r="Q46" s="371"/>
      <c r="R46" s="331" t="str">
        <f>IF(F46="","",IFERROR(VLOOKUP(F46,'商品カタログ'!$A:$O,6,FALSE),""))</f>
      </c>
      <c r="S46" s="377" t="str">
        <f>IF(F46="","",IFERROR(VLOOKUP(F46,'商品カタログ'!$A:$O,14,FALSE),""))</f>
      </c>
      <c r="T46" s="377" t="str">
        <f>IF(F46="","",IFERROR(Q46*S46,0))</f>
      </c>
      <c r="U46" s="331"/>
      <c r="V46" s="331"/>
      <c r="W46" s="365" t="str">
        <f>IF(OR(B46="",O46=""),"",B46+O46)</f>
      </c>
      <c r="X46" s="365"/>
      <c r="Y46" s="371"/>
      <c r="Z46" s="371" t="str">
        <f>IF(F46="","",IF(V46="入荷済み",Y46-Q46,IF(V46="一部入荷",Y46-Q46,"")))</f>
      </c>
      <c r="AA46" s="331"/>
      <c r="AB46" s="331"/>
      <c r="AC46" s="331" t="str">
        <f>IF(F46="","",IF(V46="キャンセル済み","キャンセル済み",IF(AND(V46="入荷済み",Y46&gt;=Q46),"通常",IF(AND(W46&lt;TODAY(),W46&lt;&gt;"",V46&lt;&gt;"入荷済み"),"入荷遅延",IF(J46&lt;=K46,"セキュリティ在庫割れ",IF(J46&lt;=L46,"発注点到達",IF(Q46&lt;P46,"申請数が推奨数未満","通常")))))))</f>
      </c>
      <c r="AD46" s="332" t="str">
        <f>IF(F46="","",IF(N46=0,"不明",IF(J46/N46&lt;O46,"高リスク：リードタイム不足",IF(J46/N46&lt;O46+3,"中リスク","低リスク"))))</f>
      </c>
    </row>
    <row r="47" ht="19" customHeight="true">
      <c r="A47" s="330" t="str">
        <f>IF(F47="","","RL-"&amp;TEXT(ROW()-3,"0000"))</f>
      </c>
      <c r="B47" s="365"/>
      <c r="C47" s="331"/>
      <c r="D47" s="331"/>
      <c r="E47" s="331"/>
      <c r="F47" s="331"/>
      <c r="G47" s="331" t="str">
        <f>IF(F47="","",IFERROR(VLOOKUP(F47,'商品カタログ'!$A:$O,2,FALSE),""))</f>
      </c>
      <c r="H47" s="331" t="str">
        <f>IF(F47="","",IFERROR(VLOOKUP(F47,'商品カタログ'!$A:$O,3,FALSE),""))</f>
      </c>
      <c r="I47" s="331" t="str">
        <f>IF(F47="","",IFERROR(VLOOKUP(F47,'商品カタログ'!$A:$O,7,FALSE),""))</f>
      </c>
      <c r="J47" s="371"/>
      <c r="K47" s="371" t="str">
        <f>IF(F47="","",IFERROR(VLOOKUP(F47,'商品カタログ'!$A:$O,11,FALSE),""))</f>
      </c>
      <c r="L47" s="371" t="str">
        <f>IF(F47="","",IFERROR(VLOOKUP(F47,'商品カタログ'!$A:$O,12,FALSE),""))</f>
      </c>
      <c r="M47" s="371" t="str">
        <f>IF(F47="","",IFERROR(VLOOKUP(F47,'商品カタログ'!$A:$O,13,FALSE),""))</f>
      </c>
      <c r="N47" s="371"/>
      <c r="O47" s="371" t="str">
        <f>IF(F47="","",IFERROR(VLOOKUP(F47,'商品カタログ'!$A:$O,10,FALSE),""))</f>
      </c>
      <c r="P47" s="371" t="str">
        <f>IF(F47="","",IF(OR(J47&lt;=L47,J47-N47*O47&lt;=K47),MAX(IFERROR(VLOOKUP(F47,'商品カタログ'!$A:$O,8,FALSE),0),IFERROR(CEILING(MAX(0,M47-J47),MAX(1,VLOOKUP(F47,'商品カタログ'!$A:$O,9,FALSE))),MAX(0,M47-J47))),0))</f>
      </c>
      <c r="Q47" s="371"/>
      <c r="R47" s="331" t="str">
        <f>IF(F47="","",IFERROR(VLOOKUP(F47,'商品カタログ'!$A:$O,6,FALSE),""))</f>
      </c>
      <c r="S47" s="377" t="str">
        <f>IF(F47="","",IFERROR(VLOOKUP(F47,'商品カタログ'!$A:$O,14,FALSE),""))</f>
      </c>
      <c r="T47" s="377" t="str">
        <f>IF(F47="","",IFERROR(Q47*S47,0))</f>
      </c>
      <c r="U47" s="331"/>
      <c r="V47" s="331"/>
      <c r="W47" s="365" t="str">
        <f>IF(OR(B47="",O47=""),"",B47+O47)</f>
      </c>
      <c r="X47" s="365"/>
      <c r="Y47" s="371"/>
      <c r="Z47" s="371" t="str">
        <f>IF(F47="","",IF(V47="入荷済み",Y47-Q47,IF(V47="一部入荷",Y47-Q47,"")))</f>
      </c>
      <c r="AA47" s="331"/>
      <c r="AB47" s="331"/>
      <c r="AC47" s="331" t="str">
        <f>IF(F47="","",IF(V47="キャンセル済み","キャンセル済み",IF(AND(V47="入荷済み",Y47&gt;=Q47),"通常",IF(AND(W47&lt;TODAY(),W47&lt;&gt;"",V47&lt;&gt;"入荷済み"),"入荷遅延",IF(J47&lt;=K47,"セキュリティ在庫割れ",IF(J47&lt;=L47,"発注点到達",IF(Q47&lt;P47,"申請数が推奨数未満","通常")))))))</f>
      </c>
      <c r="AD47" s="332" t="str">
        <f>IF(F47="","",IF(N47=0,"不明",IF(J47/N47&lt;O47,"高リスク：リードタイム不足",IF(J47/N47&lt;O47+3,"中リスク","低リスク"))))</f>
      </c>
    </row>
    <row r="48" ht="19" customHeight="true">
      <c r="A48" s="330" t="str">
        <f>IF(F48="","","RL-"&amp;TEXT(ROW()-3,"0000"))</f>
      </c>
      <c r="B48" s="365"/>
      <c r="C48" s="331"/>
      <c r="D48" s="331"/>
      <c r="E48" s="331"/>
      <c r="F48" s="331"/>
      <c r="G48" s="331" t="str">
        <f>IF(F48="","",IFERROR(VLOOKUP(F48,'商品カタログ'!$A:$O,2,FALSE),""))</f>
      </c>
      <c r="H48" s="331" t="str">
        <f>IF(F48="","",IFERROR(VLOOKUP(F48,'商品カタログ'!$A:$O,3,FALSE),""))</f>
      </c>
      <c r="I48" s="331" t="str">
        <f>IF(F48="","",IFERROR(VLOOKUP(F48,'商品カタログ'!$A:$O,7,FALSE),""))</f>
      </c>
      <c r="J48" s="371"/>
      <c r="K48" s="371" t="str">
        <f>IF(F48="","",IFERROR(VLOOKUP(F48,'商品カタログ'!$A:$O,11,FALSE),""))</f>
      </c>
      <c r="L48" s="371" t="str">
        <f>IF(F48="","",IFERROR(VLOOKUP(F48,'商品カタログ'!$A:$O,12,FALSE),""))</f>
      </c>
      <c r="M48" s="371" t="str">
        <f>IF(F48="","",IFERROR(VLOOKUP(F48,'商品カタログ'!$A:$O,13,FALSE),""))</f>
      </c>
      <c r="N48" s="371"/>
      <c r="O48" s="371" t="str">
        <f>IF(F48="","",IFERROR(VLOOKUP(F48,'商品カタログ'!$A:$O,10,FALSE),""))</f>
      </c>
      <c r="P48" s="371" t="str">
        <f>IF(F48="","",IF(OR(J48&lt;=L48,J48-N48*O48&lt;=K48),MAX(IFERROR(VLOOKUP(F48,'商品カタログ'!$A:$O,8,FALSE),0),IFERROR(CEILING(MAX(0,M48-J48),MAX(1,VLOOKUP(F48,'商品カタログ'!$A:$O,9,FALSE))),MAX(0,M48-J48))),0))</f>
      </c>
      <c r="Q48" s="371"/>
      <c r="R48" s="331" t="str">
        <f>IF(F48="","",IFERROR(VLOOKUP(F48,'商品カタログ'!$A:$O,6,FALSE),""))</f>
      </c>
      <c r="S48" s="377" t="str">
        <f>IF(F48="","",IFERROR(VLOOKUP(F48,'商品カタログ'!$A:$O,14,FALSE),""))</f>
      </c>
      <c r="T48" s="377" t="str">
        <f>IF(F48="","",IFERROR(Q48*S48,0))</f>
      </c>
      <c r="U48" s="331"/>
      <c r="V48" s="331"/>
      <c r="W48" s="365" t="str">
        <f>IF(OR(B48="",O48=""),"",B48+O48)</f>
      </c>
      <c r="X48" s="365"/>
      <c r="Y48" s="371"/>
      <c r="Z48" s="371" t="str">
        <f>IF(F48="","",IF(V48="入荷済み",Y48-Q48,IF(V48="一部入荷",Y48-Q48,"")))</f>
      </c>
      <c r="AA48" s="331"/>
      <c r="AB48" s="331"/>
      <c r="AC48" s="331" t="str">
        <f>IF(F48="","",IF(V48="キャンセル済み","キャンセル済み",IF(AND(V48="入荷済み",Y48&gt;=Q48),"通常",IF(AND(W48&lt;TODAY(),W48&lt;&gt;"",V48&lt;&gt;"入荷済み"),"入荷遅延",IF(J48&lt;=K48,"セキュリティ在庫割れ",IF(J48&lt;=L48,"発注点到達",IF(Q48&lt;P48,"申請数が推奨数未満","通常")))))))</f>
      </c>
      <c r="AD48" s="332" t="str">
        <f>IF(F48="","",IF(N48=0,"不明",IF(J48/N48&lt;O48,"高リスク：リードタイム不足",IF(J48/N48&lt;O48+3,"中リスク","低リスク"))))</f>
      </c>
    </row>
    <row r="49" ht="19" customHeight="true">
      <c r="A49" s="330" t="str">
        <f>IF(F49="","","RL-"&amp;TEXT(ROW()-3,"0000"))</f>
      </c>
      <c r="B49" s="365"/>
      <c r="C49" s="331"/>
      <c r="D49" s="331"/>
      <c r="E49" s="331"/>
      <c r="F49" s="331"/>
      <c r="G49" s="331" t="str">
        <f>IF(F49="","",IFERROR(VLOOKUP(F49,'商品カタログ'!$A:$O,2,FALSE),""))</f>
      </c>
      <c r="H49" s="331" t="str">
        <f>IF(F49="","",IFERROR(VLOOKUP(F49,'商品カタログ'!$A:$O,3,FALSE),""))</f>
      </c>
      <c r="I49" s="331" t="str">
        <f>IF(F49="","",IFERROR(VLOOKUP(F49,'商品カタログ'!$A:$O,7,FALSE),""))</f>
      </c>
      <c r="J49" s="371"/>
      <c r="K49" s="371" t="str">
        <f>IF(F49="","",IFERROR(VLOOKUP(F49,'商品カタログ'!$A:$O,11,FALSE),""))</f>
      </c>
      <c r="L49" s="371" t="str">
        <f>IF(F49="","",IFERROR(VLOOKUP(F49,'商品カタログ'!$A:$O,12,FALSE),""))</f>
      </c>
      <c r="M49" s="371" t="str">
        <f>IF(F49="","",IFERROR(VLOOKUP(F49,'商品カタログ'!$A:$O,13,FALSE),""))</f>
      </c>
      <c r="N49" s="371"/>
      <c r="O49" s="371" t="str">
        <f>IF(F49="","",IFERROR(VLOOKUP(F49,'商品カタログ'!$A:$O,10,FALSE),""))</f>
      </c>
      <c r="P49" s="371" t="str">
        <f>IF(F49="","",IF(OR(J49&lt;=L49,J49-N49*O49&lt;=K49),MAX(IFERROR(VLOOKUP(F49,'商品カタログ'!$A:$O,8,FALSE),0),IFERROR(CEILING(MAX(0,M49-J49),MAX(1,VLOOKUP(F49,'商品カタログ'!$A:$O,9,FALSE))),MAX(0,M49-J49))),0))</f>
      </c>
      <c r="Q49" s="371"/>
      <c r="R49" s="331" t="str">
        <f>IF(F49="","",IFERROR(VLOOKUP(F49,'商品カタログ'!$A:$O,6,FALSE),""))</f>
      </c>
      <c r="S49" s="377" t="str">
        <f>IF(F49="","",IFERROR(VLOOKUP(F49,'商品カタログ'!$A:$O,14,FALSE),""))</f>
      </c>
      <c r="T49" s="377" t="str">
        <f>IF(F49="","",IFERROR(Q49*S49,0))</f>
      </c>
      <c r="U49" s="331"/>
      <c r="V49" s="331"/>
      <c r="W49" s="365" t="str">
        <f>IF(OR(B49="",O49=""),"",B49+O49)</f>
      </c>
      <c r="X49" s="365"/>
      <c r="Y49" s="371"/>
      <c r="Z49" s="371" t="str">
        <f>IF(F49="","",IF(V49="入荷済み",Y49-Q49,IF(V49="一部入荷",Y49-Q49,"")))</f>
      </c>
      <c r="AA49" s="331"/>
      <c r="AB49" s="331"/>
      <c r="AC49" s="331" t="str">
        <f>IF(F49="","",IF(V49="キャンセル済み","キャンセル済み",IF(AND(V49="入荷済み",Y49&gt;=Q49),"通常",IF(AND(W49&lt;TODAY(),W49&lt;&gt;"",V49&lt;&gt;"入荷済み"),"入荷遅延",IF(J49&lt;=K49,"セキュリティ在庫割れ",IF(J49&lt;=L49,"発注点到達",IF(Q49&lt;P49,"申請数が推奨数未満","通常")))))))</f>
      </c>
      <c r="AD49" s="332" t="str">
        <f>IF(F49="","",IF(N49=0,"不明",IF(J49/N49&lt;O49,"高リスク：リードタイム不足",IF(J49/N49&lt;O49+3,"中リスク","低リスク"))))</f>
      </c>
    </row>
    <row r="50" ht="19" customHeight="true">
      <c r="A50" s="330" t="str">
        <f>IF(F50="","","RL-"&amp;TEXT(ROW()-3,"0000"))</f>
      </c>
      <c r="B50" s="365"/>
      <c r="C50" s="331"/>
      <c r="D50" s="331"/>
      <c r="E50" s="331"/>
      <c r="F50" s="331"/>
      <c r="G50" s="331" t="str">
        <f>IF(F50="","",IFERROR(VLOOKUP(F50,'商品カタログ'!$A:$O,2,FALSE),""))</f>
      </c>
      <c r="H50" s="331" t="str">
        <f>IF(F50="","",IFERROR(VLOOKUP(F50,'商品カタログ'!$A:$O,3,FALSE),""))</f>
      </c>
      <c r="I50" s="331" t="str">
        <f>IF(F50="","",IFERROR(VLOOKUP(F50,'商品カタログ'!$A:$O,7,FALSE),""))</f>
      </c>
      <c r="J50" s="371"/>
      <c r="K50" s="371" t="str">
        <f>IF(F50="","",IFERROR(VLOOKUP(F50,'商品カタログ'!$A:$O,11,FALSE),""))</f>
      </c>
      <c r="L50" s="371" t="str">
        <f>IF(F50="","",IFERROR(VLOOKUP(F50,'商品カタログ'!$A:$O,12,FALSE),""))</f>
      </c>
      <c r="M50" s="371" t="str">
        <f>IF(F50="","",IFERROR(VLOOKUP(F50,'商品カタログ'!$A:$O,13,FALSE),""))</f>
      </c>
      <c r="N50" s="371"/>
      <c r="O50" s="371" t="str">
        <f>IF(F50="","",IFERROR(VLOOKUP(F50,'商品カタログ'!$A:$O,10,FALSE),""))</f>
      </c>
      <c r="P50" s="371" t="str">
        <f>IF(F50="","",IF(OR(J50&lt;=L50,J50-N50*O50&lt;=K50),MAX(IFERROR(VLOOKUP(F50,'商品カタログ'!$A:$O,8,FALSE),0),IFERROR(CEILING(MAX(0,M50-J50),MAX(1,VLOOKUP(F50,'商品カタログ'!$A:$O,9,FALSE))),MAX(0,M50-J50))),0))</f>
      </c>
      <c r="Q50" s="371"/>
      <c r="R50" s="331" t="str">
        <f>IF(F50="","",IFERROR(VLOOKUP(F50,'商品カタログ'!$A:$O,6,FALSE),""))</f>
      </c>
      <c r="S50" s="377" t="str">
        <f>IF(F50="","",IFERROR(VLOOKUP(F50,'商品カタログ'!$A:$O,14,FALSE),""))</f>
      </c>
      <c r="T50" s="377" t="str">
        <f>IF(F50="","",IFERROR(Q50*S50,0))</f>
      </c>
      <c r="U50" s="331"/>
      <c r="V50" s="331"/>
      <c r="W50" s="365" t="str">
        <f>IF(OR(B50="",O50=""),"",B50+O50)</f>
      </c>
      <c r="X50" s="365"/>
      <c r="Y50" s="371"/>
      <c r="Z50" s="371" t="str">
        <f>IF(F50="","",IF(V50="入荷済み",Y50-Q50,IF(V50="一部入荷",Y50-Q50,"")))</f>
      </c>
      <c r="AA50" s="331"/>
      <c r="AB50" s="331"/>
      <c r="AC50" s="331" t="str">
        <f>IF(F50="","",IF(V50="キャンセル済み","キャンセル済み",IF(AND(V50="入荷済み",Y50&gt;=Q50),"通常",IF(AND(W50&lt;TODAY(),W50&lt;&gt;"",V50&lt;&gt;"入荷済み"),"入荷遅延",IF(J50&lt;=K50,"セキュリティ在庫割れ",IF(J50&lt;=L50,"発注点到達",IF(Q50&lt;P50,"申請数が推奨数未満","通常")))))))</f>
      </c>
      <c r="AD50" s="332" t="str">
        <f>IF(F50="","",IF(N50=0,"不明",IF(J50/N50&lt;O50,"高リスク：リードタイム不足",IF(J50/N50&lt;O50+3,"中リスク","低リスク"))))</f>
      </c>
    </row>
    <row r="51" ht="19" customHeight="true">
      <c r="A51" s="330" t="str">
        <f>IF(F51="","","RL-"&amp;TEXT(ROW()-3,"0000"))</f>
      </c>
      <c r="B51" s="365"/>
      <c r="C51" s="331"/>
      <c r="D51" s="331"/>
      <c r="E51" s="331"/>
      <c r="F51" s="331"/>
      <c r="G51" s="331" t="str">
        <f>IF(F51="","",IFERROR(VLOOKUP(F51,'商品カタログ'!$A:$O,2,FALSE),""))</f>
      </c>
      <c r="H51" s="331" t="str">
        <f>IF(F51="","",IFERROR(VLOOKUP(F51,'商品カタログ'!$A:$O,3,FALSE),""))</f>
      </c>
      <c r="I51" s="331" t="str">
        <f>IF(F51="","",IFERROR(VLOOKUP(F51,'商品カタログ'!$A:$O,7,FALSE),""))</f>
      </c>
      <c r="J51" s="371"/>
      <c r="K51" s="371" t="str">
        <f>IF(F51="","",IFERROR(VLOOKUP(F51,'商品カタログ'!$A:$O,11,FALSE),""))</f>
      </c>
      <c r="L51" s="371" t="str">
        <f>IF(F51="","",IFERROR(VLOOKUP(F51,'商品カタログ'!$A:$O,12,FALSE),""))</f>
      </c>
      <c r="M51" s="371" t="str">
        <f>IF(F51="","",IFERROR(VLOOKUP(F51,'商品カタログ'!$A:$O,13,FALSE),""))</f>
      </c>
      <c r="N51" s="371"/>
      <c r="O51" s="371" t="str">
        <f>IF(F51="","",IFERROR(VLOOKUP(F51,'商品カタログ'!$A:$O,10,FALSE),""))</f>
      </c>
      <c r="P51" s="371" t="str">
        <f>IF(F51="","",IF(OR(J51&lt;=L51,J51-N51*O51&lt;=K51),MAX(IFERROR(VLOOKUP(F51,'商品カタログ'!$A:$O,8,FALSE),0),IFERROR(CEILING(MAX(0,M51-J51),MAX(1,VLOOKUP(F51,'商品カタログ'!$A:$O,9,FALSE))),MAX(0,M51-J51))),0))</f>
      </c>
      <c r="Q51" s="371"/>
      <c r="R51" s="331" t="str">
        <f>IF(F51="","",IFERROR(VLOOKUP(F51,'商品カタログ'!$A:$O,6,FALSE),""))</f>
      </c>
      <c r="S51" s="377" t="str">
        <f>IF(F51="","",IFERROR(VLOOKUP(F51,'商品カタログ'!$A:$O,14,FALSE),""))</f>
      </c>
      <c r="T51" s="377" t="str">
        <f>IF(F51="","",IFERROR(Q51*S51,0))</f>
      </c>
      <c r="U51" s="331"/>
      <c r="V51" s="331"/>
      <c r="W51" s="365" t="str">
        <f>IF(OR(B51="",O51=""),"",B51+O51)</f>
      </c>
      <c r="X51" s="365"/>
      <c r="Y51" s="371"/>
      <c r="Z51" s="371" t="str">
        <f>IF(F51="","",IF(V51="入荷済み",Y51-Q51,IF(V51="一部入荷",Y51-Q51,"")))</f>
      </c>
      <c r="AA51" s="331"/>
      <c r="AB51" s="331"/>
      <c r="AC51" s="331" t="str">
        <f>IF(F51="","",IF(V51="キャンセル済み","キャンセル済み",IF(AND(V51="入荷済み",Y51&gt;=Q51),"通常",IF(AND(W51&lt;TODAY(),W51&lt;&gt;"",V51&lt;&gt;"入荷済み"),"入荷遅延",IF(J51&lt;=K51,"セキュリティ在庫割れ",IF(J51&lt;=L51,"発注点到達",IF(Q51&lt;P51,"申請数が推奨数未満","通常")))))))</f>
      </c>
      <c r="AD51" s="332" t="str">
        <f>IF(F51="","",IF(N51=0,"不明",IF(J51/N51&lt;O51,"高リスク：リードタイム不足",IF(J51/N51&lt;O51+3,"中リスク","低リスク"))))</f>
      </c>
    </row>
    <row r="52" ht="19" customHeight="true">
      <c r="A52" s="330" t="str">
        <f>IF(F52="","","RL-"&amp;TEXT(ROW()-3,"0000"))</f>
      </c>
      <c r="B52" s="365"/>
      <c r="C52" s="331"/>
      <c r="D52" s="331"/>
      <c r="E52" s="331"/>
      <c r="F52" s="331"/>
      <c r="G52" s="331" t="str">
        <f>IF(F52="","",IFERROR(VLOOKUP(F52,'商品カタログ'!$A:$O,2,FALSE),""))</f>
      </c>
      <c r="H52" s="331" t="str">
        <f>IF(F52="","",IFERROR(VLOOKUP(F52,'商品カタログ'!$A:$O,3,FALSE),""))</f>
      </c>
      <c r="I52" s="331" t="str">
        <f>IF(F52="","",IFERROR(VLOOKUP(F52,'商品カタログ'!$A:$O,7,FALSE),""))</f>
      </c>
      <c r="J52" s="371"/>
      <c r="K52" s="371" t="str">
        <f>IF(F52="","",IFERROR(VLOOKUP(F52,'商品カタログ'!$A:$O,11,FALSE),""))</f>
      </c>
      <c r="L52" s="371" t="str">
        <f>IF(F52="","",IFERROR(VLOOKUP(F52,'商品カタログ'!$A:$O,12,FALSE),""))</f>
      </c>
      <c r="M52" s="371" t="str">
        <f>IF(F52="","",IFERROR(VLOOKUP(F52,'商品カタログ'!$A:$O,13,FALSE),""))</f>
      </c>
      <c r="N52" s="371"/>
      <c r="O52" s="371" t="str">
        <f>IF(F52="","",IFERROR(VLOOKUP(F52,'商品カタログ'!$A:$O,10,FALSE),""))</f>
      </c>
      <c r="P52" s="371" t="str">
        <f>IF(F52="","",IF(OR(J52&lt;=L52,J52-N52*O52&lt;=K52),MAX(IFERROR(VLOOKUP(F52,'商品カタログ'!$A:$O,8,FALSE),0),IFERROR(CEILING(MAX(0,M52-J52),MAX(1,VLOOKUP(F52,'商品カタログ'!$A:$O,9,FALSE))),MAX(0,M52-J52))),0))</f>
      </c>
      <c r="Q52" s="371"/>
      <c r="R52" s="331" t="str">
        <f>IF(F52="","",IFERROR(VLOOKUP(F52,'商品カタログ'!$A:$O,6,FALSE),""))</f>
      </c>
      <c r="S52" s="377" t="str">
        <f>IF(F52="","",IFERROR(VLOOKUP(F52,'商品カタログ'!$A:$O,14,FALSE),""))</f>
      </c>
      <c r="T52" s="377" t="str">
        <f>IF(F52="","",IFERROR(Q52*S52,0))</f>
      </c>
      <c r="U52" s="331"/>
      <c r="V52" s="331"/>
      <c r="W52" s="365" t="str">
        <f>IF(OR(B52="",O52=""),"",B52+O52)</f>
      </c>
      <c r="X52" s="365"/>
      <c r="Y52" s="371"/>
      <c r="Z52" s="371" t="str">
        <f>IF(F52="","",IF(V52="入荷済み",Y52-Q52,IF(V52="一部入荷",Y52-Q52,"")))</f>
      </c>
      <c r="AA52" s="331"/>
      <c r="AB52" s="331"/>
      <c r="AC52" s="331" t="str">
        <f>IF(F52="","",IF(V52="キャンセル済み","キャンセル済み",IF(AND(V52="入荷済み",Y52&gt;=Q52),"通常",IF(AND(W52&lt;TODAY(),W52&lt;&gt;"",V52&lt;&gt;"入荷済み"),"入荷遅延",IF(J52&lt;=K52,"セキュリティ在庫割れ",IF(J52&lt;=L52,"発注点到達",IF(Q52&lt;P52,"申請数が推奨数未満","通常")))))))</f>
      </c>
      <c r="AD52" s="332" t="str">
        <f>IF(F52="","",IF(N52=0,"不明",IF(J52/N52&lt;O52,"高リスク：リードタイム不足",IF(J52/N52&lt;O52+3,"中リスク","低リスク"))))</f>
      </c>
    </row>
    <row r="53" ht="19" customHeight="true">
      <c r="A53" s="330" t="str">
        <f>IF(F53="","","RL-"&amp;TEXT(ROW()-3,"0000"))</f>
      </c>
      <c r="B53" s="365"/>
      <c r="C53" s="331"/>
      <c r="D53" s="331"/>
      <c r="E53" s="331"/>
      <c r="F53" s="331"/>
      <c r="G53" s="331" t="str">
        <f>IF(F53="","",IFERROR(VLOOKUP(F53,'商品カタログ'!$A:$O,2,FALSE),""))</f>
      </c>
      <c r="H53" s="331" t="str">
        <f>IF(F53="","",IFERROR(VLOOKUP(F53,'商品カタログ'!$A:$O,3,FALSE),""))</f>
      </c>
      <c r="I53" s="331" t="str">
        <f>IF(F53="","",IFERROR(VLOOKUP(F53,'商品カタログ'!$A:$O,7,FALSE),""))</f>
      </c>
      <c r="J53" s="371"/>
      <c r="K53" s="371" t="str">
        <f>IF(F53="","",IFERROR(VLOOKUP(F53,'商品カタログ'!$A:$O,11,FALSE),""))</f>
      </c>
      <c r="L53" s="371" t="str">
        <f>IF(F53="","",IFERROR(VLOOKUP(F53,'商品カタログ'!$A:$O,12,FALSE),""))</f>
      </c>
      <c r="M53" s="371" t="str">
        <f>IF(F53="","",IFERROR(VLOOKUP(F53,'商品カタログ'!$A:$O,13,FALSE),""))</f>
      </c>
      <c r="N53" s="371"/>
      <c r="O53" s="371" t="str">
        <f>IF(F53="","",IFERROR(VLOOKUP(F53,'商品カタログ'!$A:$O,10,FALSE),""))</f>
      </c>
      <c r="P53" s="371" t="str">
        <f>IF(F53="","",IF(OR(J53&lt;=L53,J53-N53*O53&lt;=K53),MAX(IFERROR(VLOOKUP(F53,'商品カタログ'!$A:$O,8,FALSE),0),IFERROR(CEILING(MAX(0,M53-J53),MAX(1,VLOOKUP(F53,'商品カタログ'!$A:$O,9,FALSE))),MAX(0,M53-J53))),0))</f>
      </c>
      <c r="Q53" s="371"/>
      <c r="R53" s="331" t="str">
        <f>IF(F53="","",IFERROR(VLOOKUP(F53,'商品カタログ'!$A:$O,6,FALSE),""))</f>
      </c>
      <c r="S53" s="377" t="str">
        <f>IF(F53="","",IFERROR(VLOOKUP(F53,'商品カタログ'!$A:$O,14,FALSE),""))</f>
      </c>
      <c r="T53" s="377" t="str">
        <f>IF(F53="","",IFERROR(Q53*S53,0))</f>
      </c>
      <c r="U53" s="331"/>
      <c r="V53" s="331"/>
      <c r="W53" s="365" t="str">
        <f>IF(OR(B53="",O53=""),"",B53+O53)</f>
      </c>
      <c r="X53" s="365"/>
      <c r="Y53" s="371"/>
      <c r="Z53" s="371" t="str">
        <f>IF(F53="","",IF(V53="入荷済み",Y53-Q53,IF(V53="一部入荷",Y53-Q53,"")))</f>
      </c>
      <c r="AA53" s="331"/>
      <c r="AB53" s="331"/>
      <c r="AC53" s="331" t="str">
        <f>IF(F53="","",IF(V53="キャンセル済み","キャンセル済み",IF(AND(V53="入荷済み",Y53&gt;=Q53),"通常",IF(AND(W53&lt;TODAY(),W53&lt;&gt;"",V53&lt;&gt;"入荷済み"),"入荷遅延",IF(J53&lt;=K53,"セキュリティ在庫割れ",IF(J53&lt;=L53,"発注点到達",IF(Q53&lt;P53,"申請数が推奨数未満","通常")))))))</f>
      </c>
      <c r="AD53" s="332" t="str">
        <f>IF(F53="","",IF(N53=0,"不明",IF(J53/N53&lt;O53,"高リスク：リードタイム不足",IF(J53/N53&lt;O53+3,"中リスク","低リスク"))))</f>
      </c>
    </row>
    <row r="54" ht="19" customHeight="true">
      <c r="A54" s="330" t="str">
        <f>IF(F54="","","RL-"&amp;TEXT(ROW()-3,"0000"))</f>
      </c>
      <c r="B54" s="365"/>
      <c r="C54" s="331"/>
      <c r="D54" s="331"/>
      <c r="E54" s="331"/>
      <c r="F54" s="331"/>
      <c r="G54" s="331" t="str">
        <f>IF(F54="","",IFERROR(VLOOKUP(F54,'商品カタログ'!$A:$O,2,FALSE),""))</f>
      </c>
      <c r="H54" s="331" t="str">
        <f>IF(F54="","",IFERROR(VLOOKUP(F54,'商品カタログ'!$A:$O,3,FALSE),""))</f>
      </c>
      <c r="I54" s="331" t="str">
        <f>IF(F54="","",IFERROR(VLOOKUP(F54,'商品カタログ'!$A:$O,7,FALSE),""))</f>
      </c>
      <c r="J54" s="371"/>
      <c r="K54" s="371" t="str">
        <f>IF(F54="","",IFERROR(VLOOKUP(F54,'商品カタログ'!$A:$O,11,FALSE),""))</f>
      </c>
      <c r="L54" s="371" t="str">
        <f>IF(F54="","",IFERROR(VLOOKUP(F54,'商品カタログ'!$A:$O,12,FALSE),""))</f>
      </c>
      <c r="M54" s="371" t="str">
        <f>IF(F54="","",IFERROR(VLOOKUP(F54,'商品カタログ'!$A:$O,13,FALSE),""))</f>
      </c>
      <c r="N54" s="371"/>
      <c r="O54" s="371" t="str">
        <f>IF(F54="","",IFERROR(VLOOKUP(F54,'商品カタログ'!$A:$O,10,FALSE),""))</f>
      </c>
      <c r="P54" s="371" t="str">
        <f>IF(F54="","",IF(OR(J54&lt;=L54,J54-N54*O54&lt;=K54),MAX(IFERROR(VLOOKUP(F54,'商品カタログ'!$A:$O,8,FALSE),0),IFERROR(CEILING(MAX(0,M54-J54),MAX(1,VLOOKUP(F54,'商品カタログ'!$A:$O,9,FALSE))),MAX(0,M54-J54))),0))</f>
      </c>
      <c r="Q54" s="371"/>
      <c r="R54" s="331" t="str">
        <f>IF(F54="","",IFERROR(VLOOKUP(F54,'商品カタログ'!$A:$O,6,FALSE),""))</f>
      </c>
      <c r="S54" s="377" t="str">
        <f>IF(F54="","",IFERROR(VLOOKUP(F54,'商品カタログ'!$A:$O,14,FALSE),""))</f>
      </c>
      <c r="T54" s="377" t="str">
        <f>IF(F54="","",IFERROR(Q54*S54,0))</f>
      </c>
      <c r="U54" s="331"/>
      <c r="V54" s="331"/>
      <c r="W54" s="365" t="str">
        <f>IF(OR(B54="",O54=""),"",B54+O54)</f>
      </c>
      <c r="X54" s="365"/>
      <c r="Y54" s="371"/>
      <c r="Z54" s="371" t="str">
        <f>IF(F54="","",IF(V54="入荷済み",Y54-Q54,IF(V54="一部入荷",Y54-Q54,"")))</f>
      </c>
      <c r="AA54" s="331"/>
      <c r="AB54" s="331"/>
      <c r="AC54" s="331" t="str">
        <f>IF(F54="","",IF(V54="キャンセル済み","キャンセル済み",IF(AND(V54="入荷済み",Y54&gt;=Q54),"通常",IF(AND(W54&lt;TODAY(),W54&lt;&gt;"",V54&lt;&gt;"入荷済み"),"入荷遅延",IF(J54&lt;=K54,"セキュリティ在庫割れ",IF(J54&lt;=L54,"発注点到達",IF(Q54&lt;P54,"申請数が推奨数未満","通常")))))))</f>
      </c>
      <c r="AD54" s="332" t="str">
        <f>IF(F54="","",IF(N54=0,"不明",IF(J54/N54&lt;O54,"高リスク：リードタイム不足",IF(J54/N54&lt;O54+3,"中リスク","低リスク"))))</f>
      </c>
    </row>
    <row r="55" ht="19" customHeight="true">
      <c r="A55" s="330" t="str">
        <f>IF(F55="","","RL-"&amp;TEXT(ROW()-3,"0000"))</f>
      </c>
      <c r="B55" s="365"/>
      <c r="C55" s="331"/>
      <c r="D55" s="331"/>
      <c r="E55" s="331"/>
      <c r="F55" s="331"/>
      <c r="G55" s="331" t="str">
        <f>IF(F55="","",IFERROR(VLOOKUP(F55,'商品カタログ'!$A:$O,2,FALSE),""))</f>
      </c>
      <c r="H55" s="331" t="str">
        <f>IF(F55="","",IFERROR(VLOOKUP(F55,'商品カタログ'!$A:$O,3,FALSE),""))</f>
      </c>
      <c r="I55" s="331" t="str">
        <f>IF(F55="","",IFERROR(VLOOKUP(F55,'商品カタログ'!$A:$O,7,FALSE),""))</f>
      </c>
      <c r="J55" s="371"/>
      <c r="K55" s="371" t="str">
        <f>IF(F55="","",IFERROR(VLOOKUP(F55,'商品カタログ'!$A:$O,11,FALSE),""))</f>
      </c>
      <c r="L55" s="371" t="str">
        <f>IF(F55="","",IFERROR(VLOOKUP(F55,'商品カタログ'!$A:$O,12,FALSE),""))</f>
      </c>
      <c r="M55" s="371" t="str">
        <f>IF(F55="","",IFERROR(VLOOKUP(F55,'商品カタログ'!$A:$O,13,FALSE),""))</f>
      </c>
      <c r="N55" s="371"/>
      <c r="O55" s="371" t="str">
        <f>IF(F55="","",IFERROR(VLOOKUP(F55,'商品カタログ'!$A:$O,10,FALSE),""))</f>
      </c>
      <c r="P55" s="371" t="str">
        <f>IF(F55="","",IF(OR(J55&lt;=L55,J55-N55*O55&lt;=K55),MAX(IFERROR(VLOOKUP(F55,'商品カタログ'!$A:$O,8,FALSE),0),IFERROR(CEILING(MAX(0,M55-J55),MAX(1,VLOOKUP(F55,'商品カタログ'!$A:$O,9,FALSE))),MAX(0,M55-J55))),0))</f>
      </c>
      <c r="Q55" s="371"/>
      <c r="R55" s="331" t="str">
        <f>IF(F55="","",IFERROR(VLOOKUP(F55,'商品カタログ'!$A:$O,6,FALSE),""))</f>
      </c>
      <c r="S55" s="377" t="str">
        <f>IF(F55="","",IFERROR(VLOOKUP(F55,'商品カタログ'!$A:$O,14,FALSE),""))</f>
      </c>
      <c r="T55" s="377" t="str">
        <f>IF(F55="","",IFERROR(Q55*S55,0))</f>
      </c>
      <c r="U55" s="331"/>
      <c r="V55" s="331"/>
      <c r="W55" s="365" t="str">
        <f>IF(OR(B55="",O55=""),"",B55+O55)</f>
      </c>
      <c r="X55" s="365"/>
      <c r="Y55" s="371"/>
      <c r="Z55" s="371" t="str">
        <f>IF(F55="","",IF(V55="入荷済み",Y55-Q55,IF(V55="一部入荷",Y55-Q55,"")))</f>
      </c>
      <c r="AA55" s="331"/>
      <c r="AB55" s="331"/>
      <c r="AC55" s="331" t="str">
        <f>IF(F55="","",IF(V55="キャンセル済み","キャンセル済み",IF(AND(V55="入荷済み",Y55&gt;=Q55),"通常",IF(AND(W55&lt;TODAY(),W55&lt;&gt;"",V55&lt;&gt;"入荷済み"),"入荷遅延",IF(J55&lt;=K55,"セキュリティ在庫割れ",IF(J55&lt;=L55,"発注点到達",IF(Q55&lt;P55,"申請数が推奨数未満","通常")))))))</f>
      </c>
      <c r="AD55" s="332" t="str">
        <f>IF(F55="","",IF(N55=0,"不明",IF(J55/N55&lt;O55,"高リスク：リードタイム不足",IF(J55/N55&lt;O55+3,"中リスク","低リスク"))))</f>
      </c>
    </row>
    <row r="56" ht="19" customHeight="true">
      <c r="A56" s="330" t="str">
        <f>IF(F56="","","RL-"&amp;TEXT(ROW()-3,"0000"))</f>
      </c>
      <c r="B56" s="365"/>
      <c r="C56" s="331"/>
      <c r="D56" s="331"/>
      <c r="E56" s="331"/>
      <c r="F56" s="331"/>
      <c r="G56" s="331" t="str">
        <f>IF(F56="","",IFERROR(VLOOKUP(F56,'商品カタログ'!$A:$O,2,FALSE),""))</f>
      </c>
      <c r="H56" s="331" t="str">
        <f>IF(F56="","",IFERROR(VLOOKUP(F56,'商品カタログ'!$A:$O,3,FALSE),""))</f>
      </c>
      <c r="I56" s="331" t="str">
        <f>IF(F56="","",IFERROR(VLOOKUP(F56,'商品カタログ'!$A:$O,7,FALSE),""))</f>
      </c>
      <c r="J56" s="371"/>
      <c r="K56" s="371" t="str">
        <f>IF(F56="","",IFERROR(VLOOKUP(F56,'商品カタログ'!$A:$O,11,FALSE),""))</f>
      </c>
      <c r="L56" s="371" t="str">
        <f>IF(F56="","",IFERROR(VLOOKUP(F56,'商品カタログ'!$A:$O,12,FALSE),""))</f>
      </c>
      <c r="M56" s="371" t="str">
        <f>IF(F56="","",IFERROR(VLOOKUP(F56,'商品カタログ'!$A:$O,13,FALSE),""))</f>
      </c>
      <c r="N56" s="371"/>
      <c r="O56" s="371" t="str">
        <f>IF(F56="","",IFERROR(VLOOKUP(F56,'商品カタログ'!$A:$O,10,FALSE),""))</f>
      </c>
      <c r="P56" s="371" t="str">
        <f>IF(F56="","",IF(OR(J56&lt;=L56,J56-N56*O56&lt;=K56),MAX(IFERROR(VLOOKUP(F56,'商品カタログ'!$A:$O,8,FALSE),0),IFERROR(CEILING(MAX(0,M56-J56),MAX(1,VLOOKUP(F56,'商品カタログ'!$A:$O,9,FALSE))),MAX(0,M56-J56))),0))</f>
      </c>
      <c r="Q56" s="371"/>
      <c r="R56" s="331" t="str">
        <f>IF(F56="","",IFERROR(VLOOKUP(F56,'商品カタログ'!$A:$O,6,FALSE),""))</f>
      </c>
      <c r="S56" s="377" t="str">
        <f>IF(F56="","",IFERROR(VLOOKUP(F56,'商品カタログ'!$A:$O,14,FALSE),""))</f>
      </c>
      <c r="T56" s="377" t="str">
        <f>IF(F56="","",IFERROR(Q56*S56,0))</f>
      </c>
      <c r="U56" s="331"/>
      <c r="V56" s="331"/>
      <c r="W56" s="365" t="str">
        <f>IF(OR(B56="",O56=""),"",B56+O56)</f>
      </c>
      <c r="X56" s="365"/>
      <c r="Y56" s="371"/>
      <c r="Z56" s="371" t="str">
        <f>IF(F56="","",IF(V56="入荷済み",Y56-Q56,IF(V56="一部入荷",Y56-Q56,"")))</f>
      </c>
      <c r="AA56" s="331"/>
      <c r="AB56" s="331"/>
      <c r="AC56" s="331" t="str">
        <f>IF(F56="","",IF(V56="キャンセル済み","キャンセル済み",IF(AND(V56="入荷済み",Y56&gt;=Q56),"通常",IF(AND(W56&lt;TODAY(),W56&lt;&gt;"",V56&lt;&gt;"入荷済み"),"入荷遅延",IF(J56&lt;=K56,"セキュリティ在庫割れ",IF(J56&lt;=L56,"発注点到達",IF(Q56&lt;P56,"申請数が推奨数未満","通常")))))))</f>
      </c>
      <c r="AD56" s="332" t="str">
        <f>IF(F56="","",IF(N56=0,"不明",IF(J56/N56&lt;O56,"高リスク：リードタイム不足",IF(J56/N56&lt;O56+3,"中リスク","低リスク"))))</f>
      </c>
    </row>
    <row r="57" ht="19" customHeight="true">
      <c r="A57" s="330" t="str">
        <f>IF(F57="","","RL-"&amp;TEXT(ROW()-3,"0000"))</f>
      </c>
      <c r="B57" s="365"/>
      <c r="C57" s="331"/>
      <c r="D57" s="331"/>
      <c r="E57" s="331"/>
      <c r="F57" s="331"/>
      <c r="G57" s="331" t="str">
        <f>IF(F57="","",IFERROR(VLOOKUP(F57,'商品カタログ'!$A:$O,2,FALSE),""))</f>
      </c>
      <c r="H57" s="331" t="str">
        <f>IF(F57="","",IFERROR(VLOOKUP(F57,'商品カタログ'!$A:$O,3,FALSE),""))</f>
      </c>
      <c r="I57" s="331" t="str">
        <f>IF(F57="","",IFERROR(VLOOKUP(F57,'商品カタログ'!$A:$O,7,FALSE),""))</f>
      </c>
      <c r="J57" s="371"/>
      <c r="K57" s="371" t="str">
        <f>IF(F57="","",IFERROR(VLOOKUP(F57,'商品カタログ'!$A:$O,11,FALSE),""))</f>
      </c>
      <c r="L57" s="371" t="str">
        <f>IF(F57="","",IFERROR(VLOOKUP(F57,'商品カタログ'!$A:$O,12,FALSE),""))</f>
      </c>
      <c r="M57" s="371" t="str">
        <f>IF(F57="","",IFERROR(VLOOKUP(F57,'商品カタログ'!$A:$O,13,FALSE),""))</f>
      </c>
      <c r="N57" s="371"/>
      <c r="O57" s="371" t="str">
        <f>IF(F57="","",IFERROR(VLOOKUP(F57,'商品カタログ'!$A:$O,10,FALSE),""))</f>
      </c>
      <c r="P57" s="371" t="str">
        <f>IF(F57="","",IF(OR(J57&lt;=L57,J57-N57*O57&lt;=K57),MAX(IFERROR(VLOOKUP(F57,'商品カタログ'!$A:$O,8,FALSE),0),IFERROR(CEILING(MAX(0,M57-J57),MAX(1,VLOOKUP(F57,'商品カタログ'!$A:$O,9,FALSE))),MAX(0,M57-J57))),0))</f>
      </c>
      <c r="Q57" s="371"/>
      <c r="R57" s="331" t="str">
        <f>IF(F57="","",IFERROR(VLOOKUP(F57,'商品カタログ'!$A:$O,6,FALSE),""))</f>
      </c>
      <c r="S57" s="377" t="str">
        <f>IF(F57="","",IFERROR(VLOOKUP(F57,'商品カタログ'!$A:$O,14,FALSE),""))</f>
      </c>
      <c r="T57" s="377" t="str">
        <f>IF(F57="","",IFERROR(Q57*S57,0))</f>
      </c>
      <c r="U57" s="331"/>
      <c r="V57" s="331"/>
      <c r="W57" s="365" t="str">
        <f>IF(OR(B57="",O57=""),"",B57+O57)</f>
      </c>
      <c r="X57" s="365"/>
      <c r="Y57" s="371"/>
      <c r="Z57" s="371" t="str">
        <f>IF(F57="","",IF(V57="入荷済み",Y57-Q57,IF(V57="一部入荷",Y57-Q57,"")))</f>
      </c>
      <c r="AA57" s="331"/>
      <c r="AB57" s="331"/>
      <c r="AC57" s="331" t="str">
        <f>IF(F57="","",IF(V57="キャンセル済み","キャンセル済み",IF(AND(V57="入荷済み",Y57&gt;=Q57),"通常",IF(AND(W57&lt;TODAY(),W57&lt;&gt;"",V57&lt;&gt;"入荷済み"),"入荷遅延",IF(J57&lt;=K57,"セキュリティ在庫割れ",IF(J57&lt;=L57,"発注点到達",IF(Q57&lt;P57,"申請数が推奨数未満","通常")))))))</f>
      </c>
      <c r="AD57" s="332" t="str">
        <f>IF(F57="","",IF(N57=0,"不明",IF(J57/N57&lt;O57,"高リスク：リードタイム不足",IF(J57/N57&lt;O57+3,"中リスク","低リスク"))))</f>
      </c>
    </row>
    <row r="58" ht="19" customHeight="true">
      <c r="A58" s="330" t="str">
        <f>IF(F58="","","RL-"&amp;TEXT(ROW()-3,"0000"))</f>
      </c>
      <c r="B58" s="365"/>
      <c r="C58" s="331"/>
      <c r="D58" s="331"/>
      <c r="E58" s="331"/>
      <c r="F58" s="331"/>
      <c r="G58" s="331" t="str">
        <f>IF(F58="","",IFERROR(VLOOKUP(F58,'商品カタログ'!$A:$O,2,FALSE),""))</f>
      </c>
      <c r="H58" s="331" t="str">
        <f>IF(F58="","",IFERROR(VLOOKUP(F58,'商品カタログ'!$A:$O,3,FALSE),""))</f>
      </c>
      <c r="I58" s="331" t="str">
        <f>IF(F58="","",IFERROR(VLOOKUP(F58,'商品カタログ'!$A:$O,7,FALSE),""))</f>
      </c>
      <c r="J58" s="371"/>
      <c r="K58" s="371" t="str">
        <f>IF(F58="","",IFERROR(VLOOKUP(F58,'商品カタログ'!$A:$O,11,FALSE),""))</f>
      </c>
      <c r="L58" s="371" t="str">
        <f>IF(F58="","",IFERROR(VLOOKUP(F58,'商品カタログ'!$A:$O,12,FALSE),""))</f>
      </c>
      <c r="M58" s="371" t="str">
        <f>IF(F58="","",IFERROR(VLOOKUP(F58,'商品カタログ'!$A:$O,13,FALSE),""))</f>
      </c>
      <c r="N58" s="371"/>
      <c r="O58" s="371" t="str">
        <f>IF(F58="","",IFERROR(VLOOKUP(F58,'商品カタログ'!$A:$O,10,FALSE),""))</f>
      </c>
      <c r="P58" s="371" t="str">
        <f>IF(F58="","",IF(OR(J58&lt;=L58,J58-N58*O58&lt;=K58),MAX(IFERROR(VLOOKUP(F58,'商品カタログ'!$A:$O,8,FALSE),0),IFERROR(CEILING(MAX(0,M58-J58),MAX(1,VLOOKUP(F58,'商品カタログ'!$A:$O,9,FALSE))),MAX(0,M58-J58))),0))</f>
      </c>
      <c r="Q58" s="371"/>
      <c r="R58" s="331" t="str">
        <f>IF(F58="","",IFERROR(VLOOKUP(F58,'商品カタログ'!$A:$O,6,FALSE),""))</f>
      </c>
      <c r="S58" s="377" t="str">
        <f>IF(F58="","",IFERROR(VLOOKUP(F58,'商品カタログ'!$A:$O,14,FALSE),""))</f>
      </c>
      <c r="T58" s="377" t="str">
        <f>IF(F58="","",IFERROR(Q58*S58,0))</f>
      </c>
      <c r="U58" s="331"/>
      <c r="V58" s="331"/>
      <c r="W58" s="365" t="str">
        <f>IF(OR(B58="",O58=""),"",B58+O58)</f>
      </c>
      <c r="X58" s="365"/>
      <c r="Y58" s="371"/>
      <c r="Z58" s="371" t="str">
        <f>IF(F58="","",IF(V58="入荷済み",Y58-Q58,IF(V58="一部入荷",Y58-Q58,"")))</f>
      </c>
      <c r="AA58" s="331"/>
      <c r="AB58" s="331"/>
      <c r="AC58" s="331" t="str">
        <f>IF(F58="","",IF(V58="キャンセル済み","キャンセル済み",IF(AND(V58="入荷済み",Y58&gt;=Q58),"通常",IF(AND(W58&lt;TODAY(),W58&lt;&gt;"",V58&lt;&gt;"入荷済み"),"入荷遅延",IF(J58&lt;=K58,"セキュリティ在庫割れ",IF(J58&lt;=L58,"発注点到達",IF(Q58&lt;P58,"申請数が推奨数未満","通常")))))))</f>
      </c>
      <c r="AD58" s="332" t="str">
        <f>IF(F58="","",IF(N58=0,"不明",IF(J58/N58&lt;O58,"高リスク：リードタイム不足",IF(J58/N58&lt;O58+3,"中リスク","低リスク"))))</f>
      </c>
    </row>
    <row r="59" ht="19" customHeight="true">
      <c r="A59" s="330" t="str">
        <f>IF(F59="","","RL-"&amp;TEXT(ROW()-3,"0000"))</f>
      </c>
      <c r="B59" s="365"/>
      <c r="C59" s="331"/>
      <c r="D59" s="331"/>
      <c r="E59" s="331"/>
      <c r="F59" s="331"/>
      <c r="G59" s="331" t="str">
        <f>IF(F59="","",IFERROR(VLOOKUP(F59,'商品カタログ'!$A:$O,2,FALSE),""))</f>
      </c>
      <c r="H59" s="331" t="str">
        <f>IF(F59="","",IFERROR(VLOOKUP(F59,'商品カタログ'!$A:$O,3,FALSE),""))</f>
      </c>
      <c r="I59" s="331" t="str">
        <f>IF(F59="","",IFERROR(VLOOKUP(F59,'商品カタログ'!$A:$O,7,FALSE),""))</f>
      </c>
      <c r="J59" s="371"/>
      <c r="K59" s="371" t="str">
        <f>IF(F59="","",IFERROR(VLOOKUP(F59,'商品カタログ'!$A:$O,11,FALSE),""))</f>
      </c>
      <c r="L59" s="371" t="str">
        <f>IF(F59="","",IFERROR(VLOOKUP(F59,'商品カタログ'!$A:$O,12,FALSE),""))</f>
      </c>
      <c r="M59" s="371" t="str">
        <f>IF(F59="","",IFERROR(VLOOKUP(F59,'商品カタログ'!$A:$O,13,FALSE),""))</f>
      </c>
      <c r="N59" s="371"/>
      <c r="O59" s="371" t="str">
        <f>IF(F59="","",IFERROR(VLOOKUP(F59,'商品カタログ'!$A:$O,10,FALSE),""))</f>
      </c>
      <c r="P59" s="371" t="str">
        <f>IF(F59="","",IF(OR(J59&lt;=L59,J59-N59*O59&lt;=K59),MAX(IFERROR(VLOOKUP(F59,'商品カタログ'!$A:$O,8,FALSE),0),IFERROR(CEILING(MAX(0,M59-J59),MAX(1,VLOOKUP(F59,'商品カタログ'!$A:$O,9,FALSE))),MAX(0,M59-J59))),0))</f>
      </c>
      <c r="Q59" s="371"/>
      <c r="R59" s="331" t="str">
        <f>IF(F59="","",IFERROR(VLOOKUP(F59,'商品カタログ'!$A:$O,6,FALSE),""))</f>
      </c>
      <c r="S59" s="377" t="str">
        <f>IF(F59="","",IFERROR(VLOOKUP(F59,'商品カタログ'!$A:$O,14,FALSE),""))</f>
      </c>
      <c r="T59" s="377" t="str">
        <f>IF(F59="","",IFERROR(Q59*S59,0))</f>
      </c>
      <c r="U59" s="331"/>
      <c r="V59" s="331"/>
      <c r="W59" s="365" t="str">
        <f>IF(OR(B59="",O59=""),"",B59+O59)</f>
      </c>
      <c r="X59" s="365"/>
      <c r="Y59" s="371"/>
      <c r="Z59" s="371" t="str">
        <f>IF(F59="","",IF(V59="入荷済み",Y59-Q59,IF(V59="一部入荷",Y59-Q59,"")))</f>
      </c>
      <c r="AA59" s="331"/>
      <c r="AB59" s="331"/>
      <c r="AC59" s="331" t="str">
        <f>IF(F59="","",IF(V59="キャンセル済み","キャンセル済み",IF(AND(V59="入荷済み",Y59&gt;=Q59),"通常",IF(AND(W59&lt;TODAY(),W59&lt;&gt;"",V59&lt;&gt;"入荷済み"),"入荷遅延",IF(J59&lt;=K59,"セキュリティ在庫割れ",IF(J59&lt;=L59,"発注点到達",IF(Q59&lt;P59,"申請数が推奨数未満","通常")))))))</f>
      </c>
      <c r="AD59" s="332" t="str">
        <f>IF(F59="","",IF(N59=0,"不明",IF(J59/N59&lt;O59,"高リスク：リードタイム不足",IF(J59/N59&lt;O59+3,"中リスク","低リスク"))))</f>
      </c>
    </row>
    <row r="60" ht="19" customHeight="true">
      <c r="A60" s="330" t="str">
        <f>IF(F60="","","RL-"&amp;TEXT(ROW()-3,"0000"))</f>
      </c>
      <c r="B60" s="365"/>
      <c r="C60" s="331"/>
      <c r="D60" s="331"/>
      <c r="E60" s="331"/>
      <c r="F60" s="331"/>
      <c r="G60" s="331" t="str">
        <f>IF(F60="","",IFERROR(VLOOKUP(F60,'商品カタログ'!$A:$O,2,FALSE),""))</f>
      </c>
      <c r="H60" s="331" t="str">
        <f>IF(F60="","",IFERROR(VLOOKUP(F60,'商品カタログ'!$A:$O,3,FALSE),""))</f>
      </c>
      <c r="I60" s="331" t="str">
        <f>IF(F60="","",IFERROR(VLOOKUP(F60,'商品カタログ'!$A:$O,7,FALSE),""))</f>
      </c>
      <c r="J60" s="371"/>
      <c r="K60" s="371" t="str">
        <f>IF(F60="","",IFERROR(VLOOKUP(F60,'商品カタログ'!$A:$O,11,FALSE),""))</f>
      </c>
      <c r="L60" s="371" t="str">
        <f>IF(F60="","",IFERROR(VLOOKUP(F60,'商品カタログ'!$A:$O,12,FALSE),""))</f>
      </c>
      <c r="M60" s="371" t="str">
        <f>IF(F60="","",IFERROR(VLOOKUP(F60,'商品カタログ'!$A:$O,13,FALSE),""))</f>
      </c>
      <c r="N60" s="371"/>
      <c r="O60" s="371" t="str">
        <f>IF(F60="","",IFERROR(VLOOKUP(F60,'商品カタログ'!$A:$O,10,FALSE),""))</f>
      </c>
      <c r="P60" s="371" t="str">
        <f>IF(F60="","",IF(OR(J60&lt;=L60,J60-N60*O60&lt;=K60),MAX(IFERROR(VLOOKUP(F60,'商品カタログ'!$A:$O,8,FALSE),0),IFERROR(CEILING(MAX(0,M60-J60),MAX(1,VLOOKUP(F60,'商品カタログ'!$A:$O,9,FALSE))),MAX(0,M60-J60))),0))</f>
      </c>
      <c r="Q60" s="371"/>
      <c r="R60" s="331" t="str">
        <f>IF(F60="","",IFERROR(VLOOKUP(F60,'商品カタログ'!$A:$O,6,FALSE),""))</f>
      </c>
      <c r="S60" s="377" t="str">
        <f>IF(F60="","",IFERROR(VLOOKUP(F60,'商品カタログ'!$A:$O,14,FALSE),""))</f>
      </c>
      <c r="T60" s="377" t="str">
        <f>IF(F60="","",IFERROR(Q60*S60,0))</f>
      </c>
      <c r="U60" s="331"/>
      <c r="V60" s="331"/>
      <c r="W60" s="365" t="str">
        <f>IF(OR(B60="",O60=""),"",B60+O60)</f>
      </c>
      <c r="X60" s="365"/>
      <c r="Y60" s="371"/>
      <c r="Z60" s="371" t="str">
        <f>IF(F60="","",IF(V60="入荷済み",Y60-Q60,IF(V60="一部入荷",Y60-Q60,"")))</f>
      </c>
      <c r="AA60" s="331"/>
      <c r="AB60" s="331"/>
      <c r="AC60" s="331" t="str">
        <f>IF(F60="","",IF(V60="キャンセル済み","キャンセル済み",IF(AND(V60="入荷済み",Y60&gt;=Q60),"通常",IF(AND(W60&lt;TODAY(),W60&lt;&gt;"",V60&lt;&gt;"入荷済み"),"入荷遅延",IF(J60&lt;=K60,"セキュリティ在庫割れ",IF(J60&lt;=L60,"発注点到達",IF(Q60&lt;P60,"申請数が推奨数未満","通常")))))))</f>
      </c>
      <c r="AD60" s="332" t="str">
        <f>IF(F60="","",IF(N60=0,"不明",IF(J60/N60&lt;O60,"高リスク：リードタイム不足",IF(J60/N60&lt;O60+3,"中リスク","低リスク"))))</f>
      </c>
    </row>
    <row r="61" ht="19" customHeight="true">
      <c r="A61" s="330" t="str">
        <f>IF(F61="","","RL-"&amp;TEXT(ROW()-3,"0000"))</f>
      </c>
      <c r="B61" s="365"/>
      <c r="C61" s="331"/>
      <c r="D61" s="331"/>
      <c r="E61" s="331"/>
      <c r="F61" s="331"/>
      <c r="G61" s="331" t="str">
        <f>IF(F61="","",IFERROR(VLOOKUP(F61,'商品カタログ'!$A:$O,2,FALSE),""))</f>
      </c>
      <c r="H61" s="331" t="str">
        <f>IF(F61="","",IFERROR(VLOOKUP(F61,'商品カタログ'!$A:$O,3,FALSE),""))</f>
      </c>
      <c r="I61" s="331" t="str">
        <f>IF(F61="","",IFERROR(VLOOKUP(F61,'商品カタログ'!$A:$O,7,FALSE),""))</f>
      </c>
      <c r="J61" s="371"/>
      <c r="K61" s="371" t="str">
        <f>IF(F61="","",IFERROR(VLOOKUP(F61,'商品カタログ'!$A:$O,11,FALSE),""))</f>
      </c>
      <c r="L61" s="371" t="str">
        <f>IF(F61="","",IFERROR(VLOOKUP(F61,'商品カタログ'!$A:$O,12,FALSE),""))</f>
      </c>
      <c r="M61" s="371" t="str">
        <f>IF(F61="","",IFERROR(VLOOKUP(F61,'商品カタログ'!$A:$O,13,FALSE),""))</f>
      </c>
      <c r="N61" s="371"/>
      <c r="O61" s="371" t="str">
        <f>IF(F61="","",IFERROR(VLOOKUP(F61,'商品カタログ'!$A:$O,10,FALSE),""))</f>
      </c>
      <c r="P61" s="371" t="str">
        <f>IF(F61="","",IF(OR(J61&lt;=L61,J61-N61*O61&lt;=K61),MAX(IFERROR(VLOOKUP(F61,'商品カタログ'!$A:$O,8,FALSE),0),IFERROR(CEILING(MAX(0,M61-J61),MAX(1,VLOOKUP(F61,'商品カタログ'!$A:$O,9,FALSE))),MAX(0,M61-J61))),0))</f>
      </c>
      <c r="Q61" s="371"/>
      <c r="R61" s="331" t="str">
        <f>IF(F61="","",IFERROR(VLOOKUP(F61,'商品カタログ'!$A:$O,6,FALSE),""))</f>
      </c>
      <c r="S61" s="377" t="str">
        <f>IF(F61="","",IFERROR(VLOOKUP(F61,'商品カタログ'!$A:$O,14,FALSE),""))</f>
      </c>
      <c r="T61" s="377" t="str">
        <f>IF(F61="","",IFERROR(Q61*S61,0))</f>
      </c>
      <c r="U61" s="331"/>
      <c r="V61" s="331"/>
      <c r="W61" s="365" t="str">
        <f>IF(OR(B61="",O61=""),"",B61+O61)</f>
      </c>
      <c r="X61" s="365"/>
      <c r="Y61" s="371"/>
      <c r="Z61" s="371" t="str">
        <f>IF(F61="","",IF(V61="入荷済み",Y61-Q61,IF(V61="一部入荷",Y61-Q61,"")))</f>
      </c>
      <c r="AA61" s="331"/>
      <c r="AB61" s="331"/>
      <c r="AC61" s="331" t="str">
        <f>IF(F61="","",IF(V61="キャンセル済み","キャンセル済み",IF(AND(V61="入荷済み",Y61&gt;=Q61),"通常",IF(AND(W61&lt;TODAY(),W61&lt;&gt;"",V61&lt;&gt;"入荷済み"),"入荷遅延",IF(J61&lt;=K61,"セキュリティ在庫割れ",IF(J61&lt;=L61,"発注点到達",IF(Q61&lt;P61,"申請数が推奨数未満","通常")))))))</f>
      </c>
      <c r="AD61" s="332" t="str">
        <f>IF(F61="","",IF(N61=0,"不明",IF(J61/N61&lt;O61,"高リスク：リードタイム不足",IF(J61/N61&lt;O61+3,"中リスク","低リスク"))))</f>
      </c>
    </row>
    <row r="62" ht="19" customHeight="true">
      <c r="A62" s="330" t="str">
        <f>IF(F62="","","RL-"&amp;TEXT(ROW()-3,"0000"))</f>
      </c>
      <c r="B62" s="365"/>
      <c r="C62" s="331"/>
      <c r="D62" s="331"/>
      <c r="E62" s="331"/>
      <c r="F62" s="331"/>
      <c r="G62" s="331" t="str">
        <f>IF(F62="","",IFERROR(VLOOKUP(F62,'商品カタログ'!$A:$O,2,FALSE),""))</f>
      </c>
      <c r="H62" s="331" t="str">
        <f>IF(F62="","",IFERROR(VLOOKUP(F62,'商品カタログ'!$A:$O,3,FALSE),""))</f>
      </c>
      <c r="I62" s="331" t="str">
        <f>IF(F62="","",IFERROR(VLOOKUP(F62,'商品カタログ'!$A:$O,7,FALSE),""))</f>
      </c>
      <c r="J62" s="371"/>
      <c r="K62" s="371" t="str">
        <f>IF(F62="","",IFERROR(VLOOKUP(F62,'商品カタログ'!$A:$O,11,FALSE),""))</f>
      </c>
      <c r="L62" s="371" t="str">
        <f>IF(F62="","",IFERROR(VLOOKUP(F62,'商品カタログ'!$A:$O,12,FALSE),""))</f>
      </c>
      <c r="M62" s="371" t="str">
        <f>IF(F62="","",IFERROR(VLOOKUP(F62,'商品カタログ'!$A:$O,13,FALSE),""))</f>
      </c>
      <c r="N62" s="371"/>
      <c r="O62" s="371" t="str">
        <f>IF(F62="","",IFERROR(VLOOKUP(F62,'商品カタログ'!$A:$O,10,FALSE),""))</f>
      </c>
      <c r="P62" s="371" t="str">
        <f>IF(F62="","",IF(OR(J62&lt;=L62,J62-N62*O62&lt;=K62),MAX(IFERROR(VLOOKUP(F62,'商品カタログ'!$A:$O,8,FALSE),0),IFERROR(CEILING(MAX(0,M62-J62),MAX(1,VLOOKUP(F62,'商品カタログ'!$A:$O,9,FALSE))),MAX(0,M62-J62))),0))</f>
      </c>
      <c r="Q62" s="371"/>
      <c r="R62" s="331" t="str">
        <f>IF(F62="","",IFERROR(VLOOKUP(F62,'商品カタログ'!$A:$O,6,FALSE),""))</f>
      </c>
      <c r="S62" s="377" t="str">
        <f>IF(F62="","",IFERROR(VLOOKUP(F62,'商品カタログ'!$A:$O,14,FALSE),""))</f>
      </c>
      <c r="T62" s="377" t="str">
        <f>IF(F62="","",IFERROR(Q62*S62,0))</f>
      </c>
      <c r="U62" s="331"/>
      <c r="V62" s="331"/>
      <c r="W62" s="365" t="str">
        <f>IF(OR(B62="",O62=""),"",B62+O62)</f>
      </c>
      <c r="X62" s="365"/>
      <c r="Y62" s="371"/>
      <c r="Z62" s="371" t="str">
        <f>IF(F62="","",IF(V62="入荷済み",Y62-Q62,IF(V62="一部入荷",Y62-Q62,"")))</f>
      </c>
      <c r="AA62" s="331"/>
      <c r="AB62" s="331"/>
      <c r="AC62" s="331" t="str">
        <f>IF(F62="","",IF(V62="キャンセル済み","キャンセル済み",IF(AND(V62="入荷済み",Y62&gt;=Q62),"通常",IF(AND(W62&lt;TODAY(),W62&lt;&gt;"",V62&lt;&gt;"入荷済み"),"入荷遅延",IF(J62&lt;=K62,"セキュリティ在庫割れ",IF(J62&lt;=L62,"発注点到達",IF(Q62&lt;P62,"申請数が推奨数未満","通常")))))))</f>
      </c>
      <c r="AD62" s="332" t="str">
        <f>IF(F62="","",IF(N62=0,"不明",IF(J62/N62&lt;O62,"高リスク：リードタイム不足",IF(J62/N62&lt;O62+3,"中リスク","低リスク"))))</f>
      </c>
    </row>
    <row r="63" ht="19" customHeight="true">
      <c r="A63" s="330" t="str">
        <f>IF(F63="","","RL-"&amp;TEXT(ROW()-3,"0000"))</f>
      </c>
      <c r="B63" s="365"/>
      <c r="C63" s="331"/>
      <c r="D63" s="331"/>
      <c r="E63" s="331"/>
      <c r="F63" s="331"/>
      <c r="G63" s="331" t="str">
        <f>IF(F63="","",IFERROR(VLOOKUP(F63,'商品カタログ'!$A:$O,2,FALSE),""))</f>
      </c>
      <c r="H63" s="331" t="str">
        <f>IF(F63="","",IFERROR(VLOOKUP(F63,'商品カタログ'!$A:$O,3,FALSE),""))</f>
      </c>
      <c r="I63" s="331" t="str">
        <f>IF(F63="","",IFERROR(VLOOKUP(F63,'商品カタログ'!$A:$O,7,FALSE),""))</f>
      </c>
      <c r="J63" s="371"/>
      <c r="K63" s="371" t="str">
        <f>IF(F63="","",IFERROR(VLOOKUP(F63,'商品カタログ'!$A:$O,11,FALSE),""))</f>
      </c>
      <c r="L63" s="371" t="str">
        <f>IF(F63="","",IFERROR(VLOOKUP(F63,'商品カタログ'!$A:$O,12,FALSE),""))</f>
      </c>
      <c r="M63" s="371" t="str">
        <f>IF(F63="","",IFERROR(VLOOKUP(F63,'商品カタログ'!$A:$O,13,FALSE),""))</f>
      </c>
      <c r="N63" s="371"/>
      <c r="O63" s="371" t="str">
        <f>IF(F63="","",IFERROR(VLOOKUP(F63,'商品カタログ'!$A:$O,10,FALSE),""))</f>
      </c>
      <c r="P63" s="371" t="str">
        <f>IF(F63="","",IF(OR(J63&lt;=L63,J63-N63*O63&lt;=K63),MAX(IFERROR(VLOOKUP(F63,'商品カタログ'!$A:$O,8,FALSE),0),IFERROR(CEILING(MAX(0,M63-J63),MAX(1,VLOOKUP(F63,'商品カタログ'!$A:$O,9,FALSE))),MAX(0,M63-J63))),0))</f>
      </c>
      <c r="Q63" s="371"/>
      <c r="R63" s="331" t="str">
        <f>IF(F63="","",IFERROR(VLOOKUP(F63,'商品カタログ'!$A:$O,6,FALSE),""))</f>
      </c>
      <c r="S63" s="377" t="str">
        <f>IF(F63="","",IFERROR(VLOOKUP(F63,'商品カタログ'!$A:$O,14,FALSE),""))</f>
      </c>
      <c r="T63" s="377" t="str">
        <f>IF(F63="","",IFERROR(Q63*S63,0))</f>
      </c>
      <c r="U63" s="331"/>
      <c r="V63" s="331"/>
      <c r="W63" s="365" t="str">
        <f>IF(OR(B63="",O63=""),"",B63+O63)</f>
      </c>
      <c r="X63" s="365"/>
      <c r="Y63" s="371"/>
      <c r="Z63" s="371" t="str">
        <f>IF(F63="","",IF(V63="入荷済み",Y63-Q63,IF(V63="一部入荷",Y63-Q63,"")))</f>
      </c>
      <c r="AA63" s="331"/>
      <c r="AB63" s="331"/>
      <c r="AC63" s="331" t="str">
        <f>IF(F63="","",IF(V63="キャンセル済み","キャンセル済み",IF(AND(V63="入荷済み",Y63&gt;=Q63),"通常",IF(AND(W63&lt;TODAY(),W63&lt;&gt;"",V63&lt;&gt;"入荷済み"),"入荷遅延",IF(J63&lt;=K63,"セキュリティ在庫割れ",IF(J63&lt;=L63,"発注点到達",IF(Q63&lt;P63,"申請数が推奨数未満","通常")))))))</f>
      </c>
      <c r="AD63" s="332" t="str">
        <f>IF(F63="","",IF(N63=0,"不明",IF(J63/N63&lt;O63,"高リスク：リードタイム不足",IF(J63/N63&lt;O63+3,"中リスク","低リスク"))))</f>
      </c>
    </row>
    <row r="64" ht="19" customHeight="true">
      <c r="A64" s="330" t="str">
        <f>IF(F64="","","RL-"&amp;TEXT(ROW()-3,"0000"))</f>
      </c>
      <c r="B64" s="365"/>
      <c r="C64" s="331"/>
      <c r="D64" s="331"/>
      <c r="E64" s="331"/>
      <c r="F64" s="331"/>
      <c r="G64" s="331" t="str">
        <f>IF(F64="","",IFERROR(VLOOKUP(F64,'商品カタログ'!$A:$O,2,FALSE),""))</f>
      </c>
      <c r="H64" s="331" t="str">
        <f>IF(F64="","",IFERROR(VLOOKUP(F64,'商品カタログ'!$A:$O,3,FALSE),""))</f>
      </c>
      <c r="I64" s="331" t="str">
        <f>IF(F64="","",IFERROR(VLOOKUP(F64,'商品カタログ'!$A:$O,7,FALSE),""))</f>
      </c>
      <c r="J64" s="371"/>
      <c r="K64" s="371" t="str">
        <f>IF(F64="","",IFERROR(VLOOKUP(F64,'商品カタログ'!$A:$O,11,FALSE),""))</f>
      </c>
      <c r="L64" s="371" t="str">
        <f>IF(F64="","",IFERROR(VLOOKUP(F64,'商品カタログ'!$A:$O,12,FALSE),""))</f>
      </c>
      <c r="M64" s="371" t="str">
        <f>IF(F64="","",IFERROR(VLOOKUP(F64,'商品カタログ'!$A:$O,13,FALSE),""))</f>
      </c>
      <c r="N64" s="371"/>
      <c r="O64" s="371" t="str">
        <f>IF(F64="","",IFERROR(VLOOKUP(F64,'商品カタログ'!$A:$O,10,FALSE),""))</f>
      </c>
      <c r="P64" s="371" t="str">
        <f>IF(F64="","",IF(OR(J64&lt;=L64,J64-N64*O64&lt;=K64),MAX(IFERROR(VLOOKUP(F64,'商品カタログ'!$A:$O,8,FALSE),0),IFERROR(CEILING(MAX(0,M64-J64),MAX(1,VLOOKUP(F64,'商品カタログ'!$A:$O,9,FALSE))),MAX(0,M64-J64))),0))</f>
      </c>
      <c r="Q64" s="371"/>
      <c r="R64" s="331" t="str">
        <f>IF(F64="","",IFERROR(VLOOKUP(F64,'商品カタログ'!$A:$O,6,FALSE),""))</f>
      </c>
      <c r="S64" s="377" t="str">
        <f>IF(F64="","",IFERROR(VLOOKUP(F64,'商品カタログ'!$A:$O,14,FALSE),""))</f>
      </c>
      <c r="T64" s="377" t="str">
        <f>IF(F64="","",IFERROR(Q64*S64,0))</f>
      </c>
      <c r="U64" s="331"/>
      <c r="V64" s="331"/>
      <c r="W64" s="365" t="str">
        <f>IF(OR(B64="",O64=""),"",B64+O64)</f>
      </c>
      <c r="X64" s="365"/>
      <c r="Y64" s="371"/>
      <c r="Z64" s="371" t="str">
        <f>IF(F64="","",IF(V64="入荷済み",Y64-Q64,IF(V64="一部入荷",Y64-Q64,"")))</f>
      </c>
      <c r="AA64" s="331"/>
      <c r="AB64" s="331"/>
      <c r="AC64" s="331" t="str">
        <f>IF(F64="","",IF(V64="キャンセル済み","キャンセル済み",IF(AND(V64="入荷済み",Y64&gt;=Q64),"通常",IF(AND(W64&lt;TODAY(),W64&lt;&gt;"",V64&lt;&gt;"入荷済み"),"入荷遅延",IF(J64&lt;=K64,"セキュリティ在庫割れ",IF(J64&lt;=L64,"発注点到達",IF(Q64&lt;P64,"申請数が推奨数未満","通常")))))))</f>
      </c>
      <c r="AD64" s="332" t="str">
        <f>IF(F64="","",IF(N64=0,"不明",IF(J64/N64&lt;O64,"高リスク：リードタイム不足",IF(J64/N64&lt;O64+3,"中リスク","低リスク"))))</f>
      </c>
    </row>
    <row r="65" ht="19" customHeight="true">
      <c r="A65" s="330" t="str">
        <f>IF(F65="","","RL-"&amp;TEXT(ROW()-3,"0000"))</f>
      </c>
      <c r="B65" s="365"/>
      <c r="C65" s="331"/>
      <c r="D65" s="331"/>
      <c r="E65" s="331"/>
      <c r="F65" s="331"/>
      <c r="G65" s="331" t="str">
        <f>IF(F65="","",IFERROR(VLOOKUP(F65,'商品カタログ'!$A:$O,2,FALSE),""))</f>
      </c>
      <c r="H65" s="331" t="str">
        <f>IF(F65="","",IFERROR(VLOOKUP(F65,'商品カタログ'!$A:$O,3,FALSE),""))</f>
      </c>
      <c r="I65" s="331" t="str">
        <f>IF(F65="","",IFERROR(VLOOKUP(F65,'商品カタログ'!$A:$O,7,FALSE),""))</f>
      </c>
      <c r="J65" s="371"/>
      <c r="K65" s="371" t="str">
        <f>IF(F65="","",IFERROR(VLOOKUP(F65,'商品カタログ'!$A:$O,11,FALSE),""))</f>
      </c>
      <c r="L65" s="371" t="str">
        <f>IF(F65="","",IFERROR(VLOOKUP(F65,'商品カタログ'!$A:$O,12,FALSE),""))</f>
      </c>
      <c r="M65" s="371" t="str">
        <f>IF(F65="","",IFERROR(VLOOKUP(F65,'商品カタログ'!$A:$O,13,FALSE),""))</f>
      </c>
      <c r="N65" s="371"/>
      <c r="O65" s="371" t="str">
        <f>IF(F65="","",IFERROR(VLOOKUP(F65,'商品カタログ'!$A:$O,10,FALSE),""))</f>
      </c>
      <c r="P65" s="371" t="str">
        <f>IF(F65="","",IF(OR(J65&lt;=L65,J65-N65*O65&lt;=K65),MAX(IFERROR(VLOOKUP(F65,'商品カタログ'!$A:$O,8,FALSE),0),IFERROR(CEILING(MAX(0,M65-J65),MAX(1,VLOOKUP(F65,'商品カタログ'!$A:$O,9,FALSE))),MAX(0,M65-J65))),0))</f>
      </c>
      <c r="Q65" s="371"/>
      <c r="R65" s="331" t="str">
        <f>IF(F65="","",IFERROR(VLOOKUP(F65,'商品カタログ'!$A:$O,6,FALSE),""))</f>
      </c>
      <c r="S65" s="377" t="str">
        <f>IF(F65="","",IFERROR(VLOOKUP(F65,'商品カタログ'!$A:$O,14,FALSE),""))</f>
      </c>
      <c r="T65" s="377" t="str">
        <f>IF(F65="","",IFERROR(Q65*S65,0))</f>
      </c>
      <c r="U65" s="331"/>
      <c r="V65" s="331"/>
      <c r="W65" s="365" t="str">
        <f>IF(OR(B65="",O65=""),"",B65+O65)</f>
      </c>
      <c r="X65" s="365"/>
      <c r="Y65" s="371"/>
      <c r="Z65" s="371" t="str">
        <f>IF(F65="","",IF(V65="入荷済み",Y65-Q65,IF(V65="一部入荷",Y65-Q65,"")))</f>
      </c>
      <c r="AA65" s="331"/>
      <c r="AB65" s="331"/>
      <c r="AC65" s="331" t="str">
        <f>IF(F65="","",IF(V65="キャンセル済み","キャンセル済み",IF(AND(V65="入荷済み",Y65&gt;=Q65),"通常",IF(AND(W65&lt;TODAY(),W65&lt;&gt;"",V65&lt;&gt;"入荷済み"),"入荷遅延",IF(J65&lt;=K65,"セキュリティ在庫割れ",IF(J65&lt;=L65,"発注点到達",IF(Q65&lt;P65,"申請数が推奨数未満","通常")))))))</f>
      </c>
      <c r="AD65" s="332" t="str">
        <f>IF(F65="","",IF(N65=0,"不明",IF(J65/N65&lt;O65,"高リスク：リードタイム不足",IF(J65/N65&lt;O65+3,"中リスク","低リスク"))))</f>
      </c>
    </row>
    <row r="66" ht="19" customHeight="true">
      <c r="A66" s="330" t="str">
        <f>IF(F66="","","RL-"&amp;TEXT(ROW()-3,"0000"))</f>
      </c>
      <c r="B66" s="365"/>
      <c r="C66" s="331"/>
      <c r="D66" s="331"/>
      <c r="E66" s="331"/>
      <c r="F66" s="331"/>
      <c r="G66" s="331" t="str">
        <f>IF(F66="","",IFERROR(VLOOKUP(F66,'商品カタログ'!$A:$O,2,FALSE),""))</f>
      </c>
      <c r="H66" s="331" t="str">
        <f>IF(F66="","",IFERROR(VLOOKUP(F66,'商品カタログ'!$A:$O,3,FALSE),""))</f>
      </c>
      <c r="I66" s="331" t="str">
        <f>IF(F66="","",IFERROR(VLOOKUP(F66,'商品カタログ'!$A:$O,7,FALSE),""))</f>
      </c>
      <c r="J66" s="371"/>
      <c r="K66" s="371" t="str">
        <f>IF(F66="","",IFERROR(VLOOKUP(F66,'商品カタログ'!$A:$O,11,FALSE),""))</f>
      </c>
      <c r="L66" s="371" t="str">
        <f>IF(F66="","",IFERROR(VLOOKUP(F66,'商品カタログ'!$A:$O,12,FALSE),""))</f>
      </c>
      <c r="M66" s="371" t="str">
        <f>IF(F66="","",IFERROR(VLOOKUP(F66,'商品カタログ'!$A:$O,13,FALSE),""))</f>
      </c>
      <c r="N66" s="371"/>
      <c r="O66" s="371" t="str">
        <f>IF(F66="","",IFERROR(VLOOKUP(F66,'商品カタログ'!$A:$O,10,FALSE),""))</f>
      </c>
      <c r="P66" s="371" t="str">
        <f>IF(F66="","",IF(OR(J66&lt;=L66,J66-N66*O66&lt;=K66),MAX(IFERROR(VLOOKUP(F66,'商品カタログ'!$A:$O,8,FALSE),0),IFERROR(CEILING(MAX(0,M66-J66),MAX(1,VLOOKUP(F66,'商品カタログ'!$A:$O,9,FALSE))),MAX(0,M66-J66))),0))</f>
      </c>
      <c r="Q66" s="371"/>
      <c r="R66" s="331" t="str">
        <f>IF(F66="","",IFERROR(VLOOKUP(F66,'商品カタログ'!$A:$O,6,FALSE),""))</f>
      </c>
      <c r="S66" s="377" t="str">
        <f>IF(F66="","",IFERROR(VLOOKUP(F66,'商品カタログ'!$A:$O,14,FALSE),""))</f>
      </c>
      <c r="T66" s="377" t="str">
        <f>IF(F66="","",IFERROR(Q66*S66,0))</f>
      </c>
      <c r="U66" s="331"/>
      <c r="V66" s="331"/>
      <c r="W66" s="365" t="str">
        <f>IF(OR(B66="",O66=""),"",B66+O66)</f>
      </c>
      <c r="X66" s="365"/>
      <c r="Y66" s="371"/>
      <c r="Z66" s="371" t="str">
        <f>IF(F66="","",IF(V66="入荷済み",Y66-Q66,IF(V66="一部入荷",Y66-Q66,"")))</f>
      </c>
      <c r="AA66" s="331"/>
      <c r="AB66" s="331"/>
      <c r="AC66" s="331" t="str">
        <f>IF(F66="","",IF(V66="キャンセル済み","キャンセル済み",IF(AND(V66="入荷済み",Y66&gt;=Q66),"通常",IF(AND(W66&lt;TODAY(),W66&lt;&gt;"",V66&lt;&gt;"入荷済み"),"入荷遅延",IF(J66&lt;=K66,"セキュリティ在庫割れ",IF(J66&lt;=L66,"発注点到達",IF(Q66&lt;P66,"申請数が推奨数未満","通常")))))))</f>
      </c>
      <c r="AD66" s="332" t="str">
        <f>IF(F66="","",IF(N66=0,"不明",IF(J66/N66&lt;O66,"高リスク：リードタイム不足",IF(J66/N66&lt;O66+3,"中リスク","低リスク"))))</f>
      </c>
    </row>
    <row r="67" ht="19" customHeight="true">
      <c r="A67" s="330" t="str">
        <f>IF(F67="","","RL-"&amp;TEXT(ROW()-3,"0000"))</f>
      </c>
      <c r="B67" s="365"/>
      <c r="C67" s="331"/>
      <c r="D67" s="331"/>
      <c r="E67" s="331"/>
      <c r="F67" s="331"/>
      <c r="G67" s="331" t="str">
        <f>IF(F67="","",IFERROR(VLOOKUP(F67,'商品カタログ'!$A:$O,2,FALSE),""))</f>
      </c>
      <c r="H67" s="331" t="str">
        <f>IF(F67="","",IFERROR(VLOOKUP(F67,'商品カタログ'!$A:$O,3,FALSE),""))</f>
      </c>
      <c r="I67" s="331" t="str">
        <f>IF(F67="","",IFERROR(VLOOKUP(F67,'商品カタログ'!$A:$O,7,FALSE),""))</f>
      </c>
      <c r="J67" s="371"/>
      <c r="K67" s="371" t="str">
        <f>IF(F67="","",IFERROR(VLOOKUP(F67,'商品カタログ'!$A:$O,11,FALSE),""))</f>
      </c>
      <c r="L67" s="371" t="str">
        <f>IF(F67="","",IFERROR(VLOOKUP(F67,'商品カタログ'!$A:$O,12,FALSE),""))</f>
      </c>
      <c r="M67" s="371" t="str">
        <f>IF(F67="","",IFERROR(VLOOKUP(F67,'商品カタログ'!$A:$O,13,FALSE),""))</f>
      </c>
      <c r="N67" s="371"/>
      <c r="O67" s="371" t="str">
        <f>IF(F67="","",IFERROR(VLOOKUP(F67,'商品カタログ'!$A:$O,10,FALSE),""))</f>
      </c>
      <c r="P67" s="371" t="str">
        <f>IF(F67="","",IF(OR(J67&lt;=L67,J67-N67*O67&lt;=K67),MAX(IFERROR(VLOOKUP(F67,'商品カタログ'!$A:$O,8,FALSE),0),IFERROR(CEILING(MAX(0,M67-J67),MAX(1,VLOOKUP(F67,'商品カタログ'!$A:$O,9,FALSE))),MAX(0,M67-J67))),0))</f>
      </c>
      <c r="Q67" s="371"/>
      <c r="R67" s="331" t="str">
        <f>IF(F67="","",IFERROR(VLOOKUP(F67,'商品カタログ'!$A:$O,6,FALSE),""))</f>
      </c>
      <c r="S67" s="377" t="str">
        <f>IF(F67="","",IFERROR(VLOOKUP(F67,'商品カタログ'!$A:$O,14,FALSE),""))</f>
      </c>
      <c r="T67" s="377" t="str">
        <f>IF(F67="","",IFERROR(Q67*S67,0))</f>
      </c>
      <c r="U67" s="331"/>
      <c r="V67" s="331"/>
      <c r="W67" s="365" t="str">
        <f>IF(OR(B67="",O67=""),"",B67+O67)</f>
      </c>
      <c r="X67" s="365"/>
      <c r="Y67" s="371"/>
      <c r="Z67" s="371" t="str">
        <f>IF(F67="","",IF(V67="入荷済み",Y67-Q67,IF(V67="一部入荷",Y67-Q67,"")))</f>
      </c>
      <c r="AA67" s="331"/>
      <c r="AB67" s="331"/>
      <c r="AC67" s="331" t="str">
        <f>IF(F67="","",IF(V67="キャンセル済み","キャンセル済み",IF(AND(V67="入荷済み",Y67&gt;=Q67),"通常",IF(AND(W67&lt;TODAY(),W67&lt;&gt;"",V67&lt;&gt;"入荷済み"),"入荷遅延",IF(J67&lt;=K67,"セキュリティ在庫割れ",IF(J67&lt;=L67,"発注点到達",IF(Q67&lt;P67,"申請数が推奨数未満","通常")))))))</f>
      </c>
      <c r="AD67" s="332" t="str">
        <f>IF(F67="","",IF(N67=0,"不明",IF(J67/N67&lt;O67,"高リスク：リードタイム不足",IF(J67/N67&lt;O67+3,"中リスク","低リスク"))))</f>
      </c>
    </row>
    <row r="68" ht="19" customHeight="true">
      <c r="A68" s="330" t="str">
        <f>IF(F68="","","RL-"&amp;TEXT(ROW()-3,"0000"))</f>
      </c>
      <c r="B68" s="365"/>
      <c r="C68" s="331"/>
      <c r="D68" s="331"/>
      <c r="E68" s="331"/>
      <c r="F68" s="331"/>
      <c r="G68" s="331" t="str">
        <f>IF(F68="","",IFERROR(VLOOKUP(F68,'商品カタログ'!$A:$O,2,FALSE),""))</f>
      </c>
      <c r="H68" s="331" t="str">
        <f>IF(F68="","",IFERROR(VLOOKUP(F68,'商品カタログ'!$A:$O,3,FALSE),""))</f>
      </c>
      <c r="I68" s="331" t="str">
        <f>IF(F68="","",IFERROR(VLOOKUP(F68,'商品カタログ'!$A:$O,7,FALSE),""))</f>
      </c>
      <c r="J68" s="371"/>
      <c r="K68" s="371" t="str">
        <f>IF(F68="","",IFERROR(VLOOKUP(F68,'商品カタログ'!$A:$O,11,FALSE),""))</f>
      </c>
      <c r="L68" s="371" t="str">
        <f>IF(F68="","",IFERROR(VLOOKUP(F68,'商品カタログ'!$A:$O,12,FALSE),""))</f>
      </c>
      <c r="M68" s="371" t="str">
        <f>IF(F68="","",IFERROR(VLOOKUP(F68,'商品カタログ'!$A:$O,13,FALSE),""))</f>
      </c>
      <c r="N68" s="371"/>
      <c r="O68" s="371" t="str">
        <f>IF(F68="","",IFERROR(VLOOKUP(F68,'商品カタログ'!$A:$O,10,FALSE),""))</f>
      </c>
      <c r="P68" s="371" t="str">
        <f>IF(F68="","",IF(OR(J68&lt;=L68,J68-N68*O68&lt;=K68),MAX(IFERROR(VLOOKUP(F68,'商品カタログ'!$A:$O,8,FALSE),0),IFERROR(CEILING(MAX(0,M68-J68),MAX(1,VLOOKUP(F68,'商品カタログ'!$A:$O,9,FALSE))),MAX(0,M68-J68))),0))</f>
      </c>
      <c r="Q68" s="371"/>
      <c r="R68" s="331" t="str">
        <f>IF(F68="","",IFERROR(VLOOKUP(F68,'商品カタログ'!$A:$O,6,FALSE),""))</f>
      </c>
      <c r="S68" s="377" t="str">
        <f>IF(F68="","",IFERROR(VLOOKUP(F68,'商品カタログ'!$A:$O,14,FALSE),""))</f>
      </c>
      <c r="T68" s="377" t="str">
        <f>IF(F68="","",IFERROR(Q68*S68,0))</f>
      </c>
      <c r="U68" s="331"/>
      <c r="V68" s="331"/>
      <c r="W68" s="365" t="str">
        <f>IF(OR(B68="",O68=""),"",B68+O68)</f>
      </c>
      <c r="X68" s="365"/>
      <c r="Y68" s="371"/>
      <c r="Z68" s="371" t="str">
        <f>IF(F68="","",IF(V68="入荷済み",Y68-Q68,IF(V68="一部入荷",Y68-Q68,"")))</f>
      </c>
      <c r="AA68" s="331"/>
      <c r="AB68" s="331"/>
      <c r="AC68" s="331" t="str">
        <f>IF(F68="","",IF(V68="キャンセル済み","キャンセル済み",IF(AND(V68="入荷済み",Y68&gt;=Q68),"通常",IF(AND(W68&lt;TODAY(),W68&lt;&gt;"",V68&lt;&gt;"入荷済み"),"入荷遅延",IF(J68&lt;=K68,"セキュリティ在庫割れ",IF(J68&lt;=L68,"発注点到達",IF(Q68&lt;P68,"申請数が推奨数未満","通常")))))))</f>
      </c>
      <c r="AD68" s="332" t="str">
        <f>IF(F68="","",IF(N68=0,"不明",IF(J68/N68&lt;O68,"高リスク：リードタイム不足",IF(J68/N68&lt;O68+3,"中リスク","低リスク"))))</f>
      </c>
    </row>
    <row r="69" ht="19" customHeight="true">
      <c r="A69" s="330" t="str">
        <f>IF(F69="","","RL-"&amp;TEXT(ROW()-3,"0000"))</f>
      </c>
      <c r="B69" s="365"/>
      <c r="C69" s="331"/>
      <c r="D69" s="331"/>
      <c r="E69" s="331"/>
      <c r="F69" s="331"/>
      <c r="G69" s="331" t="str">
        <f>IF(F69="","",IFERROR(VLOOKUP(F69,'商品カタログ'!$A:$O,2,FALSE),""))</f>
      </c>
      <c r="H69" s="331" t="str">
        <f>IF(F69="","",IFERROR(VLOOKUP(F69,'商品カタログ'!$A:$O,3,FALSE),""))</f>
      </c>
      <c r="I69" s="331" t="str">
        <f>IF(F69="","",IFERROR(VLOOKUP(F69,'商品カタログ'!$A:$O,7,FALSE),""))</f>
      </c>
      <c r="J69" s="371"/>
      <c r="K69" s="371" t="str">
        <f>IF(F69="","",IFERROR(VLOOKUP(F69,'商品カタログ'!$A:$O,11,FALSE),""))</f>
      </c>
      <c r="L69" s="371" t="str">
        <f>IF(F69="","",IFERROR(VLOOKUP(F69,'商品カタログ'!$A:$O,12,FALSE),""))</f>
      </c>
      <c r="M69" s="371" t="str">
        <f>IF(F69="","",IFERROR(VLOOKUP(F69,'商品カタログ'!$A:$O,13,FALSE),""))</f>
      </c>
      <c r="N69" s="371"/>
      <c r="O69" s="371" t="str">
        <f>IF(F69="","",IFERROR(VLOOKUP(F69,'商品カタログ'!$A:$O,10,FALSE),""))</f>
      </c>
      <c r="P69" s="371" t="str">
        <f>IF(F69="","",IF(OR(J69&lt;=L69,J69-N69*O69&lt;=K69),MAX(IFERROR(VLOOKUP(F69,'商品カタログ'!$A:$O,8,FALSE),0),IFERROR(CEILING(MAX(0,M69-J69),MAX(1,VLOOKUP(F69,'商品カタログ'!$A:$O,9,FALSE))),MAX(0,M69-J69))),0))</f>
      </c>
      <c r="Q69" s="371"/>
      <c r="R69" s="331" t="str">
        <f>IF(F69="","",IFERROR(VLOOKUP(F69,'商品カタログ'!$A:$O,6,FALSE),""))</f>
      </c>
      <c r="S69" s="377" t="str">
        <f>IF(F69="","",IFERROR(VLOOKUP(F69,'商品カタログ'!$A:$O,14,FALSE),""))</f>
      </c>
      <c r="T69" s="377" t="str">
        <f>IF(F69="","",IFERROR(Q69*S69,0))</f>
      </c>
      <c r="U69" s="331"/>
      <c r="V69" s="331"/>
      <c r="W69" s="365" t="str">
        <f>IF(OR(B69="",O69=""),"",B69+O69)</f>
      </c>
      <c r="X69" s="365"/>
      <c r="Y69" s="371"/>
      <c r="Z69" s="371" t="str">
        <f>IF(F69="","",IF(V69="入荷済み",Y69-Q69,IF(V69="一部入荷",Y69-Q69,"")))</f>
      </c>
      <c r="AA69" s="331"/>
      <c r="AB69" s="331"/>
      <c r="AC69" s="331" t="str">
        <f>IF(F69="","",IF(V69="キャンセル済み","キャンセル済み",IF(AND(V69="入荷済み",Y69&gt;=Q69),"通常",IF(AND(W69&lt;TODAY(),W69&lt;&gt;"",V69&lt;&gt;"入荷済み"),"入荷遅延",IF(J69&lt;=K69,"セキュリティ在庫割れ",IF(J69&lt;=L69,"発注点到達",IF(Q69&lt;P69,"申請数が推奨数未満","通常")))))))</f>
      </c>
      <c r="AD69" s="332" t="str">
        <f>IF(F69="","",IF(N69=0,"不明",IF(J69/N69&lt;O69,"高リスク：リードタイム不足",IF(J69/N69&lt;O69+3,"中リスク","低リスク"))))</f>
      </c>
    </row>
    <row r="70" ht="19" customHeight="true">
      <c r="A70" s="330" t="str">
        <f>IF(F70="","","RL-"&amp;TEXT(ROW()-3,"0000"))</f>
      </c>
      <c r="B70" s="365"/>
      <c r="C70" s="331"/>
      <c r="D70" s="331"/>
      <c r="E70" s="331"/>
      <c r="F70" s="331"/>
      <c r="G70" s="331" t="str">
        <f>IF(F70="","",IFERROR(VLOOKUP(F70,'商品カタログ'!$A:$O,2,FALSE),""))</f>
      </c>
      <c r="H70" s="331" t="str">
        <f>IF(F70="","",IFERROR(VLOOKUP(F70,'商品カタログ'!$A:$O,3,FALSE),""))</f>
      </c>
      <c r="I70" s="331" t="str">
        <f>IF(F70="","",IFERROR(VLOOKUP(F70,'商品カタログ'!$A:$O,7,FALSE),""))</f>
      </c>
      <c r="J70" s="371"/>
      <c r="K70" s="371" t="str">
        <f>IF(F70="","",IFERROR(VLOOKUP(F70,'商品カタログ'!$A:$O,11,FALSE),""))</f>
      </c>
      <c r="L70" s="371" t="str">
        <f>IF(F70="","",IFERROR(VLOOKUP(F70,'商品カタログ'!$A:$O,12,FALSE),""))</f>
      </c>
      <c r="M70" s="371" t="str">
        <f>IF(F70="","",IFERROR(VLOOKUP(F70,'商品カタログ'!$A:$O,13,FALSE),""))</f>
      </c>
      <c r="N70" s="371"/>
      <c r="O70" s="371" t="str">
        <f>IF(F70="","",IFERROR(VLOOKUP(F70,'商品カタログ'!$A:$O,10,FALSE),""))</f>
      </c>
      <c r="P70" s="371" t="str">
        <f>IF(F70="","",IF(OR(J70&lt;=L70,J70-N70*O70&lt;=K70),MAX(IFERROR(VLOOKUP(F70,'商品カタログ'!$A:$O,8,FALSE),0),IFERROR(CEILING(MAX(0,M70-J70),MAX(1,VLOOKUP(F70,'商品カタログ'!$A:$O,9,FALSE))),MAX(0,M70-J70))),0))</f>
      </c>
      <c r="Q70" s="371"/>
      <c r="R70" s="331" t="str">
        <f>IF(F70="","",IFERROR(VLOOKUP(F70,'商品カタログ'!$A:$O,6,FALSE),""))</f>
      </c>
      <c r="S70" s="377" t="str">
        <f>IF(F70="","",IFERROR(VLOOKUP(F70,'商品カタログ'!$A:$O,14,FALSE),""))</f>
      </c>
      <c r="T70" s="377" t="str">
        <f>IF(F70="","",IFERROR(Q70*S70,0))</f>
      </c>
      <c r="U70" s="331"/>
      <c r="V70" s="331"/>
      <c r="W70" s="365" t="str">
        <f>IF(OR(B70="",O70=""),"",B70+O70)</f>
      </c>
      <c r="X70" s="365"/>
      <c r="Y70" s="371"/>
      <c r="Z70" s="371" t="str">
        <f>IF(F70="","",IF(V70="入荷済み",Y70-Q70,IF(V70="一部入荷",Y70-Q70,"")))</f>
      </c>
      <c r="AA70" s="331"/>
      <c r="AB70" s="331"/>
      <c r="AC70" s="331" t="str">
        <f>IF(F70="","",IF(V70="キャンセル済み","キャンセル済み",IF(AND(V70="入荷済み",Y70&gt;=Q70),"通常",IF(AND(W70&lt;TODAY(),W70&lt;&gt;"",V70&lt;&gt;"入荷済み"),"入荷遅延",IF(J70&lt;=K70,"セキュリティ在庫割れ",IF(J70&lt;=L70,"発注点到達",IF(Q70&lt;P70,"申請数が推奨数未満","通常")))))))</f>
      </c>
      <c r="AD70" s="332" t="str">
        <f>IF(F70="","",IF(N70=0,"不明",IF(J70/N70&lt;O70,"高リスク：リードタイム不足",IF(J70/N70&lt;O70+3,"中リスク","低リスク"))))</f>
      </c>
    </row>
    <row r="71" ht="19" customHeight="true">
      <c r="A71" s="330" t="str">
        <f>IF(F71="","","RL-"&amp;TEXT(ROW()-3,"0000"))</f>
      </c>
      <c r="B71" s="365"/>
      <c r="C71" s="331"/>
      <c r="D71" s="331"/>
      <c r="E71" s="331"/>
      <c r="F71" s="331"/>
      <c r="G71" s="331" t="str">
        <f>IF(F71="","",IFERROR(VLOOKUP(F71,'商品カタログ'!$A:$O,2,FALSE),""))</f>
      </c>
      <c r="H71" s="331" t="str">
        <f>IF(F71="","",IFERROR(VLOOKUP(F71,'商品カタログ'!$A:$O,3,FALSE),""))</f>
      </c>
      <c r="I71" s="331" t="str">
        <f>IF(F71="","",IFERROR(VLOOKUP(F71,'商品カタログ'!$A:$O,7,FALSE),""))</f>
      </c>
      <c r="J71" s="371"/>
      <c r="K71" s="371" t="str">
        <f>IF(F71="","",IFERROR(VLOOKUP(F71,'商品カタログ'!$A:$O,11,FALSE),""))</f>
      </c>
      <c r="L71" s="371" t="str">
        <f>IF(F71="","",IFERROR(VLOOKUP(F71,'商品カタログ'!$A:$O,12,FALSE),""))</f>
      </c>
      <c r="M71" s="371" t="str">
        <f>IF(F71="","",IFERROR(VLOOKUP(F71,'商品カタログ'!$A:$O,13,FALSE),""))</f>
      </c>
      <c r="N71" s="371"/>
      <c r="O71" s="371" t="str">
        <f>IF(F71="","",IFERROR(VLOOKUP(F71,'商品カタログ'!$A:$O,10,FALSE),""))</f>
      </c>
      <c r="P71" s="371" t="str">
        <f>IF(F71="","",IF(OR(J71&lt;=L71,J71-N71*O71&lt;=K71),MAX(IFERROR(VLOOKUP(F71,'商品カタログ'!$A:$O,8,FALSE),0),IFERROR(CEILING(MAX(0,M71-J71),MAX(1,VLOOKUP(F71,'商品カタログ'!$A:$O,9,FALSE))),MAX(0,M71-J71))),0))</f>
      </c>
      <c r="Q71" s="371"/>
      <c r="R71" s="331" t="str">
        <f>IF(F71="","",IFERROR(VLOOKUP(F71,'商品カタログ'!$A:$O,6,FALSE),""))</f>
      </c>
      <c r="S71" s="377" t="str">
        <f>IF(F71="","",IFERROR(VLOOKUP(F71,'商品カタログ'!$A:$O,14,FALSE),""))</f>
      </c>
      <c r="T71" s="377" t="str">
        <f>IF(F71="","",IFERROR(Q71*S71,0))</f>
      </c>
      <c r="U71" s="331"/>
      <c r="V71" s="331"/>
      <c r="W71" s="365" t="str">
        <f>IF(OR(B71="",O71=""),"",B71+O71)</f>
      </c>
      <c r="X71" s="365"/>
      <c r="Y71" s="371"/>
      <c r="Z71" s="371" t="str">
        <f>IF(F71="","",IF(V71="入荷済み",Y71-Q71,IF(V71="一部入荷",Y71-Q71,"")))</f>
      </c>
      <c r="AA71" s="331"/>
      <c r="AB71" s="331"/>
      <c r="AC71" s="331" t="str">
        <f>IF(F71="","",IF(V71="キャンセル済み","キャンセル済み",IF(AND(V71="入荷済み",Y71&gt;=Q71),"通常",IF(AND(W71&lt;TODAY(),W71&lt;&gt;"",V71&lt;&gt;"入荷済み"),"入荷遅延",IF(J71&lt;=K71,"セキュリティ在庫割れ",IF(J71&lt;=L71,"発注点到達",IF(Q71&lt;P71,"申請数が推奨数未満","通常")))))))</f>
      </c>
      <c r="AD71" s="332" t="str">
        <f>IF(F71="","",IF(N71=0,"不明",IF(J71/N71&lt;O71,"高リスク：リードタイム不足",IF(J71/N71&lt;O71+3,"中リスク","低リスク"))))</f>
      </c>
    </row>
    <row r="72" ht="19" customHeight="true">
      <c r="A72" s="330" t="str">
        <f>IF(F72="","","RL-"&amp;TEXT(ROW()-3,"0000"))</f>
      </c>
      <c r="B72" s="365"/>
      <c r="C72" s="331"/>
      <c r="D72" s="331"/>
      <c r="E72" s="331"/>
      <c r="F72" s="331"/>
      <c r="G72" s="331" t="str">
        <f>IF(F72="","",IFERROR(VLOOKUP(F72,'商品カタログ'!$A:$O,2,FALSE),""))</f>
      </c>
      <c r="H72" s="331" t="str">
        <f>IF(F72="","",IFERROR(VLOOKUP(F72,'商品カタログ'!$A:$O,3,FALSE),""))</f>
      </c>
      <c r="I72" s="331" t="str">
        <f>IF(F72="","",IFERROR(VLOOKUP(F72,'商品カタログ'!$A:$O,7,FALSE),""))</f>
      </c>
      <c r="J72" s="371"/>
      <c r="K72" s="371" t="str">
        <f>IF(F72="","",IFERROR(VLOOKUP(F72,'商品カタログ'!$A:$O,11,FALSE),""))</f>
      </c>
      <c r="L72" s="371" t="str">
        <f>IF(F72="","",IFERROR(VLOOKUP(F72,'商品カタログ'!$A:$O,12,FALSE),""))</f>
      </c>
      <c r="M72" s="371" t="str">
        <f>IF(F72="","",IFERROR(VLOOKUP(F72,'商品カタログ'!$A:$O,13,FALSE),""))</f>
      </c>
      <c r="N72" s="371"/>
      <c r="O72" s="371" t="str">
        <f>IF(F72="","",IFERROR(VLOOKUP(F72,'商品カタログ'!$A:$O,10,FALSE),""))</f>
      </c>
      <c r="P72" s="371" t="str">
        <f>IF(F72="","",IF(OR(J72&lt;=L72,J72-N72*O72&lt;=K72),MAX(IFERROR(VLOOKUP(F72,'商品カタログ'!$A:$O,8,FALSE),0),IFERROR(CEILING(MAX(0,M72-J72),MAX(1,VLOOKUP(F72,'商品カタログ'!$A:$O,9,FALSE))),MAX(0,M72-J72))),0))</f>
      </c>
      <c r="Q72" s="371"/>
      <c r="R72" s="331" t="str">
        <f>IF(F72="","",IFERROR(VLOOKUP(F72,'商品カタログ'!$A:$O,6,FALSE),""))</f>
      </c>
      <c r="S72" s="377" t="str">
        <f>IF(F72="","",IFERROR(VLOOKUP(F72,'商品カタログ'!$A:$O,14,FALSE),""))</f>
      </c>
      <c r="T72" s="377" t="str">
        <f>IF(F72="","",IFERROR(Q72*S72,0))</f>
      </c>
      <c r="U72" s="331"/>
      <c r="V72" s="331"/>
      <c r="W72" s="365" t="str">
        <f>IF(OR(B72="",O72=""),"",B72+O72)</f>
      </c>
      <c r="X72" s="365"/>
      <c r="Y72" s="371"/>
      <c r="Z72" s="371" t="str">
        <f>IF(F72="","",IF(V72="入荷済み",Y72-Q72,IF(V72="一部入荷",Y72-Q72,"")))</f>
      </c>
      <c r="AA72" s="331"/>
      <c r="AB72" s="331"/>
      <c r="AC72" s="331" t="str">
        <f>IF(F72="","",IF(V72="キャンセル済み","キャンセル済み",IF(AND(V72="入荷済み",Y72&gt;=Q72),"通常",IF(AND(W72&lt;TODAY(),W72&lt;&gt;"",V72&lt;&gt;"入荷済み"),"入荷遅延",IF(J72&lt;=K72,"セキュリティ在庫割れ",IF(J72&lt;=L72,"発注点到達",IF(Q72&lt;P72,"申請数が推奨数未満","通常")))))))</f>
      </c>
      <c r="AD72" s="332" t="str">
        <f>IF(F72="","",IF(N72=0,"不明",IF(J72/N72&lt;O72,"高リスク：リードタイム不足",IF(J72/N72&lt;O72+3,"中リスク","低リスク"))))</f>
      </c>
    </row>
    <row r="73" ht="19" customHeight="true">
      <c r="A73" s="330" t="str">
        <f>IF(F73="","","RL-"&amp;TEXT(ROW()-3,"0000"))</f>
      </c>
      <c r="B73" s="365"/>
      <c r="C73" s="331"/>
      <c r="D73" s="331"/>
      <c r="E73" s="331"/>
      <c r="F73" s="331"/>
      <c r="G73" s="331" t="str">
        <f>IF(F73="","",IFERROR(VLOOKUP(F73,'商品カタログ'!$A:$O,2,FALSE),""))</f>
      </c>
      <c r="H73" s="331" t="str">
        <f>IF(F73="","",IFERROR(VLOOKUP(F73,'商品カタログ'!$A:$O,3,FALSE),""))</f>
      </c>
      <c r="I73" s="331" t="str">
        <f>IF(F73="","",IFERROR(VLOOKUP(F73,'商品カタログ'!$A:$O,7,FALSE),""))</f>
      </c>
      <c r="J73" s="371"/>
      <c r="K73" s="371" t="str">
        <f>IF(F73="","",IFERROR(VLOOKUP(F73,'商品カタログ'!$A:$O,11,FALSE),""))</f>
      </c>
      <c r="L73" s="371" t="str">
        <f>IF(F73="","",IFERROR(VLOOKUP(F73,'商品カタログ'!$A:$O,12,FALSE),""))</f>
      </c>
      <c r="M73" s="371" t="str">
        <f>IF(F73="","",IFERROR(VLOOKUP(F73,'商品カタログ'!$A:$O,13,FALSE),""))</f>
      </c>
      <c r="N73" s="371"/>
      <c r="O73" s="371" t="str">
        <f>IF(F73="","",IFERROR(VLOOKUP(F73,'商品カタログ'!$A:$O,10,FALSE),""))</f>
      </c>
      <c r="P73" s="371" t="str">
        <f>IF(F73="","",IF(OR(J73&lt;=L73,J73-N73*O73&lt;=K73),MAX(IFERROR(VLOOKUP(F73,'商品カタログ'!$A:$O,8,FALSE),0),IFERROR(CEILING(MAX(0,M73-J73),MAX(1,VLOOKUP(F73,'商品カタログ'!$A:$O,9,FALSE))),MAX(0,M73-J73))),0))</f>
      </c>
      <c r="Q73" s="371"/>
      <c r="R73" s="331" t="str">
        <f>IF(F73="","",IFERROR(VLOOKUP(F73,'商品カタログ'!$A:$O,6,FALSE),""))</f>
      </c>
      <c r="S73" s="377" t="str">
        <f>IF(F73="","",IFERROR(VLOOKUP(F73,'商品カタログ'!$A:$O,14,FALSE),""))</f>
      </c>
      <c r="T73" s="377" t="str">
        <f>IF(F73="","",IFERROR(Q73*S73,0))</f>
      </c>
      <c r="U73" s="331"/>
      <c r="V73" s="331"/>
      <c r="W73" s="365" t="str">
        <f>IF(OR(B73="",O73=""),"",B73+O73)</f>
      </c>
      <c r="X73" s="365"/>
      <c r="Y73" s="371"/>
      <c r="Z73" s="371" t="str">
        <f>IF(F73="","",IF(V73="入荷済み",Y73-Q73,IF(V73="一部入荷",Y73-Q73,"")))</f>
      </c>
      <c r="AA73" s="331"/>
      <c r="AB73" s="331"/>
      <c r="AC73" s="331" t="str">
        <f>IF(F73="","",IF(V73="キャンセル済み","キャンセル済み",IF(AND(V73="入荷済み",Y73&gt;=Q73),"通常",IF(AND(W73&lt;TODAY(),W73&lt;&gt;"",V73&lt;&gt;"入荷済み"),"入荷遅延",IF(J73&lt;=K73,"セキュリティ在庫割れ",IF(J73&lt;=L73,"発注点到達",IF(Q73&lt;P73,"申請数が推奨数未満","通常")))))))</f>
      </c>
      <c r="AD73" s="332" t="str">
        <f>IF(F73="","",IF(N73=0,"不明",IF(J73/N73&lt;O73,"高リスク：リードタイム不足",IF(J73/N73&lt;O73+3,"中リスク","低リスク"))))</f>
      </c>
    </row>
    <row r="74" ht="19" customHeight="true">
      <c r="A74" s="330" t="str">
        <f>IF(F74="","","RL-"&amp;TEXT(ROW()-3,"0000"))</f>
      </c>
      <c r="B74" s="365"/>
      <c r="C74" s="331"/>
      <c r="D74" s="331"/>
      <c r="E74" s="331"/>
      <c r="F74" s="331"/>
      <c r="G74" s="331" t="str">
        <f>IF(F74="","",IFERROR(VLOOKUP(F74,'商品カタログ'!$A:$O,2,FALSE),""))</f>
      </c>
      <c r="H74" s="331" t="str">
        <f>IF(F74="","",IFERROR(VLOOKUP(F74,'商品カタログ'!$A:$O,3,FALSE),""))</f>
      </c>
      <c r="I74" s="331" t="str">
        <f>IF(F74="","",IFERROR(VLOOKUP(F74,'商品カタログ'!$A:$O,7,FALSE),""))</f>
      </c>
      <c r="J74" s="371"/>
      <c r="K74" s="371" t="str">
        <f>IF(F74="","",IFERROR(VLOOKUP(F74,'商品カタログ'!$A:$O,11,FALSE),""))</f>
      </c>
      <c r="L74" s="371" t="str">
        <f>IF(F74="","",IFERROR(VLOOKUP(F74,'商品カタログ'!$A:$O,12,FALSE),""))</f>
      </c>
      <c r="M74" s="371" t="str">
        <f>IF(F74="","",IFERROR(VLOOKUP(F74,'商品カタログ'!$A:$O,13,FALSE),""))</f>
      </c>
      <c r="N74" s="371"/>
      <c r="O74" s="371" t="str">
        <f>IF(F74="","",IFERROR(VLOOKUP(F74,'商品カタログ'!$A:$O,10,FALSE),""))</f>
      </c>
      <c r="P74" s="371" t="str">
        <f>IF(F74="","",IF(OR(J74&lt;=L74,J74-N74*O74&lt;=K74),MAX(IFERROR(VLOOKUP(F74,'商品カタログ'!$A:$O,8,FALSE),0),IFERROR(CEILING(MAX(0,M74-J74),MAX(1,VLOOKUP(F74,'商品カタログ'!$A:$O,9,FALSE))),MAX(0,M74-J74))),0))</f>
      </c>
      <c r="Q74" s="371"/>
      <c r="R74" s="331" t="str">
        <f>IF(F74="","",IFERROR(VLOOKUP(F74,'商品カタログ'!$A:$O,6,FALSE),""))</f>
      </c>
      <c r="S74" s="377" t="str">
        <f>IF(F74="","",IFERROR(VLOOKUP(F74,'商品カタログ'!$A:$O,14,FALSE),""))</f>
      </c>
      <c r="T74" s="377" t="str">
        <f>IF(F74="","",IFERROR(Q74*S74,0))</f>
      </c>
      <c r="U74" s="331"/>
      <c r="V74" s="331"/>
      <c r="W74" s="365" t="str">
        <f>IF(OR(B74="",O74=""),"",B74+O74)</f>
      </c>
      <c r="X74" s="365"/>
      <c r="Y74" s="371"/>
      <c r="Z74" s="371" t="str">
        <f>IF(F74="","",IF(V74="入荷済み",Y74-Q74,IF(V74="一部入荷",Y74-Q74,"")))</f>
      </c>
      <c r="AA74" s="331"/>
      <c r="AB74" s="331"/>
      <c r="AC74" s="331" t="str">
        <f>IF(F74="","",IF(V74="キャンセル済み","キャンセル済み",IF(AND(V74="入荷済み",Y74&gt;=Q74),"通常",IF(AND(W74&lt;TODAY(),W74&lt;&gt;"",V74&lt;&gt;"入荷済み"),"入荷遅延",IF(J74&lt;=K74,"セキュリティ在庫割れ",IF(J74&lt;=L74,"発注点到達",IF(Q74&lt;P74,"申請数が推奨数未満","通常")))))))</f>
      </c>
      <c r="AD74" s="332" t="str">
        <f>IF(F74="","",IF(N74=0,"不明",IF(J74/N74&lt;O74,"高リスク：リードタイム不足",IF(J74/N74&lt;O74+3,"中リスク","低リスク"))))</f>
      </c>
    </row>
    <row r="75" ht="19" customHeight="true">
      <c r="A75" s="330" t="str">
        <f>IF(F75="","","RL-"&amp;TEXT(ROW()-3,"0000"))</f>
      </c>
      <c r="B75" s="365"/>
      <c r="C75" s="331"/>
      <c r="D75" s="331"/>
      <c r="E75" s="331"/>
      <c r="F75" s="331"/>
      <c r="G75" s="331" t="str">
        <f>IF(F75="","",IFERROR(VLOOKUP(F75,'商品カタログ'!$A:$O,2,FALSE),""))</f>
      </c>
      <c r="H75" s="331" t="str">
        <f>IF(F75="","",IFERROR(VLOOKUP(F75,'商品カタログ'!$A:$O,3,FALSE),""))</f>
      </c>
      <c r="I75" s="331" t="str">
        <f>IF(F75="","",IFERROR(VLOOKUP(F75,'商品カタログ'!$A:$O,7,FALSE),""))</f>
      </c>
      <c r="J75" s="371"/>
      <c r="K75" s="371" t="str">
        <f>IF(F75="","",IFERROR(VLOOKUP(F75,'商品カタログ'!$A:$O,11,FALSE),""))</f>
      </c>
      <c r="L75" s="371" t="str">
        <f>IF(F75="","",IFERROR(VLOOKUP(F75,'商品カタログ'!$A:$O,12,FALSE),""))</f>
      </c>
      <c r="M75" s="371" t="str">
        <f>IF(F75="","",IFERROR(VLOOKUP(F75,'商品カタログ'!$A:$O,13,FALSE),""))</f>
      </c>
      <c r="N75" s="371"/>
      <c r="O75" s="371" t="str">
        <f>IF(F75="","",IFERROR(VLOOKUP(F75,'商品カタログ'!$A:$O,10,FALSE),""))</f>
      </c>
      <c r="P75" s="371" t="str">
        <f>IF(F75="","",IF(OR(J75&lt;=L75,J75-N75*O75&lt;=K75),MAX(IFERROR(VLOOKUP(F75,'商品カタログ'!$A:$O,8,FALSE),0),IFERROR(CEILING(MAX(0,M75-J75),MAX(1,VLOOKUP(F75,'商品カタログ'!$A:$O,9,FALSE))),MAX(0,M75-J75))),0))</f>
      </c>
      <c r="Q75" s="371"/>
      <c r="R75" s="331" t="str">
        <f>IF(F75="","",IFERROR(VLOOKUP(F75,'商品カタログ'!$A:$O,6,FALSE),""))</f>
      </c>
      <c r="S75" s="377" t="str">
        <f>IF(F75="","",IFERROR(VLOOKUP(F75,'商品カタログ'!$A:$O,14,FALSE),""))</f>
      </c>
      <c r="T75" s="377" t="str">
        <f>IF(F75="","",IFERROR(Q75*S75,0))</f>
      </c>
      <c r="U75" s="331"/>
      <c r="V75" s="331"/>
      <c r="W75" s="365" t="str">
        <f>IF(OR(B75="",O75=""),"",B75+O75)</f>
      </c>
      <c r="X75" s="365"/>
      <c r="Y75" s="371"/>
      <c r="Z75" s="371" t="str">
        <f>IF(F75="","",IF(V75="入荷済み",Y75-Q75,IF(V75="一部入荷",Y75-Q75,"")))</f>
      </c>
      <c r="AA75" s="331"/>
      <c r="AB75" s="331"/>
      <c r="AC75" s="331" t="str">
        <f>IF(F75="","",IF(V75="キャンセル済み","キャンセル済み",IF(AND(V75="入荷済み",Y75&gt;=Q75),"通常",IF(AND(W75&lt;TODAY(),W75&lt;&gt;"",V75&lt;&gt;"入荷済み"),"入荷遅延",IF(J75&lt;=K75,"セキュリティ在庫割れ",IF(J75&lt;=L75,"発注点到達",IF(Q75&lt;P75,"申請数が推奨数未満","通常")))))))</f>
      </c>
      <c r="AD75" s="332" t="str">
        <f>IF(F75="","",IF(N75=0,"不明",IF(J75/N75&lt;O75,"高リスク：リードタイム不足",IF(J75/N75&lt;O75+3,"中リスク","低リスク"))))</f>
      </c>
    </row>
    <row r="76" ht="19" customHeight="true">
      <c r="A76" s="330" t="str">
        <f>IF(F76="","","RL-"&amp;TEXT(ROW()-3,"0000"))</f>
      </c>
      <c r="B76" s="365"/>
      <c r="C76" s="331"/>
      <c r="D76" s="331"/>
      <c r="E76" s="331"/>
      <c r="F76" s="331"/>
      <c r="G76" s="331" t="str">
        <f>IF(F76="","",IFERROR(VLOOKUP(F76,'商品カタログ'!$A:$O,2,FALSE),""))</f>
      </c>
      <c r="H76" s="331" t="str">
        <f>IF(F76="","",IFERROR(VLOOKUP(F76,'商品カタログ'!$A:$O,3,FALSE),""))</f>
      </c>
      <c r="I76" s="331" t="str">
        <f>IF(F76="","",IFERROR(VLOOKUP(F76,'商品カタログ'!$A:$O,7,FALSE),""))</f>
      </c>
      <c r="J76" s="371"/>
      <c r="K76" s="371" t="str">
        <f>IF(F76="","",IFERROR(VLOOKUP(F76,'商品カタログ'!$A:$O,11,FALSE),""))</f>
      </c>
      <c r="L76" s="371" t="str">
        <f>IF(F76="","",IFERROR(VLOOKUP(F76,'商品カタログ'!$A:$O,12,FALSE),""))</f>
      </c>
      <c r="M76" s="371" t="str">
        <f>IF(F76="","",IFERROR(VLOOKUP(F76,'商品カタログ'!$A:$O,13,FALSE),""))</f>
      </c>
      <c r="N76" s="371"/>
      <c r="O76" s="371" t="str">
        <f>IF(F76="","",IFERROR(VLOOKUP(F76,'商品カタログ'!$A:$O,10,FALSE),""))</f>
      </c>
      <c r="P76" s="371" t="str">
        <f>IF(F76="","",IF(OR(J76&lt;=L76,J76-N76*O76&lt;=K76),MAX(IFERROR(VLOOKUP(F76,'商品カタログ'!$A:$O,8,FALSE),0),IFERROR(CEILING(MAX(0,M76-J76),MAX(1,VLOOKUP(F76,'商品カタログ'!$A:$O,9,FALSE))),MAX(0,M76-J76))),0))</f>
      </c>
      <c r="Q76" s="371"/>
      <c r="R76" s="331" t="str">
        <f>IF(F76="","",IFERROR(VLOOKUP(F76,'商品カタログ'!$A:$O,6,FALSE),""))</f>
      </c>
      <c r="S76" s="377" t="str">
        <f>IF(F76="","",IFERROR(VLOOKUP(F76,'商品カタログ'!$A:$O,14,FALSE),""))</f>
      </c>
      <c r="T76" s="377" t="str">
        <f>IF(F76="","",IFERROR(Q76*S76,0))</f>
      </c>
      <c r="U76" s="331"/>
      <c r="V76" s="331"/>
      <c r="W76" s="365" t="str">
        <f>IF(OR(B76="",O76=""),"",B76+O76)</f>
      </c>
      <c r="X76" s="365"/>
      <c r="Y76" s="371"/>
      <c r="Z76" s="371" t="str">
        <f>IF(F76="","",IF(V76="入荷済み",Y76-Q76,IF(V76="一部入荷",Y76-Q76,"")))</f>
      </c>
      <c r="AA76" s="331"/>
      <c r="AB76" s="331"/>
      <c r="AC76" s="331" t="str">
        <f>IF(F76="","",IF(V76="キャンセル済み","キャンセル済み",IF(AND(V76="入荷済み",Y76&gt;=Q76),"通常",IF(AND(W76&lt;TODAY(),W76&lt;&gt;"",V76&lt;&gt;"入荷済み"),"入荷遅延",IF(J76&lt;=K76,"セキュリティ在庫割れ",IF(J76&lt;=L76,"発注点到達",IF(Q76&lt;P76,"申請数が推奨数未満","通常")))))))</f>
      </c>
      <c r="AD76" s="332" t="str">
        <f>IF(F76="","",IF(N76=0,"不明",IF(J76/N76&lt;O76,"高リスク：リードタイム不足",IF(J76/N76&lt;O76+3,"中リスク","低リスク"))))</f>
      </c>
    </row>
    <row r="77" ht="19" customHeight="true">
      <c r="A77" s="330" t="str">
        <f>IF(F77="","","RL-"&amp;TEXT(ROW()-3,"0000"))</f>
      </c>
      <c r="B77" s="365"/>
      <c r="C77" s="331"/>
      <c r="D77" s="331"/>
      <c r="E77" s="331"/>
      <c r="F77" s="331"/>
      <c r="G77" s="331" t="str">
        <f>IF(F77="","",IFERROR(VLOOKUP(F77,'商品カタログ'!$A:$O,2,FALSE),""))</f>
      </c>
      <c r="H77" s="331" t="str">
        <f>IF(F77="","",IFERROR(VLOOKUP(F77,'商品カタログ'!$A:$O,3,FALSE),""))</f>
      </c>
      <c r="I77" s="331" t="str">
        <f>IF(F77="","",IFERROR(VLOOKUP(F77,'商品カタログ'!$A:$O,7,FALSE),""))</f>
      </c>
      <c r="J77" s="371"/>
      <c r="K77" s="371" t="str">
        <f>IF(F77="","",IFERROR(VLOOKUP(F77,'商品カタログ'!$A:$O,11,FALSE),""))</f>
      </c>
      <c r="L77" s="371" t="str">
        <f>IF(F77="","",IFERROR(VLOOKUP(F77,'商品カタログ'!$A:$O,12,FALSE),""))</f>
      </c>
      <c r="M77" s="371" t="str">
        <f>IF(F77="","",IFERROR(VLOOKUP(F77,'商品カタログ'!$A:$O,13,FALSE),""))</f>
      </c>
      <c r="N77" s="371"/>
      <c r="O77" s="371" t="str">
        <f>IF(F77="","",IFERROR(VLOOKUP(F77,'商品カタログ'!$A:$O,10,FALSE),""))</f>
      </c>
      <c r="P77" s="371" t="str">
        <f>IF(F77="","",IF(OR(J77&lt;=L77,J77-N77*O77&lt;=K77),MAX(IFERROR(VLOOKUP(F77,'商品カタログ'!$A:$O,8,FALSE),0),IFERROR(CEILING(MAX(0,M77-J77),MAX(1,VLOOKUP(F77,'商品カタログ'!$A:$O,9,FALSE))),MAX(0,M77-J77))),0))</f>
      </c>
      <c r="Q77" s="371"/>
      <c r="R77" s="331" t="str">
        <f>IF(F77="","",IFERROR(VLOOKUP(F77,'商品カタログ'!$A:$O,6,FALSE),""))</f>
      </c>
      <c r="S77" s="377" t="str">
        <f>IF(F77="","",IFERROR(VLOOKUP(F77,'商品カタログ'!$A:$O,14,FALSE),""))</f>
      </c>
      <c r="T77" s="377" t="str">
        <f>IF(F77="","",IFERROR(Q77*S77,0))</f>
      </c>
      <c r="U77" s="331"/>
      <c r="V77" s="331"/>
      <c r="W77" s="365" t="str">
        <f>IF(OR(B77="",O77=""),"",B77+O77)</f>
      </c>
      <c r="X77" s="365"/>
      <c r="Y77" s="371"/>
      <c r="Z77" s="371" t="str">
        <f>IF(F77="","",IF(V77="入荷済み",Y77-Q77,IF(V77="一部入荷",Y77-Q77,"")))</f>
      </c>
      <c r="AA77" s="331"/>
      <c r="AB77" s="331"/>
      <c r="AC77" s="331" t="str">
        <f>IF(F77="","",IF(V77="キャンセル済み","キャンセル済み",IF(AND(V77="入荷済み",Y77&gt;=Q77),"通常",IF(AND(W77&lt;TODAY(),W77&lt;&gt;"",V77&lt;&gt;"入荷済み"),"入荷遅延",IF(J77&lt;=K77,"セキュリティ在庫割れ",IF(J77&lt;=L77,"発注点到達",IF(Q77&lt;P77,"申請数が推奨数未満","通常")))))))</f>
      </c>
      <c r="AD77" s="332" t="str">
        <f>IF(F77="","",IF(N77=0,"不明",IF(J77/N77&lt;O77,"高リスク：リードタイム不足",IF(J77/N77&lt;O77+3,"中リスク","低リスク"))))</f>
      </c>
    </row>
    <row r="78" ht="19" customHeight="true">
      <c r="A78" s="330" t="str">
        <f>IF(F78="","","RL-"&amp;TEXT(ROW()-3,"0000"))</f>
      </c>
      <c r="B78" s="365"/>
      <c r="C78" s="331"/>
      <c r="D78" s="331"/>
      <c r="E78" s="331"/>
      <c r="F78" s="331"/>
      <c r="G78" s="331" t="str">
        <f>IF(F78="","",IFERROR(VLOOKUP(F78,'商品カタログ'!$A:$O,2,FALSE),""))</f>
      </c>
      <c r="H78" s="331" t="str">
        <f>IF(F78="","",IFERROR(VLOOKUP(F78,'商品カタログ'!$A:$O,3,FALSE),""))</f>
      </c>
      <c r="I78" s="331" t="str">
        <f>IF(F78="","",IFERROR(VLOOKUP(F78,'商品カタログ'!$A:$O,7,FALSE),""))</f>
      </c>
      <c r="J78" s="371"/>
      <c r="K78" s="371" t="str">
        <f>IF(F78="","",IFERROR(VLOOKUP(F78,'商品カタログ'!$A:$O,11,FALSE),""))</f>
      </c>
      <c r="L78" s="371" t="str">
        <f>IF(F78="","",IFERROR(VLOOKUP(F78,'商品カタログ'!$A:$O,12,FALSE),""))</f>
      </c>
      <c r="M78" s="371" t="str">
        <f>IF(F78="","",IFERROR(VLOOKUP(F78,'商品カタログ'!$A:$O,13,FALSE),""))</f>
      </c>
      <c r="N78" s="371"/>
      <c r="O78" s="371" t="str">
        <f>IF(F78="","",IFERROR(VLOOKUP(F78,'商品カタログ'!$A:$O,10,FALSE),""))</f>
      </c>
      <c r="P78" s="371" t="str">
        <f>IF(F78="","",IF(OR(J78&lt;=L78,J78-N78*O78&lt;=K78),MAX(IFERROR(VLOOKUP(F78,'商品カタログ'!$A:$O,8,FALSE),0),IFERROR(CEILING(MAX(0,M78-J78),MAX(1,VLOOKUP(F78,'商品カタログ'!$A:$O,9,FALSE))),MAX(0,M78-J78))),0))</f>
      </c>
      <c r="Q78" s="371"/>
      <c r="R78" s="331" t="str">
        <f>IF(F78="","",IFERROR(VLOOKUP(F78,'商品カタログ'!$A:$O,6,FALSE),""))</f>
      </c>
      <c r="S78" s="377" t="str">
        <f>IF(F78="","",IFERROR(VLOOKUP(F78,'商品カタログ'!$A:$O,14,FALSE),""))</f>
      </c>
      <c r="T78" s="377" t="str">
        <f>IF(F78="","",IFERROR(Q78*S78,0))</f>
      </c>
      <c r="U78" s="331"/>
      <c r="V78" s="331"/>
      <c r="W78" s="365" t="str">
        <f>IF(OR(B78="",O78=""),"",B78+O78)</f>
      </c>
      <c r="X78" s="365"/>
      <c r="Y78" s="371"/>
      <c r="Z78" s="371" t="str">
        <f>IF(F78="","",IF(V78="入荷済み",Y78-Q78,IF(V78="一部入荷",Y78-Q78,"")))</f>
      </c>
      <c r="AA78" s="331"/>
      <c r="AB78" s="331"/>
      <c r="AC78" s="331" t="str">
        <f>IF(F78="","",IF(V78="キャンセル済み","キャンセル済み",IF(AND(V78="入荷済み",Y78&gt;=Q78),"通常",IF(AND(W78&lt;TODAY(),W78&lt;&gt;"",V78&lt;&gt;"入荷済み"),"入荷遅延",IF(J78&lt;=K78,"セキュリティ在庫割れ",IF(J78&lt;=L78,"発注点到達",IF(Q78&lt;P78,"申請数が推奨数未満","通常")))))))</f>
      </c>
      <c r="AD78" s="332" t="str">
        <f>IF(F78="","",IF(N78=0,"不明",IF(J78/N78&lt;O78,"高リスク：リードタイム不足",IF(J78/N78&lt;O78+3,"中リスク","低リスク"))))</f>
      </c>
    </row>
    <row r="79" ht="19" customHeight="true">
      <c r="A79" s="330" t="str">
        <f>IF(F79="","","RL-"&amp;TEXT(ROW()-3,"0000"))</f>
      </c>
      <c r="B79" s="365"/>
      <c r="C79" s="331"/>
      <c r="D79" s="331"/>
      <c r="E79" s="331"/>
      <c r="F79" s="331"/>
      <c r="G79" s="331" t="str">
        <f>IF(F79="","",IFERROR(VLOOKUP(F79,'商品カタログ'!$A:$O,2,FALSE),""))</f>
      </c>
      <c r="H79" s="331" t="str">
        <f>IF(F79="","",IFERROR(VLOOKUP(F79,'商品カタログ'!$A:$O,3,FALSE),""))</f>
      </c>
      <c r="I79" s="331" t="str">
        <f>IF(F79="","",IFERROR(VLOOKUP(F79,'商品カタログ'!$A:$O,7,FALSE),""))</f>
      </c>
      <c r="J79" s="371"/>
      <c r="K79" s="371" t="str">
        <f>IF(F79="","",IFERROR(VLOOKUP(F79,'商品カタログ'!$A:$O,11,FALSE),""))</f>
      </c>
      <c r="L79" s="371" t="str">
        <f>IF(F79="","",IFERROR(VLOOKUP(F79,'商品カタログ'!$A:$O,12,FALSE),""))</f>
      </c>
      <c r="M79" s="371" t="str">
        <f>IF(F79="","",IFERROR(VLOOKUP(F79,'商品カタログ'!$A:$O,13,FALSE),""))</f>
      </c>
      <c r="N79" s="371"/>
      <c r="O79" s="371" t="str">
        <f>IF(F79="","",IFERROR(VLOOKUP(F79,'商品カタログ'!$A:$O,10,FALSE),""))</f>
      </c>
      <c r="P79" s="371" t="str">
        <f>IF(F79="","",IF(OR(J79&lt;=L79,J79-N79*O79&lt;=K79),MAX(IFERROR(VLOOKUP(F79,'商品カタログ'!$A:$O,8,FALSE),0),IFERROR(CEILING(MAX(0,M79-J79),MAX(1,VLOOKUP(F79,'商品カタログ'!$A:$O,9,FALSE))),MAX(0,M79-J79))),0))</f>
      </c>
      <c r="Q79" s="371"/>
      <c r="R79" s="331" t="str">
        <f>IF(F79="","",IFERROR(VLOOKUP(F79,'商品カタログ'!$A:$O,6,FALSE),""))</f>
      </c>
      <c r="S79" s="377" t="str">
        <f>IF(F79="","",IFERROR(VLOOKUP(F79,'商品カタログ'!$A:$O,14,FALSE),""))</f>
      </c>
      <c r="T79" s="377" t="str">
        <f>IF(F79="","",IFERROR(Q79*S79,0))</f>
      </c>
      <c r="U79" s="331"/>
      <c r="V79" s="331"/>
      <c r="W79" s="365" t="str">
        <f>IF(OR(B79="",O79=""),"",B79+O79)</f>
      </c>
      <c r="X79" s="365"/>
      <c r="Y79" s="371"/>
      <c r="Z79" s="371" t="str">
        <f>IF(F79="","",IF(V79="入荷済み",Y79-Q79,IF(V79="一部入荷",Y79-Q79,"")))</f>
      </c>
      <c r="AA79" s="331"/>
      <c r="AB79" s="331"/>
      <c r="AC79" s="331" t="str">
        <f>IF(F79="","",IF(V79="キャンセル済み","キャンセル済み",IF(AND(V79="入荷済み",Y79&gt;=Q79),"通常",IF(AND(W79&lt;TODAY(),W79&lt;&gt;"",V79&lt;&gt;"入荷済み"),"入荷遅延",IF(J79&lt;=K79,"セキュリティ在庫割れ",IF(J79&lt;=L79,"発注点到達",IF(Q79&lt;P79,"申請数が推奨数未満","通常")))))))</f>
      </c>
      <c r="AD79" s="332" t="str">
        <f>IF(F79="","",IF(N79=0,"不明",IF(J79/N79&lt;O79,"高リスク：リードタイム不足",IF(J79/N79&lt;O79+3,"中リスク","低リスク"))))</f>
      </c>
    </row>
    <row r="80" ht="19" customHeight="true">
      <c r="A80" s="330" t="str">
        <f>IF(F80="","","RL-"&amp;TEXT(ROW()-3,"0000"))</f>
      </c>
      <c r="B80" s="365"/>
      <c r="C80" s="331"/>
      <c r="D80" s="331"/>
      <c r="E80" s="331"/>
      <c r="F80" s="331"/>
      <c r="G80" s="331" t="str">
        <f>IF(F80="","",IFERROR(VLOOKUP(F80,'商品カタログ'!$A:$O,2,FALSE),""))</f>
      </c>
      <c r="H80" s="331" t="str">
        <f>IF(F80="","",IFERROR(VLOOKUP(F80,'商品カタログ'!$A:$O,3,FALSE),""))</f>
      </c>
      <c r="I80" s="331" t="str">
        <f>IF(F80="","",IFERROR(VLOOKUP(F80,'商品カタログ'!$A:$O,7,FALSE),""))</f>
      </c>
      <c r="J80" s="371"/>
      <c r="K80" s="371" t="str">
        <f>IF(F80="","",IFERROR(VLOOKUP(F80,'商品カタログ'!$A:$O,11,FALSE),""))</f>
      </c>
      <c r="L80" s="371" t="str">
        <f>IF(F80="","",IFERROR(VLOOKUP(F80,'商品カタログ'!$A:$O,12,FALSE),""))</f>
      </c>
      <c r="M80" s="371" t="str">
        <f>IF(F80="","",IFERROR(VLOOKUP(F80,'商品カタログ'!$A:$O,13,FALSE),""))</f>
      </c>
      <c r="N80" s="371"/>
      <c r="O80" s="371" t="str">
        <f>IF(F80="","",IFERROR(VLOOKUP(F80,'商品カタログ'!$A:$O,10,FALSE),""))</f>
      </c>
      <c r="P80" s="371" t="str">
        <f>IF(F80="","",IF(OR(J80&lt;=L80,J80-N80*O80&lt;=K80),MAX(IFERROR(VLOOKUP(F80,'商品カタログ'!$A:$O,8,FALSE),0),IFERROR(CEILING(MAX(0,M80-J80),MAX(1,VLOOKUP(F80,'商品カタログ'!$A:$O,9,FALSE))),MAX(0,M80-J80))),0))</f>
      </c>
      <c r="Q80" s="371"/>
      <c r="R80" s="331" t="str">
        <f>IF(F80="","",IFERROR(VLOOKUP(F80,'商品カタログ'!$A:$O,6,FALSE),""))</f>
      </c>
      <c r="S80" s="377" t="str">
        <f>IF(F80="","",IFERROR(VLOOKUP(F80,'商品カタログ'!$A:$O,14,FALSE),""))</f>
      </c>
      <c r="T80" s="377" t="str">
        <f>IF(F80="","",IFERROR(Q80*S80,0))</f>
      </c>
      <c r="U80" s="331"/>
      <c r="V80" s="331"/>
      <c r="W80" s="365" t="str">
        <f>IF(OR(B80="",O80=""),"",B80+O80)</f>
      </c>
      <c r="X80" s="365"/>
      <c r="Y80" s="371"/>
      <c r="Z80" s="371" t="str">
        <f>IF(F80="","",IF(V80="入荷済み",Y80-Q80,IF(V80="一部入荷",Y80-Q80,"")))</f>
      </c>
      <c r="AA80" s="331"/>
      <c r="AB80" s="331"/>
      <c r="AC80" s="331" t="str">
        <f>IF(F80="","",IF(V80="キャンセル済み","キャンセル済み",IF(AND(V80="入荷済み",Y80&gt;=Q80),"通常",IF(AND(W80&lt;TODAY(),W80&lt;&gt;"",V80&lt;&gt;"入荷済み"),"入荷遅延",IF(J80&lt;=K80,"セキュリティ在庫割れ",IF(J80&lt;=L80,"発注点到達",IF(Q80&lt;P80,"申請数が推奨数未満","通常")))))))</f>
      </c>
      <c r="AD80" s="332" t="str">
        <f>IF(F80="","",IF(N80=0,"不明",IF(J80/N80&lt;O80,"高リスク：リードタイム不足",IF(J80/N80&lt;O80+3,"中リスク","低リスク"))))</f>
      </c>
    </row>
    <row r="81" ht="19" customHeight="true">
      <c r="A81" s="330" t="str">
        <f>IF(F81="","","RL-"&amp;TEXT(ROW()-3,"0000"))</f>
      </c>
      <c r="B81" s="365"/>
      <c r="C81" s="331"/>
      <c r="D81" s="331"/>
      <c r="E81" s="331"/>
      <c r="F81" s="331"/>
      <c r="G81" s="331" t="str">
        <f>IF(F81="","",IFERROR(VLOOKUP(F81,'商品カタログ'!$A:$O,2,FALSE),""))</f>
      </c>
      <c r="H81" s="331" t="str">
        <f>IF(F81="","",IFERROR(VLOOKUP(F81,'商品カタログ'!$A:$O,3,FALSE),""))</f>
      </c>
      <c r="I81" s="331" t="str">
        <f>IF(F81="","",IFERROR(VLOOKUP(F81,'商品カタログ'!$A:$O,7,FALSE),""))</f>
      </c>
      <c r="J81" s="371"/>
      <c r="K81" s="371" t="str">
        <f>IF(F81="","",IFERROR(VLOOKUP(F81,'商品カタログ'!$A:$O,11,FALSE),""))</f>
      </c>
      <c r="L81" s="371" t="str">
        <f>IF(F81="","",IFERROR(VLOOKUP(F81,'商品カタログ'!$A:$O,12,FALSE),""))</f>
      </c>
      <c r="M81" s="371" t="str">
        <f>IF(F81="","",IFERROR(VLOOKUP(F81,'商品カタログ'!$A:$O,13,FALSE),""))</f>
      </c>
      <c r="N81" s="371"/>
      <c r="O81" s="371" t="str">
        <f>IF(F81="","",IFERROR(VLOOKUP(F81,'商品カタログ'!$A:$O,10,FALSE),""))</f>
      </c>
      <c r="P81" s="371" t="str">
        <f>IF(F81="","",IF(OR(J81&lt;=L81,J81-N81*O81&lt;=K81),MAX(IFERROR(VLOOKUP(F81,'商品カタログ'!$A:$O,8,FALSE),0),IFERROR(CEILING(MAX(0,M81-J81),MAX(1,VLOOKUP(F81,'商品カタログ'!$A:$O,9,FALSE))),MAX(0,M81-J81))),0))</f>
      </c>
      <c r="Q81" s="371"/>
      <c r="R81" s="331" t="str">
        <f>IF(F81="","",IFERROR(VLOOKUP(F81,'商品カタログ'!$A:$O,6,FALSE),""))</f>
      </c>
      <c r="S81" s="377" t="str">
        <f>IF(F81="","",IFERROR(VLOOKUP(F81,'商品カタログ'!$A:$O,14,FALSE),""))</f>
      </c>
      <c r="T81" s="377" t="str">
        <f>IF(F81="","",IFERROR(Q81*S81,0))</f>
      </c>
      <c r="U81" s="331"/>
      <c r="V81" s="331"/>
      <c r="W81" s="365" t="str">
        <f>IF(OR(B81="",O81=""),"",B81+O81)</f>
      </c>
      <c r="X81" s="365"/>
      <c r="Y81" s="371"/>
      <c r="Z81" s="371" t="str">
        <f>IF(F81="","",IF(V81="入荷済み",Y81-Q81,IF(V81="一部入荷",Y81-Q81,"")))</f>
      </c>
      <c r="AA81" s="331"/>
      <c r="AB81" s="331"/>
      <c r="AC81" s="331" t="str">
        <f>IF(F81="","",IF(V81="キャンセル済み","キャンセル済み",IF(AND(V81="入荷済み",Y81&gt;=Q81),"通常",IF(AND(W81&lt;TODAY(),W81&lt;&gt;"",V81&lt;&gt;"入荷済み"),"入荷遅延",IF(J81&lt;=K81,"セキュリティ在庫割れ",IF(J81&lt;=L81,"発注点到達",IF(Q81&lt;P81,"申請数が推奨数未満","通常")))))))</f>
      </c>
      <c r="AD81" s="332" t="str">
        <f>IF(F81="","",IF(N81=0,"不明",IF(J81/N81&lt;O81,"高リスク：リードタイム不足",IF(J81/N81&lt;O81+3,"中リスク","低リスク"))))</f>
      </c>
    </row>
    <row r="82" ht="19" customHeight="true">
      <c r="A82" s="330" t="str">
        <f>IF(F82="","","RL-"&amp;TEXT(ROW()-3,"0000"))</f>
      </c>
      <c r="B82" s="365"/>
      <c r="C82" s="331"/>
      <c r="D82" s="331"/>
      <c r="E82" s="331"/>
      <c r="F82" s="331"/>
      <c r="G82" s="331" t="str">
        <f>IF(F82="","",IFERROR(VLOOKUP(F82,'商品カタログ'!$A:$O,2,FALSE),""))</f>
      </c>
      <c r="H82" s="331" t="str">
        <f>IF(F82="","",IFERROR(VLOOKUP(F82,'商品カタログ'!$A:$O,3,FALSE),""))</f>
      </c>
      <c r="I82" s="331" t="str">
        <f>IF(F82="","",IFERROR(VLOOKUP(F82,'商品カタログ'!$A:$O,7,FALSE),""))</f>
      </c>
      <c r="J82" s="371"/>
      <c r="K82" s="371" t="str">
        <f>IF(F82="","",IFERROR(VLOOKUP(F82,'商品カタログ'!$A:$O,11,FALSE),""))</f>
      </c>
      <c r="L82" s="371" t="str">
        <f>IF(F82="","",IFERROR(VLOOKUP(F82,'商品カタログ'!$A:$O,12,FALSE),""))</f>
      </c>
      <c r="M82" s="371" t="str">
        <f>IF(F82="","",IFERROR(VLOOKUP(F82,'商品カタログ'!$A:$O,13,FALSE),""))</f>
      </c>
      <c r="N82" s="371"/>
      <c r="O82" s="371" t="str">
        <f>IF(F82="","",IFERROR(VLOOKUP(F82,'商品カタログ'!$A:$O,10,FALSE),""))</f>
      </c>
      <c r="P82" s="371" t="str">
        <f>IF(F82="","",IF(OR(J82&lt;=L82,J82-N82*O82&lt;=K82),MAX(IFERROR(VLOOKUP(F82,'商品カタログ'!$A:$O,8,FALSE),0),IFERROR(CEILING(MAX(0,M82-J82),MAX(1,VLOOKUP(F82,'商品カタログ'!$A:$O,9,FALSE))),MAX(0,M82-J82))),0))</f>
      </c>
      <c r="Q82" s="371"/>
      <c r="R82" s="331" t="str">
        <f>IF(F82="","",IFERROR(VLOOKUP(F82,'商品カタログ'!$A:$O,6,FALSE),""))</f>
      </c>
      <c r="S82" s="377" t="str">
        <f>IF(F82="","",IFERROR(VLOOKUP(F82,'商品カタログ'!$A:$O,14,FALSE),""))</f>
      </c>
      <c r="T82" s="377" t="str">
        <f>IF(F82="","",IFERROR(Q82*S82,0))</f>
      </c>
      <c r="U82" s="331"/>
      <c r="V82" s="331"/>
      <c r="W82" s="365" t="str">
        <f>IF(OR(B82="",O82=""),"",B82+O82)</f>
      </c>
      <c r="X82" s="365"/>
      <c r="Y82" s="371"/>
      <c r="Z82" s="371" t="str">
        <f>IF(F82="","",IF(V82="入荷済み",Y82-Q82,IF(V82="一部入荷",Y82-Q82,"")))</f>
      </c>
      <c r="AA82" s="331"/>
      <c r="AB82" s="331"/>
      <c r="AC82" s="331" t="str">
        <f>IF(F82="","",IF(V82="キャンセル済み","キャンセル済み",IF(AND(V82="入荷済み",Y82&gt;=Q82),"通常",IF(AND(W82&lt;TODAY(),W82&lt;&gt;"",V82&lt;&gt;"入荷済み"),"入荷遅延",IF(J82&lt;=K82,"セキュリティ在庫割れ",IF(J82&lt;=L82,"発注点到達",IF(Q82&lt;P82,"申請数が推奨数未満","通常")))))))</f>
      </c>
      <c r="AD82" s="332" t="str">
        <f>IF(F82="","",IF(N82=0,"不明",IF(J82/N82&lt;O82,"高リスク：リードタイム不足",IF(J82/N82&lt;O82+3,"中リスク","低リスク"))))</f>
      </c>
    </row>
    <row r="83" ht="19" customHeight="true">
      <c r="A83" s="330" t="str">
        <f>IF(F83="","","RL-"&amp;TEXT(ROW()-3,"0000"))</f>
      </c>
      <c r="B83" s="365"/>
      <c r="C83" s="331"/>
      <c r="D83" s="331"/>
      <c r="E83" s="331"/>
      <c r="F83" s="331"/>
      <c r="G83" s="331" t="str">
        <f>IF(F83="","",IFERROR(VLOOKUP(F83,'商品カタログ'!$A:$O,2,FALSE),""))</f>
      </c>
      <c r="H83" s="331" t="str">
        <f>IF(F83="","",IFERROR(VLOOKUP(F83,'商品カタログ'!$A:$O,3,FALSE),""))</f>
      </c>
      <c r="I83" s="331" t="str">
        <f>IF(F83="","",IFERROR(VLOOKUP(F83,'商品カタログ'!$A:$O,7,FALSE),""))</f>
      </c>
      <c r="J83" s="371"/>
      <c r="K83" s="371" t="str">
        <f>IF(F83="","",IFERROR(VLOOKUP(F83,'商品カタログ'!$A:$O,11,FALSE),""))</f>
      </c>
      <c r="L83" s="371" t="str">
        <f>IF(F83="","",IFERROR(VLOOKUP(F83,'商品カタログ'!$A:$O,12,FALSE),""))</f>
      </c>
      <c r="M83" s="371" t="str">
        <f>IF(F83="","",IFERROR(VLOOKUP(F83,'商品カタログ'!$A:$O,13,FALSE),""))</f>
      </c>
      <c r="N83" s="371"/>
      <c r="O83" s="371" t="str">
        <f>IF(F83="","",IFERROR(VLOOKUP(F83,'商品カタログ'!$A:$O,10,FALSE),""))</f>
      </c>
      <c r="P83" s="371" t="str">
        <f>IF(F83="","",IF(OR(J83&lt;=L83,J83-N83*O83&lt;=K83),MAX(IFERROR(VLOOKUP(F83,'商品カタログ'!$A:$O,8,FALSE),0),IFERROR(CEILING(MAX(0,M83-J83),MAX(1,VLOOKUP(F83,'商品カタログ'!$A:$O,9,FALSE))),MAX(0,M83-J83))),0))</f>
      </c>
      <c r="Q83" s="371"/>
      <c r="R83" s="331" t="str">
        <f>IF(F83="","",IFERROR(VLOOKUP(F83,'商品カタログ'!$A:$O,6,FALSE),""))</f>
      </c>
      <c r="S83" s="377" t="str">
        <f>IF(F83="","",IFERROR(VLOOKUP(F83,'商品カタログ'!$A:$O,14,FALSE),""))</f>
      </c>
      <c r="T83" s="377" t="str">
        <f>IF(F83="","",IFERROR(Q83*S83,0))</f>
      </c>
      <c r="U83" s="331"/>
      <c r="V83" s="331"/>
      <c r="W83" s="365" t="str">
        <f>IF(OR(B83="",O83=""),"",B83+O83)</f>
      </c>
      <c r="X83" s="365"/>
      <c r="Y83" s="371"/>
      <c r="Z83" s="371" t="str">
        <f>IF(F83="","",IF(V83="入荷済み",Y83-Q83,IF(V83="一部入荷",Y83-Q83,"")))</f>
      </c>
      <c r="AA83" s="331"/>
      <c r="AB83" s="331"/>
      <c r="AC83" s="331" t="str">
        <f>IF(F83="","",IF(V83="キャンセル済み","キャンセル済み",IF(AND(V83="入荷済み",Y83&gt;=Q83),"通常",IF(AND(W83&lt;TODAY(),W83&lt;&gt;"",V83&lt;&gt;"入荷済み"),"入荷遅延",IF(J83&lt;=K83,"セキュリティ在庫割れ",IF(J83&lt;=L83,"発注点到達",IF(Q83&lt;P83,"申請数が推奨数未満","通常")))))))</f>
      </c>
      <c r="AD83" s="332" t="str">
        <f>IF(F83="","",IF(N83=0,"不明",IF(J83/N83&lt;O83,"高リスク：リードタイム不足",IF(J83/N83&lt;O83+3,"中リスク","低リスク"))))</f>
      </c>
    </row>
    <row r="84" ht="19" customHeight="true">
      <c r="A84" s="330" t="str">
        <f>IF(F84="","","RL-"&amp;TEXT(ROW()-3,"0000"))</f>
      </c>
      <c r="B84" s="365"/>
      <c r="C84" s="331"/>
      <c r="D84" s="331"/>
      <c r="E84" s="331"/>
      <c r="F84" s="331"/>
      <c r="G84" s="331" t="str">
        <f>IF(F84="","",IFERROR(VLOOKUP(F84,'商品カタログ'!$A:$O,2,FALSE),""))</f>
      </c>
      <c r="H84" s="331" t="str">
        <f>IF(F84="","",IFERROR(VLOOKUP(F84,'商品カタログ'!$A:$O,3,FALSE),""))</f>
      </c>
      <c r="I84" s="331" t="str">
        <f>IF(F84="","",IFERROR(VLOOKUP(F84,'商品カタログ'!$A:$O,7,FALSE),""))</f>
      </c>
      <c r="J84" s="371"/>
      <c r="K84" s="371" t="str">
        <f>IF(F84="","",IFERROR(VLOOKUP(F84,'商品カタログ'!$A:$O,11,FALSE),""))</f>
      </c>
      <c r="L84" s="371" t="str">
        <f>IF(F84="","",IFERROR(VLOOKUP(F84,'商品カタログ'!$A:$O,12,FALSE),""))</f>
      </c>
      <c r="M84" s="371" t="str">
        <f>IF(F84="","",IFERROR(VLOOKUP(F84,'商品カタログ'!$A:$O,13,FALSE),""))</f>
      </c>
      <c r="N84" s="371"/>
      <c r="O84" s="371" t="str">
        <f>IF(F84="","",IFERROR(VLOOKUP(F84,'商品カタログ'!$A:$O,10,FALSE),""))</f>
      </c>
      <c r="P84" s="371" t="str">
        <f>IF(F84="","",IF(OR(J84&lt;=L84,J84-N84*O84&lt;=K84),MAX(IFERROR(VLOOKUP(F84,'商品カタログ'!$A:$O,8,FALSE),0),IFERROR(CEILING(MAX(0,M84-J84),MAX(1,VLOOKUP(F84,'商品カタログ'!$A:$O,9,FALSE))),MAX(0,M84-J84))),0))</f>
      </c>
      <c r="Q84" s="371"/>
      <c r="R84" s="331" t="str">
        <f>IF(F84="","",IFERROR(VLOOKUP(F84,'商品カタログ'!$A:$O,6,FALSE),""))</f>
      </c>
      <c r="S84" s="377" t="str">
        <f>IF(F84="","",IFERROR(VLOOKUP(F84,'商品カタログ'!$A:$O,14,FALSE),""))</f>
      </c>
      <c r="T84" s="377" t="str">
        <f>IF(F84="","",IFERROR(Q84*S84,0))</f>
      </c>
      <c r="U84" s="331"/>
      <c r="V84" s="331"/>
      <c r="W84" s="365" t="str">
        <f>IF(OR(B84="",O84=""),"",B84+O84)</f>
      </c>
      <c r="X84" s="365"/>
      <c r="Y84" s="371"/>
      <c r="Z84" s="371" t="str">
        <f>IF(F84="","",IF(V84="入荷済み",Y84-Q84,IF(V84="一部入荷",Y84-Q84,"")))</f>
      </c>
      <c r="AA84" s="331"/>
      <c r="AB84" s="331"/>
      <c r="AC84" s="331" t="str">
        <f>IF(F84="","",IF(V84="キャンセル済み","キャンセル済み",IF(AND(V84="入荷済み",Y84&gt;=Q84),"通常",IF(AND(W84&lt;TODAY(),W84&lt;&gt;"",V84&lt;&gt;"入荷済み"),"入荷遅延",IF(J84&lt;=K84,"セキュリティ在庫割れ",IF(J84&lt;=L84,"発注点到達",IF(Q84&lt;P84,"申請数が推奨数未満","通常")))))))</f>
      </c>
      <c r="AD84" s="332" t="str">
        <f>IF(F84="","",IF(N84=0,"不明",IF(J84/N84&lt;O84,"高リスク：リードタイム不足",IF(J84/N84&lt;O84+3,"中リスク","低リスク"))))</f>
      </c>
    </row>
    <row r="85" ht="19" customHeight="true">
      <c r="A85" s="330" t="str">
        <f>IF(F85="","","RL-"&amp;TEXT(ROW()-3,"0000"))</f>
      </c>
      <c r="B85" s="365"/>
      <c r="C85" s="331"/>
      <c r="D85" s="331"/>
      <c r="E85" s="331"/>
      <c r="F85" s="331"/>
      <c r="G85" s="331" t="str">
        <f>IF(F85="","",IFERROR(VLOOKUP(F85,'商品カタログ'!$A:$O,2,FALSE),""))</f>
      </c>
      <c r="H85" s="331" t="str">
        <f>IF(F85="","",IFERROR(VLOOKUP(F85,'商品カタログ'!$A:$O,3,FALSE),""))</f>
      </c>
      <c r="I85" s="331" t="str">
        <f>IF(F85="","",IFERROR(VLOOKUP(F85,'商品カタログ'!$A:$O,7,FALSE),""))</f>
      </c>
      <c r="J85" s="371"/>
      <c r="K85" s="371" t="str">
        <f>IF(F85="","",IFERROR(VLOOKUP(F85,'商品カタログ'!$A:$O,11,FALSE),""))</f>
      </c>
      <c r="L85" s="371" t="str">
        <f>IF(F85="","",IFERROR(VLOOKUP(F85,'商品カタログ'!$A:$O,12,FALSE),""))</f>
      </c>
      <c r="M85" s="371" t="str">
        <f>IF(F85="","",IFERROR(VLOOKUP(F85,'商品カタログ'!$A:$O,13,FALSE),""))</f>
      </c>
      <c r="N85" s="371"/>
      <c r="O85" s="371" t="str">
        <f>IF(F85="","",IFERROR(VLOOKUP(F85,'商品カタログ'!$A:$O,10,FALSE),""))</f>
      </c>
      <c r="P85" s="371" t="str">
        <f>IF(F85="","",IF(OR(J85&lt;=L85,J85-N85*O85&lt;=K85),MAX(IFERROR(VLOOKUP(F85,'商品カタログ'!$A:$O,8,FALSE),0),IFERROR(CEILING(MAX(0,M85-J85),MAX(1,VLOOKUP(F85,'商品カタログ'!$A:$O,9,FALSE))),MAX(0,M85-J85))),0))</f>
      </c>
      <c r="Q85" s="371"/>
      <c r="R85" s="331" t="str">
        <f>IF(F85="","",IFERROR(VLOOKUP(F85,'商品カタログ'!$A:$O,6,FALSE),""))</f>
      </c>
      <c r="S85" s="377" t="str">
        <f>IF(F85="","",IFERROR(VLOOKUP(F85,'商品カタログ'!$A:$O,14,FALSE),""))</f>
      </c>
      <c r="T85" s="377" t="str">
        <f>IF(F85="","",IFERROR(Q85*S85,0))</f>
      </c>
      <c r="U85" s="331"/>
      <c r="V85" s="331"/>
      <c r="W85" s="365" t="str">
        <f>IF(OR(B85="",O85=""),"",B85+O85)</f>
      </c>
      <c r="X85" s="365"/>
      <c r="Y85" s="371"/>
      <c r="Z85" s="371" t="str">
        <f>IF(F85="","",IF(V85="入荷済み",Y85-Q85,IF(V85="一部入荷",Y85-Q85,"")))</f>
      </c>
      <c r="AA85" s="331"/>
      <c r="AB85" s="331"/>
      <c r="AC85" s="331" t="str">
        <f>IF(F85="","",IF(V85="キャンセル済み","キャンセル済み",IF(AND(V85="入荷済み",Y85&gt;=Q85),"通常",IF(AND(W85&lt;TODAY(),W85&lt;&gt;"",V85&lt;&gt;"入荷済み"),"入荷遅延",IF(J85&lt;=K85,"セキュリティ在庫割れ",IF(J85&lt;=L85,"発注点到達",IF(Q85&lt;P85,"申請数が推奨数未満","通常")))))))</f>
      </c>
      <c r="AD85" s="332" t="str">
        <f>IF(F85="","",IF(N85=0,"不明",IF(J85/N85&lt;O85,"高リスク：リードタイム不足",IF(J85/N85&lt;O85+3,"中リスク","低リスク"))))</f>
      </c>
    </row>
    <row r="86" ht="19" customHeight="true">
      <c r="A86" s="330" t="str">
        <f>IF(F86="","","RL-"&amp;TEXT(ROW()-3,"0000"))</f>
      </c>
      <c r="B86" s="365"/>
      <c r="C86" s="331"/>
      <c r="D86" s="331"/>
      <c r="E86" s="331"/>
      <c r="F86" s="331"/>
      <c r="G86" s="331" t="str">
        <f>IF(F86="","",IFERROR(VLOOKUP(F86,'商品カタログ'!$A:$O,2,FALSE),""))</f>
      </c>
      <c r="H86" s="331" t="str">
        <f>IF(F86="","",IFERROR(VLOOKUP(F86,'商品カタログ'!$A:$O,3,FALSE),""))</f>
      </c>
      <c r="I86" s="331" t="str">
        <f>IF(F86="","",IFERROR(VLOOKUP(F86,'商品カタログ'!$A:$O,7,FALSE),""))</f>
      </c>
      <c r="J86" s="371"/>
      <c r="K86" s="371" t="str">
        <f>IF(F86="","",IFERROR(VLOOKUP(F86,'商品カタログ'!$A:$O,11,FALSE),""))</f>
      </c>
      <c r="L86" s="371" t="str">
        <f>IF(F86="","",IFERROR(VLOOKUP(F86,'商品カタログ'!$A:$O,12,FALSE),""))</f>
      </c>
      <c r="M86" s="371" t="str">
        <f>IF(F86="","",IFERROR(VLOOKUP(F86,'商品カタログ'!$A:$O,13,FALSE),""))</f>
      </c>
      <c r="N86" s="371"/>
      <c r="O86" s="371" t="str">
        <f>IF(F86="","",IFERROR(VLOOKUP(F86,'商品カタログ'!$A:$O,10,FALSE),""))</f>
      </c>
      <c r="P86" s="371" t="str">
        <f>IF(F86="","",IF(OR(J86&lt;=L86,J86-N86*O86&lt;=K86),MAX(IFERROR(VLOOKUP(F86,'商品カタログ'!$A:$O,8,FALSE),0),IFERROR(CEILING(MAX(0,M86-J86),MAX(1,VLOOKUP(F86,'商品カタログ'!$A:$O,9,FALSE))),MAX(0,M86-J86))),0))</f>
      </c>
      <c r="Q86" s="371"/>
      <c r="R86" s="331" t="str">
        <f>IF(F86="","",IFERROR(VLOOKUP(F86,'商品カタログ'!$A:$O,6,FALSE),""))</f>
      </c>
      <c r="S86" s="377" t="str">
        <f>IF(F86="","",IFERROR(VLOOKUP(F86,'商品カタログ'!$A:$O,14,FALSE),""))</f>
      </c>
      <c r="T86" s="377" t="str">
        <f>IF(F86="","",IFERROR(Q86*S86,0))</f>
      </c>
      <c r="U86" s="331"/>
      <c r="V86" s="331"/>
      <c r="W86" s="365" t="str">
        <f>IF(OR(B86="",O86=""),"",B86+O86)</f>
      </c>
      <c r="X86" s="365"/>
      <c r="Y86" s="371"/>
      <c r="Z86" s="371" t="str">
        <f>IF(F86="","",IF(V86="入荷済み",Y86-Q86,IF(V86="一部入荷",Y86-Q86,"")))</f>
      </c>
      <c r="AA86" s="331"/>
      <c r="AB86" s="331"/>
      <c r="AC86" s="331" t="str">
        <f>IF(F86="","",IF(V86="キャンセル済み","キャンセル済み",IF(AND(V86="入荷済み",Y86&gt;=Q86),"通常",IF(AND(W86&lt;TODAY(),W86&lt;&gt;"",V86&lt;&gt;"入荷済み"),"入荷遅延",IF(J86&lt;=K86,"セキュリティ在庫割れ",IF(J86&lt;=L86,"発注点到達",IF(Q86&lt;P86,"申請数が推奨数未満","通常")))))))</f>
      </c>
      <c r="AD86" s="332" t="str">
        <f>IF(F86="","",IF(N86=0,"不明",IF(J86/N86&lt;O86,"高リスク：リードタイム不足",IF(J86/N86&lt;O86+3,"中リスク","低リスク"))))</f>
      </c>
    </row>
    <row r="87" ht="19" customHeight="true">
      <c r="A87" s="330" t="str">
        <f>IF(F87="","","RL-"&amp;TEXT(ROW()-3,"0000"))</f>
      </c>
      <c r="B87" s="365"/>
      <c r="C87" s="331"/>
      <c r="D87" s="331"/>
      <c r="E87" s="331"/>
      <c r="F87" s="331"/>
      <c r="G87" s="331" t="str">
        <f>IF(F87="","",IFERROR(VLOOKUP(F87,'商品カタログ'!$A:$O,2,FALSE),""))</f>
      </c>
      <c r="H87" s="331" t="str">
        <f>IF(F87="","",IFERROR(VLOOKUP(F87,'商品カタログ'!$A:$O,3,FALSE),""))</f>
      </c>
      <c r="I87" s="331" t="str">
        <f>IF(F87="","",IFERROR(VLOOKUP(F87,'商品カタログ'!$A:$O,7,FALSE),""))</f>
      </c>
      <c r="J87" s="371"/>
      <c r="K87" s="371" t="str">
        <f>IF(F87="","",IFERROR(VLOOKUP(F87,'商品カタログ'!$A:$O,11,FALSE),""))</f>
      </c>
      <c r="L87" s="371" t="str">
        <f>IF(F87="","",IFERROR(VLOOKUP(F87,'商品カタログ'!$A:$O,12,FALSE),""))</f>
      </c>
      <c r="M87" s="371" t="str">
        <f>IF(F87="","",IFERROR(VLOOKUP(F87,'商品カタログ'!$A:$O,13,FALSE),""))</f>
      </c>
      <c r="N87" s="371"/>
      <c r="O87" s="371" t="str">
        <f>IF(F87="","",IFERROR(VLOOKUP(F87,'商品カタログ'!$A:$O,10,FALSE),""))</f>
      </c>
      <c r="P87" s="371" t="str">
        <f>IF(F87="","",IF(OR(J87&lt;=L87,J87-N87*O87&lt;=K87),MAX(IFERROR(VLOOKUP(F87,'商品カタログ'!$A:$O,8,FALSE),0),IFERROR(CEILING(MAX(0,M87-J87),MAX(1,VLOOKUP(F87,'商品カタログ'!$A:$O,9,FALSE))),MAX(0,M87-J87))),0))</f>
      </c>
      <c r="Q87" s="371"/>
      <c r="R87" s="331" t="str">
        <f>IF(F87="","",IFERROR(VLOOKUP(F87,'商品カタログ'!$A:$O,6,FALSE),""))</f>
      </c>
      <c r="S87" s="377" t="str">
        <f>IF(F87="","",IFERROR(VLOOKUP(F87,'商品カタログ'!$A:$O,14,FALSE),""))</f>
      </c>
      <c r="T87" s="377" t="str">
        <f>IF(F87="","",IFERROR(Q87*S87,0))</f>
      </c>
      <c r="U87" s="331"/>
      <c r="V87" s="331"/>
      <c r="W87" s="365" t="str">
        <f>IF(OR(B87="",O87=""),"",B87+O87)</f>
      </c>
      <c r="X87" s="365"/>
      <c r="Y87" s="371"/>
      <c r="Z87" s="371" t="str">
        <f>IF(F87="","",IF(V87="入荷済み",Y87-Q87,IF(V87="一部入荷",Y87-Q87,"")))</f>
      </c>
      <c r="AA87" s="331"/>
      <c r="AB87" s="331"/>
      <c r="AC87" s="331" t="str">
        <f>IF(F87="","",IF(V87="キャンセル済み","キャンセル済み",IF(AND(V87="入荷済み",Y87&gt;=Q87),"通常",IF(AND(W87&lt;TODAY(),W87&lt;&gt;"",V87&lt;&gt;"入荷済み"),"入荷遅延",IF(J87&lt;=K87,"セキュリティ在庫割れ",IF(J87&lt;=L87,"発注点到達",IF(Q87&lt;P87,"申請数が推奨数未満","通常")))))))</f>
      </c>
      <c r="AD87" s="332" t="str">
        <f>IF(F87="","",IF(N87=0,"不明",IF(J87/N87&lt;O87,"高リスク：リードタイム不足",IF(J87/N87&lt;O87+3,"中リスク","低リスク"))))</f>
      </c>
    </row>
    <row r="88" ht="19" customHeight="true">
      <c r="A88" s="330" t="str">
        <f>IF(F88="","","RL-"&amp;TEXT(ROW()-3,"0000"))</f>
      </c>
      <c r="B88" s="365"/>
      <c r="C88" s="331"/>
      <c r="D88" s="331"/>
      <c r="E88" s="331"/>
      <c r="F88" s="331"/>
      <c r="G88" s="331" t="str">
        <f>IF(F88="","",IFERROR(VLOOKUP(F88,'商品カタログ'!$A:$O,2,FALSE),""))</f>
      </c>
      <c r="H88" s="331" t="str">
        <f>IF(F88="","",IFERROR(VLOOKUP(F88,'商品カタログ'!$A:$O,3,FALSE),""))</f>
      </c>
      <c r="I88" s="331" t="str">
        <f>IF(F88="","",IFERROR(VLOOKUP(F88,'商品カタログ'!$A:$O,7,FALSE),""))</f>
      </c>
      <c r="J88" s="371"/>
      <c r="K88" s="371" t="str">
        <f>IF(F88="","",IFERROR(VLOOKUP(F88,'商品カタログ'!$A:$O,11,FALSE),""))</f>
      </c>
      <c r="L88" s="371" t="str">
        <f>IF(F88="","",IFERROR(VLOOKUP(F88,'商品カタログ'!$A:$O,12,FALSE),""))</f>
      </c>
      <c r="M88" s="371" t="str">
        <f>IF(F88="","",IFERROR(VLOOKUP(F88,'商品カタログ'!$A:$O,13,FALSE),""))</f>
      </c>
      <c r="N88" s="371"/>
      <c r="O88" s="371" t="str">
        <f>IF(F88="","",IFERROR(VLOOKUP(F88,'商品カタログ'!$A:$O,10,FALSE),""))</f>
      </c>
      <c r="P88" s="371" t="str">
        <f>IF(F88="","",IF(OR(J88&lt;=L88,J88-N88*O88&lt;=K88),MAX(IFERROR(VLOOKUP(F88,'商品カタログ'!$A:$O,8,FALSE),0),IFERROR(CEILING(MAX(0,M88-J88),MAX(1,VLOOKUP(F88,'商品カタログ'!$A:$O,9,FALSE))),MAX(0,M88-J88))),0))</f>
      </c>
      <c r="Q88" s="371"/>
      <c r="R88" s="331" t="str">
        <f>IF(F88="","",IFERROR(VLOOKUP(F88,'商品カタログ'!$A:$O,6,FALSE),""))</f>
      </c>
      <c r="S88" s="377" t="str">
        <f>IF(F88="","",IFERROR(VLOOKUP(F88,'商品カタログ'!$A:$O,14,FALSE),""))</f>
      </c>
      <c r="T88" s="377" t="str">
        <f>IF(F88="","",IFERROR(Q88*S88,0))</f>
      </c>
      <c r="U88" s="331"/>
      <c r="V88" s="331"/>
      <c r="W88" s="365" t="str">
        <f>IF(OR(B88="",O88=""),"",B88+O88)</f>
      </c>
      <c r="X88" s="365"/>
      <c r="Y88" s="371"/>
      <c r="Z88" s="371" t="str">
        <f>IF(F88="","",IF(V88="入荷済み",Y88-Q88,IF(V88="一部入荷",Y88-Q88,"")))</f>
      </c>
      <c r="AA88" s="331"/>
      <c r="AB88" s="331"/>
      <c r="AC88" s="331" t="str">
        <f>IF(F88="","",IF(V88="キャンセル済み","キャンセル済み",IF(AND(V88="入荷済み",Y88&gt;=Q88),"通常",IF(AND(W88&lt;TODAY(),W88&lt;&gt;"",V88&lt;&gt;"入荷済み"),"入荷遅延",IF(J88&lt;=K88,"セキュリティ在庫割れ",IF(J88&lt;=L88,"発注点到達",IF(Q88&lt;P88,"申請数が推奨数未満","通常")))))))</f>
      </c>
      <c r="AD88" s="332" t="str">
        <f>IF(F88="","",IF(N88=0,"不明",IF(J88/N88&lt;O88,"高リスク：リードタイム不足",IF(J88/N88&lt;O88+3,"中リスク","低リスク"))))</f>
      </c>
    </row>
    <row r="89" ht="19" customHeight="true">
      <c r="A89" s="330" t="str">
        <f>IF(F89="","","RL-"&amp;TEXT(ROW()-3,"0000"))</f>
      </c>
      <c r="B89" s="365"/>
      <c r="C89" s="331"/>
      <c r="D89" s="331"/>
      <c r="E89" s="331"/>
      <c r="F89" s="331"/>
      <c r="G89" s="331" t="str">
        <f>IF(F89="","",IFERROR(VLOOKUP(F89,'商品カタログ'!$A:$O,2,FALSE),""))</f>
      </c>
      <c r="H89" s="331" t="str">
        <f>IF(F89="","",IFERROR(VLOOKUP(F89,'商品カタログ'!$A:$O,3,FALSE),""))</f>
      </c>
      <c r="I89" s="331" t="str">
        <f>IF(F89="","",IFERROR(VLOOKUP(F89,'商品カタログ'!$A:$O,7,FALSE),""))</f>
      </c>
      <c r="J89" s="371"/>
      <c r="K89" s="371" t="str">
        <f>IF(F89="","",IFERROR(VLOOKUP(F89,'商品カタログ'!$A:$O,11,FALSE),""))</f>
      </c>
      <c r="L89" s="371" t="str">
        <f>IF(F89="","",IFERROR(VLOOKUP(F89,'商品カタログ'!$A:$O,12,FALSE),""))</f>
      </c>
      <c r="M89" s="371" t="str">
        <f>IF(F89="","",IFERROR(VLOOKUP(F89,'商品カタログ'!$A:$O,13,FALSE),""))</f>
      </c>
      <c r="N89" s="371"/>
      <c r="O89" s="371" t="str">
        <f>IF(F89="","",IFERROR(VLOOKUP(F89,'商品カタログ'!$A:$O,10,FALSE),""))</f>
      </c>
      <c r="P89" s="371" t="str">
        <f>IF(F89="","",IF(OR(J89&lt;=L89,J89-N89*O89&lt;=K89),MAX(IFERROR(VLOOKUP(F89,'商品カタログ'!$A:$O,8,FALSE),0),IFERROR(CEILING(MAX(0,M89-J89),MAX(1,VLOOKUP(F89,'商品カタログ'!$A:$O,9,FALSE))),MAX(0,M89-J89))),0))</f>
      </c>
      <c r="Q89" s="371"/>
      <c r="R89" s="331" t="str">
        <f>IF(F89="","",IFERROR(VLOOKUP(F89,'商品カタログ'!$A:$O,6,FALSE),""))</f>
      </c>
      <c r="S89" s="377" t="str">
        <f>IF(F89="","",IFERROR(VLOOKUP(F89,'商品カタログ'!$A:$O,14,FALSE),""))</f>
      </c>
      <c r="T89" s="377" t="str">
        <f>IF(F89="","",IFERROR(Q89*S89,0))</f>
      </c>
      <c r="U89" s="331"/>
      <c r="V89" s="331"/>
      <c r="W89" s="365" t="str">
        <f>IF(OR(B89="",O89=""),"",B89+O89)</f>
      </c>
      <c r="X89" s="365"/>
      <c r="Y89" s="371"/>
      <c r="Z89" s="371" t="str">
        <f>IF(F89="","",IF(V89="入荷済み",Y89-Q89,IF(V89="一部入荷",Y89-Q89,"")))</f>
      </c>
      <c r="AA89" s="331"/>
      <c r="AB89" s="331"/>
      <c r="AC89" s="331" t="str">
        <f>IF(F89="","",IF(V89="キャンセル済み","キャンセル済み",IF(AND(V89="入荷済み",Y89&gt;=Q89),"通常",IF(AND(W89&lt;TODAY(),W89&lt;&gt;"",V89&lt;&gt;"入荷済み"),"入荷遅延",IF(J89&lt;=K89,"セキュリティ在庫割れ",IF(J89&lt;=L89,"発注点到達",IF(Q89&lt;P89,"申請数が推奨数未満","通常")))))))</f>
      </c>
      <c r="AD89" s="332" t="str">
        <f>IF(F89="","",IF(N89=0,"不明",IF(J89/N89&lt;O89,"高リスク：リードタイム不足",IF(J89/N89&lt;O89+3,"中リスク","低リスク"))))</f>
      </c>
    </row>
    <row r="90" ht="19" customHeight="true">
      <c r="A90" s="330" t="str">
        <f>IF(F90="","","RL-"&amp;TEXT(ROW()-3,"0000"))</f>
      </c>
      <c r="B90" s="365"/>
      <c r="C90" s="331"/>
      <c r="D90" s="331"/>
      <c r="E90" s="331"/>
      <c r="F90" s="331"/>
      <c r="G90" s="331" t="str">
        <f>IF(F90="","",IFERROR(VLOOKUP(F90,'商品カタログ'!$A:$O,2,FALSE),""))</f>
      </c>
      <c r="H90" s="331" t="str">
        <f>IF(F90="","",IFERROR(VLOOKUP(F90,'商品カタログ'!$A:$O,3,FALSE),""))</f>
      </c>
      <c r="I90" s="331" t="str">
        <f>IF(F90="","",IFERROR(VLOOKUP(F90,'商品カタログ'!$A:$O,7,FALSE),""))</f>
      </c>
      <c r="J90" s="371"/>
      <c r="K90" s="371" t="str">
        <f>IF(F90="","",IFERROR(VLOOKUP(F90,'商品カタログ'!$A:$O,11,FALSE),""))</f>
      </c>
      <c r="L90" s="371" t="str">
        <f>IF(F90="","",IFERROR(VLOOKUP(F90,'商品カタログ'!$A:$O,12,FALSE),""))</f>
      </c>
      <c r="M90" s="371" t="str">
        <f>IF(F90="","",IFERROR(VLOOKUP(F90,'商品カタログ'!$A:$O,13,FALSE),""))</f>
      </c>
      <c r="N90" s="371"/>
      <c r="O90" s="371" t="str">
        <f>IF(F90="","",IFERROR(VLOOKUP(F90,'商品カタログ'!$A:$O,10,FALSE),""))</f>
      </c>
      <c r="P90" s="371" t="str">
        <f>IF(F90="","",IF(OR(J90&lt;=L90,J90-N90*O90&lt;=K90),MAX(IFERROR(VLOOKUP(F90,'商品カタログ'!$A:$O,8,FALSE),0),IFERROR(CEILING(MAX(0,M90-J90),MAX(1,VLOOKUP(F90,'商品カタログ'!$A:$O,9,FALSE))),MAX(0,M90-J90))),0))</f>
      </c>
      <c r="Q90" s="371"/>
      <c r="R90" s="331" t="str">
        <f>IF(F90="","",IFERROR(VLOOKUP(F90,'商品カタログ'!$A:$O,6,FALSE),""))</f>
      </c>
      <c r="S90" s="377" t="str">
        <f>IF(F90="","",IFERROR(VLOOKUP(F90,'商品カタログ'!$A:$O,14,FALSE),""))</f>
      </c>
      <c r="T90" s="377" t="str">
        <f>IF(F90="","",IFERROR(Q90*S90,0))</f>
      </c>
      <c r="U90" s="331"/>
      <c r="V90" s="331"/>
      <c r="W90" s="365" t="str">
        <f>IF(OR(B90="",O90=""),"",B90+O90)</f>
      </c>
      <c r="X90" s="365"/>
      <c r="Y90" s="371"/>
      <c r="Z90" s="371" t="str">
        <f>IF(F90="","",IF(V90="入荷済み",Y90-Q90,IF(V90="一部入荷",Y90-Q90,"")))</f>
      </c>
      <c r="AA90" s="331"/>
      <c r="AB90" s="331"/>
      <c r="AC90" s="331" t="str">
        <f>IF(F90="","",IF(V90="キャンセル済み","キャンセル済み",IF(AND(V90="入荷済み",Y90&gt;=Q90),"通常",IF(AND(W90&lt;TODAY(),W90&lt;&gt;"",V90&lt;&gt;"入荷済み"),"入荷遅延",IF(J90&lt;=K90,"セキュリティ在庫割れ",IF(J90&lt;=L90,"発注点到達",IF(Q90&lt;P90,"申請数が推奨数未満","通常")))))))</f>
      </c>
      <c r="AD90" s="332" t="str">
        <f>IF(F90="","",IF(N90=0,"不明",IF(J90/N90&lt;O90,"高リスク：リードタイム不足",IF(J90/N90&lt;O90+3,"中リスク","低リスク"))))</f>
      </c>
    </row>
    <row r="91" ht="19" customHeight="true">
      <c r="A91" s="330" t="str">
        <f>IF(F91="","","RL-"&amp;TEXT(ROW()-3,"0000"))</f>
      </c>
      <c r="B91" s="365"/>
      <c r="C91" s="331"/>
      <c r="D91" s="331"/>
      <c r="E91" s="331"/>
      <c r="F91" s="331"/>
      <c r="G91" s="331" t="str">
        <f>IF(F91="","",IFERROR(VLOOKUP(F91,'商品カタログ'!$A:$O,2,FALSE),""))</f>
      </c>
      <c r="H91" s="331" t="str">
        <f>IF(F91="","",IFERROR(VLOOKUP(F91,'商品カタログ'!$A:$O,3,FALSE),""))</f>
      </c>
      <c r="I91" s="331" t="str">
        <f>IF(F91="","",IFERROR(VLOOKUP(F91,'商品カタログ'!$A:$O,7,FALSE),""))</f>
      </c>
      <c r="J91" s="371"/>
      <c r="K91" s="371" t="str">
        <f>IF(F91="","",IFERROR(VLOOKUP(F91,'商品カタログ'!$A:$O,11,FALSE),""))</f>
      </c>
      <c r="L91" s="371" t="str">
        <f>IF(F91="","",IFERROR(VLOOKUP(F91,'商品カタログ'!$A:$O,12,FALSE),""))</f>
      </c>
      <c r="M91" s="371" t="str">
        <f>IF(F91="","",IFERROR(VLOOKUP(F91,'商品カタログ'!$A:$O,13,FALSE),""))</f>
      </c>
      <c r="N91" s="371"/>
      <c r="O91" s="371" t="str">
        <f>IF(F91="","",IFERROR(VLOOKUP(F91,'商品カタログ'!$A:$O,10,FALSE),""))</f>
      </c>
      <c r="P91" s="371" t="str">
        <f>IF(F91="","",IF(OR(J91&lt;=L91,J91-N91*O91&lt;=K91),MAX(IFERROR(VLOOKUP(F91,'商品カタログ'!$A:$O,8,FALSE),0),IFERROR(CEILING(MAX(0,M91-J91),MAX(1,VLOOKUP(F91,'商品カタログ'!$A:$O,9,FALSE))),MAX(0,M91-J91))),0))</f>
      </c>
      <c r="Q91" s="371"/>
      <c r="R91" s="331" t="str">
        <f>IF(F91="","",IFERROR(VLOOKUP(F91,'商品カタログ'!$A:$O,6,FALSE),""))</f>
      </c>
      <c r="S91" s="377" t="str">
        <f>IF(F91="","",IFERROR(VLOOKUP(F91,'商品カタログ'!$A:$O,14,FALSE),""))</f>
      </c>
      <c r="T91" s="377" t="str">
        <f>IF(F91="","",IFERROR(Q91*S91,0))</f>
      </c>
      <c r="U91" s="331"/>
      <c r="V91" s="331"/>
      <c r="W91" s="365" t="str">
        <f>IF(OR(B91="",O91=""),"",B91+O91)</f>
      </c>
      <c r="X91" s="365"/>
      <c r="Y91" s="371"/>
      <c r="Z91" s="371" t="str">
        <f>IF(F91="","",IF(V91="入荷済み",Y91-Q91,IF(V91="一部入荷",Y91-Q91,"")))</f>
      </c>
      <c r="AA91" s="331"/>
      <c r="AB91" s="331"/>
      <c r="AC91" s="331" t="str">
        <f>IF(F91="","",IF(V91="キャンセル済み","キャンセル済み",IF(AND(V91="入荷済み",Y91&gt;=Q91),"通常",IF(AND(W91&lt;TODAY(),W91&lt;&gt;"",V91&lt;&gt;"入荷済み"),"入荷遅延",IF(J91&lt;=K91,"セキュリティ在庫割れ",IF(J91&lt;=L91,"発注点到達",IF(Q91&lt;P91,"申請数が推奨数未満","通常")))))))</f>
      </c>
      <c r="AD91" s="332" t="str">
        <f>IF(F91="","",IF(N91=0,"不明",IF(J91/N91&lt;O91,"高リスク：リードタイム不足",IF(J91/N91&lt;O91+3,"中リスク","低リスク"))))</f>
      </c>
    </row>
    <row r="92" ht="19" customHeight="true">
      <c r="A92" s="330" t="str">
        <f>IF(F92="","","RL-"&amp;TEXT(ROW()-3,"0000"))</f>
      </c>
      <c r="B92" s="365"/>
      <c r="C92" s="331"/>
      <c r="D92" s="331"/>
      <c r="E92" s="331"/>
      <c r="F92" s="331"/>
      <c r="G92" s="331" t="str">
        <f>IF(F92="","",IFERROR(VLOOKUP(F92,'商品カタログ'!$A:$O,2,FALSE),""))</f>
      </c>
      <c r="H92" s="331" t="str">
        <f>IF(F92="","",IFERROR(VLOOKUP(F92,'商品カタログ'!$A:$O,3,FALSE),""))</f>
      </c>
      <c r="I92" s="331" t="str">
        <f>IF(F92="","",IFERROR(VLOOKUP(F92,'商品カタログ'!$A:$O,7,FALSE),""))</f>
      </c>
      <c r="J92" s="371"/>
      <c r="K92" s="371" t="str">
        <f>IF(F92="","",IFERROR(VLOOKUP(F92,'商品カタログ'!$A:$O,11,FALSE),""))</f>
      </c>
      <c r="L92" s="371" t="str">
        <f>IF(F92="","",IFERROR(VLOOKUP(F92,'商品カタログ'!$A:$O,12,FALSE),""))</f>
      </c>
      <c r="M92" s="371" t="str">
        <f>IF(F92="","",IFERROR(VLOOKUP(F92,'商品カタログ'!$A:$O,13,FALSE),""))</f>
      </c>
      <c r="N92" s="371"/>
      <c r="O92" s="371" t="str">
        <f>IF(F92="","",IFERROR(VLOOKUP(F92,'商品カタログ'!$A:$O,10,FALSE),""))</f>
      </c>
      <c r="P92" s="371" t="str">
        <f>IF(F92="","",IF(OR(J92&lt;=L92,J92-N92*O92&lt;=K92),MAX(IFERROR(VLOOKUP(F92,'商品カタログ'!$A:$O,8,FALSE),0),IFERROR(CEILING(MAX(0,M92-J92),MAX(1,VLOOKUP(F92,'商品カタログ'!$A:$O,9,FALSE))),MAX(0,M92-J92))),0))</f>
      </c>
      <c r="Q92" s="371"/>
      <c r="R92" s="331" t="str">
        <f>IF(F92="","",IFERROR(VLOOKUP(F92,'商品カタログ'!$A:$O,6,FALSE),""))</f>
      </c>
      <c r="S92" s="377" t="str">
        <f>IF(F92="","",IFERROR(VLOOKUP(F92,'商品カタログ'!$A:$O,14,FALSE),""))</f>
      </c>
      <c r="T92" s="377" t="str">
        <f>IF(F92="","",IFERROR(Q92*S92,0))</f>
      </c>
      <c r="U92" s="331"/>
      <c r="V92" s="331"/>
      <c r="W92" s="365" t="str">
        <f>IF(OR(B92="",O92=""),"",B92+O92)</f>
      </c>
      <c r="X92" s="365"/>
      <c r="Y92" s="371"/>
      <c r="Z92" s="371" t="str">
        <f>IF(F92="","",IF(V92="入荷済み",Y92-Q92,IF(V92="一部入荷",Y92-Q92,"")))</f>
      </c>
      <c r="AA92" s="331"/>
      <c r="AB92" s="331"/>
      <c r="AC92" s="331" t="str">
        <f>IF(F92="","",IF(V92="キャンセル済み","キャンセル済み",IF(AND(V92="入荷済み",Y92&gt;=Q92),"通常",IF(AND(W92&lt;TODAY(),W92&lt;&gt;"",V92&lt;&gt;"入荷済み"),"入荷遅延",IF(J92&lt;=K92,"セキュリティ在庫割れ",IF(J92&lt;=L92,"発注点到達",IF(Q92&lt;P92,"申請数が推奨数未満","通常")))))))</f>
      </c>
      <c r="AD92" s="332" t="str">
        <f>IF(F92="","",IF(N92=0,"不明",IF(J92/N92&lt;O92,"高リスク：リードタイム不足",IF(J92/N92&lt;O92+3,"中リスク","低リスク"))))</f>
      </c>
    </row>
    <row r="93" ht="19" customHeight="true">
      <c r="A93" s="330" t="str">
        <f>IF(F93="","","RL-"&amp;TEXT(ROW()-3,"0000"))</f>
      </c>
      <c r="B93" s="365"/>
      <c r="C93" s="331"/>
      <c r="D93" s="331"/>
      <c r="E93" s="331"/>
      <c r="F93" s="331"/>
      <c r="G93" s="331" t="str">
        <f>IF(F93="","",IFERROR(VLOOKUP(F93,'商品カタログ'!$A:$O,2,FALSE),""))</f>
      </c>
      <c r="H93" s="331" t="str">
        <f>IF(F93="","",IFERROR(VLOOKUP(F93,'商品カタログ'!$A:$O,3,FALSE),""))</f>
      </c>
      <c r="I93" s="331" t="str">
        <f>IF(F93="","",IFERROR(VLOOKUP(F93,'商品カタログ'!$A:$O,7,FALSE),""))</f>
      </c>
      <c r="J93" s="371"/>
      <c r="K93" s="371" t="str">
        <f>IF(F93="","",IFERROR(VLOOKUP(F93,'商品カタログ'!$A:$O,11,FALSE),""))</f>
      </c>
      <c r="L93" s="371" t="str">
        <f>IF(F93="","",IFERROR(VLOOKUP(F93,'商品カタログ'!$A:$O,12,FALSE),""))</f>
      </c>
      <c r="M93" s="371" t="str">
        <f>IF(F93="","",IFERROR(VLOOKUP(F93,'商品カタログ'!$A:$O,13,FALSE),""))</f>
      </c>
      <c r="N93" s="371"/>
      <c r="O93" s="371" t="str">
        <f>IF(F93="","",IFERROR(VLOOKUP(F93,'商品カタログ'!$A:$O,10,FALSE),""))</f>
      </c>
      <c r="P93" s="371" t="str">
        <f>IF(F93="","",IF(OR(J93&lt;=L93,J93-N93*O93&lt;=K93),MAX(IFERROR(VLOOKUP(F93,'商品カタログ'!$A:$O,8,FALSE),0),IFERROR(CEILING(MAX(0,M93-J93),MAX(1,VLOOKUP(F93,'商品カタログ'!$A:$O,9,FALSE))),MAX(0,M93-J93))),0))</f>
      </c>
      <c r="Q93" s="371"/>
      <c r="R93" s="331" t="str">
        <f>IF(F93="","",IFERROR(VLOOKUP(F93,'商品カタログ'!$A:$O,6,FALSE),""))</f>
      </c>
      <c r="S93" s="377" t="str">
        <f>IF(F93="","",IFERROR(VLOOKUP(F93,'商品カタログ'!$A:$O,14,FALSE),""))</f>
      </c>
      <c r="T93" s="377" t="str">
        <f>IF(F93="","",IFERROR(Q93*S93,0))</f>
      </c>
      <c r="U93" s="331"/>
      <c r="V93" s="331"/>
      <c r="W93" s="365" t="str">
        <f>IF(OR(B93="",O93=""),"",B93+O93)</f>
      </c>
      <c r="X93" s="365"/>
      <c r="Y93" s="371"/>
      <c r="Z93" s="371" t="str">
        <f>IF(F93="","",IF(V93="入荷済み",Y93-Q93,IF(V93="一部入荷",Y93-Q93,"")))</f>
      </c>
      <c r="AA93" s="331"/>
      <c r="AB93" s="331"/>
      <c r="AC93" s="331" t="str">
        <f>IF(F93="","",IF(V93="キャンセル済み","キャンセル済み",IF(AND(V93="入荷済み",Y93&gt;=Q93),"通常",IF(AND(W93&lt;TODAY(),W93&lt;&gt;"",V93&lt;&gt;"入荷済み"),"入荷遅延",IF(J93&lt;=K93,"セキュリティ在庫割れ",IF(J93&lt;=L93,"発注点到達",IF(Q93&lt;P93,"申請数が推奨数未満","通常")))))))</f>
      </c>
      <c r="AD93" s="332" t="str">
        <f>IF(F93="","",IF(N93=0,"不明",IF(J93/N93&lt;O93,"高リスク：リードタイム不足",IF(J93/N93&lt;O93+3,"中リスク","低リスク"))))</f>
      </c>
    </row>
    <row r="94" ht="19" customHeight="true">
      <c r="A94" s="330" t="str">
        <f>IF(F94="","","RL-"&amp;TEXT(ROW()-3,"0000"))</f>
      </c>
      <c r="B94" s="365"/>
      <c r="C94" s="331"/>
      <c r="D94" s="331"/>
      <c r="E94" s="331"/>
      <c r="F94" s="331"/>
      <c r="G94" s="331" t="str">
        <f>IF(F94="","",IFERROR(VLOOKUP(F94,'商品カタログ'!$A:$O,2,FALSE),""))</f>
      </c>
      <c r="H94" s="331" t="str">
        <f>IF(F94="","",IFERROR(VLOOKUP(F94,'商品カタログ'!$A:$O,3,FALSE),""))</f>
      </c>
      <c r="I94" s="331" t="str">
        <f>IF(F94="","",IFERROR(VLOOKUP(F94,'商品カタログ'!$A:$O,7,FALSE),""))</f>
      </c>
      <c r="J94" s="371"/>
      <c r="K94" s="371" t="str">
        <f>IF(F94="","",IFERROR(VLOOKUP(F94,'商品カタログ'!$A:$O,11,FALSE),""))</f>
      </c>
      <c r="L94" s="371" t="str">
        <f>IF(F94="","",IFERROR(VLOOKUP(F94,'商品カタログ'!$A:$O,12,FALSE),""))</f>
      </c>
      <c r="M94" s="371" t="str">
        <f>IF(F94="","",IFERROR(VLOOKUP(F94,'商品カタログ'!$A:$O,13,FALSE),""))</f>
      </c>
      <c r="N94" s="371"/>
      <c r="O94" s="371" t="str">
        <f>IF(F94="","",IFERROR(VLOOKUP(F94,'商品カタログ'!$A:$O,10,FALSE),""))</f>
      </c>
      <c r="P94" s="371" t="str">
        <f>IF(F94="","",IF(OR(J94&lt;=L94,J94-N94*O94&lt;=K94),MAX(IFERROR(VLOOKUP(F94,'商品カタログ'!$A:$O,8,FALSE),0),IFERROR(CEILING(MAX(0,M94-J94),MAX(1,VLOOKUP(F94,'商品カタログ'!$A:$O,9,FALSE))),MAX(0,M94-J94))),0))</f>
      </c>
      <c r="Q94" s="371"/>
      <c r="R94" s="331" t="str">
        <f>IF(F94="","",IFERROR(VLOOKUP(F94,'商品カタログ'!$A:$O,6,FALSE),""))</f>
      </c>
      <c r="S94" s="377" t="str">
        <f>IF(F94="","",IFERROR(VLOOKUP(F94,'商品カタログ'!$A:$O,14,FALSE),""))</f>
      </c>
      <c r="T94" s="377" t="str">
        <f>IF(F94="","",IFERROR(Q94*S94,0))</f>
      </c>
      <c r="U94" s="331"/>
      <c r="V94" s="331"/>
      <c r="W94" s="365" t="str">
        <f>IF(OR(B94="",O94=""),"",B94+O94)</f>
      </c>
      <c r="X94" s="365"/>
      <c r="Y94" s="371"/>
      <c r="Z94" s="371" t="str">
        <f>IF(F94="","",IF(V94="入荷済み",Y94-Q94,IF(V94="一部入荷",Y94-Q94,"")))</f>
      </c>
      <c r="AA94" s="331"/>
      <c r="AB94" s="331"/>
      <c r="AC94" s="331" t="str">
        <f>IF(F94="","",IF(V94="キャンセル済み","キャンセル済み",IF(AND(V94="入荷済み",Y94&gt;=Q94),"通常",IF(AND(W94&lt;TODAY(),W94&lt;&gt;"",V94&lt;&gt;"入荷済み"),"入荷遅延",IF(J94&lt;=K94,"セキュリティ在庫割れ",IF(J94&lt;=L94,"発注点到達",IF(Q94&lt;P94,"申請数が推奨数未満","通常")))))))</f>
      </c>
      <c r="AD94" s="332" t="str">
        <f>IF(F94="","",IF(N94=0,"不明",IF(J94/N94&lt;O94,"高リスク：リードタイム不足",IF(J94/N94&lt;O94+3,"中リスク","低リスク"))))</f>
      </c>
    </row>
    <row r="95" ht="19" customHeight="true">
      <c r="A95" s="330" t="str">
        <f>IF(F95="","","RL-"&amp;TEXT(ROW()-3,"0000"))</f>
      </c>
      <c r="B95" s="365"/>
      <c r="C95" s="331"/>
      <c r="D95" s="331"/>
      <c r="E95" s="331"/>
      <c r="F95" s="331"/>
      <c r="G95" s="331" t="str">
        <f>IF(F95="","",IFERROR(VLOOKUP(F95,'商品カタログ'!$A:$O,2,FALSE),""))</f>
      </c>
      <c r="H95" s="331" t="str">
        <f>IF(F95="","",IFERROR(VLOOKUP(F95,'商品カタログ'!$A:$O,3,FALSE),""))</f>
      </c>
      <c r="I95" s="331" t="str">
        <f>IF(F95="","",IFERROR(VLOOKUP(F95,'商品カタログ'!$A:$O,7,FALSE),""))</f>
      </c>
      <c r="J95" s="371"/>
      <c r="K95" s="371" t="str">
        <f>IF(F95="","",IFERROR(VLOOKUP(F95,'商品カタログ'!$A:$O,11,FALSE),""))</f>
      </c>
      <c r="L95" s="371" t="str">
        <f>IF(F95="","",IFERROR(VLOOKUP(F95,'商品カタログ'!$A:$O,12,FALSE),""))</f>
      </c>
      <c r="M95" s="371" t="str">
        <f>IF(F95="","",IFERROR(VLOOKUP(F95,'商品カタログ'!$A:$O,13,FALSE),""))</f>
      </c>
      <c r="N95" s="371"/>
      <c r="O95" s="371" t="str">
        <f>IF(F95="","",IFERROR(VLOOKUP(F95,'商品カタログ'!$A:$O,10,FALSE),""))</f>
      </c>
      <c r="P95" s="371" t="str">
        <f>IF(F95="","",IF(OR(J95&lt;=L95,J95-N95*O95&lt;=K95),MAX(IFERROR(VLOOKUP(F95,'商品カタログ'!$A:$O,8,FALSE),0),IFERROR(CEILING(MAX(0,M95-J95),MAX(1,VLOOKUP(F95,'商品カタログ'!$A:$O,9,FALSE))),MAX(0,M95-J95))),0))</f>
      </c>
      <c r="Q95" s="371"/>
      <c r="R95" s="331" t="str">
        <f>IF(F95="","",IFERROR(VLOOKUP(F95,'商品カタログ'!$A:$O,6,FALSE),""))</f>
      </c>
      <c r="S95" s="377" t="str">
        <f>IF(F95="","",IFERROR(VLOOKUP(F95,'商品カタログ'!$A:$O,14,FALSE),""))</f>
      </c>
      <c r="T95" s="377" t="str">
        <f>IF(F95="","",IFERROR(Q95*S95,0))</f>
      </c>
      <c r="U95" s="331"/>
      <c r="V95" s="331"/>
      <c r="W95" s="365" t="str">
        <f>IF(OR(B95="",O95=""),"",B95+O95)</f>
      </c>
      <c r="X95" s="365"/>
      <c r="Y95" s="371"/>
      <c r="Z95" s="371" t="str">
        <f>IF(F95="","",IF(V95="入荷済み",Y95-Q95,IF(V95="一部入荷",Y95-Q95,"")))</f>
      </c>
      <c r="AA95" s="331"/>
      <c r="AB95" s="331"/>
      <c r="AC95" s="331" t="str">
        <f>IF(F95="","",IF(V95="キャンセル済み","キャンセル済み",IF(AND(V95="入荷済み",Y95&gt;=Q95),"通常",IF(AND(W95&lt;TODAY(),W95&lt;&gt;"",V95&lt;&gt;"入荷済み"),"入荷遅延",IF(J95&lt;=K95,"セキュリティ在庫割れ",IF(J95&lt;=L95,"発注点到達",IF(Q95&lt;P95,"申請数が推奨数未満","通常")))))))</f>
      </c>
      <c r="AD95" s="332" t="str">
        <f>IF(F95="","",IF(N95=0,"不明",IF(J95/N95&lt;O95,"高リスク：リードタイム不足",IF(J95/N95&lt;O95+3,"中リスク","低リスク"))))</f>
      </c>
    </row>
    <row r="96" ht="19" customHeight="true">
      <c r="A96" s="330" t="str">
        <f>IF(F96="","","RL-"&amp;TEXT(ROW()-3,"0000"))</f>
      </c>
      <c r="B96" s="365"/>
      <c r="C96" s="331"/>
      <c r="D96" s="331"/>
      <c r="E96" s="331"/>
      <c r="F96" s="331"/>
      <c r="G96" s="331" t="str">
        <f>IF(F96="","",IFERROR(VLOOKUP(F96,'商品カタログ'!$A:$O,2,FALSE),""))</f>
      </c>
      <c r="H96" s="331" t="str">
        <f>IF(F96="","",IFERROR(VLOOKUP(F96,'商品カタログ'!$A:$O,3,FALSE),""))</f>
      </c>
      <c r="I96" s="331" t="str">
        <f>IF(F96="","",IFERROR(VLOOKUP(F96,'商品カタログ'!$A:$O,7,FALSE),""))</f>
      </c>
      <c r="J96" s="371"/>
      <c r="K96" s="371" t="str">
        <f>IF(F96="","",IFERROR(VLOOKUP(F96,'商品カタログ'!$A:$O,11,FALSE),""))</f>
      </c>
      <c r="L96" s="371" t="str">
        <f>IF(F96="","",IFERROR(VLOOKUP(F96,'商品カタログ'!$A:$O,12,FALSE),""))</f>
      </c>
      <c r="M96" s="371" t="str">
        <f>IF(F96="","",IFERROR(VLOOKUP(F96,'商品カタログ'!$A:$O,13,FALSE),""))</f>
      </c>
      <c r="N96" s="371"/>
      <c r="O96" s="371" t="str">
        <f>IF(F96="","",IFERROR(VLOOKUP(F96,'商品カタログ'!$A:$O,10,FALSE),""))</f>
      </c>
      <c r="P96" s="371" t="str">
        <f>IF(F96="","",IF(OR(J96&lt;=L96,J96-N96*O96&lt;=K96),MAX(IFERROR(VLOOKUP(F96,'商品カタログ'!$A:$O,8,FALSE),0),IFERROR(CEILING(MAX(0,M96-J96),MAX(1,VLOOKUP(F96,'商品カタログ'!$A:$O,9,FALSE))),MAX(0,M96-J96))),0))</f>
      </c>
      <c r="Q96" s="371"/>
      <c r="R96" s="331" t="str">
        <f>IF(F96="","",IFERROR(VLOOKUP(F96,'商品カタログ'!$A:$O,6,FALSE),""))</f>
      </c>
      <c r="S96" s="377" t="str">
        <f>IF(F96="","",IFERROR(VLOOKUP(F96,'商品カタログ'!$A:$O,14,FALSE),""))</f>
      </c>
      <c r="T96" s="377" t="str">
        <f>IF(F96="","",IFERROR(Q96*S96,0))</f>
      </c>
      <c r="U96" s="331"/>
      <c r="V96" s="331"/>
      <c r="W96" s="365" t="str">
        <f>IF(OR(B96="",O96=""),"",B96+O96)</f>
      </c>
      <c r="X96" s="365"/>
      <c r="Y96" s="371"/>
      <c r="Z96" s="371" t="str">
        <f>IF(F96="","",IF(V96="入荷済み",Y96-Q96,IF(V96="一部入荷",Y96-Q96,"")))</f>
      </c>
      <c r="AA96" s="331"/>
      <c r="AB96" s="331"/>
      <c r="AC96" s="331" t="str">
        <f>IF(F96="","",IF(V96="キャンセル済み","キャンセル済み",IF(AND(V96="入荷済み",Y96&gt;=Q96),"通常",IF(AND(W96&lt;TODAY(),W96&lt;&gt;"",V96&lt;&gt;"入荷済み"),"入荷遅延",IF(J96&lt;=K96,"セキュリティ在庫割れ",IF(J96&lt;=L96,"発注点到達",IF(Q96&lt;P96,"申請数が推奨数未満","通常")))))))</f>
      </c>
      <c r="AD96" s="332" t="str">
        <f>IF(F96="","",IF(N96=0,"不明",IF(J96/N96&lt;O96,"高リスク：リードタイム不足",IF(J96/N96&lt;O96+3,"中リスク","低リスク"))))</f>
      </c>
    </row>
    <row r="97" ht="19" customHeight="true">
      <c r="A97" s="330" t="str">
        <f>IF(F97="","","RL-"&amp;TEXT(ROW()-3,"0000"))</f>
      </c>
      <c r="B97" s="365"/>
      <c r="C97" s="331"/>
      <c r="D97" s="331"/>
      <c r="E97" s="331"/>
      <c r="F97" s="331"/>
      <c r="G97" s="331" t="str">
        <f>IF(F97="","",IFERROR(VLOOKUP(F97,'商品カタログ'!$A:$O,2,FALSE),""))</f>
      </c>
      <c r="H97" s="331" t="str">
        <f>IF(F97="","",IFERROR(VLOOKUP(F97,'商品カタログ'!$A:$O,3,FALSE),""))</f>
      </c>
      <c r="I97" s="331" t="str">
        <f>IF(F97="","",IFERROR(VLOOKUP(F97,'商品カタログ'!$A:$O,7,FALSE),""))</f>
      </c>
      <c r="J97" s="371"/>
      <c r="K97" s="371" t="str">
        <f>IF(F97="","",IFERROR(VLOOKUP(F97,'商品カタログ'!$A:$O,11,FALSE),""))</f>
      </c>
      <c r="L97" s="371" t="str">
        <f>IF(F97="","",IFERROR(VLOOKUP(F97,'商品カタログ'!$A:$O,12,FALSE),""))</f>
      </c>
      <c r="M97" s="371" t="str">
        <f>IF(F97="","",IFERROR(VLOOKUP(F97,'商品カタログ'!$A:$O,13,FALSE),""))</f>
      </c>
      <c r="N97" s="371"/>
      <c r="O97" s="371" t="str">
        <f>IF(F97="","",IFERROR(VLOOKUP(F97,'商品カタログ'!$A:$O,10,FALSE),""))</f>
      </c>
      <c r="P97" s="371" t="str">
        <f>IF(F97="","",IF(OR(J97&lt;=L97,J97-N97*O97&lt;=K97),MAX(IFERROR(VLOOKUP(F97,'商品カタログ'!$A:$O,8,FALSE),0),IFERROR(CEILING(MAX(0,M97-J97),MAX(1,VLOOKUP(F97,'商品カタログ'!$A:$O,9,FALSE))),MAX(0,M97-J97))),0))</f>
      </c>
      <c r="Q97" s="371"/>
      <c r="R97" s="331" t="str">
        <f>IF(F97="","",IFERROR(VLOOKUP(F97,'商品カタログ'!$A:$O,6,FALSE),""))</f>
      </c>
      <c r="S97" s="377" t="str">
        <f>IF(F97="","",IFERROR(VLOOKUP(F97,'商品カタログ'!$A:$O,14,FALSE),""))</f>
      </c>
      <c r="T97" s="377" t="str">
        <f>IF(F97="","",IFERROR(Q97*S97,0))</f>
      </c>
      <c r="U97" s="331"/>
      <c r="V97" s="331"/>
      <c r="W97" s="365" t="str">
        <f>IF(OR(B97="",O97=""),"",B97+O97)</f>
      </c>
      <c r="X97" s="365"/>
      <c r="Y97" s="371"/>
      <c r="Z97" s="371" t="str">
        <f>IF(F97="","",IF(V97="入荷済み",Y97-Q97,IF(V97="一部入荷",Y97-Q97,"")))</f>
      </c>
      <c r="AA97" s="331"/>
      <c r="AB97" s="331"/>
      <c r="AC97" s="331" t="str">
        <f>IF(F97="","",IF(V97="キャンセル済み","キャンセル済み",IF(AND(V97="入荷済み",Y97&gt;=Q97),"通常",IF(AND(W97&lt;TODAY(),W97&lt;&gt;"",V97&lt;&gt;"入荷済み"),"入荷遅延",IF(J97&lt;=K97,"セキュリティ在庫割れ",IF(J97&lt;=L97,"発注点到達",IF(Q97&lt;P97,"申請数が推奨数未満","通常")))))))</f>
      </c>
      <c r="AD97" s="332" t="str">
        <f>IF(F97="","",IF(N97=0,"不明",IF(J97/N97&lt;O97,"高リスク：リードタイム不足",IF(J97/N97&lt;O97+3,"中リスク","低リスク"))))</f>
      </c>
    </row>
    <row r="98" ht="19" customHeight="true">
      <c r="A98" s="330" t="str">
        <f>IF(F98="","","RL-"&amp;TEXT(ROW()-3,"0000"))</f>
      </c>
      <c r="B98" s="365"/>
      <c r="C98" s="331"/>
      <c r="D98" s="331"/>
      <c r="E98" s="331"/>
      <c r="F98" s="331"/>
      <c r="G98" s="331" t="str">
        <f>IF(F98="","",IFERROR(VLOOKUP(F98,'商品カタログ'!$A:$O,2,FALSE),""))</f>
      </c>
      <c r="H98" s="331" t="str">
        <f>IF(F98="","",IFERROR(VLOOKUP(F98,'商品カタログ'!$A:$O,3,FALSE),""))</f>
      </c>
      <c r="I98" s="331" t="str">
        <f>IF(F98="","",IFERROR(VLOOKUP(F98,'商品カタログ'!$A:$O,7,FALSE),""))</f>
      </c>
      <c r="J98" s="371"/>
      <c r="K98" s="371" t="str">
        <f>IF(F98="","",IFERROR(VLOOKUP(F98,'商品カタログ'!$A:$O,11,FALSE),""))</f>
      </c>
      <c r="L98" s="371" t="str">
        <f>IF(F98="","",IFERROR(VLOOKUP(F98,'商品カタログ'!$A:$O,12,FALSE),""))</f>
      </c>
      <c r="M98" s="371" t="str">
        <f>IF(F98="","",IFERROR(VLOOKUP(F98,'商品カタログ'!$A:$O,13,FALSE),""))</f>
      </c>
      <c r="N98" s="371"/>
      <c r="O98" s="371" t="str">
        <f>IF(F98="","",IFERROR(VLOOKUP(F98,'商品カタログ'!$A:$O,10,FALSE),""))</f>
      </c>
      <c r="P98" s="371" t="str">
        <f>IF(F98="","",IF(OR(J98&lt;=L98,J98-N98*O98&lt;=K98),MAX(IFERROR(VLOOKUP(F98,'商品カタログ'!$A:$O,8,FALSE),0),IFERROR(CEILING(MAX(0,M98-J98),MAX(1,VLOOKUP(F98,'商品カタログ'!$A:$O,9,FALSE))),MAX(0,M98-J98))),0))</f>
      </c>
      <c r="Q98" s="371"/>
      <c r="R98" s="331" t="str">
        <f>IF(F98="","",IFERROR(VLOOKUP(F98,'商品カタログ'!$A:$O,6,FALSE),""))</f>
      </c>
      <c r="S98" s="377" t="str">
        <f>IF(F98="","",IFERROR(VLOOKUP(F98,'商品カタログ'!$A:$O,14,FALSE),""))</f>
      </c>
      <c r="T98" s="377" t="str">
        <f>IF(F98="","",IFERROR(Q98*S98,0))</f>
      </c>
      <c r="U98" s="331"/>
      <c r="V98" s="331"/>
      <c r="W98" s="365" t="str">
        <f>IF(OR(B98="",O98=""),"",B98+O98)</f>
      </c>
      <c r="X98" s="365"/>
      <c r="Y98" s="371"/>
      <c r="Z98" s="371" t="str">
        <f>IF(F98="","",IF(V98="入荷済み",Y98-Q98,IF(V98="一部入荷",Y98-Q98,"")))</f>
      </c>
      <c r="AA98" s="331"/>
      <c r="AB98" s="331"/>
      <c r="AC98" s="331" t="str">
        <f>IF(F98="","",IF(V98="キャンセル済み","キャンセル済み",IF(AND(V98="入荷済み",Y98&gt;=Q98),"通常",IF(AND(W98&lt;TODAY(),W98&lt;&gt;"",V98&lt;&gt;"入荷済み"),"入荷遅延",IF(J98&lt;=K98,"セキュリティ在庫割れ",IF(J98&lt;=L98,"発注点到達",IF(Q98&lt;P98,"申請数が推奨数未満","通常")))))))</f>
      </c>
      <c r="AD98" s="332" t="str">
        <f>IF(F98="","",IF(N98=0,"不明",IF(J98/N98&lt;O98,"高リスク：リードタイム不足",IF(J98/N98&lt;O98+3,"中リスク","低リスク"))))</f>
      </c>
    </row>
    <row r="99" ht="19" customHeight="true">
      <c r="A99" s="330" t="str">
        <f>IF(F99="","","RL-"&amp;TEXT(ROW()-3,"0000"))</f>
      </c>
      <c r="B99" s="365"/>
      <c r="C99" s="331"/>
      <c r="D99" s="331"/>
      <c r="E99" s="331"/>
      <c r="F99" s="331"/>
      <c r="G99" s="331" t="str">
        <f>IF(F99="","",IFERROR(VLOOKUP(F99,'商品カタログ'!$A:$O,2,FALSE),""))</f>
      </c>
      <c r="H99" s="331" t="str">
        <f>IF(F99="","",IFERROR(VLOOKUP(F99,'商品カタログ'!$A:$O,3,FALSE),""))</f>
      </c>
      <c r="I99" s="331" t="str">
        <f>IF(F99="","",IFERROR(VLOOKUP(F99,'商品カタログ'!$A:$O,7,FALSE),""))</f>
      </c>
      <c r="J99" s="371"/>
      <c r="K99" s="371" t="str">
        <f>IF(F99="","",IFERROR(VLOOKUP(F99,'商品カタログ'!$A:$O,11,FALSE),""))</f>
      </c>
      <c r="L99" s="371" t="str">
        <f>IF(F99="","",IFERROR(VLOOKUP(F99,'商品カタログ'!$A:$O,12,FALSE),""))</f>
      </c>
      <c r="M99" s="371" t="str">
        <f>IF(F99="","",IFERROR(VLOOKUP(F99,'商品カタログ'!$A:$O,13,FALSE),""))</f>
      </c>
      <c r="N99" s="371"/>
      <c r="O99" s="371" t="str">
        <f>IF(F99="","",IFERROR(VLOOKUP(F99,'商品カタログ'!$A:$O,10,FALSE),""))</f>
      </c>
      <c r="P99" s="371" t="str">
        <f>IF(F99="","",IF(OR(J99&lt;=L99,J99-N99*O99&lt;=K99),MAX(IFERROR(VLOOKUP(F99,'商品カタログ'!$A:$O,8,FALSE),0),IFERROR(CEILING(MAX(0,M99-J99),MAX(1,VLOOKUP(F99,'商品カタログ'!$A:$O,9,FALSE))),MAX(0,M99-J99))),0))</f>
      </c>
      <c r="Q99" s="371"/>
      <c r="R99" s="331" t="str">
        <f>IF(F99="","",IFERROR(VLOOKUP(F99,'商品カタログ'!$A:$O,6,FALSE),""))</f>
      </c>
      <c r="S99" s="377" t="str">
        <f>IF(F99="","",IFERROR(VLOOKUP(F99,'商品カタログ'!$A:$O,14,FALSE),""))</f>
      </c>
      <c r="T99" s="377" t="str">
        <f>IF(F99="","",IFERROR(Q99*S99,0))</f>
      </c>
      <c r="U99" s="331"/>
      <c r="V99" s="331"/>
      <c r="W99" s="365" t="str">
        <f>IF(OR(B99="",O99=""),"",B99+O99)</f>
      </c>
      <c r="X99" s="365"/>
      <c r="Y99" s="371"/>
      <c r="Z99" s="371" t="str">
        <f>IF(F99="","",IF(V99="入荷済み",Y99-Q99,IF(V99="一部入荷",Y99-Q99,"")))</f>
      </c>
      <c r="AA99" s="331"/>
      <c r="AB99" s="331"/>
      <c r="AC99" s="331" t="str">
        <f>IF(F99="","",IF(V99="キャンセル済み","キャンセル済み",IF(AND(V99="入荷済み",Y99&gt;=Q99),"通常",IF(AND(W99&lt;TODAY(),W99&lt;&gt;"",V99&lt;&gt;"入荷済み"),"入荷遅延",IF(J99&lt;=K99,"セキュリティ在庫割れ",IF(J99&lt;=L99,"発注点到達",IF(Q99&lt;P99,"申請数が推奨数未満","通常")))))))</f>
      </c>
      <c r="AD99" s="332" t="str">
        <f>IF(F99="","",IF(N99=0,"不明",IF(J99/N99&lt;O99,"高リスク：リードタイム不足",IF(J99/N99&lt;O99+3,"中リスク","低リスク"))))</f>
      </c>
    </row>
    <row r="100" ht="19" customHeight="true">
      <c r="A100" s="330" t="str">
        <f>IF(F100="","","RL-"&amp;TEXT(ROW()-3,"0000"))</f>
      </c>
      <c r="B100" s="365"/>
      <c r="C100" s="331"/>
      <c r="D100" s="331"/>
      <c r="E100" s="331"/>
      <c r="F100" s="331"/>
      <c r="G100" s="331" t="str">
        <f>IF(F100="","",IFERROR(VLOOKUP(F100,'商品カタログ'!$A:$O,2,FALSE),""))</f>
      </c>
      <c r="H100" s="331" t="str">
        <f>IF(F100="","",IFERROR(VLOOKUP(F100,'商品カタログ'!$A:$O,3,FALSE),""))</f>
      </c>
      <c r="I100" s="331" t="str">
        <f>IF(F100="","",IFERROR(VLOOKUP(F100,'商品カタログ'!$A:$O,7,FALSE),""))</f>
      </c>
      <c r="J100" s="371"/>
      <c r="K100" s="371" t="str">
        <f>IF(F100="","",IFERROR(VLOOKUP(F100,'商品カタログ'!$A:$O,11,FALSE),""))</f>
      </c>
      <c r="L100" s="371" t="str">
        <f>IF(F100="","",IFERROR(VLOOKUP(F100,'商品カタログ'!$A:$O,12,FALSE),""))</f>
      </c>
      <c r="M100" s="371" t="str">
        <f>IF(F100="","",IFERROR(VLOOKUP(F100,'商品カタログ'!$A:$O,13,FALSE),""))</f>
      </c>
      <c r="N100" s="371"/>
      <c r="O100" s="371" t="str">
        <f>IF(F100="","",IFERROR(VLOOKUP(F100,'商品カタログ'!$A:$O,10,FALSE),""))</f>
      </c>
      <c r="P100" s="371" t="str">
        <f>IF(F100="","",IF(OR(J100&lt;=L100,J100-N100*O100&lt;=K100),MAX(IFERROR(VLOOKUP(F100,'商品カタログ'!$A:$O,8,FALSE),0),IFERROR(CEILING(MAX(0,M100-J100),MAX(1,VLOOKUP(F100,'商品カタログ'!$A:$O,9,FALSE))),MAX(0,M100-J100))),0))</f>
      </c>
      <c r="Q100" s="371"/>
      <c r="R100" s="331" t="str">
        <f>IF(F100="","",IFERROR(VLOOKUP(F100,'商品カタログ'!$A:$O,6,FALSE),""))</f>
      </c>
      <c r="S100" s="377" t="str">
        <f>IF(F100="","",IFERROR(VLOOKUP(F100,'商品カタログ'!$A:$O,14,FALSE),""))</f>
      </c>
      <c r="T100" s="377" t="str">
        <f>IF(F100="","",IFERROR(Q100*S100,0))</f>
      </c>
      <c r="U100" s="331"/>
      <c r="V100" s="331"/>
      <c r="W100" s="365" t="str">
        <f>IF(OR(B100="",O100=""),"",B100+O100)</f>
      </c>
      <c r="X100" s="365"/>
      <c r="Y100" s="371"/>
      <c r="Z100" s="371" t="str">
        <f>IF(F100="","",IF(V100="入荷済み",Y100-Q100,IF(V100="一部入荷",Y100-Q100,"")))</f>
      </c>
      <c r="AA100" s="331"/>
      <c r="AB100" s="331"/>
      <c r="AC100" s="331" t="str">
        <f>IF(F100="","",IF(V100="キャンセル済み","キャンセル済み",IF(AND(V100="入荷済み",Y100&gt;=Q100),"通常",IF(AND(W100&lt;TODAY(),W100&lt;&gt;"",V100&lt;&gt;"入荷済み"),"入荷遅延",IF(J100&lt;=K100,"セキュリティ在庫割れ",IF(J100&lt;=L100,"発注点到達",IF(Q100&lt;P100,"申請数が推奨数未満","通常")))))))</f>
      </c>
      <c r="AD100" s="332" t="str">
        <f>IF(F100="","",IF(N100=0,"不明",IF(J100/N100&lt;O100,"高リスク：リードタイム不足",IF(J100/N100&lt;O100+3,"中リスク","低リスク"))))</f>
      </c>
    </row>
    <row r="101" ht="19" customHeight="true">
      <c r="A101" s="330" t="str">
        <f>IF(F101="","","RL-"&amp;TEXT(ROW()-3,"0000"))</f>
      </c>
      <c r="B101" s="365"/>
      <c r="C101" s="331"/>
      <c r="D101" s="331"/>
      <c r="E101" s="331"/>
      <c r="F101" s="331"/>
      <c r="G101" s="331" t="str">
        <f>IF(F101="","",IFERROR(VLOOKUP(F101,'商品カタログ'!$A:$O,2,FALSE),""))</f>
      </c>
      <c r="H101" s="331" t="str">
        <f>IF(F101="","",IFERROR(VLOOKUP(F101,'商品カタログ'!$A:$O,3,FALSE),""))</f>
      </c>
      <c r="I101" s="331" t="str">
        <f>IF(F101="","",IFERROR(VLOOKUP(F101,'商品カタログ'!$A:$O,7,FALSE),""))</f>
      </c>
      <c r="J101" s="371"/>
      <c r="K101" s="371" t="str">
        <f>IF(F101="","",IFERROR(VLOOKUP(F101,'商品カタログ'!$A:$O,11,FALSE),""))</f>
      </c>
      <c r="L101" s="371" t="str">
        <f>IF(F101="","",IFERROR(VLOOKUP(F101,'商品カタログ'!$A:$O,12,FALSE),""))</f>
      </c>
      <c r="M101" s="371" t="str">
        <f>IF(F101="","",IFERROR(VLOOKUP(F101,'商品カタログ'!$A:$O,13,FALSE),""))</f>
      </c>
      <c r="N101" s="371"/>
      <c r="O101" s="371" t="str">
        <f>IF(F101="","",IFERROR(VLOOKUP(F101,'商品カタログ'!$A:$O,10,FALSE),""))</f>
      </c>
      <c r="P101" s="371" t="str">
        <f>IF(F101="","",IF(OR(J101&lt;=L101,J101-N101*O101&lt;=K101),MAX(IFERROR(VLOOKUP(F101,'商品カタログ'!$A:$O,8,FALSE),0),IFERROR(CEILING(MAX(0,M101-J101),MAX(1,VLOOKUP(F101,'商品カタログ'!$A:$O,9,FALSE))),MAX(0,M101-J101))),0))</f>
      </c>
      <c r="Q101" s="371"/>
      <c r="R101" s="331" t="str">
        <f>IF(F101="","",IFERROR(VLOOKUP(F101,'商品カタログ'!$A:$O,6,FALSE),""))</f>
      </c>
      <c r="S101" s="377" t="str">
        <f>IF(F101="","",IFERROR(VLOOKUP(F101,'商品カタログ'!$A:$O,14,FALSE),""))</f>
      </c>
      <c r="T101" s="377" t="str">
        <f>IF(F101="","",IFERROR(Q101*S101,0))</f>
      </c>
      <c r="U101" s="331"/>
      <c r="V101" s="331"/>
      <c r="W101" s="365" t="str">
        <f>IF(OR(B101="",O101=""),"",B101+O101)</f>
      </c>
      <c r="X101" s="365"/>
      <c r="Y101" s="371"/>
      <c r="Z101" s="371" t="str">
        <f>IF(F101="","",IF(V101="入荷済み",Y101-Q101,IF(V101="一部入荷",Y101-Q101,"")))</f>
      </c>
      <c r="AA101" s="331"/>
      <c r="AB101" s="331"/>
      <c r="AC101" s="331" t="str">
        <f>IF(F101="","",IF(V101="キャンセル済み","キャンセル済み",IF(AND(V101="入荷済み",Y101&gt;=Q101),"通常",IF(AND(W101&lt;TODAY(),W101&lt;&gt;"",V101&lt;&gt;"入荷済み"),"入荷遅延",IF(J101&lt;=K101,"セキュリティ在庫割れ",IF(J101&lt;=L101,"発注点到達",IF(Q101&lt;P101,"申請数が推奨数未満","通常")))))))</f>
      </c>
      <c r="AD101" s="332" t="str">
        <f>IF(F101="","",IF(N101=0,"不明",IF(J101/N101&lt;O101,"高リスク：リードタイム不足",IF(J101/N101&lt;O101+3,"中リスク","低リスク"))))</f>
      </c>
    </row>
    <row r="102" ht="19" customHeight="true">
      <c r="A102" s="330" t="str">
        <f>IF(F102="","","RL-"&amp;TEXT(ROW()-3,"0000"))</f>
      </c>
      <c r="B102" s="365"/>
      <c r="C102" s="331"/>
      <c r="D102" s="331"/>
      <c r="E102" s="331"/>
      <c r="F102" s="331"/>
      <c r="G102" s="331" t="str">
        <f>IF(F102="","",IFERROR(VLOOKUP(F102,'商品カタログ'!$A:$O,2,FALSE),""))</f>
      </c>
      <c r="H102" s="331" t="str">
        <f>IF(F102="","",IFERROR(VLOOKUP(F102,'商品カタログ'!$A:$O,3,FALSE),""))</f>
      </c>
      <c r="I102" s="331" t="str">
        <f>IF(F102="","",IFERROR(VLOOKUP(F102,'商品カタログ'!$A:$O,7,FALSE),""))</f>
      </c>
      <c r="J102" s="371"/>
      <c r="K102" s="371" t="str">
        <f>IF(F102="","",IFERROR(VLOOKUP(F102,'商品カタログ'!$A:$O,11,FALSE),""))</f>
      </c>
      <c r="L102" s="371" t="str">
        <f>IF(F102="","",IFERROR(VLOOKUP(F102,'商品カタログ'!$A:$O,12,FALSE),""))</f>
      </c>
      <c r="M102" s="371" t="str">
        <f>IF(F102="","",IFERROR(VLOOKUP(F102,'商品カタログ'!$A:$O,13,FALSE),""))</f>
      </c>
      <c r="N102" s="371"/>
      <c r="O102" s="371" t="str">
        <f>IF(F102="","",IFERROR(VLOOKUP(F102,'商品カタログ'!$A:$O,10,FALSE),""))</f>
      </c>
      <c r="P102" s="371" t="str">
        <f>IF(F102="","",IF(OR(J102&lt;=L102,J102-N102*O102&lt;=K102),MAX(IFERROR(VLOOKUP(F102,'商品カタログ'!$A:$O,8,FALSE),0),IFERROR(CEILING(MAX(0,M102-J102),MAX(1,VLOOKUP(F102,'商品カタログ'!$A:$O,9,FALSE))),MAX(0,M102-J102))),0))</f>
      </c>
      <c r="Q102" s="371"/>
      <c r="R102" s="331" t="str">
        <f>IF(F102="","",IFERROR(VLOOKUP(F102,'商品カタログ'!$A:$O,6,FALSE),""))</f>
      </c>
      <c r="S102" s="377" t="str">
        <f>IF(F102="","",IFERROR(VLOOKUP(F102,'商品カタログ'!$A:$O,14,FALSE),""))</f>
      </c>
      <c r="T102" s="377" t="str">
        <f>IF(F102="","",IFERROR(Q102*S102,0))</f>
      </c>
      <c r="U102" s="331"/>
      <c r="V102" s="331"/>
      <c r="W102" s="365" t="str">
        <f>IF(OR(B102="",O102=""),"",B102+O102)</f>
      </c>
      <c r="X102" s="365"/>
      <c r="Y102" s="371"/>
      <c r="Z102" s="371" t="str">
        <f>IF(F102="","",IF(V102="入荷済み",Y102-Q102,IF(V102="一部入荷",Y102-Q102,"")))</f>
      </c>
      <c r="AA102" s="331"/>
      <c r="AB102" s="331"/>
      <c r="AC102" s="331" t="str">
        <f>IF(F102="","",IF(V102="キャンセル済み","キャンセル済み",IF(AND(V102="入荷済み",Y102&gt;=Q102),"通常",IF(AND(W102&lt;TODAY(),W102&lt;&gt;"",V102&lt;&gt;"入荷済み"),"入荷遅延",IF(J102&lt;=K102,"セキュリティ在庫割れ",IF(J102&lt;=L102,"発注点到達",IF(Q102&lt;P102,"申請数が推奨数未満","通常")))))))</f>
      </c>
      <c r="AD102" s="332" t="str">
        <f>IF(F102="","",IF(N102=0,"不明",IF(J102/N102&lt;O102,"高リスク：リードタイム不足",IF(J102/N102&lt;O102+3,"中リスク","低リスク"))))</f>
      </c>
    </row>
    <row r="103" ht="19" customHeight="true">
      <c r="A103" s="330" t="str">
        <f>IF(F103="","","RL-"&amp;TEXT(ROW()-3,"0000"))</f>
      </c>
      <c r="B103" s="365"/>
      <c r="C103" s="331"/>
      <c r="D103" s="331"/>
      <c r="E103" s="331"/>
      <c r="F103" s="331"/>
      <c r="G103" s="331" t="str">
        <f>IF(F103="","",IFERROR(VLOOKUP(F103,'商品カタログ'!$A:$O,2,FALSE),""))</f>
      </c>
      <c r="H103" s="331" t="str">
        <f>IF(F103="","",IFERROR(VLOOKUP(F103,'商品カタログ'!$A:$O,3,FALSE),""))</f>
      </c>
      <c r="I103" s="331" t="str">
        <f>IF(F103="","",IFERROR(VLOOKUP(F103,'商品カタログ'!$A:$O,7,FALSE),""))</f>
      </c>
      <c r="J103" s="371"/>
      <c r="K103" s="371" t="str">
        <f>IF(F103="","",IFERROR(VLOOKUP(F103,'商品カタログ'!$A:$O,11,FALSE),""))</f>
      </c>
      <c r="L103" s="371" t="str">
        <f>IF(F103="","",IFERROR(VLOOKUP(F103,'商品カタログ'!$A:$O,12,FALSE),""))</f>
      </c>
      <c r="M103" s="371" t="str">
        <f>IF(F103="","",IFERROR(VLOOKUP(F103,'商品カタログ'!$A:$O,13,FALSE),""))</f>
      </c>
      <c r="N103" s="371"/>
      <c r="O103" s="371" t="str">
        <f>IF(F103="","",IFERROR(VLOOKUP(F103,'商品カタログ'!$A:$O,10,FALSE),""))</f>
      </c>
      <c r="P103" s="371" t="str">
        <f>IF(F103="","",IF(OR(J103&lt;=L103,J103-N103*O103&lt;=K103),MAX(IFERROR(VLOOKUP(F103,'商品カタログ'!$A:$O,8,FALSE),0),IFERROR(CEILING(MAX(0,M103-J103),MAX(1,VLOOKUP(F103,'商品カタログ'!$A:$O,9,FALSE))),MAX(0,M103-J103))),0))</f>
      </c>
      <c r="Q103" s="371"/>
      <c r="R103" s="331" t="str">
        <f>IF(F103="","",IFERROR(VLOOKUP(F103,'商品カタログ'!$A:$O,6,FALSE),""))</f>
      </c>
      <c r="S103" s="377" t="str">
        <f>IF(F103="","",IFERROR(VLOOKUP(F103,'商品カタログ'!$A:$O,14,FALSE),""))</f>
      </c>
      <c r="T103" s="377" t="str">
        <f>IF(F103="","",IFERROR(Q103*S103,0))</f>
      </c>
      <c r="U103" s="331"/>
      <c r="V103" s="331"/>
      <c r="W103" s="365" t="str">
        <f>IF(OR(B103="",O103=""),"",B103+O103)</f>
      </c>
      <c r="X103" s="365"/>
      <c r="Y103" s="371"/>
      <c r="Z103" s="371" t="str">
        <f>IF(F103="","",IF(V103="入荷済み",Y103-Q103,IF(V103="一部入荷",Y103-Q103,"")))</f>
      </c>
      <c r="AA103" s="331"/>
      <c r="AB103" s="331"/>
      <c r="AC103" s="331" t="str">
        <f>IF(F103="","",IF(V103="キャンセル済み","キャンセル済み",IF(AND(V103="入荷済み",Y103&gt;=Q103),"通常",IF(AND(W103&lt;TODAY(),W103&lt;&gt;"",V103&lt;&gt;"入荷済み"),"入荷遅延",IF(J103&lt;=K103,"セキュリティ在庫割れ",IF(J103&lt;=L103,"発注点到達",IF(Q103&lt;P103,"申請数が推奨数未満","通常")))))))</f>
      </c>
      <c r="AD103" s="332" t="str">
        <f>IF(F103="","",IF(N103=0,"不明",IF(J103/N103&lt;O103,"高リスク：リードタイム不足",IF(J103/N103&lt;O103+3,"中リスク","低リスク"))))</f>
      </c>
    </row>
    <row r="104" ht="19" customHeight="true">
      <c r="A104" s="330" t="str">
        <f>IF(F104="","","RL-"&amp;TEXT(ROW()-3,"0000"))</f>
      </c>
      <c r="B104" s="365"/>
      <c r="C104" s="331"/>
      <c r="D104" s="331"/>
      <c r="E104" s="331"/>
      <c r="F104" s="331"/>
      <c r="G104" s="331" t="str">
        <f>IF(F104="","",IFERROR(VLOOKUP(F104,'商品カタログ'!$A:$O,2,FALSE),""))</f>
      </c>
      <c r="H104" s="331" t="str">
        <f>IF(F104="","",IFERROR(VLOOKUP(F104,'商品カタログ'!$A:$O,3,FALSE),""))</f>
      </c>
      <c r="I104" s="331" t="str">
        <f>IF(F104="","",IFERROR(VLOOKUP(F104,'商品カタログ'!$A:$O,7,FALSE),""))</f>
      </c>
      <c r="J104" s="371"/>
      <c r="K104" s="371" t="str">
        <f>IF(F104="","",IFERROR(VLOOKUP(F104,'商品カタログ'!$A:$O,11,FALSE),""))</f>
      </c>
      <c r="L104" s="371" t="str">
        <f>IF(F104="","",IFERROR(VLOOKUP(F104,'商品カタログ'!$A:$O,12,FALSE),""))</f>
      </c>
      <c r="M104" s="371" t="str">
        <f>IF(F104="","",IFERROR(VLOOKUP(F104,'商品カタログ'!$A:$O,13,FALSE),""))</f>
      </c>
      <c r="N104" s="371"/>
      <c r="O104" s="371" t="str">
        <f>IF(F104="","",IFERROR(VLOOKUP(F104,'商品カタログ'!$A:$O,10,FALSE),""))</f>
      </c>
      <c r="P104" s="371" t="str">
        <f>IF(F104="","",IF(OR(J104&lt;=L104,J104-N104*O104&lt;=K104),MAX(IFERROR(VLOOKUP(F104,'商品カタログ'!$A:$O,8,FALSE),0),IFERROR(CEILING(MAX(0,M104-J104),MAX(1,VLOOKUP(F104,'商品カタログ'!$A:$O,9,FALSE))),MAX(0,M104-J104))),0))</f>
      </c>
      <c r="Q104" s="371"/>
      <c r="R104" s="331" t="str">
        <f>IF(F104="","",IFERROR(VLOOKUP(F104,'商品カタログ'!$A:$O,6,FALSE),""))</f>
      </c>
      <c r="S104" s="377" t="str">
        <f>IF(F104="","",IFERROR(VLOOKUP(F104,'商品カタログ'!$A:$O,14,FALSE),""))</f>
      </c>
      <c r="T104" s="377" t="str">
        <f>IF(F104="","",IFERROR(Q104*S104,0))</f>
      </c>
      <c r="U104" s="331"/>
      <c r="V104" s="331"/>
      <c r="W104" s="365" t="str">
        <f>IF(OR(B104="",O104=""),"",B104+O104)</f>
      </c>
      <c r="X104" s="365"/>
      <c r="Y104" s="371"/>
      <c r="Z104" s="371" t="str">
        <f>IF(F104="","",IF(V104="入荷済み",Y104-Q104,IF(V104="一部入荷",Y104-Q104,"")))</f>
      </c>
      <c r="AA104" s="331"/>
      <c r="AB104" s="331"/>
      <c r="AC104" s="331" t="str">
        <f>IF(F104="","",IF(V104="キャンセル済み","キャンセル済み",IF(AND(V104="入荷済み",Y104&gt;=Q104),"通常",IF(AND(W104&lt;TODAY(),W104&lt;&gt;"",V104&lt;&gt;"入荷済み"),"入荷遅延",IF(J104&lt;=K104,"セキュリティ在庫割れ",IF(J104&lt;=L104,"発注点到達",IF(Q104&lt;P104,"申請数が推奨数未満","通常")))))))</f>
      </c>
      <c r="AD104" s="332" t="str">
        <f>IF(F104="","",IF(N104=0,"不明",IF(J104/N104&lt;O104,"高リスク：リードタイム不足",IF(J104/N104&lt;O104+3,"中リスク","低リスク"))))</f>
      </c>
    </row>
    <row r="105" ht="19" customHeight="true">
      <c r="A105" s="330" t="str">
        <f>IF(F105="","","RL-"&amp;TEXT(ROW()-3,"0000"))</f>
      </c>
      <c r="B105" s="365"/>
      <c r="C105" s="331"/>
      <c r="D105" s="331"/>
      <c r="E105" s="331"/>
      <c r="F105" s="331"/>
      <c r="G105" s="331" t="str">
        <f>IF(F105="","",IFERROR(VLOOKUP(F105,'商品カタログ'!$A:$O,2,FALSE),""))</f>
      </c>
      <c r="H105" s="331" t="str">
        <f>IF(F105="","",IFERROR(VLOOKUP(F105,'商品カタログ'!$A:$O,3,FALSE),""))</f>
      </c>
      <c r="I105" s="331" t="str">
        <f>IF(F105="","",IFERROR(VLOOKUP(F105,'商品カタログ'!$A:$O,7,FALSE),""))</f>
      </c>
      <c r="J105" s="371"/>
      <c r="K105" s="371" t="str">
        <f>IF(F105="","",IFERROR(VLOOKUP(F105,'商品カタログ'!$A:$O,11,FALSE),""))</f>
      </c>
      <c r="L105" s="371" t="str">
        <f>IF(F105="","",IFERROR(VLOOKUP(F105,'商品カタログ'!$A:$O,12,FALSE),""))</f>
      </c>
      <c r="M105" s="371" t="str">
        <f>IF(F105="","",IFERROR(VLOOKUP(F105,'商品カタログ'!$A:$O,13,FALSE),""))</f>
      </c>
      <c r="N105" s="371"/>
      <c r="O105" s="371" t="str">
        <f>IF(F105="","",IFERROR(VLOOKUP(F105,'商品カタログ'!$A:$O,10,FALSE),""))</f>
      </c>
      <c r="P105" s="371" t="str">
        <f>IF(F105="","",IF(OR(J105&lt;=L105,J105-N105*O105&lt;=K105),MAX(IFERROR(VLOOKUP(F105,'商品カタログ'!$A:$O,8,FALSE),0),IFERROR(CEILING(MAX(0,M105-J105),MAX(1,VLOOKUP(F105,'商品カタログ'!$A:$O,9,FALSE))),MAX(0,M105-J105))),0))</f>
      </c>
      <c r="Q105" s="371"/>
      <c r="R105" s="331" t="str">
        <f>IF(F105="","",IFERROR(VLOOKUP(F105,'商品カタログ'!$A:$O,6,FALSE),""))</f>
      </c>
      <c r="S105" s="377" t="str">
        <f>IF(F105="","",IFERROR(VLOOKUP(F105,'商品カタログ'!$A:$O,14,FALSE),""))</f>
      </c>
      <c r="T105" s="377" t="str">
        <f>IF(F105="","",IFERROR(Q105*S105,0))</f>
      </c>
      <c r="U105" s="331"/>
      <c r="V105" s="331"/>
      <c r="W105" s="365" t="str">
        <f>IF(OR(B105="",O105=""),"",B105+O105)</f>
      </c>
      <c r="X105" s="365"/>
      <c r="Y105" s="371"/>
      <c r="Z105" s="371" t="str">
        <f>IF(F105="","",IF(V105="入荷済み",Y105-Q105,IF(V105="一部入荷",Y105-Q105,"")))</f>
      </c>
      <c r="AA105" s="331"/>
      <c r="AB105" s="331"/>
      <c r="AC105" s="331" t="str">
        <f>IF(F105="","",IF(V105="キャンセル済み","キャンセル済み",IF(AND(V105="入荷済み",Y105&gt;=Q105),"通常",IF(AND(W105&lt;TODAY(),W105&lt;&gt;"",V105&lt;&gt;"入荷済み"),"入荷遅延",IF(J105&lt;=K105,"セキュリティ在庫割れ",IF(J105&lt;=L105,"発注点到達",IF(Q105&lt;P105,"申請数が推奨数未満","通常")))))))</f>
      </c>
      <c r="AD105" s="332" t="str">
        <f>IF(F105="","",IF(N105=0,"不明",IF(J105/N105&lt;O105,"高リスク：リードタイム不足",IF(J105/N105&lt;O105+3,"中リスク","低リスク"))))</f>
      </c>
    </row>
    <row r="106" ht="19" customHeight="true">
      <c r="A106" s="330" t="str">
        <f>IF(F106="","","RL-"&amp;TEXT(ROW()-3,"0000"))</f>
      </c>
      <c r="B106" s="365"/>
      <c r="C106" s="331"/>
      <c r="D106" s="331"/>
      <c r="E106" s="331"/>
      <c r="F106" s="331"/>
      <c r="G106" s="331" t="str">
        <f>IF(F106="","",IFERROR(VLOOKUP(F106,'商品カタログ'!$A:$O,2,FALSE),""))</f>
      </c>
      <c r="H106" s="331" t="str">
        <f>IF(F106="","",IFERROR(VLOOKUP(F106,'商品カタログ'!$A:$O,3,FALSE),""))</f>
      </c>
      <c r="I106" s="331" t="str">
        <f>IF(F106="","",IFERROR(VLOOKUP(F106,'商品カタログ'!$A:$O,7,FALSE),""))</f>
      </c>
      <c r="J106" s="371"/>
      <c r="K106" s="371" t="str">
        <f>IF(F106="","",IFERROR(VLOOKUP(F106,'商品カタログ'!$A:$O,11,FALSE),""))</f>
      </c>
      <c r="L106" s="371" t="str">
        <f>IF(F106="","",IFERROR(VLOOKUP(F106,'商品カタログ'!$A:$O,12,FALSE),""))</f>
      </c>
      <c r="M106" s="371" t="str">
        <f>IF(F106="","",IFERROR(VLOOKUP(F106,'商品カタログ'!$A:$O,13,FALSE),""))</f>
      </c>
      <c r="N106" s="371"/>
      <c r="O106" s="371" t="str">
        <f>IF(F106="","",IFERROR(VLOOKUP(F106,'商品カタログ'!$A:$O,10,FALSE),""))</f>
      </c>
      <c r="P106" s="371" t="str">
        <f>IF(F106="","",IF(OR(J106&lt;=L106,J106-N106*O106&lt;=K106),MAX(IFERROR(VLOOKUP(F106,'商品カタログ'!$A:$O,8,FALSE),0),IFERROR(CEILING(MAX(0,M106-J106),MAX(1,VLOOKUP(F106,'商品カタログ'!$A:$O,9,FALSE))),MAX(0,M106-J106))),0))</f>
      </c>
      <c r="Q106" s="371"/>
      <c r="R106" s="331" t="str">
        <f>IF(F106="","",IFERROR(VLOOKUP(F106,'商品カタログ'!$A:$O,6,FALSE),""))</f>
      </c>
      <c r="S106" s="377" t="str">
        <f>IF(F106="","",IFERROR(VLOOKUP(F106,'商品カタログ'!$A:$O,14,FALSE),""))</f>
      </c>
      <c r="T106" s="377" t="str">
        <f>IF(F106="","",IFERROR(Q106*S106,0))</f>
      </c>
      <c r="U106" s="331"/>
      <c r="V106" s="331"/>
      <c r="W106" s="365" t="str">
        <f>IF(OR(B106="",O106=""),"",B106+O106)</f>
      </c>
      <c r="X106" s="365"/>
      <c r="Y106" s="371"/>
      <c r="Z106" s="371" t="str">
        <f>IF(F106="","",IF(V106="入荷済み",Y106-Q106,IF(V106="一部入荷",Y106-Q106,"")))</f>
      </c>
      <c r="AA106" s="331"/>
      <c r="AB106" s="331"/>
      <c r="AC106" s="331" t="str">
        <f>IF(F106="","",IF(V106="キャンセル済み","キャンセル済み",IF(AND(V106="入荷済み",Y106&gt;=Q106),"通常",IF(AND(W106&lt;TODAY(),W106&lt;&gt;"",V106&lt;&gt;"入荷済み"),"入荷遅延",IF(J106&lt;=K106,"セキュリティ在庫割れ",IF(J106&lt;=L106,"発注点到達",IF(Q106&lt;P106,"申請数が推奨数未満","通常")))))))</f>
      </c>
      <c r="AD106" s="332" t="str">
        <f>IF(F106="","",IF(N106=0,"不明",IF(J106/N106&lt;O106,"高リスク：リードタイム不足",IF(J106/N106&lt;O106+3,"中リスク","低リスク"))))</f>
      </c>
    </row>
    <row r="107" ht="19" customHeight="true">
      <c r="A107" s="330" t="str">
        <f>IF(F107="","","RL-"&amp;TEXT(ROW()-3,"0000"))</f>
      </c>
      <c r="B107" s="365"/>
      <c r="C107" s="331"/>
      <c r="D107" s="331"/>
      <c r="E107" s="331"/>
      <c r="F107" s="331"/>
      <c r="G107" s="331" t="str">
        <f>IF(F107="","",IFERROR(VLOOKUP(F107,'商品カタログ'!$A:$O,2,FALSE),""))</f>
      </c>
      <c r="H107" s="331" t="str">
        <f>IF(F107="","",IFERROR(VLOOKUP(F107,'商品カタログ'!$A:$O,3,FALSE),""))</f>
      </c>
      <c r="I107" s="331" t="str">
        <f>IF(F107="","",IFERROR(VLOOKUP(F107,'商品カタログ'!$A:$O,7,FALSE),""))</f>
      </c>
      <c r="J107" s="371"/>
      <c r="K107" s="371" t="str">
        <f>IF(F107="","",IFERROR(VLOOKUP(F107,'商品カタログ'!$A:$O,11,FALSE),""))</f>
      </c>
      <c r="L107" s="371" t="str">
        <f>IF(F107="","",IFERROR(VLOOKUP(F107,'商品カタログ'!$A:$O,12,FALSE),""))</f>
      </c>
      <c r="M107" s="371" t="str">
        <f>IF(F107="","",IFERROR(VLOOKUP(F107,'商品カタログ'!$A:$O,13,FALSE),""))</f>
      </c>
      <c r="N107" s="371"/>
      <c r="O107" s="371" t="str">
        <f>IF(F107="","",IFERROR(VLOOKUP(F107,'商品カタログ'!$A:$O,10,FALSE),""))</f>
      </c>
      <c r="P107" s="371" t="str">
        <f>IF(F107="","",IF(OR(J107&lt;=L107,J107-N107*O107&lt;=K107),MAX(IFERROR(VLOOKUP(F107,'商品カタログ'!$A:$O,8,FALSE),0),IFERROR(CEILING(MAX(0,M107-J107),MAX(1,VLOOKUP(F107,'商品カタログ'!$A:$O,9,FALSE))),MAX(0,M107-J107))),0))</f>
      </c>
      <c r="Q107" s="371"/>
      <c r="R107" s="331" t="str">
        <f>IF(F107="","",IFERROR(VLOOKUP(F107,'商品カタログ'!$A:$O,6,FALSE),""))</f>
      </c>
      <c r="S107" s="377" t="str">
        <f>IF(F107="","",IFERROR(VLOOKUP(F107,'商品カタログ'!$A:$O,14,FALSE),""))</f>
      </c>
      <c r="T107" s="377" t="str">
        <f>IF(F107="","",IFERROR(Q107*S107,0))</f>
      </c>
      <c r="U107" s="331"/>
      <c r="V107" s="331"/>
      <c r="W107" s="365" t="str">
        <f>IF(OR(B107="",O107=""),"",B107+O107)</f>
      </c>
      <c r="X107" s="365"/>
      <c r="Y107" s="371"/>
      <c r="Z107" s="371" t="str">
        <f>IF(F107="","",IF(V107="入荷済み",Y107-Q107,IF(V107="一部入荷",Y107-Q107,"")))</f>
      </c>
      <c r="AA107" s="331"/>
      <c r="AB107" s="331"/>
      <c r="AC107" s="331" t="str">
        <f>IF(F107="","",IF(V107="キャンセル済み","キャンセル済み",IF(AND(V107="入荷済み",Y107&gt;=Q107),"通常",IF(AND(W107&lt;TODAY(),W107&lt;&gt;"",V107&lt;&gt;"入荷済み"),"入荷遅延",IF(J107&lt;=K107,"セキュリティ在庫割れ",IF(J107&lt;=L107,"発注点到達",IF(Q107&lt;P107,"申請数が推奨数未満","通常")))))))</f>
      </c>
      <c r="AD107" s="332" t="str">
        <f>IF(F107="","",IF(N107=0,"不明",IF(J107/N107&lt;O107,"高リスク：リードタイム不足",IF(J107/N107&lt;O107+3,"中リスク","低リスク"))))</f>
      </c>
    </row>
    <row r="108" ht="19" customHeight="true">
      <c r="A108" s="330" t="str">
        <f>IF(F108="","","RL-"&amp;TEXT(ROW()-3,"0000"))</f>
      </c>
      <c r="B108" s="365"/>
      <c r="C108" s="331"/>
      <c r="D108" s="331"/>
      <c r="E108" s="331"/>
      <c r="F108" s="331"/>
      <c r="G108" s="331" t="str">
        <f>IF(F108="","",IFERROR(VLOOKUP(F108,'商品カタログ'!$A:$O,2,FALSE),""))</f>
      </c>
      <c r="H108" s="331" t="str">
        <f>IF(F108="","",IFERROR(VLOOKUP(F108,'商品カタログ'!$A:$O,3,FALSE),""))</f>
      </c>
      <c r="I108" s="331" t="str">
        <f>IF(F108="","",IFERROR(VLOOKUP(F108,'商品カタログ'!$A:$O,7,FALSE),""))</f>
      </c>
      <c r="J108" s="371"/>
      <c r="K108" s="371" t="str">
        <f>IF(F108="","",IFERROR(VLOOKUP(F108,'商品カタログ'!$A:$O,11,FALSE),""))</f>
      </c>
      <c r="L108" s="371" t="str">
        <f>IF(F108="","",IFERROR(VLOOKUP(F108,'商品カタログ'!$A:$O,12,FALSE),""))</f>
      </c>
      <c r="M108" s="371" t="str">
        <f>IF(F108="","",IFERROR(VLOOKUP(F108,'商品カタログ'!$A:$O,13,FALSE),""))</f>
      </c>
      <c r="N108" s="371"/>
      <c r="O108" s="371" t="str">
        <f>IF(F108="","",IFERROR(VLOOKUP(F108,'商品カタログ'!$A:$O,10,FALSE),""))</f>
      </c>
      <c r="P108" s="371" t="str">
        <f>IF(F108="","",IF(OR(J108&lt;=L108,J108-N108*O108&lt;=K108),MAX(IFERROR(VLOOKUP(F108,'商品カタログ'!$A:$O,8,FALSE),0),IFERROR(CEILING(MAX(0,M108-J108),MAX(1,VLOOKUP(F108,'商品カタログ'!$A:$O,9,FALSE))),MAX(0,M108-J108))),0))</f>
      </c>
      <c r="Q108" s="371"/>
      <c r="R108" s="331" t="str">
        <f>IF(F108="","",IFERROR(VLOOKUP(F108,'商品カタログ'!$A:$O,6,FALSE),""))</f>
      </c>
      <c r="S108" s="377" t="str">
        <f>IF(F108="","",IFERROR(VLOOKUP(F108,'商品カタログ'!$A:$O,14,FALSE),""))</f>
      </c>
      <c r="T108" s="377" t="str">
        <f>IF(F108="","",IFERROR(Q108*S108,0))</f>
      </c>
      <c r="U108" s="331"/>
      <c r="V108" s="331"/>
      <c r="W108" s="365" t="str">
        <f>IF(OR(B108="",O108=""),"",B108+O108)</f>
      </c>
      <c r="X108" s="365"/>
      <c r="Y108" s="371"/>
      <c r="Z108" s="371" t="str">
        <f>IF(F108="","",IF(V108="入荷済み",Y108-Q108,IF(V108="一部入荷",Y108-Q108,"")))</f>
      </c>
      <c r="AA108" s="331"/>
      <c r="AB108" s="331"/>
      <c r="AC108" s="331" t="str">
        <f>IF(F108="","",IF(V108="キャンセル済み","キャンセル済み",IF(AND(V108="入荷済み",Y108&gt;=Q108),"通常",IF(AND(W108&lt;TODAY(),W108&lt;&gt;"",V108&lt;&gt;"入荷済み"),"入荷遅延",IF(J108&lt;=K108,"セキュリティ在庫割れ",IF(J108&lt;=L108,"発注点到達",IF(Q108&lt;P108,"申請数が推奨数未満","通常")))))))</f>
      </c>
      <c r="AD108" s="332" t="str">
        <f>IF(F108="","",IF(N108=0,"不明",IF(J108/N108&lt;O108,"高リスク：リードタイム不足",IF(J108/N108&lt;O108+3,"中リスク","低リスク"))))</f>
      </c>
    </row>
    <row r="109" ht="19" customHeight="true">
      <c r="A109" s="330" t="str">
        <f>IF(F109="","","RL-"&amp;TEXT(ROW()-3,"0000"))</f>
      </c>
      <c r="B109" s="365"/>
      <c r="C109" s="331"/>
      <c r="D109" s="331"/>
      <c r="E109" s="331"/>
      <c r="F109" s="331"/>
      <c r="G109" s="331" t="str">
        <f>IF(F109="","",IFERROR(VLOOKUP(F109,'商品カタログ'!$A:$O,2,FALSE),""))</f>
      </c>
      <c r="H109" s="331" t="str">
        <f>IF(F109="","",IFERROR(VLOOKUP(F109,'商品カタログ'!$A:$O,3,FALSE),""))</f>
      </c>
      <c r="I109" s="331" t="str">
        <f>IF(F109="","",IFERROR(VLOOKUP(F109,'商品カタログ'!$A:$O,7,FALSE),""))</f>
      </c>
      <c r="J109" s="371"/>
      <c r="K109" s="371" t="str">
        <f>IF(F109="","",IFERROR(VLOOKUP(F109,'商品カタログ'!$A:$O,11,FALSE),""))</f>
      </c>
      <c r="L109" s="371" t="str">
        <f>IF(F109="","",IFERROR(VLOOKUP(F109,'商品カタログ'!$A:$O,12,FALSE),""))</f>
      </c>
      <c r="M109" s="371" t="str">
        <f>IF(F109="","",IFERROR(VLOOKUP(F109,'商品カタログ'!$A:$O,13,FALSE),""))</f>
      </c>
      <c r="N109" s="371"/>
      <c r="O109" s="371" t="str">
        <f>IF(F109="","",IFERROR(VLOOKUP(F109,'商品カタログ'!$A:$O,10,FALSE),""))</f>
      </c>
      <c r="P109" s="371" t="str">
        <f>IF(F109="","",IF(OR(J109&lt;=L109,J109-N109*O109&lt;=K109),MAX(IFERROR(VLOOKUP(F109,'商品カタログ'!$A:$O,8,FALSE),0),IFERROR(CEILING(MAX(0,M109-J109),MAX(1,VLOOKUP(F109,'商品カタログ'!$A:$O,9,FALSE))),MAX(0,M109-J109))),0))</f>
      </c>
      <c r="Q109" s="371"/>
      <c r="R109" s="331" t="str">
        <f>IF(F109="","",IFERROR(VLOOKUP(F109,'商品カタログ'!$A:$O,6,FALSE),""))</f>
      </c>
      <c r="S109" s="377" t="str">
        <f>IF(F109="","",IFERROR(VLOOKUP(F109,'商品カタログ'!$A:$O,14,FALSE),""))</f>
      </c>
      <c r="T109" s="377" t="str">
        <f>IF(F109="","",IFERROR(Q109*S109,0))</f>
      </c>
      <c r="U109" s="331"/>
      <c r="V109" s="331"/>
      <c r="W109" s="365" t="str">
        <f>IF(OR(B109="",O109=""),"",B109+O109)</f>
      </c>
      <c r="X109" s="365"/>
      <c r="Y109" s="371"/>
      <c r="Z109" s="371" t="str">
        <f>IF(F109="","",IF(V109="入荷済み",Y109-Q109,IF(V109="一部入荷",Y109-Q109,"")))</f>
      </c>
      <c r="AA109" s="331"/>
      <c r="AB109" s="331"/>
      <c r="AC109" s="331" t="str">
        <f>IF(F109="","",IF(V109="キャンセル済み","キャンセル済み",IF(AND(V109="入荷済み",Y109&gt;=Q109),"通常",IF(AND(W109&lt;TODAY(),W109&lt;&gt;"",V109&lt;&gt;"入荷済み"),"入荷遅延",IF(J109&lt;=K109,"セキュリティ在庫割れ",IF(J109&lt;=L109,"発注点到達",IF(Q109&lt;P109,"申請数が推奨数未満","通常")))))))</f>
      </c>
      <c r="AD109" s="332" t="str">
        <f>IF(F109="","",IF(N109=0,"不明",IF(J109/N109&lt;O109,"高リスク：リードタイム不足",IF(J109/N109&lt;O109+3,"中リスク","低リスク"))))</f>
      </c>
    </row>
    <row r="110" ht="19" customHeight="true">
      <c r="A110" s="330" t="str">
        <f>IF(F110="","","RL-"&amp;TEXT(ROW()-3,"0000"))</f>
      </c>
      <c r="B110" s="365"/>
      <c r="C110" s="331"/>
      <c r="D110" s="331"/>
      <c r="E110" s="331"/>
      <c r="F110" s="331"/>
      <c r="G110" s="331" t="str">
        <f>IF(F110="","",IFERROR(VLOOKUP(F110,'商品カタログ'!$A:$O,2,FALSE),""))</f>
      </c>
      <c r="H110" s="331" t="str">
        <f>IF(F110="","",IFERROR(VLOOKUP(F110,'商品カタログ'!$A:$O,3,FALSE),""))</f>
      </c>
      <c r="I110" s="331" t="str">
        <f>IF(F110="","",IFERROR(VLOOKUP(F110,'商品カタログ'!$A:$O,7,FALSE),""))</f>
      </c>
      <c r="J110" s="371"/>
      <c r="K110" s="371" t="str">
        <f>IF(F110="","",IFERROR(VLOOKUP(F110,'商品カタログ'!$A:$O,11,FALSE),""))</f>
      </c>
      <c r="L110" s="371" t="str">
        <f>IF(F110="","",IFERROR(VLOOKUP(F110,'商品カタログ'!$A:$O,12,FALSE),""))</f>
      </c>
      <c r="M110" s="371" t="str">
        <f>IF(F110="","",IFERROR(VLOOKUP(F110,'商品カタログ'!$A:$O,13,FALSE),""))</f>
      </c>
      <c r="N110" s="371"/>
      <c r="O110" s="371" t="str">
        <f>IF(F110="","",IFERROR(VLOOKUP(F110,'商品カタログ'!$A:$O,10,FALSE),""))</f>
      </c>
      <c r="P110" s="371" t="str">
        <f>IF(F110="","",IF(OR(J110&lt;=L110,J110-N110*O110&lt;=K110),MAX(IFERROR(VLOOKUP(F110,'商品カタログ'!$A:$O,8,FALSE),0),IFERROR(CEILING(MAX(0,M110-J110),MAX(1,VLOOKUP(F110,'商品カタログ'!$A:$O,9,FALSE))),MAX(0,M110-J110))),0))</f>
      </c>
      <c r="Q110" s="371"/>
      <c r="R110" s="331" t="str">
        <f>IF(F110="","",IFERROR(VLOOKUP(F110,'商品カタログ'!$A:$O,6,FALSE),""))</f>
      </c>
      <c r="S110" s="377" t="str">
        <f>IF(F110="","",IFERROR(VLOOKUP(F110,'商品カタログ'!$A:$O,14,FALSE),""))</f>
      </c>
      <c r="T110" s="377" t="str">
        <f>IF(F110="","",IFERROR(Q110*S110,0))</f>
      </c>
      <c r="U110" s="331"/>
      <c r="V110" s="331"/>
      <c r="W110" s="365" t="str">
        <f>IF(OR(B110="",O110=""),"",B110+O110)</f>
      </c>
      <c r="X110" s="365"/>
      <c r="Y110" s="371"/>
      <c r="Z110" s="371" t="str">
        <f>IF(F110="","",IF(V110="入荷済み",Y110-Q110,IF(V110="一部入荷",Y110-Q110,"")))</f>
      </c>
      <c r="AA110" s="331"/>
      <c r="AB110" s="331"/>
      <c r="AC110" s="331" t="str">
        <f>IF(F110="","",IF(V110="キャンセル済み","キャンセル済み",IF(AND(V110="入荷済み",Y110&gt;=Q110),"通常",IF(AND(W110&lt;TODAY(),W110&lt;&gt;"",V110&lt;&gt;"入荷済み"),"入荷遅延",IF(J110&lt;=K110,"セキュリティ在庫割れ",IF(J110&lt;=L110,"発注点到達",IF(Q110&lt;P110,"申請数が推奨数未満","通常")))))))</f>
      </c>
      <c r="AD110" s="332" t="str">
        <f>IF(F110="","",IF(N110=0,"不明",IF(J110/N110&lt;O110,"高リスク：リードタイム不足",IF(J110/N110&lt;O110+3,"中リスク","低リスク"))))</f>
      </c>
    </row>
    <row r="111" ht="19" customHeight="true">
      <c r="A111" s="330" t="str">
        <f>IF(F111="","","RL-"&amp;TEXT(ROW()-3,"0000"))</f>
      </c>
      <c r="B111" s="365"/>
      <c r="C111" s="331"/>
      <c r="D111" s="331"/>
      <c r="E111" s="331"/>
      <c r="F111" s="331"/>
      <c r="G111" s="331" t="str">
        <f>IF(F111="","",IFERROR(VLOOKUP(F111,'商品カタログ'!$A:$O,2,FALSE),""))</f>
      </c>
      <c r="H111" s="331" t="str">
        <f>IF(F111="","",IFERROR(VLOOKUP(F111,'商品カタログ'!$A:$O,3,FALSE),""))</f>
      </c>
      <c r="I111" s="331" t="str">
        <f>IF(F111="","",IFERROR(VLOOKUP(F111,'商品カタログ'!$A:$O,7,FALSE),""))</f>
      </c>
      <c r="J111" s="371"/>
      <c r="K111" s="371" t="str">
        <f>IF(F111="","",IFERROR(VLOOKUP(F111,'商品カタログ'!$A:$O,11,FALSE),""))</f>
      </c>
      <c r="L111" s="371" t="str">
        <f>IF(F111="","",IFERROR(VLOOKUP(F111,'商品カタログ'!$A:$O,12,FALSE),""))</f>
      </c>
      <c r="M111" s="371" t="str">
        <f>IF(F111="","",IFERROR(VLOOKUP(F111,'商品カタログ'!$A:$O,13,FALSE),""))</f>
      </c>
      <c r="N111" s="371"/>
      <c r="O111" s="371" t="str">
        <f>IF(F111="","",IFERROR(VLOOKUP(F111,'商品カタログ'!$A:$O,10,FALSE),""))</f>
      </c>
      <c r="P111" s="371" t="str">
        <f>IF(F111="","",IF(OR(J111&lt;=L111,J111-N111*O111&lt;=K111),MAX(IFERROR(VLOOKUP(F111,'商品カタログ'!$A:$O,8,FALSE),0),IFERROR(CEILING(MAX(0,M111-J111),MAX(1,VLOOKUP(F111,'商品カタログ'!$A:$O,9,FALSE))),MAX(0,M111-J111))),0))</f>
      </c>
      <c r="Q111" s="371"/>
      <c r="R111" s="331" t="str">
        <f>IF(F111="","",IFERROR(VLOOKUP(F111,'商品カタログ'!$A:$O,6,FALSE),""))</f>
      </c>
      <c r="S111" s="377" t="str">
        <f>IF(F111="","",IFERROR(VLOOKUP(F111,'商品カタログ'!$A:$O,14,FALSE),""))</f>
      </c>
      <c r="T111" s="377" t="str">
        <f>IF(F111="","",IFERROR(Q111*S111,0))</f>
      </c>
      <c r="U111" s="331"/>
      <c r="V111" s="331"/>
      <c r="W111" s="365" t="str">
        <f>IF(OR(B111="",O111=""),"",B111+O111)</f>
      </c>
      <c r="X111" s="365"/>
      <c r="Y111" s="371"/>
      <c r="Z111" s="371" t="str">
        <f>IF(F111="","",IF(V111="入荷済み",Y111-Q111,IF(V111="一部入荷",Y111-Q111,"")))</f>
      </c>
      <c r="AA111" s="331"/>
      <c r="AB111" s="331"/>
      <c r="AC111" s="331" t="str">
        <f>IF(F111="","",IF(V111="キャンセル済み","キャンセル済み",IF(AND(V111="入荷済み",Y111&gt;=Q111),"通常",IF(AND(W111&lt;TODAY(),W111&lt;&gt;"",V111&lt;&gt;"入荷済み"),"入荷遅延",IF(J111&lt;=K111,"セキュリティ在庫割れ",IF(J111&lt;=L111,"発注点到達",IF(Q111&lt;P111,"申請数が推奨数未満","通常")))))))</f>
      </c>
      <c r="AD111" s="332" t="str">
        <f>IF(F111="","",IF(N111=0,"不明",IF(J111/N111&lt;O111,"高リスク：リードタイム不足",IF(J111/N111&lt;O111+3,"中リスク","低リスク"))))</f>
      </c>
    </row>
    <row r="112" ht="19" customHeight="true">
      <c r="A112" s="330" t="str">
        <f>IF(F112="","","RL-"&amp;TEXT(ROW()-3,"0000"))</f>
      </c>
      <c r="B112" s="365"/>
      <c r="C112" s="331"/>
      <c r="D112" s="331"/>
      <c r="E112" s="331"/>
      <c r="F112" s="331"/>
      <c r="G112" s="331" t="str">
        <f>IF(F112="","",IFERROR(VLOOKUP(F112,'商品カタログ'!$A:$O,2,FALSE),""))</f>
      </c>
      <c r="H112" s="331" t="str">
        <f>IF(F112="","",IFERROR(VLOOKUP(F112,'商品カタログ'!$A:$O,3,FALSE),""))</f>
      </c>
      <c r="I112" s="331" t="str">
        <f>IF(F112="","",IFERROR(VLOOKUP(F112,'商品カタログ'!$A:$O,7,FALSE),""))</f>
      </c>
      <c r="J112" s="371"/>
      <c r="K112" s="371" t="str">
        <f>IF(F112="","",IFERROR(VLOOKUP(F112,'商品カタログ'!$A:$O,11,FALSE),""))</f>
      </c>
      <c r="L112" s="371" t="str">
        <f>IF(F112="","",IFERROR(VLOOKUP(F112,'商品カタログ'!$A:$O,12,FALSE),""))</f>
      </c>
      <c r="M112" s="371" t="str">
        <f>IF(F112="","",IFERROR(VLOOKUP(F112,'商品カタログ'!$A:$O,13,FALSE),""))</f>
      </c>
      <c r="N112" s="371"/>
      <c r="O112" s="371" t="str">
        <f>IF(F112="","",IFERROR(VLOOKUP(F112,'商品カタログ'!$A:$O,10,FALSE),""))</f>
      </c>
      <c r="P112" s="371" t="str">
        <f>IF(F112="","",IF(OR(J112&lt;=L112,J112-N112*O112&lt;=K112),MAX(IFERROR(VLOOKUP(F112,'商品カタログ'!$A:$O,8,FALSE),0),IFERROR(CEILING(MAX(0,M112-J112),MAX(1,VLOOKUP(F112,'商品カタログ'!$A:$O,9,FALSE))),MAX(0,M112-J112))),0))</f>
      </c>
      <c r="Q112" s="371"/>
      <c r="R112" s="331" t="str">
        <f>IF(F112="","",IFERROR(VLOOKUP(F112,'商品カタログ'!$A:$O,6,FALSE),""))</f>
      </c>
      <c r="S112" s="377" t="str">
        <f>IF(F112="","",IFERROR(VLOOKUP(F112,'商品カタログ'!$A:$O,14,FALSE),""))</f>
      </c>
      <c r="T112" s="377" t="str">
        <f>IF(F112="","",IFERROR(Q112*S112,0))</f>
      </c>
      <c r="U112" s="331"/>
      <c r="V112" s="331"/>
      <c r="W112" s="365" t="str">
        <f>IF(OR(B112="",O112=""),"",B112+O112)</f>
      </c>
      <c r="X112" s="365"/>
      <c r="Y112" s="371"/>
      <c r="Z112" s="371" t="str">
        <f>IF(F112="","",IF(V112="入荷済み",Y112-Q112,IF(V112="一部入荷",Y112-Q112,"")))</f>
      </c>
      <c r="AA112" s="331"/>
      <c r="AB112" s="331"/>
      <c r="AC112" s="331" t="str">
        <f>IF(F112="","",IF(V112="キャンセル済み","キャンセル済み",IF(AND(V112="入荷済み",Y112&gt;=Q112),"通常",IF(AND(W112&lt;TODAY(),W112&lt;&gt;"",V112&lt;&gt;"入荷済み"),"入荷遅延",IF(J112&lt;=K112,"セキュリティ在庫割れ",IF(J112&lt;=L112,"発注点到達",IF(Q112&lt;P112,"申請数が推奨数未満","通常")))))))</f>
      </c>
      <c r="AD112" s="332" t="str">
        <f>IF(F112="","",IF(N112=0,"不明",IF(J112/N112&lt;O112,"高リスク：リードタイム不足",IF(J112/N112&lt;O112+3,"中リスク","低リスク"))))</f>
      </c>
    </row>
    <row r="113" ht="19" customHeight="true">
      <c r="A113" s="330" t="str">
        <f>IF(F113="","","RL-"&amp;TEXT(ROW()-3,"0000"))</f>
      </c>
      <c r="B113" s="365"/>
      <c r="C113" s="331"/>
      <c r="D113" s="331"/>
      <c r="E113" s="331"/>
      <c r="F113" s="331"/>
      <c r="G113" s="331" t="str">
        <f>IF(F113="","",IFERROR(VLOOKUP(F113,'商品カタログ'!$A:$O,2,FALSE),""))</f>
      </c>
      <c r="H113" s="331" t="str">
        <f>IF(F113="","",IFERROR(VLOOKUP(F113,'商品カタログ'!$A:$O,3,FALSE),""))</f>
      </c>
      <c r="I113" s="331" t="str">
        <f>IF(F113="","",IFERROR(VLOOKUP(F113,'商品カタログ'!$A:$O,7,FALSE),""))</f>
      </c>
      <c r="J113" s="371"/>
      <c r="K113" s="371" t="str">
        <f>IF(F113="","",IFERROR(VLOOKUP(F113,'商品カタログ'!$A:$O,11,FALSE),""))</f>
      </c>
      <c r="L113" s="371" t="str">
        <f>IF(F113="","",IFERROR(VLOOKUP(F113,'商品カタログ'!$A:$O,12,FALSE),""))</f>
      </c>
      <c r="M113" s="371" t="str">
        <f>IF(F113="","",IFERROR(VLOOKUP(F113,'商品カタログ'!$A:$O,13,FALSE),""))</f>
      </c>
      <c r="N113" s="371"/>
      <c r="O113" s="371" t="str">
        <f>IF(F113="","",IFERROR(VLOOKUP(F113,'商品カタログ'!$A:$O,10,FALSE),""))</f>
      </c>
      <c r="P113" s="371" t="str">
        <f>IF(F113="","",IF(OR(J113&lt;=L113,J113-N113*O113&lt;=K113),MAX(IFERROR(VLOOKUP(F113,'商品カタログ'!$A:$O,8,FALSE),0),IFERROR(CEILING(MAX(0,M113-J113),MAX(1,VLOOKUP(F113,'商品カタログ'!$A:$O,9,FALSE))),MAX(0,M113-J113))),0))</f>
      </c>
      <c r="Q113" s="371"/>
      <c r="R113" s="331" t="str">
        <f>IF(F113="","",IFERROR(VLOOKUP(F113,'商品カタログ'!$A:$O,6,FALSE),""))</f>
      </c>
      <c r="S113" s="377" t="str">
        <f>IF(F113="","",IFERROR(VLOOKUP(F113,'商品カタログ'!$A:$O,14,FALSE),""))</f>
      </c>
      <c r="T113" s="377" t="str">
        <f>IF(F113="","",IFERROR(Q113*S113,0))</f>
      </c>
      <c r="U113" s="331"/>
      <c r="V113" s="331"/>
      <c r="W113" s="365" t="str">
        <f>IF(OR(B113="",O113=""),"",B113+O113)</f>
      </c>
      <c r="X113" s="365"/>
      <c r="Y113" s="371"/>
      <c r="Z113" s="371" t="str">
        <f>IF(F113="","",IF(V113="入荷済み",Y113-Q113,IF(V113="一部入荷",Y113-Q113,"")))</f>
      </c>
      <c r="AA113" s="331"/>
      <c r="AB113" s="331"/>
      <c r="AC113" s="331" t="str">
        <f>IF(F113="","",IF(V113="キャンセル済み","キャンセル済み",IF(AND(V113="入荷済み",Y113&gt;=Q113),"通常",IF(AND(W113&lt;TODAY(),W113&lt;&gt;"",V113&lt;&gt;"入荷済み"),"入荷遅延",IF(J113&lt;=K113,"セキュリティ在庫割れ",IF(J113&lt;=L113,"発注点到達",IF(Q113&lt;P113,"申請数が推奨数未満","通常")))))))</f>
      </c>
      <c r="AD113" s="332" t="str">
        <f>IF(F113="","",IF(N113=0,"不明",IF(J113/N113&lt;O113,"高リスク：リードタイム不足",IF(J113/N113&lt;O113+3,"中リスク","低リスク"))))</f>
      </c>
    </row>
    <row r="114" ht="19" customHeight="true">
      <c r="A114" s="330" t="str">
        <f>IF(F114="","","RL-"&amp;TEXT(ROW()-3,"0000"))</f>
      </c>
      <c r="B114" s="365"/>
      <c r="C114" s="331"/>
      <c r="D114" s="331"/>
      <c r="E114" s="331"/>
      <c r="F114" s="331"/>
      <c r="G114" s="331" t="str">
        <f>IF(F114="","",IFERROR(VLOOKUP(F114,'商品カタログ'!$A:$O,2,FALSE),""))</f>
      </c>
      <c r="H114" s="331" t="str">
        <f>IF(F114="","",IFERROR(VLOOKUP(F114,'商品カタログ'!$A:$O,3,FALSE),""))</f>
      </c>
      <c r="I114" s="331" t="str">
        <f>IF(F114="","",IFERROR(VLOOKUP(F114,'商品カタログ'!$A:$O,7,FALSE),""))</f>
      </c>
      <c r="J114" s="371"/>
      <c r="K114" s="371" t="str">
        <f>IF(F114="","",IFERROR(VLOOKUP(F114,'商品カタログ'!$A:$O,11,FALSE),""))</f>
      </c>
      <c r="L114" s="371" t="str">
        <f>IF(F114="","",IFERROR(VLOOKUP(F114,'商品カタログ'!$A:$O,12,FALSE),""))</f>
      </c>
      <c r="M114" s="371" t="str">
        <f>IF(F114="","",IFERROR(VLOOKUP(F114,'商品カタログ'!$A:$O,13,FALSE),""))</f>
      </c>
      <c r="N114" s="371"/>
      <c r="O114" s="371" t="str">
        <f>IF(F114="","",IFERROR(VLOOKUP(F114,'商品カタログ'!$A:$O,10,FALSE),""))</f>
      </c>
      <c r="P114" s="371" t="str">
        <f>IF(F114="","",IF(OR(J114&lt;=L114,J114-N114*O114&lt;=K114),MAX(IFERROR(VLOOKUP(F114,'商品カタログ'!$A:$O,8,FALSE),0),IFERROR(CEILING(MAX(0,M114-J114),MAX(1,VLOOKUP(F114,'商品カタログ'!$A:$O,9,FALSE))),MAX(0,M114-J114))),0))</f>
      </c>
      <c r="Q114" s="371"/>
      <c r="R114" s="331" t="str">
        <f>IF(F114="","",IFERROR(VLOOKUP(F114,'商品カタログ'!$A:$O,6,FALSE),""))</f>
      </c>
      <c r="S114" s="377" t="str">
        <f>IF(F114="","",IFERROR(VLOOKUP(F114,'商品カタログ'!$A:$O,14,FALSE),""))</f>
      </c>
      <c r="T114" s="377" t="str">
        <f>IF(F114="","",IFERROR(Q114*S114,0))</f>
      </c>
      <c r="U114" s="331"/>
      <c r="V114" s="331"/>
      <c r="W114" s="365" t="str">
        <f>IF(OR(B114="",O114=""),"",B114+O114)</f>
      </c>
      <c r="X114" s="365"/>
      <c r="Y114" s="371"/>
      <c r="Z114" s="371" t="str">
        <f>IF(F114="","",IF(V114="入荷済み",Y114-Q114,IF(V114="一部入荷",Y114-Q114,"")))</f>
      </c>
      <c r="AA114" s="331"/>
      <c r="AB114" s="331"/>
      <c r="AC114" s="331" t="str">
        <f>IF(F114="","",IF(V114="キャンセル済み","キャンセル済み",IF(AND(V114="入荷済み",Y114&gt;=Q114),"通常",IF(AND(W114&lt;TODAY(),W114&lt;&gt;"",V114&lt;&gt;"入荷済み"),"入荷遅延",IF(J114&lt;=K114,"セキュリティ在庫割れ",IF(J114&lt;=L114,"発注点到達",IF(Q114&lt;P114,"申請数が推奨数未満","通常")))))))</f>
      </c>
      <c r="AD114" s="332" t="str">
        <f>IF(F114="","",IF(N114=0,"不明",IF(J114/N114&lt;O114,"高リスク：リードタイム不足",IF(J114/N114&lt;O114+3,"中リスク","低リスク"))))</f>
      </c>
    </row>
    <row r="115" ht="19" customHeight="true">
      <c r="A115" s="330" t="str">
        <f>IF(F115="","","RL-"&amp;TEXT(ROW()-3,"0000"))</f>
      </c>
      <c r="B115" s="365"/>
      <c r="C115" s="331"/>
      <c r="D115" s="331"/>
      <c r="E115" s="331"/>
      <c r="F115" s="331"/>
      <c r="G115" s="331" t="str">
        <f>IF(F115="","",IFERROR(VLOOKUP(F115,'商品カタログ'!$A:$O,2,FALSE),""))</f>
      </c>
      <c r="H115" s="331" t="str">
        <f>IF(F115="","",IFERROR(VLOOKUP(F115,'商品カタログ'!$A:$O,3,FALSE),""))</f>
      </c>
      <c r="I115" s="331" t="str">
        <f>IF(F115="","",IFERROR(VLOOKUP(F115,'商品カタログ'!$A:$O,7,FALSE),""))</f>
      </c>
      <c r="J115" s="371"/>
      <c r="K115" s="371" t="str">
        <f>IF(F115="","",IFERROR(VLOOKUP(F115,'商品カタログ'!$A:$O,11,FALSE),""))</f>
      </c>
      <c r="L115" s="371" t="str">
        <f>IF(F115="","",IFERROR(VLOOKUP(F115,'商品カタログ'!$A:$O,12,FALSE),""))</f>
      </c>
      <c r="M115" s="371" t="str">
        <f>IF(F115="","",IFERROR(VLOOKUP(F115,'商品カタログ'!$A:$O,13,FALSE),""))</f>
      </c>
      <c r="N115" s="371"/>
      <c r="O115" s="371" t="str">
        <f>IF(F115="","",IFERROR(VLOOKUP(F115,'商品カタログ'!$A:$O,10,FALSE),""))</f>
      </c>
      <c r="P115" s="371" t="str">
        <f>IF(F115="","",IF(OR(J115&lt;=L115,J115-N115*O115&lt;=K115),MAX(IFERROR(VLOOKUP(F115,'商品カタログ'!$A:$O,8,FALSE),0),IFERROR(CEILING(MAX(0,M115-J115),MAX(1,VLOOKUP(F115,'商品カタログ'!$A:$O,9,FALSE))),MAX(0,M115-J115))),0))</f>
      </c>
      <c r="Q115" s="371"/>
      <c r="R115" s="331" t="str">
        <f>IF(F115="","",IFERROR(VLOOKUP(F115,'商品カタログ'!$A:$O,6,FALSE),""))</f>
      </c>
      <c r="S115" s="377" t="str">
        <f>IF(F115="","",IFERROR(VLOOKUP(F115,'商品カタログ'!$A:$O,14,FALSE),""))</f>
      </c>
      <c r="T115" s="377" t="str">
        <f>IF(F115="","",IFERROR(Q115*S115,0))</f>
      </c>
      <c r="U115" s="331"/>
      <c r="V115" s="331"/>
      <c r="W115" s="365" t="str">
        <f>IF(OR(B115="",O115=""),"",B115+O115)</f>
      </c>
      <c r="X115" s="365"/>
      <c r="Y115" s="371"/>
      <c r="Z115" s="371" t="str">
        <f>IF(F115="","",IF(V115="入荷済み",Y115-Q115,IF(V115="一部入荷",Y115-Q115,"")))</f>
      </c>
      <c r="AA115" s="331"/>
      <c r="AB115" s="331"/>
      <c r="AC115" s="331" t="str">
        <f>IF(F115="","",IF(V115="キャンセル済み","キャンセル済み",IF(AND(V115="入荷済み",Y115&gt;=Q115),"通常",IF(AND(W115&lt;TODAY(),W115&lt;&gt;"",V115&lt;&gt;"入荷済み"),"入荷遅延",IF(J115&lt;=K115,"セキュリティ在庫割れ",IF(J115&lt;=L115,"発注点到達",IF(Q115&lt;P115,"申請数が推奨数未満","通常")))))))</f>
      </c>
      <c r="AD115" s="332" t="str">
        <f>IF(F115="","",IF(N115=0,"不明",IF(J115/N115&lt;O115,"高リスク：リードタイム不足",IF(J115/N115&lt;O115+3,"中リスク","低リスク"))))</f>
      </c>
    </row>
    <row r="116" ht="19" customHeight="true">
      <c r="A116" s="330" t="str">
        <f>IF(F116="","","RL-"&amp;TEXT(ROW()-3,"0000"))</f>
      </c>
      <c r="B116" s="365"/>
      <c r="C116" s="331"/>
      <c r="D116" s="331"/>
      <c r="E116" s="331"/>
      <c r="F116" s="331"/>
      <c r="G116" s="331" t="str">
        <f>IF(F116="","",IFERROR(VLOOKUP(F116,'商品カタログ'!$A:$O,2,FALSE),""))</f>
      </c>
      <c r="H116" s="331" t="str">
        <f>IF(F116="","",IFERROR(VLOOKUP(F116,'商品カタログ'!$A:$O,3,FALSE),""))</f>
      </c>
      <c r="I116" s="331" t="str">
        <f>IF(F116="","",IFERROR(VLOOKUP(F116,'商品カタログ'!$A:$O,7,FALSE),""))</f>
      </c>
      <c r="J116" s="371"/>
      <c r="K116" s="371" t="str">
        <f>IF(F116="","",IFERROR(VLOOKUP(F116,'商品カタログ'!$A:$O,11,FALSE),""))</f>
      </c>
      <c r="L116" s="371" t="str">
        <f>IF(F116="","",IFERROR(VLOOKUP(F116,'商品カタログ'!$A:$O,12,FALSE),""))</f>
      </c>
      <c r="M116" s="371" t="str">
        <f>IF(F116="","",IFERROR(VLOOKUP(F116,'商品カタログ'!$A:$O,13,FALSE),""))</f>
      </c>
      <c r="N116" s="371"/>
      <c r="O116" s="371" t="str">
        <f>IF(F116="","",IFERROR(VLOOKUP(F116,'商品カタログ'!$A:$O,10,FALSE),""))</f>
      </c>
      <c r="P116" s="371" t="str">
        <f>IF(F116="","",IF(OR(J116&lt;=L116,J116-N116*O116&lt;=K116),MAX(IFERROR(VLOOKUP(F116,'商品カタログ'!$A:$O,8,FALSE),0),IFERROR(CEILING(MAX(0,M116-J116),MAX(1,VLOOKUP(F116,'商品カタログ'!$A:$O,9,FALSE))),MAX(0,M116-J116))),0))</f>
      </c>
      <c r="Q116" s="371"/>
      <c r="R116" s="331" t="str">
        <f>IF(F116="","",IFERROR(VLOOKUP(F116,'商品カタログ'!$A:$O,6,FALSE),""))</f>
      </c>
      <c r="S116" s="377" t="str">
        <f>IF(F116="","",IFERROR(VLOOKUP(F116,'商品カタログ'!$A:$O,14,FALSE),""))</f>
      </c>
      <c r="T116" s="377" t="str">
        <f>IF(F116="","",IFERROR(Q116*S116,0))</f>
      </c>
      <c r="U116" s="331"/>
      <c r="V116" s="331"/>
      <c r="W116" s="365" t="str">
        <f>IF(OR(B116="",O116=""),"",B116+O116)</f>
      </c>
      <c r="X116" s="365"/>
      <c r="Y116" s="371"/>
      <c r="Z116" s="371" t="str">
        <f>IF(F116="","",IF(V116="入荷済み",Y116-Q116,IF(V116="一部入荷",Y116-Q116,"")))</f>
      </c>
      <c r="AA116" s="331"/>
      <c r="AB116" s="331"/>
      <c r="AC116" s="331" t="str">
        <f>IF(F116="","",IF(V116="キャンセル済み","キャンセル済み",IF(AND(V116="入荷済み",Y116&gt;=Q116),"通常",IF(AND(W116&lt;TODAY(),W116&lt;&gt;"",V116&lt;&gt;"入荷済み"),"入荷遅延",IF(J116&lt;=K116,"セキュリティ在庫割れ",IF(J116&lt;=L116,"発注点到達",IF(Q116&lt;P116,"申請数が推奨数未満","通常")))))))</f>
      </c>
      <c r="AD116" s="332" t="str">
        <f>IF(F116="","",IF(N116=0,"不明",IF(J116/N116&lt;O116,"高リスク：リードタイム不足",IF(J116/N116&lt;O116+3,"中リスク","低リスク"))))</f>
      </c>
    </row>
    <row r="117" ht="19" customHeight="true">
      <c r="A117" s="330" t="str">
        <f>IF(F117="","","RL-"&amp;TEXT(ROW()-3,"0000"))</f>
      </c>
      <c r="B117" s="365"/>
      <c r="C117" s="331"/>
      <c r="D117" s="331"/>
      <c r="E117" s="331"/>
      <c r="F117" s="331"/>
      <c r="G117" s="331" t="str">
        <f>IF(F117="","",IFERROR(VLOOKUP(F117,'商品カタログ'!$A:$O,2,FALSE),""))</f>
      </c>
      <c r="H117" s="331" t="str">
        <f>IF(F117="","",IFERROR(VLOOKUP(F117,'商品カタログ'!$A:$O,3,FALSE),""))</f>
      </c>
      <c r="I117" s="331" t="str">
        <f>IF(F117="","",IFERROR(VLOOKUP(F117,'商品カタログ'!$A:$O,7,FALSE),""))</f>
      </c>
      <c r="J117" s="371"/>
      <c r="K117" s="371" t="str">
        <f>IF(F117="","",IFERROR(VLOOKUP(F117,'商品カタログ'!$A:$O,11,FALSE),""))</f>
      </c>
      <c r="L117" s="371" t="str">
        <f>IF(F117="","",IFERROR(VLOOKUP(F117,'商品カタログ'!$A:$O,12,FALSE),""))</f>
      </c>
      <c r="M117" s="371" t="str">
        <f>IF(F117="","",IFERROR(VLOOKUP(F117,'商品カタログ'!$A:$O,13,FALSE),""))</f>
      </c>
      <c r="N117" s="371"/>
      <c r="O117" s="371" t="str">
        <f>IF(F117="","",IFERROR(VLOOKUP(F117,'商品カタログ'!$A:$O,10,FALSE),""))</f>
      </c>
      <c r="P117" s="371" t="str">
        <f>IF(F117="","",IF(OR(J117&lt;=L117,J117-N117*O117&lt;=K117),MAX(IFERROR(VLOOKUP(F117,'商品カタログ'!$A:$O,8,FALSE),0),IFERROR(CEILING(MAX(0,M117-J117),MAX(1,VLOOKUP(F117,'商品カタログ'!$A:$O,9,FALSE))),MAX(0,M117-J117))),0))</f>
      </c>
      <c r="Q117" s="371"/>
      <c r="R117" s="331" t="str">
        <f>IF(F117="","",IFERROR(VLOOKUP(F117,'商品カタログ'!$A:$O,6,FALSE),""))</f>
      </c>
      <c r="S117" s="377" t="str">
        <f>IF(F117="","",IFERROR(VLOOKUP(F117,'商品カタログ'!$A:$O,14,FALSE),""))</f>
      </c>
      <c r="T117" s="377" t="str">
        <f>IF(F117="","",IFERROR(Q117*S117,0))</f>
      </c>
      <c r="U117" s="331"/>
      <c r="V117" s="331"/>
      <c r="W117" s="365" t="str">
        <f>IF(OR(B117="",O117=""),"",B117+O117)</f>
      </c>
      <c r="X117" s="365"/>
      <c r="Y117" s="371"/>
      <c r="Z117" s="371" t="str">
        <f>IF(F117="","",IF(V117="入荷済み",Y117-Q117,IF(V117="一部入荷",Y117-Q117,"")))</f>
      </c>
      <c r="AA117" s="331"/>
      <c r="AB117" s="331"/>
      <c r="AC117" s="331" t="str">
        <f>IF(F117="","",IF(V117="キャンセル済み","キャンセル済み",IF(AND(V117="入荷済み",Y117&gt;=Q117),"通常",IF(AND(W117&lt;TODAY(),W117&lt;&gt;"",V117&lt;&gt;"入荷済み"),"入荷遅延",IF(J117&lt;=K117,"セキュリティ在庫割れ",IF(J117&lt;=L117,"発注点到達",IF(Q117&lt;P117,"申請数が推奨数未満","通常")))))))</f>
      </c>
      <c r="AD117" s="332" t="str">
        <f>IF(F117="","",IF(N117=0,"不明",IF(J117/N117&lt;O117,"高リスク：リードタイム不足",IF(J117/N117&lt;O117+3,"中リスク","低リスク"))))</f>
      </c>
    </row>
    <row r="118" ht="19" customHeight="true">
      <c r="A118" s="330" t="str">
        <f>IF(F118="","","RL-"&amp;TEXT(ROW()-3,"0000"))</f>
      </c>
      <c r="B118" s="365"/>
      <c r="C118" s="331"/>
      <c r="D118" s="331"/>
      <c r="E118" s="331"/>
      <c r="F118" s="331"/>
      <c r="G118" s="331" t="str">
        <f>IF(F118="","",IFERROR(VLOOKUP(F118,'商品カタログ'!$A:$O,2,FALSE),""))</f>
      </c>
      <c r="H118" s="331" t="str">
        <f>IF(F118="","",IFERROR(VLOOKUP(F118,'商品カタログ'!$A:$O,3,FALSE),""))</f>
      </c>
      <c r="I118" s="331" t="str">
        <f>IF(F118="","",IFERROR(VLOOKUP(F118,'商品カタログ'!$A:$O,7,FALSE),""))</f>
      </c>
      <c r="J118" s="371"/>
      <c r="K118" s="371" t="str">
        <f>IF(F118="","",IFERROR(VLOOKUP(F118,'商品カタログ'!$A:$O,11,FALSE),""))</f>
      </c>
      <c r="L118" s="371" t="str">
        <f>IF(F118="","",IFERROR(VLOOKUP(F118,'商品カタログ'!$A:$O,12,FALSE),""))</f>
      </c>
      <c r="M118" s="371" t="str">
        <f>IF(F118="","",IFERROR(VLOOKUP(F118,'商品カタログ'!$A:$O,13,FALSE),""))</f>
      </c>
      <c r="N118" s="371"/>
      <c r="O118" s="371" t="str">
        <f>IF(F118="","",IFERROR(VLOOKUP(F118,'商品カタログ'!$A:$O,10,FALSE),""))</f>
      </c>
      <c r="P118" s="371" t="str">
        <f>IF(F118="","",IF(OR(J118&lt;=L118,J118-N118*O118&lt;=K118),MAX(IFERROR(VLOOKUP(F118,'商品カタログ'!$A:$O,8,FALSE),0),IFERROR(CEILING(MAX(0,M118-J118),MAX(1,VLOOKUP(F118,'商品カタログ'!$A:$O,9,FALSE))),MAX(0,M118-J118))),0))</f>
      </c>
      <c r="Q118" s="371"/>
      <c r="R118" s="331" t="str">
        <f>IF(F118="","",IFERROR(VLOOKUP(F118,'商品カタログ'!$A:$O,6,FALSE),""))</f>
      </c>
      <c r="S118" s="377" t="str">
        <f>IF(F118="","",IFERROR(VLOOKUP(F118,'商品カタログ'!$A:$O,14,FALSE),""))</f>
      </c>
      <c r="T118" s="377" t="str">
        <f>IF(F118="","",IFERROR(Q118*S118,0))</f>
      </c>
      <c r="U118" s="331"/>
      <c r="V118" s="331"/>
      <c r="W118" s="365" t="str">
        <f>IF(OR(B118="",O118=""),"",B118+O118)</f>
      </c>
      <c r="X118" s="365"/>
      <c r="Y118" s="371"/>
      <c r="Z118" s="371" t="str">
        <f>IF(F118="","",IF(V118="入荷済み",Y118-Q118,IF(V118="一部入荷",Y118-Q118,"")))</f>
      </c>
      <c r="AA118" s="331"/>
      <c r="AB118" s="331"/>
      <c r="AC118" s="331" t="str">
        <f>IF(F118="","",IF(V118="キャンセル済み","キャンセル済み",IF(AND(V118="入荷済み",Y118&gt;=Q118),"通常",IF(AND(W118&lt;TODAY(),W118&lt;&gt;"",V118&lt;&gt;"入荷済み"),"入荷遅延",IF(J118&lt;=K118,"セキュリティ在庫割れ",IF(J118&lt;=L118,"発注点到達",IF(Q118&lt;P118,"申請数が推奨数未満","通常")))))))</f>
      </c>
      <c r="AD118" s="332" t="str">
        <f>IF(F118="","",IF(N118=0,"不明",IF(J118/N118&lt;O118,"高リスク：リードタイム不足",IF(J118/N118&lt;O118+3,"中リスク","低リスク"))))</f>
      </c>
    </row>
    <row r="119" ht="19" customHeight="true">
      <c r="A119" s="330" t="str">
        <f>IF(F119="","","RL-"&amp;TEXT(ROW()-3,"0000"))</f>
      </c>
      <c r="B119" s="365"/>
      <c r="C119" s="331"/>
      <c r="D119" s="331"/>
      <c r="E119" s="331"/>
      <c r="F119" s="331"/>
      <c r="G119" s="331" t="str">
        <f>IF(F119="","",IFERROR(VLOOKUP(F119,'商品カタログ'!$A:$O,2,FALSE),""))</f>
      </c>
      <c r="H119" s="331" t="str">
        <f>IF(F119="","",IFERROR(VLOOKUP(F119,'商品カタログ'!$A:$O,3,FALSE),""))</f>
      </c>
      <c r="I119" s="331" t="str">
        <f>IF(F119="","",IFERROR(VLOOKUP(F119,'商品カタログ'!$A:$O,7,FALSE),""))</f>
      </c>
      <c r="J119" s="371"/>
      <c r="K119" s="371" t="str">
        <f>IF(F119="","",IFERROR(VLOOKUP(F119,'商品カタログ'!$A:$O,11,FALSE),""))</f>
      </c>
      <c r="L119" s="371" t="str">
        <f>IF(F119="","",IFERROR(VLOOKUP(F119,'商品カタログ'!$A:$O,12,FALSE),""))</f>
      </c>
      <c r="M119" s="371" t="str">
        <f>IF(F119="","",IFERROR(VLOOKUP(F119,'商品カタログ'!$A:$O,13,FALSE),""))</f>
      </c>
      <c r="N119" s="371"/>
      <c r="O119" s="371" t="str">
        <f>IF(F119="","",IFERROR(VLOOKUP(F119,'商品カタログ'!$A:$O,10,FALSE),""))</f>
      </c>
      <c r="P119" s="371" t="str">
        <f>IF(F119="","",IF(OR(J119&lt;=L119,J119-N119*O119&lt;=K119),MAX(IFERROR(VLOOKUP(F119,'商品カタログ'!$A:$O,8,FALSE),0),IFERROR(CEILING(MAX(0,M119-J119),MAX(1,VLOOKUP(F119,'商品カタログ'!$A:$O,9,FALSE))),MAX(0,M119-J119))),0))</f>
      </c>
      <c r="Q119" s="371"/>
      <c r="R119" s="331" t="str">
        <f>IF(F119="","",IFERROR(VLOOKUP(F119,'商品カタログ'!$A:$O,6,FALSE),""))</f>
      </c>
      <c r="S119" s="377" t="str">
        <f>IF(F119="","",IFERROR(VLOOKUP(F119,'商品カタログ'!$A:$O,14,FALSE),""))</f>
      </c>
      <c r="T119" s="377" t="str">
        <f>IF(F119="","",IFERROR(Q119*S119,0))</f>
      </c>
      <c r="U119" s="331"/>
      <c r="V119" s="331"/>
      <c r="W119" s="365" t="str">
        <f>IF(OR(B119="",O119=""),"",B119+O119)</f>
      </c>
      <c r="X119" s="365"/>
      <c r="Y119" s="371"/>
      <c r="Z119" s="371" t="str">
        <f>IF(F119="","",IF(V119="入荷済み",Y119-Q119,IF(V119="一部入荷",Y119-Q119,"")))</f>
      </c>
      <c r="AA119" s="331"/>
      <c r="AB119" s="331"/>
      <c r="AC119" s="331" t="str">
        <f>IF(F119="","",IF(V119="キャンセル済み","キャンセル済み",IF(AND(V119="入荷済み",Y119&gt;=Q119),"通常",IF(AND(W119&lt;TODAY(),W119&lt;&gt;"",V119&lt;&gt;"入荷済み"),"入荷遅延",IF(J119&lt;=K119,"セキュリティ在庫割れ",IF(J119&lt;=L119,"発注点到達",IF(Q119&lt;P119,"申請数が推奨数未満","通常")))))))</f>
      </c>
      <c r="AD119" s="332" t="str">
        <f>IF(F119="","",IF(N119=0,"不明",IF(J119/N119&lt;O119,"高リスク：リードタイム不足",IF(J119/N119&lt;O119+3,"中リスク","低リスク"))))</f>
      </c>
    </row>
    <row r="120" ht="19" customHeight="true">
      <c r="A120" s="330" t="str">
        <f>IF(F120="","","RL-"&amp;TEXT(ROW()-3,"0000"))</f>
      </c>
      <c r="B120" s="365"/>
      <c r="C120" s="331"/>
      <c r="D120" s="331"/>
      <c r="E120" s="331"/>
      <c r="F120" s="331"/>
      <c r="G120" s="331" t="str">
        <f>IF(F120="","",IFERROR(VLOOKUP(F120,'商品カタログ'!$A:$O,2,FALSE),""))</f>
      </c>
      <c r="H120" s="331" t="str">
        <f>IF(F120="","",IFERROR(VLOOKUP(F120,'商品カタログ'!$A:$O,3,FALSE),""))</f>
      </c>
      <c r="I120" s="331" t="str">
        <f>IF(F120="","",IFERROR(VLOOKUP(F120,'商品カタログ'!$A:$O,7,FALSE),""))</f>
      </c>
      <c r="J120" s="371"/>
      <c r="K120" s="371" t="str">
        <f>IF(F120="","",IFERROR(VLOOKUP(F120,'商品カタログ'!$A:$O,11,FALSE),""))</f>
      </c>
      <c r="L120" s="371" t="str">
        <f>IF(F120="","",IFERROR(VLOOKUP(F120,'商品カタログ'!$A:$O,12,FALSE),""))</f>
      </c>
      <c r="M120" s="371" t="str">
        <f>IF(F120="","",IFERROR(VLOOKUP(F120,'商品カタログ'!$A:$O,13,FALSE),""))</f>
      </c>
      <c r="N120" s="371"/>
      <c r="O120" s="371" t="str">
        <f>IF(F120="","",IFERROR(VLOOKUP(F120,'商品カタログ'!$A:$O,10,FALSE),""))</f>
      </c>
      <c r="P120" s="371" t="str">
        <f>IF(F120="","",IF(OR(J120&lt;=L120,J120-N120*O120&lt;=K120),MAX(IFERROR(VLOOKUP(F120,'商品カタログ'!$A:$O,8,FALSE),0),IFERROR(CEILING(MAX(0,M120-J120),MAX(1,VLOOKUP(F120,'商品カタログ'!$A:$O,9,FALSE))),MAX(0,M120-J120))),0))</f>
      </c>
      <c r="Q120" s="371"/>
      <c r="R120" s="331" t="str">
        <f>IF(F120="","",IFERROR(VLOOKUP(F120,'商品カタログ'!$A:$O,6,FALSE),""))</f>
      </c>
      <c r="S120" s="377" t="str">
        <f>IF(F120="","",IFERROR(VLOOKUP(F120,'商品カタログ'!$A:$O,14,FALSE),""))</f>
      </c>
      <c r="T120" s="377" t="str">
        <f>IF(F120="","",IFERROR(Q120*S120,0))</f>
      </c>
      <c r="U120" s="331"/>
      <c r="V120" s="331"/>
      <c r="W120" s="365" t="str">
        <f>IF(OR(B120="",O120=""),"",B120+O120)</f>
      </c>
      <c r="X120" s="365"/>
      <c r="Y120" s="371"/>
      <c r="Z120" s="371" t="str">
        <f>IF(F120="","",IF(V120="入荷済み",Y120-Q120,IF(V120="一部入荷",Y120-Q120,"")))</f>
      </c>
      <c r="AA120" s="331"/>
      <c r="AB120" s="331"/>
      <c r="AC120" s="331" t="str">
        <f>IF(F120="","",IF(V120="キャンセル済み","キャンセル済み",IF(AND(V120="入荷済み",Y120&gt;=Q120),"通常",IF(AND(W120&lt;TODAY(),W120&lt;&gt;"",V120&lt;&gt;"入荷済み"),"入荷遅延",IF(J120&lt;=K120,"セキュリティ在庫割れ",IF(J120&lt;=L120,"発注点到達",IF(Q120&lt;P120,"申請数が推奨数未満","通常")))))))</f>
      </c>
      <c r="AD120" s="332" t="str">
        <f>IF(F120="","",IF(N120=0,"不明",IF(J120/N120&lt;O120,"高リスク：リードタイム不足",IF(J120/N120&lt;O120+3,"中リスク","低リスク"))))</f>
      </c>
    </row>
    <row r="121" ht="19" customHeight="true">
      <c r="A121" s="330" t="str">
        <f>IF(F121="","","RL-"&amp;TEXT(ROW()-3,"0000"))</f>
      </c>
      <c r="B121" s="365"/>
      <c r="C121" s="331"/>
      <c r="D121" s="331"/>
      <c r="E121" s="331"/>
      <c r="F121" s="331"/>
      <c r="G121" s="331" t="str">
        <f>IF(F121="","",IFERROR(VLOOKUP(F121,'商品カタログ'!$A:$O,2,FALSE),""))</f>
      </c>
      <c r="H121" s="331" t="str">
        <f>IF(F121="","",IFERROR(VLOOKUP(F121,'商品カタログ'!$A:$O,3,FALSE),""))</f>
      </c>
      <c r="I121" s="331" t="str">
        <f>IF(F121="","",IFERROR(VLOOKUP(F121,'商品カタログ'!$A:$O,7,FALSE),""))</f>
      </c>
      <c r="J121" s="371"/>
      <c r="K121" s="371" t="str">
        <f>IF(F121="","",IFERROR(VLOOKUP(F121,'商品カタログ'!$A:$O,11,FALSE),""))</f>
      </c>
      <c r="L121" s="371" t="str">
        <f>IF(F121="","",IFERROR(VLOOKUP(F121,'商品カタログ'!$A:$O,12,FALSE),""))</f>
      </c>
      <c r="M121" s="371" t="str">
        <f>IF(F121="","",IFERROR(VLOOKUP(F121,'商品カタログ'!$A:$O,13,FALSE),""))</f>
      </c>
      <c r="N121" s="371"/>
      <c r="O121" s="371" t="str">
        <f>IF(F121="","",IFERROR(VLOOKUP(F121,'商品カタログ'!$A:$O,10,FALSE),""))</f>
      </c>
      <c r="P121" s="371" t="str">
        <f>IF(F121="","",IF(OR(J121&lt;=L121,J121-N121*O121&lt;=K121),MAX(IFERROR(VLOOKUP(F121,'商品カタログ'!$A:$O,8,FALSE),0),IFERROR(CEILING(MAX(0,M121-J121),MAX(1,VLOOKUP(F121,'商品カタログ'!$A:$O,9,FALSE))),MAX(0,M121-J121))),0))</f>
      </c>
      <c r="Q121" s="371"/>
      <c r="R121" s="331" t="str">
        <f>IF(F121="","",IFERROR(VLOOKUP(F121,'商品カタログ'!$A:$O,6,FALSE),""))</f>
      </c>
      <c r="S121" s="377" t="str">
        <f>IF(F121="","",IFERROR(VLOOKUP(F121,'商品カタログ'!$A:$O,14,FALSE),""))</f>
      </c>
      <c r="T121" s="377" t="str">
        <f>IF(F121="","",IFERROR(Q121*S121,0))</f>
      </c>
      <c r="U121" s="331"/>
      <c r="V121" s="331"/>
      <c r="W121" s="365" t="str">
        <f>IF(OR(B121="",O121=""),"",B121+O121)</f>
      </c>
      <c r="X121" s="365"/>
      <c r="Y121" s="371"/>
      <c r="Z121" s="371" t="str">
        <f>IF(F121="","",IF(V121="入荷済み",Y121-Q121,IF(V121="一部入荷",Y121-Q121,"")))</f>
      </c>
      <c r="AA121" s="331"/>
      <c r="AB121" s="331"/>
      <c r="AC121" s="331" t="str">
        <f>IF(F121="","",IF(V121="キャンセル済み","キャンセル済み",IF(AND(V121="入荷済み",Y121&gt;=Q121),"通常",IF(AND(W121&lt;TODAY(),W121&lt;&gt;"",V121&lt;&gt;"入荷済み"),"入荷遅延",IF(J121&lt;=K121,"セキュリティ在庫割れ",IF(J121&lt;=L121,"発注点到達",IF(Q121&lt;P121,"申請数が推奨数未満","通常")))))))</f>
      </c>
      <c r="AD121" s="332" t="str">
        <f>IF(F121="","",IF(N121=0,"不明",IF(J121/N121&lt;O121,"高リスク：リードタイム不足",IF(J121/N121&lt;O121+3,"中リスク","低リスク"))))</f>
      </c>
    </row>
    <row r="122" ht="19" customHeight="true">
      <c r="A122" s="330" t="str">
        <f>IF(F122="","","RL-"&amp;TEXT(ROW()-3,"0000"))</f>
      </c>
      <c r="B122" s="365"/>
      <c r="C122" s="331"/>
      <c r="D122" s="331"/>
      <c r="E122" s="331"/>
      <c r="F122" s="331"/>
      <c r="G122" s="331" t="str">
        <f>IF(F122="","",IFERROR(VLOOKUP(F122,'商品カタログ'!$A:$O,2,FALSE),""))</f>
      </c>
      <c r="H122" s="331" t="str">
        <f>IF(F122="","",IFERROR(VLOOKUP(F122,'商品カタログ'!$A:$O,3,FALSE),""))</f>
      </c>
      <c r="I122" s="331" t="str">
        <f>IF(F122="","",IFERROR(VLOOKUP(F122,'商品カタログ'!$A:$O,7,FALSE),""))</f>
      </c>
      <c r="J122" s="371"/>
      <c r="K122" s="371" t="str">
        <f>IF(F122="","",IFERROR(VLOOKUP(F122,'商品カタログ'!$A:$O,11,FALSE),""))</f>
      </c>
      <c r="L122" s="371" t="str">
        <f>IF(F122="","",IFERROR(VLOOKUP(F122,'商品カタログ'!$A:$O,12,FALSE),""))</f>
      </c>
      <c r="M122" s="371" t="str">
        <f>IF(F122="","",IFERROR(VLOOKUP(F122,'商品カタログ'!$A:$O,13,FALSE),""))</f>
      </c>
      <c r="N122" s="371"/>
      <c r="O122" s="371" t="str">
        <f>IF(F122="","",IFERROR(VLOOKUP(F122,'商品カタログ'!$A:$O,10,FALSE),""))</f>
      </c>
      <c r="P122" s="371" t="str">
        <f>IF(F122="","",IF(OR(J122&lt;=L122,J122-N122*O122&lt;=K122),MAX(IFERROR(VLOOKUP(F122,'商品カタログ'!$A:$O,8,FALSE),0),IFERROR(CEILING(MAX(0,M122-J122),MAX(1,VLOOKUP(F122,'商品カタログ'!$A:$O,9,FALSE))),MAX(0,M122-J122))),0))</f>
      </c>
      <c r="Q122" s="371"/>
      <c r="R122" s="331" t="str">
        <f>IF(F122="","",IFERROR(VLOOKUP(F122,'商品カタログ'!$A:$O,6,FALSE),""))</f>
      </c>
      <c r="S122" s="377" t="str">
        <f>IF(F122="","",IFERROR(VLOOKUP(F122,'商品カタログ'!$A:$O,14,FALSE),""))</f>
      </c>
      <c r="T122" s="377" t="str">
        <f>IF(F122="","",IFERROR(Q122*S122,0))</f>
      </c>
      <c r="U122" s="331"/>
      <c r="V122" s="331"/>
      <c r="W122" s="365" t="str">
        <f>IF(OR(B122="",O122=""),"",B122+O122)</f>
      </c>
      <c r="X122" s="365"/>
      <c r="Y122" s="371"/>
      <c r="Z122" s="371" t="str">
        <f>IF(F122="","",IF(V122="入荷済み",Y122-Q122,IF(V122="一部入荷",Y122-Q122,"")))</f>
      </c>
      <c r="AA122" s="331"/>
      <c r="AB122" s="331"/>
      <c r="AC122" s="331" t="str">
        <f>IF(F122="","",IF(V122="キャンセル済み","キャンセル済み",IF(AND(V122="入荷済み",Y122&gt;=Q122),"通常",IF(AND(W122&lt;TODAY(),W122&lt;&gt;"",V122&lt;&gt;"入荷済み"),"入荷遅延",IF(J122&lt;=K122,"セキュリティ在庫割れ",IF(J122&lt;=L122,"発注点到達",IF(Q122&lt;P122,"申請数が推奨数未満","通常")))))))</f>
      </c>
      <c r="AD122" s="332" t="str">
        <f>IF(F122="","",IF(N122=0,"不明",IF(J122/N122&lt;O122,"高リスク：リードタイム不足",IF(J122/N122&lt;O122+3,"中リスク","低リスク"))))</f>
      </c>
    </row>
    <row r="123" ht="19" customHeight="true">
      <c r="A123" s="330" t="str">
        <f>IF(F123="","","RL-"&amp;TEXT(ROW()-3,"0000"))</f>
      </c>
      <c r="B123" s="365"/>
      <c r="C123" s="331"/>
      <c r="D123" s="331"/>
      <c r="E123" s="331"/>
      <c r="F123" s="331"/>
      <c r="G123" s="331" t="str">
        <f>IF(F123="","",IFERROR(VLOOKUP(F123,'商品カタログ'!$A:$O,2,FALSE),""))</f>
      </c>
      <c r="H123" s="331" t="str">
        <f>IF(F123="","",IFERROR(VLOOKUP(F123,'商品カタログ'!$A:$O,3,FALSE),""))</f>
      </c>
      <c r="I123" s="331" t="str">
        <f>IF(F123="","",IFERROR(VLOOKUP(F123,'商品カタログ'!$A:$O,7,FALSE),""))</f>
      </c>
      <c r="J123" s="371"/>
      <c r="K123" s="371" t="str">
        <f>IF(F123="","",IFERROR(VLOOKUP(F123,'商品カタログ'!$A:$O,11,FALSE),""))</f>
      </c>
      <c r="L123" s="371" t="str">
        <f>IF(F123="","",IFERROR(VLOOKUP(F123,'商品カタログ'!$A:$O,12,FALSE),""))</f>
      </c>
      <c r="M123" s="371" t="str">
        <f>IF(F123="","",IFERROR(VLOOKUP(F123,'商品カタログ'!$A:$O,13,FALSE),""))</f>
      </c>
      <c r="N123" s="371"/>
      <c r="O123" s="371" t="str">
        <f>IF(F123="","",IFERROR(VLOOKUP(F123,'商品カタログ'!$A:$O,10,FALSE),""))</f>
      </c>
      <c r="P123" s="371" t="str">
        <f>IF(F123="","",IF(OR(J123&lt;=L123,J123-N123*O123&lt;=K123),MAX(IFERROR(VLOOKUP(F123,'商品カタログ'!$A:$O,8,FALSE),0),IFERROR(CEILING(MAX(0,M123-J123),MAX(1,VLOOKUP(F123,'商品カタログ'!$A:$O,9,FALSE))),MAX(0,M123-J123))),0))</f>
      </c>
      <c r="Q123" s="371"/>
      <c r="R123" s="331" t="str">
        <f>IF(F123="","",IFERROR(VLOOKUP(F123,'商品カタログ'!$A:$O,6,FALSE),""))</f>
      </c>
      <c r="S123" s="377" t="str">
        <f>IF(F123="","",IFERROR(VLOOKUP(F123,'商品カタログ'!$A:$O,14,FALSE),""))</f>
      </c>
      <c r="T123" s="377" t="str">
        <f>IF(F123="","",IFERROR(Q123*S123,0))</f>
      </c>
      <c r="U123" s="331"/>
      <c r="V123" s="331"/>
      <c r="W123" s="365" t="str">
        <f>IF(OR(B123="",O123=""),"",B123+O123)</f>
      </c>
      <c r="X123" s="365"/>
      <c r="Y123" s="371"/>
      <c r="Z123" s="371" t="str">
        <f>IF(F123="","",IF(V123="入荷済み",Y123-Q123,IF(V123="一部入荷",Y123-Q123,"")))</f>
      </c>
      <c r="AA123" s="331"/>
      <c r="AB123" s="331"/>
      <c r="AC123" s="331" t="str">
        <f>IF(F123="","",IF(V123="キャンセル済み","キャンセル済み",IF(AND(V123="入荷済み",Y123&gt;=Q123),"通常",IF(AND(W123&lt;TODAY(),W123&lt;&gt;"",V123&lt;&gt;"入荷済み"),"入荷遅延",IF(J123&lt;=K123,"セキュリティ在庫割れ",IF(J123&lt;=L123,"発注点到達",IF(Q123&lt;P123,"申請数が推奨数未満","通常")))))))</f>
      </c>
      <c r="AD123" s="332" t="str">
        <f>IF(F123="","",IF(N123=0,"不明",IF(J123/N123&lt;O123,"高リスク：リードタイム不足",IF(J123/N123&lt;O123+3,"中リスク","低リスク"))))</f>
      </c>
    </row>
    <row r="124" ht="19" customHeight="true">
      <c r="A124" s="330" t="str">
        <f>IF(F124="","","RL-"&amp;TEXT(ROW()-3,"0000"))</f>
      </c>
      <c r="B124" s="365"/>
      <c r="C124" s="331"/>
      <c r="D124" s="331"/>
      <c r="E124" s="331"/>
      <c r="F124" s="331"/>
      <c r="G124" s="331" t="str">
        <f>IF(F124="","",IFERROR(VLOOKUP(F124,'商品カタログ'!$A:$O,2,FALSE),""))</f>
      </c>
      <c r="H124" s="331" t="str">
        <f>IF(F124="","",IFERROR(VLOOKUP(F124,'商品カタログ'!$A:$O,3,FALSE),""))</f>
      </c>
      <c r="I124" s="331" t="str">
        <f>IF(F124="","",IFERROR(VLOOKUP(F124,'商品カタログ'!$A:$O,7,FALSE),""))</f>
      </c>
      <c r="J124" s="371"/>
      <c r="K124" s="371" t="str">
        <f>IF(F124="","",IFERROR(VLOOKUP(F124,'商品カタログ'!$A:$O,11,FALSE),""))</f>
      </c>
      <c r="L124" s="371" t="str">
        <f>IF(F124="","",IFERROR(VLOOKUP(F124,'商品カタログ'!$A:$O,12,FALSE),""))</f>
      </c>
      <c r="M124" s="371" t="str">
        <f>IF(F124="","",IFERROR(VLOOKUP(F124,'商品カタログ'!$A:$O,13,FALSE),""))</f>
      </c>
      <c r="N124" s="371"/>
      <c r="O124" s="371" t="str">
        <f>IF(F124="","",IFERROR(VLOOKUP(F124,'商品カタログ'!$A:$O,10,FALSE),""))</f>
      </c>
      <c r="P124" s="371" t="str">
        <f>IF(F124="","",IF(OR(J124&lt;=L124,J124-N124*O124&lt;=K124),MAX(IFERROR(VLOOKUP(F124,'商品カタログ'!$A:$O,8,FALSE),0),IFERROR(CEILING(MAX(0,M124-J124),MAX(1,VLOOKUP(F124,'商品カタログ'!$A:$O,9,FALSE))),MAX(0,M124-J124))),0))</f>
      </c>
      <c r="Q124" s="371"/>
      <c r="R124" s="331" t="str">
        <f>IF(F124="","",IFERROR(VLOOKUP(F124,'商品カタログ'!$A:$O,6,FALSE),""))</f>
      </c>
      <c r="S124" s="377" t="str">
        <f>IF(F124="","",IFERROR(VLOOKUP(F124,'商品カタログ'!$A:$O,14,FALSE),""))</f>
      </c>
      <c r="T124" s="377" t="str">
        <f>IF(F124="","",IFERROR(Q124*S124,0))</f>
      </c>
      <c r="U124" s="331"/>
      <c r="V124" s="331"/>
      <c r="W124" s="365" t="str">
        <f>IF(OR(B124="",O124=""),"",B124+O124)</f>
      </c>
      <c r="X124" s="365"/>
      <c r="Y124" s="371"/>
      <c r="Z124" s="371" t="str">
        <f>IF(F124="","",IF(V124="入荷済み",Y124-Q124,IF(V124="一部入荷",Y124-Q124,"")))</f>
      </c>
      <c r="AA124" s="331"/>
      <c r="AB124" s="331"/>
      <c r="AC124" s="331" t="str">
        <f>IF(F124="","",IF(V124="キャンセル済み","キャンセル済み",IF(AND(V124="入荷済み",Y124&gt;=Q124),"通常",IF(AND(W124&lt;TODAY(),W124&lt;&gt;"",V124&lt;&gt;"入荷済み"),"入荷遅延",IF(J124&lt;=K124,"セキュリティ在庫割れ",IF(J124&lt;=L124,"発注点到達",IF(Q124&lt;P124,"申請数が推奨数未満","通常")))))))</f>
      </c>
      <c r="AD124" s="332" t="str">
        <f>IF(F124="","",IF(N124=0,"不明",IF(J124/N124&lt;O124,"高リスク：リードタイム不足",IF(J124/N124&lt;O124+3,"中リスク","低リスク"))))</f>
      </c>
    </row>
    <row r="125" ht="19" customHeight="true">
      <c r="A125" s="330" t="str">
        <f>IF(F125="","","RL-"&amp;TEXT(ROW()-3,"0000"))</f>
      </c>
      <c r="B125" s="365"/>
      <c r="C125" s="331"/>
      <c r="D125" s="331"/>
      <c r="E125" s="331"/>
      <c r="F125" s="331"/>
      <c r="G125" s="331" t="str">
        <f>IF(F125="","",IFERROR(VLOOKUP(F125,'商品カタログ'!$A:$O,2,FALSE),""))</f>
      </c>
      <c r="H125" s="331" t="str">
        <f>IF(F125="","",IFERROR(VLOOKUP(F125,'商品カタログ'!$A:$O,3,FALSE),""))</f>
      </c>
      <c r="I125" s="331" t="str">
        <f>IF(F125="","",IFERROR(VLOOKUP(F125,'商品カタログ'!$A:$O,7,FALSE),""))</f>
      </c>
      <c r="J125" s="371"/>
      <c r="K125" s="371" t="str">
        <f>IF(F125="","",IFERROR(VLOOKUP(F125,'商品カタログ'!$A:$O,11,FALSE),""))</f>
      </c>
      <c r="L125" s="371" t="str">
        <f>IF(F125="","",IFERROR(VLOOKUP(F125,'商品カタログ'!$A:$O,12,FALSE),""))</f>
      </c>
      <c r="M125" s="371" t="str">
        <f>IF(F125="","",IFERROR(VLOOKUP(F125,'商品カタログ'!$A:$O,13,FALSE),""))</f>
      </c>
      <c r="N125" s="371"/>
      <c r="O125" s="371" t="str">
        <f>IF(F125="","",IFERROR(VLOOKUP(F125,'商品カタログ'!$A:$O,10,FALSE),""))</f>
      </c>
      <c r="P125" s="371" t="str">
        <f>IF(F125="","",IF(OR(J125&lt;=L125,J125-N125*O125&lt;=K125),MAX(IFERROR(VLOOKUP(F125,'商品カタログ'!$A:$O,8,FALSE),0),IFERROR(CEILING(MAX(0,M125-J125),MAX(1,VLOOKUP(F125,'商品カタログ'!$A:$O,9,FALSE))),MAX(0,M125-J125))),0))</f>
      </c>
      <c r="Q125" s="371"/>
      <c r="R125" s="331" t="str">
        <f>IF(F125="","",IFERROR(VLOOKUP(F125,'商品カタログ'!$A:$O,6,FALSE),""))</f>
      </c>
      <c r="S125" s="377" t="str">
        <f>IF(F125="","",IFERROR(VLOOKUP(F125,'商品カタログ'!$A:$O,14,FALSE),""))</f>
      </c>
      <c r="T125" s="377" t="str">
        <f>IF(F125="","",IFERROR(Q125*S125,0))</f>
      </c>
      <c r="U125" s="331"/>
      <c r="V125" s="331"/>
      <c r="W125" s="365" t="str">
        <f>IF(OR(B125="",O125=""),"",B125+O125)</f>
      </c>
      <c r="X125" s="365"/>
      <c r="Y125" s="371"/>
      <c r="Z125" s="371" t="str">
        <f>IF(F125="","",IF(V125="入荷済み",Y125-Q125,IF(V125="一部入荷",Y125-Q125,"")))</f>
      </c>
      <c r="AA125" s="331"/>
      <c r="AB125" s="331"/>
      <c r="AC125" s="331" t="str">
        <f>IF(F125="","",IF(V125="キャンセル済み","キャンセル済み",IF(AND(V125="入荷済み",Y125&gt;=Q125),"通常",IF(AND(W125&lt;TODAY(),W125&lt;&gt;"",V125&lt;&gt;"入荷済み"),"入荷遅延",IF(J125&lt;=K125,"セキュリティ在庫割れ",IF(J125&lt;=L125,"発注点到達",IF(Q125&lt;P125,"申請数が推奨数未満","通常")))))))</f>
      </c>
      <c r="AD125" s="332" t="str">
        <f>IF(F125="","",IF(N125=0,"不明",IF(J125/N125&lt;O125,"高リスク：リードタイム不足",IF(J125/N125&lt;O125+3,"中リスク","低リスク"))))</f>
      </c>
    </row>
    <row r="126" ht="19" customHeight="true">
      <c r="A126" s="330" t="str">
        <f>IF(F126="","","RL-"&amp;TEXT(ROW()-3,"0000"))</f>
      </c>
      <c r="B126" s="365"/>
      <c r="C126" s="331"/>
      <c r="D126" s="331"/>
      <c r="E126" s="331"/>
      <c r="F126" s="331"/>
      <c r="G126" s="331" t="str">
        <f>IF(F126="","",IFERROR(VLOOKUP(F126,'商品カタログ'!$A:$O,2,FALSE),""))</f>
      </c>
      <c r="H126" s="331" t="str">
        <f>IF(F126="","",IFERROR(VLOOKUP(F126,'商品カタログ'!$A:$O,3,FALSE),""))</f>
      </c>
      <c r="I126" s="331" t="str">
        <f>IF(F126="","",IFERROR(VLOOKUP(F126,'商品カタログ'!$A:$O,7,FALSE),""))</f>
      </c>
      <c r="J126" s="371"/>
      <c r="K126" s="371" t="str">
        <f>IF(F126="","",IFERROR(VLOOKUP(F126,'商品カタログ'!$A:$O,11,FALSE),""))</f>
      </c>
      <c r="L126" s="371" t="str">
        <f>IF(F126="","",IFERROR(VLOOKUP(F126,'商品カタログ'!$A:$O,12,FALSE),""))</f>
      </c>
      <c r="M126" s="371" t="str">
        <f>IF(F126="","",IFERROR(VLOOKUP(F126,'商品カタログ'!$A:$O,13,FALSE),""))</f>
      </c>
      <c r="N126" s="371"/>
      <c r="O126" s="371" t="str">
        <f>IF(F126="","",IFERROR(VLOOKUP(F126,'商品カタログ'!$A:$O,10,FALSE),""))</f>
      </c>
      <c r="P126" s="371" t="str">
        <f>IF(F126="","",IF(OR(J126&lt;=L126,J126-N126*O126&lt;=K126),MAX(IFERROR(VLOOKUP(F126,'商品カタログ'!$A:$O,8,FALSE),0),IFERROR(CEILING(MAX(0,M126-J126),MAX(1,VLOOKUP(F126,'商品カタログ'!$A:$O,9,FALSE))),MAX(0,M126-J126))),0))</f>
      </c>
      <c r="Q126" s="371"/>
      <c r="R126" s="331" t="str">
        <f>IF(F126="","",IFERROR(VLOOKUP(F126,'商品カタログ'!$A:$O,6,FALSE),""))</f>
      </c>
      <c r="S126" s="377" t="str">
        <f>IF(F126="","",IFERROR(VLOOKUP(F126,'商品カタログ'!$A:$O,14,FALSE),""))</f>
      </c>
      <c r="T126" s="377" t="str">
        <f>IF(F126="","",IFERROR(Q126*S126,0))</f>
      </c>
      <c r="U126" s="331"/>
      <c r="V126" s="331"/>
      <c r="W126" s="365" t="str">
        <f>IF(OR(B126="",O126=""),"",B126+O126)</f>
      </c>
      <c r="X126" s="365"/>
      <c r="Y126" s="371"/>
      <c r="Z126" s="371" t="str">
        <f>IF(F126="","",IF(V126="入荷済み",Y126-Q126,IF(V126="一部入荷",Y126-Q126,"")))</f>
      </c>
      <c r="AA126" s="331"/>
      <c r="AB126" s="331"/>
      <c r="AC126" s="331" t="str">
        <f>IF(F126="","",IF(V126="キャンセル済み","キャンセル済み",IF(AND(V126="入荷済み",Y126&gt;=Q126),"通常",IF(AND(W126&lt;TODAY(),W126&lt;&gt;"",V126&lt;&gt;"入荷済み"),"入荷遅延",IF(J126&lt;=K126,"セキュリティ在庫割れ",IF(J126&lt;=L126,"発注点到達",IF(Q126&lt;P126,"申請数が推奨数未満","通常")))))))</f>
      </c>
      <c r="AD126" s="332" t="str">
        <f>IF(F126="","",IF(N126=0,"不明",IF(J126/N126&lt;O126,"高リスク：リードタイム不足",IF(J126/N126&lt;O126+3,"中リスク","低リスク"))))</f>
      </c>
    </row>
    <row r="127" ht="19" customHeight="true">
      <c r="A127" s="330" t="str">
        <f>IF(F127="","","RL-"&amp;TEXT(ROW()-3,"0000"))</f>
      </c>
      <c r="B127" s="365"/>
      <c r="C127" s="331"/>
      <c r="D127" s="331"/>
      <c r="E127" s="331"/>
      <c r="F127" s="331"/>
      <c r="G127" s="331" t="str">
        <f>IF(F127="","",IFERROR(VLOOKUP(F127,'商品カタログ'!$A:$O,2,FALSE),""))</f>
      </c>
      <c r="H127" s="331" t="str">
        <f>IF(F127="","",IFERROR(VLOOKUP(F127,'商品カタログ'!$A:$O,3,FALSE),""))</f>
      </c>
      <c r="I127" s="331" t="str">
        <f>IF(F127="","",IFERROR(VLOOKUP(F127,'商品カタログ'!$A:$O,7,FALSE),""))</f>
      </c>
      <c r="J127" s="371"/>
      <c r="K127" s="371" t="str">
        <f>IF(F127="","",IFERROR(VLOOKUP(F127,'商品カタログ'!$A:$O,11,FALSE),""))</f>
      </c>
      <c r="L127" s="371" t="str">
        <f>IF(F127="","",IFERROR(VLOOKUP(F127,'商品カタログ'!$A:$O,12,FALSE),""))</f>
      </c>
      <c r="M127" s="371" t="str">
        <f>IF(F127="","",IFERROR(VLOOKUP(F127,'商品カタログ'!$A:$O,13,FALSE),""))</f>
      </c>
      <c r="N127" s="371"/>
      <c r="O127" s="371" t="str">
        <f>IF(F127="","",IFERROR(VLOOKUP(F127,'商品カタログ'!$A:$O,10,FALSE),""))</f>
      </c>
      <c r="P127" s="371" t="str">
        <f>IF(F127="","",IF(OR(J127&lt;=L127,J127-N127*O127&lt;=K127),MAX(IFERROR(VLOOKUP(F127,'商品カタログ'!$A:$O,8,FALSE),0),IFERROR(CEILING(MAX(0,M127-J127),MAX(1,VLOOKUP(F127,'商品カタログ'!$A:$O,9,FALSE))),MAX(0,M127-J127))),0))</f>
      </c>
      <c r="Q127" s="371"/>
      <c r="R127" s="331" t="str">
        <f>IF(F127="","",IFERROR(VLOOKUP(F127,'商品カタログ'!$A:$O,6,FALSE),""))</f>
      </c>
      <c r="S127" s="377" t="str">
        <f>IF(F127="","",IFERROR(VLOOKUP(F127,'商品カタログ'!$A:$O,14,FALSE),""))</f>
      </c>
      <c r="T127" s="377" t="str">
        <f>IF(F127="","",IFERROR(Q127*S127,0))</f>
      </c>
      <c r="U127" s="331"/>
      <c r="V127" s="331"/>
      <c r="W127" s="365" t="str">
        <f>IF(OR(B127="",O127=""),"",B127+O127)</f>
      </c>
      <c r="X127" s="365"/>
      <c r="Y127" s="371"/>
      <c r="Z127" s="371" t="str">
        <f>IF(F127="","",IF(V127="入荷済み",Y127-Q127,IF(V127="一部入荷",Y127-Q127,"")))</f>
      </c>
      <c r="AA127" s="331"/>
      <c r="AB127" s="331"/>
      <c r="AC127" s="331" t="str">
        <f>IF(F127="","",IF(V127="キャンセル済み","キャンセル済み",IF(AND(V127="入荷済み",Y127&gt;=Q127),"通常",IF(AND(W127&lt;TODAY(),W127&lt;&gt;"",V127&lt;&gt;"入荷済み"),"入荷遅延",IF(J127&lt;=K127,"セキュリティ在庫割れ",IF(J127&lt;=L127,"発注点到達",IF(Q127&lt;P127,"申請数が推奨数未満","通常")))))))</f>
      </c>
      <c r="AD127" s="332" t="str">
        <f>IF(F127="","",IF(N127=0,"不明",IF(J127/N127&lt;O127,"高リスク：リードタイム不足",IF(J127/N127&lt;O127+3,"中リスク","低リスク"))))</f>
      </c>
    </row>
    <row r="128" ht="19" customHeight="true">
      <c r="A128" s="330" t="str">
        <f>IF(F128="","","RL-"&amp;TEXT(ROW()-3,"0000"))</f>
      </c>
      <c r="B128" s="365"/>
      <c r="C128" s="331"/>
      <c r="D128" s="331"/>
      <c r="E128" s="331"/>
      <c r="F128" s="331"/>
      <c r="G128" s="331" t="str">
        <f>IF(F128="","",IFERROR(VLOOKUP(F128,'商品カタログ'!$A:$O,2,FALSE),""))</f>
      </c>
      <c r="H128" s="331" t="str">
        <f>IF(F128="","",IFERROR(VLOOKUP(F128,'商品カタログ'!$A:$O,3,FALSE),""))</f>
      </c>
      <c r="I128" s="331" t="str">
        <f>IF(F128="","",IFERROR(VLOOKUP(F128,'商品カタログ'!$A:$O,7,FALSE),""))</f>
      </c>
      <c r="J128" s="371"/>
      <c r="K128" s="371" t="str">
        <f>IF(F128="","",IFERROR(VLOOKUP(F128,'商品カタログ'!$A:$O,11,FALSE),""))</f>
      </c>
      <c r="L128" s="371" t="str">
        <f>IF(F128="","",IFERROR(VLOOKUP(F128,'商品カタログ'!$A:$O,12,FALSE),""))</f>
      </c>
      <c r="M128" s="371" t="str">
        <f>IF(F128="","",IFERROR(VLOOKUP(F128,'商品カタログ'!$A:$O,13,FALSE),""))</f>
      </c>
      <c r="N128" s="371"/>
      <c r="O128" s="371" t="str">
        <f>IF(F128="","",IFERROR(VLOOKUP(F128,'商品カタログ'!$A:$O,10,FALSE),""))</f>
      </c>
      <c r="P128" s="371" t="str">
        <f>IF(F128="","",IF(OR(J128&lt;=L128,J128-N128*O128&lt;=K128),MAX(IFERROR(VLOOKUP(F128,'商品カタログ'!$A:$O,8,FALSE),0),IFERROR(CEILING(MAX(0,M128-J128),MAX(1,VLOOKUP(F128,'商品カタログ'!$A:$O,9,FALSE))),MAX(0,M128-J128))),0))</f>
      </c>
      <c r="Q128" s="371"/>
      <c r="R128" s="331" t="str">
        <f>IF(F128="","",IFERROR(VLOOKUP(F128,'商品カタログ'!$A:$O,6,FALSE),""))</f>
      </c>
      <c r="S128" s="377" t="str">
        <f>IF(F128="","",IFERROR(VLOOKUP(F128,'商品カタログ'!$A:$O,14,FALSE),""))</f>
      </c>
      <c r="T128" s="377" t="str">
        <f>IF(F128="","",IFERROR(Q128*S128,0))</f>
      </c>
      <c r="U128" s="331"/>
      <c r="V128" s="331"/>
      <c r="W128" s="365" t="str">
        <f>IF(OR(B128="",O128=""),"",B128+O128)</f>
      </c>
      <c r="X128" s="365"/>
      <c r="Y128" s="371"/>
      <c r="Z128" s="371" t="str">
        <f>IF(F128="","",IF(V128="入荷済み",Y128-Q128,IF(V128="一部入荷",Y128-Q128,"")))</f>
      </c>
      <c r="AA128" s="331"/>
      <c r="AB128" s="331"/>
      <c r="AC128" s="331" t="str">
        <f>IF(F128="","",IF(V128="キャンセル済み","キャンセル済み",IF(AND(V128="入荷済み",Y128&gt;=Q128),"通常",IF(AND(W128&lt;TODAY(),W128&lt;&gt;"",V128&lt;&gt;"入荷済み"),"入荷遅延",IF(J128&lt;=K128,"セキュリティ在庫割れ",IF(J128&lt;=L128,"発注点到達",IF(Q128&lt;P128,"申請数が推奨数未満","通常")))))))</f>
      </c>
      <c r="AD128" s="332" t="str">
        <f>IF(F128="","",IF(N128=0,"不明",IF(J128/N128&lt;O128,"高リスク：リードタイム不足",IF(J128/N128&lt;O128+3,"中リスク","低リスク"))))</f>
      </c>
    </row>
    <row r="129" ht="19" customHeight="true">
      <c r="A129" s="330" t="str">
        <f>IF(F129="","","RL-"&amp;TEXT(ROW()-3,"0000"))</f>
      </c>
      <c r="B129" s="365"/>
      <c r="C129" s="331"/>
      <c r="D129" s="331"/>
      <c r="E129" s="331"/>
      <c r="F129" s="331"/>
      <c r="G129" s="331" t="str">
        <f>IF(F129="","",IFERROR(VLOOKUP(F129,'商品カタログ'!$A:$O,2,FALSE),""))</f>
      </c>
      <c r="H129" s="331" t="str">
        <f>IF(F129="","",IFERROR(VLOOKUP(F129,'商品カタログ'!$A:$O,3,FALSE),""))</f>
      </c>
      <c r="I129" s="331" t="str">
        <f>IF(F129="","",IFERROR(VLOOKUP(F129,'商品カタログ'!$A:$O,7,FALSE),""))</f>
      </c>
      <c r="J129" s="371"/>
      <c r="K129" s="371" t="str">
        <f>IF(F129="","",IFERROR(VLOOKUP(F129,'商品カタログ'!$A:$O,11,FALSE),""))</f>
      </c>
      <c r="L129" s="371" t="str">
        <f>IF(F129="","",IFERROR(VLOOKUP(F129,'商品カタログ'!$A:$O,12,FALSE),""))</f>
      </c>
      <c r="M129" s="371" t="str">
        <f>IF(F129="","",IFERROR(VLOOKUP(F129,'商品カタログ'!$A:$O,13,FALSE),""))</f>
      </c>
      <c r="N129" s="371"/>
      <c r="O129" s="371" t="str">
        <f>IF(F129="","",IFERROR(VLOOKUP(F129,'商品カタログ'!$A:$O,10,FALSE),""))</f>
      </c>
      <c r="P129" s="371" t="str">
        <f>IF(F129="","",IF(OR(J129&lt;=L129,J129-N129*O129&lt;=K129),MAX(IFERROR(VLOOKUP(F129,'商品カタログ'!$A:$O,8,FALSE),0),IFERROR(CEILING(MAX(0,M129-J129),MAX(1,VLOOKUP(F129,'商品カタログ'!$A:$O,9,FALSE))),MAX(0,M129-J129))),0))</f>
      </c>
      <c r="Q129" s="371"/>
      <c r="R129" s="331" t="str">
        <f>IF(F129="","",IFERROR(VLOOKUP(F129,'商品カタログ'!$A:$O,6,FALSE),""))</f>
      </c>
      <c r="S129" s="377" t="str">
        <f>IF(F129="","",IFERROR(VLOOKUP(F129,'商品カタログ'!$A:$O,14,FALSE),""))</f>
      </c>
      <c r="T129" s="377" t="str">
        <f>IF(F129="","",IFERROR(Q129*S129,0))</f>
      </c>
      <c r="U129" s="331"/>
      <c r="V129" s="331"/>
      <c r="W129" s="365" t="str">
        <f>IF(OR(B129="",O129=""),"",B129+O129)</f>
      </c>
      <c r="X129" s="365"/>
      <c r="Y129" s="371"/>
      <c r="Z129" s="371" t="str">
        <f>IF(F129="","",IF(V129="入荷済み",Y129-Q129,IF(V129="一部入荷",Y129-Q129,"")))</f>
      </c>
      <c r="AA129" s="331"/>
      <c r="AB129" s="331"/>
      <c r="AC129" s="331" t="str">
        <f>IF(F129="","",IF(V129="キャンセル済み","キャンセル済み",IF(AND(V129="入荷済み",Y129&gt;=Q129),"通常",IF(AND(W129&lt;TODAY(),W129&lt;&gt;"",V129&lt;&gt;"入荷済み"),"入荷遅延",IF(J129&lt;=K129,"セキュリティ在庫割れ",IF(J129&lt;=L129,"発注点到達",IF(Q129&lt;P129,"申請数が推奨数未満","通常")))))))</f>
      </c>
      <c r="AD129" s="332" t="str">
        <f>IF(F129="","",IF(N129=0,"不明",IF(J129/N129&lt;O129,"高リスク：リードタイム不足",IF(J129/N129&lt;O129+3,"中リスク","低リスク"))))</f>
      </c>
    </row>
    <row r="130" ht="19" customHeight="true">
      <c r="A130" s="330" t="str">
        <f>IF(F130="","","RL-"&amp;TEXT(ROW()-3,"0000"))</f>
      </c>
      <c r="B130" s="365"/>
      <c r="C130" s="331"/>
      <c r="D130" s="331"/>
      <c r="E130" s="331"/>
      <c r="F130" s="331"/>
      <c r="G130" s="331" t="str">
        <f>IF(F130="","",IFERROR(VLOOKUP(F130,'商品カタログ'!$A:$O,2,FALSE),""))</f>
      </c>
      <c r="H130" s="331" t="str">
        <f>IF(F130="","",IFERROR(VLOOKUP(F130,'商品カタログ'!$A:$O,3,FALSE),""))</f>
      </c>
      <c r="I130" s="331" t="str">
        <f>IF(F130="","",IFERROR(VLOOKUP(F130,'商品カタログ'!$A:$O,7,FALSE),""))</f>
      </c>
      <c r="J130" s="371"/>
      <c r="K130" s="371" t="str">
        <f>IF(F130="","",IFERROR(VLOOKUP(F130,'商品カタログ'!$A:$O,11,FALSE),""))</f>
      </c>
      <c r="L130" s="371" t="str">
        <f>IF(F130="","",IFERROR(VLOOKUP(F130,'商品カタログ'!$A:$O,12,FALSE),""))</f>
      </c>
      <c r="M130" s="371" t="str">
        <f>IF(F130="","",IFERROR(VLOOKUP(F130,'商品カタログ'!$A:$O,13,FALSE),""))</f>
      </c>
      <c r="N130" s="371"/>
      <c r="O130" s="371" t="str">
        <f>IF(F130="","",IFERROR(VLOOKUP(F130,'商品カタログ'!$A:$O,10,FALSE),""))</f>
      </c>
      <c r="P130" s="371" t="str">
        <f>IF(F130="","",IF(OR(J130&lt;=L130,J130-N130*O130&lt;=K130),MAX(IFERROR(VLOOKUP(F130,'商品カタログ'!$A:$O,8,FALSE),0),IFERROR(CEILING(MAX(0,M130-J130),MAX(1,VLOOKUP(F130,'商品カタログ'!$A:$O,9,FALSE))),MAX(0,M130-J130))),0))</f>
      </c>
      <c r="Q130" s="371"/>
      <c r="R130" s="331" t="str">
        <f>IF(F130="","",IFERROR(VLOOKUP(F130,'商品カタログ'!$A:$O,6,FALSE),""))</f>
      </c>
      <c r="S130" s="377" t="str">
        <f>IF(F130="","",IFERROR(VLOOKUP(F130,'商品カタログ'!$A:$O,14,FALSE),""))</f>
      </c>
      <c r="T130" s="377" t="str">
        <f>IF(F130="","",IFERROR(Q130*S130,0))</f>
      </c>
      <c r="U130" s="331"/>
      <c r="V130" s="331"/>
      <c r="W130" s="365" t="str">
        <f>IF(OR(B130="",O130=""),"",B130+O130)</f>
      </c>
      <c r="X130" s="365"/>
      <c r="Y130" s="371"/>
      <c r="Z130" s="371" t="str">
        <f>IF(F130="","",IF(V130="入荷済み",Y130-Q130,IF(V130="一部入荷",Y130-Q130,"")))</f>
      </c>
      <c r="AA130" s="331"/>
      <c r="AB130" s="331"/>
      <c r="AC130" s="331" t="str">
        <f>IF(F130="","",IF(V130="キャンセル済み","キャンセル済み",IF(AND(V130="入荷済み",Y130&gt;=Q130),"通常",IF(AND(W130&lt;TODAY(),W130&lt;&gt;"",V130&lt;&gt;"入荷済み"),"入荷遅延",IF(J130&lt;=K130,"セキュリティ在庫割れ",IF(J130&lt;=L130,"発注点到達",IF(Q130&lt;P130,"申請数が推奨数未満","通常")))))))</f>
      </c>
      <c r="AD130" s="332" t="str">
        <f>IF(F130="","",IF(N130=0,"不明",IF(J130/N130&lt;O130,"高リスク：リードタイム不足",IF(J130/N130&lt;O130+3,"中リスク","低リスク"))))</f>
      </c>
    </row>
    <row r="131" ht="19" customHeight="true">
      <c r="A131" s="330" t="str">
        <f>IF(F131="","","RL-"&amp;TEXT(ROW()-3,"0000"))</f>
      </c>
      <c r="B131" s="365"/>
      <c r="C131" s="331"/>
      <c r="D131" s="331"/>
      <c r="E131" s="331"/>
      <c r="F131" s="331"/>
      <c r="G131" s="331" t="str">
        <f>IF(F131="","",IFERROR(VLOOKUP(F131,'商品カタログ'!$A:$O,2,FALSE),""))</f>
      </c>
      <c r="H131" s="331" t="str">
        <f>IF(F131="","",IFERROR(VLOOKUP(F131,'商品カタログ'!$A:$O,3,FALSE),""))</f>
      </c>
      <c r="I131" s="331" t="str">
        <f>IF(F131="","",IFERROR(VLOOKUP(F131,'商品カタログ'!$A:$O,7,FALSE),""))</f>
      </c>
      <c r="J131" s="371"/>
      <c r="K131" s="371" t="str">
        <f>IF(F131="","",IFERROR(VLOOKUP(F131,'商品カタログ'!$A:$O,11,FALSE),""))</f>
      </c>
      <c r="L131" s="371" t="str">
        <f>IF(F131="","",IFERROR(VLOOKUP(F131,'商品カタログ'!$A:$O,12,FALSE),""))</f>
      </c>
      <c r="M131" s="371" t="str">
        <f>IF(F131="","",IFERROR(VLOOKUP(F131,'商品カタログ'!$A:$O,13,FALSE),""))</f>
      </c>
      <c r="N131" s="371"/>
      <c r="O131" s="371" t="str">
        <f>IF(F131="","",IFERROR(VLOOKUP(F131,'商品カタログ'!$A:$O,10,FALSE),""))</f>
      </c>
      <c r="P131" s="371" t="str">
        <f>IF(F131="","",IF(OR(J131&lt;=L131,J131-N131*O131&lt;=K131),MAX(IFERROR(VLOOKUP(F131,'商品カタログ'!$A:$O,8,FALSE),0),IFERROR(CEILING(MAX(0,M131-J131),MAX(1,VLOOKUP(F131,'商品カタログ'!$A:$O,9,FALSE))),MAX(0,M131-J131))),0))</f>
      </c>
      <c r="Q131" s="371"/>
      <c r="R131" s="331" t="str">
        <f>IF(F131="","",IFERROR(VLOOKUP(F131,'商品カタログ'!$A:$O,6,FALSE),""))</f>
      </c>
      <c r="S131" s="377" t="str">
        <f>IF(F131="","",IFERROR(VLOOKUP(F131,'商品カタログ'!$A:$O,14,FALSE),""))</f>
      </c>
      <c r="T131" s="377" t="str">
        <f>IF(F131="","",IFERROR(Q131*S131,0))</f>
      </c>
      <c r="U131" s="331"/>
      <c r="V131" s="331"/>
      <c r="W131" s="365" t="str">
        <f>IF(OR(B131="",O131=""),"",B131+O131)</f>
      </c>
      <c r="X131" s="365"/>
      <c r="Y131" s="371"/>
      <c r="Z131" s="371" t="str">
        <f>IF(F131="","",IF(V131="入荷済み",Y131-Q131,IF(V131="一部入荷",Y131-Q131,"")))</f>
      </c>
      <c r="AA131" s="331"/>
      <c r="AB131" s="331"/>
      <c r="AC131" s="331" t="str">
        <f>IF(F131="","",IF(V131="キャンセル済み","キャンセル済み",IF(AND(V131="入荷済み",Y131&gt;=Q131),"通常",IF(AND(W131&lt;TODAY(),W131&lt;&gt;"",V131&lt;&gt;"入荷済み"),"入荷遅延",IF(J131&lt;=K131,"セキュリティ在庫割れ",IF(J131&lt;=L131,"発注点到達",IF(Q131&lt;P131,"申請数が推奨数未満","通常")))))))</f>
      </c>
      <c r="AD131" s="332" t="str">
        <f>IF(F131="","",IF(N131=0,"不明",IF(J131/N131&lt;O131,"高リスク：リードタイム不足",IF(J131/N131&lt;O131+3,"中リスク","低リスク"))))</f>
      </c>
    </row>
    <row r="132" ht="19" customHeight="true">
      <c r="A132" s="330" t="str">
        <f>IF(F132="","","RL-"&amp;TEXT(ROW()-3,"0000"))</f>
      </c>
      <c r="B132" s="365"/>
      <c r="C132" s="331"/>
      <c r="D132" s="331"/>
      <c r="E132" s="331"/>
      <c r="F132" s="331"/>
      <c r="G132" s="331" t="str">
        <f>IF(F132="","",IFERROR(VLOOKUP(F132,'商品カタログ'!$A:$O,2,FALSE),""))</f>
      </c>
      <c r="H132" s="331" t="str">
        <f>IF(F132="","",IFERROR(VLOOKUP(F132,'商品カタログ'!$A:$O,3,FALSE),""))</f>
      </c>
      <c r="I132" s="331" t="str">
        <f>IF(F132="","",IFERROR(VLOOKUP(F132,'商品カタログ'!$A:$O,7,FALSE),""))</f>
      </c>
      <c r="J132" s="371"/>
      <c r="K132" s="371" t="str">
        <f>IF(F132="","",IFERROR(VLOOKUP(F132,'商品カタログ'!$A:$O,11,FALSE),""))</f>
      </c>
      <c r="L132" s="371" t="str">
        <f>IF(F132="","",IFERROR(VLOOKUP(F132,'商品カタログ'!$A:$O,12,FALSE),""))</f>
      </c>
      <c r="M132" s="371" t="str">
        <f>IF(F132="","",IFERROR(VLOOKUP(F132,'商品カタログ'!$A:$O,13,FALSE),""))</f>
      </c>
      <c r="N132" s="371"/>
      <c r="O132" s="371" t="str">
        <f>IF(F132="","",IFERROR(VLOOKUP(F132,'商品カタログ'!$A:$O,10,FALSE),""))</f>
      </c>
      <c r="P132" s="371" t="str">
        <f>IF(F132="","",IF(OR(J132&lt;=L132,J132-N132*O132&lt;=K132),MAX(IFERROR(VLOOKUP(F132,'商品カタログ'!$A:$O,8,FALSE),0),IFERROR(CEILING(MAX(0,M132-J132),MAX(1,VLOOKUP(F132,'商品カタログ'!$A:$O,9,FALSE))),MAX(0,M132-J132))),0))</f>
      </c>
      <c r="Q132" s="371"/>
      <c r="R132" s="331" t="str">
        <f>IF(F132="","",IFERROR(VLOOKUP(F132,'商品カタログ'!$A:$O,6,FALSE),""))</f>
      </c>
      <c r="S132" s="377" t="str">
        <f>IF(F132="","",IFERROR(VLOOKUP(F132,'商品カタログ'!$A:$O,14,FALSE),""))</f>
      </c>
      <c r="T132" s="377" t="str">
        <f>IF(F132="","",IFERROR(Q132*S132,0))</f>
      </c>
      <c r="U132" s="331"/>
      <c r="V132" s="331"/>
      <c r="W132" s="365" t="str">
        <f>IF(OR(B132="",O132=""),"",B132+O132)</f>
      </c>
      <c r="X132" s="365"/>
      <c r="Y132" s="371"/>
      <c r="Z132" s="371" t="str">
        <f>IF(F132="","",IF(V132="入荷済み",Y132-Q132,IF(V132="一部入荷",Y132-Q132,"")))</f>
      </c>
      <c r="AA132" s="331"/>
      <c r="AB132" s="331"/>
      <c r="AC132" s="331" t="str">
        <f>IF(F132="","",IF(V132="キャンセル済み","キャンセル済み",IF(AND(V132="入荷済み",Y132&gt;=Q132),"通常",IF(AND(W132&lt;TODAY(),W132&lt;&gt;"",V132&lt;&gt;"入荷済み"),"入荷遅延",IF(J132&lt;=K132,"セキュリティ在庫割れ",IF(J132&lt;=L132,"発注点到達",IF(Q132&lt;P132,"申請数が推奨数未満","通常")))))))</f>
      </c>
      <c r="AD132" s="332" t="str">
        <f>IF(F132="","",IF(N132=0,"不明",IF(J132/N132&lt;O132,"高リスク：リードタイム不足",IF(J132/N132&lt;O132+3,"中リスク","低リスク"))))</f>
      </c>
    </row>
    <row r="133" ht="19" customHeight="true">
      <c r="A133" s="330" t="str">
        <f>IF(F133="","","RL-"&amp;TEXT(ROW()-3,"0000"))</f>
      </c>
      <c r="B133" s="365"/>
      <c r="C133" s="331"/>
      <c r="D133" s="331"/>
      <c r="E133" s="331"/>
      <c r="F133" s="331"/>
      <c r="G133" s="331" t="str">
        <f>IF(F133="","",IFERROR(VLOOKUP(F133,'商品カタログ'!$A:$O,2,FALSE),""))</f>
      </c>
      <c r="H133" s="331" t="str">
        <f>IF(F133="","",IFERROR(VLOOKUP(F133,'商品カタログ'!$A:$O,3,FALSE),""))</f>
      </c>
      <c r="I133" s="331" t="str">
        <f>IF(F133="","",IFERROR(VLOOKUP(F133,'商品カタログ'!$A:$O,7,FALSE),""))</f>
      </c>
      <c r="J133" s="371"/>
      <c r="K133" s="371" t="str">
        <f>IF(F133="","",IFERROR(VLOOKUP(F133,'商品カタログ'!$A:$O,11,FALSE),""))</f>
      </c>
      <c r="L133" s="371" t="str">
        <f>IF(F133="","",IFERROR(VLOOKUP(F133,'商品カタログ'!$A:$O,12,FALSE),""))</f>
      </c>
      <c r="M133" s="371" t="str">
        <f>IF(F133="","",IFERROR(VLOOKUP(F133,'商品カタログ'!$A:$O,13,FALSE),""))</f>
      </c>
      <c r="N133" s="371"/>
      <c r="O133" s="371" t="str">
        <f>IF(F133="","",IFERROR(VLOOKUP(F133,'商品カタログ'!$A:$O,10,FALSE),""))</f>
      </c>
      <c r="P133" s="371" t="str">
        <f>IF(F133="","",IF(OR(J133&lt;=L133,J133-N133*O133&lt;=K133),MAX(IFERROR(VLOOKUP(F133,'商品カタログ'!$A:$O,8,FALSE),0),IFERROR(CEILING(MAX(0,M133-J133),MAX(1,VLOOKUP(F133,'商品カタログ'!$A:$O,9,FALSE))),MAX(0,M133-J133))),0))</f>
      </c>
      <c r="Q133" s="371"/>
      <c r="R133" s="331" t="str">
        <f>IF(F133="","",IFERROR(VLOOKUP(F133,'商品カタログ'!$A:$O,6,FALSE),""))</f>
      </c>
      <c r="S133" s="377" t="str">
        <f>IF(F133="","",IFERROR(VLOOKUP(F133,'商品カタログ'!$A:$O,14,FALSE),""))</f>
      </c>
      <c r="T133" s="377" t="str">
        <f>IF(F133="","",IFERROR(Q133*S133,0))</f>
      </c>
      <c r="U133" s="331"/>
      <c r="V133" s="331"/>
      <c r="W133" s="365" t="str">
        <f>IF(OR(B133="",O133=""),"",B133+O133)</f>
      </c>
      <c r="X133" s="365"/>
      <c r="Y133" s="371"/>
      <c r="Z133" s="371" t="str">
        <f>IF(F133="","",IF(V133="入荷済み",Y133-Q133,IF(V133="一部入荷",Y133-Q133,"")))</f>
      </c>
      <c r="AA133" s="331"/>
      <c r="AB133" s="331"/>
      <c r="AC133" s="331" t="str">
        <f>IF(F133="","",IF(V133="キャンセル済み","キャンセル済み",IF(AND(V133="入荷済み",Y133&gt;=Q133),"通常",IF(AND(W133&lt;TODAY(),W133&lt;&gt;"",V133&lt;&gt;"入荷済み"),"入荷遅延",IF(J133&lt;=K133,"セキュリティ在庫割れ",IF(J133&lt;=L133,"発注点到達",IF(Q133&lt;P133,"申請数が推奨数未満","通常")))))))</f>
      </c>
      <c r="AD133" s="332" t="str">
        <f>IF(F133="","",IF(N133=0,"不明",IF(J133/N133&lt;O133,"高リスク：リードタイム不足",IF(J133/N133&lt;O133+3,"中リスク","低リスク"))))</f>
      </c>
    </row>
    <row r="134" ht="19" customHeight="true">
      <c r="A134" s="330" t="str">
        <f>IF(F134="","","RL-"&amp;TEXT(ROW()-3,"0000"))</f>
      </c>
      <c r="B134" s="365"/>
      <c r="C134" s="331"/>
      <c r="D134" s="331"/>
      <c r="E134" s="331"/>
      <c r="F134" s="331"/>
      <c r="G134" s="331" t="str">
        <f>IF(F134="","",IFERROR(VLOOKUP(F134,'商品カタログ'!$A:$O,2,FALSE),""))</f>
      </c>
      <c r="H134" s="331" t="str">
        <f>IF(F134="","",IFERROR(VLOOKUP(F134,'商品カタログ'!$A:$O,3,FALSE),""))</f>
      </c>
      <c r="I134" s="331" t="str">
        <f>IF(F134="","",IFERROR(VLOOKUP(F134,'商品カタログ'!$A:$O,7,FALSE),""))</f>
      </c>
      <c r="J134" s="371"/>
      <c r="K134" s="371" t="str">
        <f>IF(F134="","",IFERROR(VLOOKUP(F134,'商品カタログ'!$A:$O,11,FALSE),""))</f>
      </c>
      <c r="L134" s="371" t="str">
        <f>IF(F134="","",IFERROR(VLOOKUP(F134,'商品カタログ'!$A:$O,12,FALSE),""))</f>
      </c>
      <c r="M134" s="371" t="str">
        <f>IF(F134="","",IFERROR(VLOOKUP(F134,'商品カタログ'!$A:$O,13,FALSE),""))</f>
      </c>
      <c r="N134" s="371"/>
      <c r="O134" s="371" t="str">
        <f>IF(F134="","",IFERROR(VLOOKUP(F134,'商品カタログ'!$A:$O,10,FALSE),""))</f>
      </c>
      <c r="P134" s="371" t="str">
        <f>IF(F134="","",IF(OR(J134&lt;=L134,J134-N134*O134&lt;=K134),MAX(IFERROR(VLOOKUP(F134,'商品カタログ'!$A:$O,8,FALSE),0),IFERROR(CEILING(MAX(0,M134-J134),MAX(1,VLOOKUP(F134,'商品カタログ'!$A:$O,9,FALSE))),MAX(0,M134-J134))),0))</f>
      </c>
      <c r="Q134" s="371"/>
      <c r="R134" s="331" t="str">
        <f>IF(F134="","",IFERROR(VLOOKUP(F134,'商品カタログ'!$A:$O,6,FALSE),""))</f>
      </c>
      <c r="S134" s="377" t="str">
        <f>IF(F134="","",IFERROR(VLOOKUP(F134,'商品カタログ'!$A:$O,14,FALSE),""))</f>
      </c>
      <c r="T134" s="377" t="str">
        <f>IF(F134="","",IFERROR(Q134*S134,0))</f>
      </c>
      <c r="U134" s="331"/>
      <c r="V134" s="331"/>
      <c r="W134" s="365" t="str">
        <f>IF(OR(B134="",O134=""),"",B134+O134)</f>
      </c>
      <c r="X134" s="365"/>
      <c r="Y134" s="371"/>
      <c r="Z134" s="371" t="str">
        <f>IF(F134="","",IF(V134="入荷済み",Y134-Q134,IF(V134="一部入荷",Y134-Q134,"")))</f>
      </c>
      <c r="AA134" s="331"/>
      <c r="AB134" s="331"/>
      <c r="AC134" s="331" t="str">
        <f>IF(F134="","",IF(V134="キャンセル済み","キャンセル済み",IF(AND(V134="入荷済み",Y134&gt;=Q134),"通常",IF(AND(W134&lt;TODAY(),W134&lt;&gt;"",V134&lt;&gt;"入荷済み"),"入荷遅延",IF(J134&lt;=K134,"セキュリティ在庫割れ",IF(J134&lt;=L134,"発注点到達",IF(Q134&lt;P134,"申請数が推奨数未満","通常")))))))</f>
      </c>
      <c r="AD134" s="332" t="str">
        <f>IF(F134="","",IF(N134=0,"不明",IF(J134/N134&lt;O134,"高リスク：リードタイム不足",IF(J134/N134&lt;O134+3,"中リスク","低リスク"))))</f>
      </c>
    </row>
    <row r="135" ht="19" customHeight="true">
      <c r="A135" s="330" t="str">
        <f>IF(F135="","","RL-"&amp;TEXT(ROW()-3,"0000"))</f>
      </c>
      <c r="B135" s="365"/>
      <c r="C135" s="331"/>
      <c r="D135" s="331"/>
      <c r="E135" s="331"/>
      <c r="F135" s="331"/>
      <c r="G135" s="331" t="str">
        <f>IF(F135="","",IFERROR(VLOOKUP(F135,'商品カタログ'!$A:$O,2,FALSE),""))</f>
      </c>
      <c r="H135" s="331" t="str">
        <f>IF(F135="","",IFERROR(VLOOKUP(F135,'商品カタログ'!$A:$O,3,FALSE),""))</f>
      </c>
      <c r="I135" s="331" t="str">
        <f>IF(F135="","",IFERROR(VLOOKUP(F135,'商品カタログ'!$A:$O,7,FALSE),""))</f>
      </c>
      <c r="J135" s="371"/>
      <c r="K135" s="371" t="str">
        <f>IF(F135="","",IFERROR(VLOOKUP(F135,'商品カタログ'!$A:$O,11,FALSE),""))</f>
      </c>
      <c r="L135" s="371" t="str">
        <f>IF(F135="","",IFERROR(VLOOKUP(F135,'商品カタログ'!$A:$O,12,FALSE),""))</f>
      </c>
      <c r="M135" s="371" t="str">
        <f>IF(F135="","",IFERROR(VLOOKUP(F135,'商品カタログ'!$A:$O,13,FALSE),""))</f>
      </c>
      <c r="N135" s="371"/>
      <c r="O135" s="371" t="str">
        <f>IF(F135="","",IFERROR(VLOOKUP(F135,'商品カタログ'!$A:$O,10,FALSE),""))</f>
      </c>
      <c r="P135" s="371" t="str">
        <f>IF(F135="","",IF(OR(J135&lt;=L135,J135-N135*O135&lt;=K135),MAX(IFERROR(VLOOKUP(F135,'商品カタログ'!$A:$O,8,FALSE),0),IFERROR(CEILING(MAX(0,M135-J135),MAX(1,VLOOKUP(F135,'商品カタログ'!$A:$O,9,FALSE))),MAX(0,M135-J135))),0))</f>
      </c>
      <c r="Q135" s="371"/>
      <c r="R135" s="331" t="str">
        <f>IF(F135="","",IFERROR(VLOOKUP(F135,'商品カタログ'!$A:$O,6,FALSE),""))</f>
      </c>
      <c r="S135" s="377" t="str">
        <f>IF(F135="","",IFERROR(VLOOKUP(F135,'商品カタログ'!$A:$O,14,FALSE),""))</f>
      </c>
      <c r="T135" s="377" t="str">
        <f>IF(F135="","",IFERROR(Q135*S135,0))</f>
      </c>
      <c r="U135" s="331"/>
      <c r="V135" s="331"/>
      <c r="W135" s="365" t="str">
        <f>IF(OR(B135="",O135=""),"",B135+O135)</f>
      </c>
      <c r="X135" s="365"/>
      <c r="Y135" s="371"/>
      <c r="Z135" s="371" t="str">
        <f>IF(F135="","",IF(V135="入荷済み",Y135-Q135,IF(V135="一部入荷",Y135-Q135,"")))</f>
      </c>
      <c r="AA135" s="331"/>
      <c r="AB135" s="331"/>
      <c r="AC135" s="331" t="str">
        <f>IF(F135="","",IF(V135="キャンセル済み","キャンセル済み",IF(AND(V135="入荷済み",Y135&gt;=Q135),"通常",IF(AND(W135&lt;TODAY(),W135&lt;&gt;"",V135&lt;&gt;"入荷済み"),"入荷遅延",IF(J135&lt;=K135,"セキュリティ在庫割れ",IF(J135&lt;=L135,"発注点到達",IF(Q135&lt;P135,"申請数が推奨数未満","通常")))))))</f>
      </c>
      <c r="AD135" s="332" t="str">
        <f>IF(F135="","",IF(N135=0,"不明",IF(J135/N135&lt;O135,"高リスク：リードタイム不足",IF(J135/N135&lt;O135+3,"中リスク","低リスク"))))</f>
      </c>
    </row>
    <row r="136" ht="19" customHeight="true">
      <c r="A136" s="330" t="str">
        <f>IF(F136="","","RL-"&amp;TEXT(ROW()-3,"0000"))</f>
      </c>
      <c r="B136" s="365"/>
      <c r="C136" s="331"/>
      <c r="D136" s="331"/>
      <c r="E136" s="331"/>
      <c r="F136" s="331"/>
      <c r="G136" s="331" t="str">
        <f>IF(F136="","",IFERROR(VLOOKUP(F136,'商品カタログ'!$A:$O,2,FALSE),""))</f>
      </c>
      <c r="H136" s="331" t="str">
        <f>IF(F136="","",IFERROR(VLOOKUP(F136,'商品カタログ'!$A:$O,3,FALSE),""))</f>
      </c>
      <c r="I136" s="331" t="str">
        <f>IF(F136="","",IFERROR(VLOOKUP(F136,'商品カタログ'!$A:$O,7,FALSE),""))</f>
      </c>
      <c r="J136" s="371"/>
      <c r="K136" s="371" t="str">
        <f>IF(F136="","",IFERROR(VLOOKUP(F136,'商品カタログ'!$A:$O,11,FALSE),""))</f>
      </c>
      <c r="L136" s="371" t="str">
        <f>IF(F136="","",IFERROR(VLOOKUP(F136,'商品カタログ'!$A:$O,12,FALSE),""))</f>
      </c>
      <c r="M136" s="371" t="str">
        <f>IF(F136="","",IFERROR(VLOOKUP(F136,'商品カタログ'!$A:$O,13,FALSE),""))</f>
      </c>
      <c r="N136" s="371"/>
      <c r="O136" s="371" t="str">
        <f>IF(F136="","",IFERROR(VLOOKUP(F136,'商品カタログ'!$A:$O,10,FALSE),""))</f>
      </c>
      <c r="P136" s="371" t="str">
        <f>IF(F136="","",IF(OR(J136&lt;=L136,J136-N136*O136&lt;=K136),MAX(IFERROR(VLOOKUP(F136,'商品カタログ'!$A:$O,8,FALSE),0),IFERROR(CEILING(MAX(0,M136-J136),MAX(1,VLOOKUP(F136,'商品カタログ'!$A:$O,9,FALSE))),MAX(0,M136-J136))),0))</f>
      </c>
      <c r="Q136" s="371"/>
      <c r="R136" s="331" t="str">
        <f>IF(F136="","",IFERROR(VLOOKUP(F136,'商品カタログ'!$A:$O,6,FALSE),""))</f>
      </c>
      <c r="S136" s="377" t="str">
        <f>IF(F136="","",IFERROR(VLOOKUP(F136,'商品カタログ'!$A:$O,14,FALSE),""))</f>
      </c>
      <c r="T136" s="377" t="str">
        <f>IF(F136="","",IFERROR(Q136*S136,0))</f>
      </c>
      <c r="U136" s="331"/>
      <c r="V136" s="331"/>
      <c r="W136" s="365" t="str">
        <f>IF(OR(B136="",O136=""),"",B136+O136)</f>
      </c>
      <c r="X136" s="365"/>
      <c r="Y136" s="371"/>
      <c r="Z136" s="371" t="str">
        <f>IF(F136="","",IF(V136="入荷済み",Y136-Q136,IF(V136="一部入荷",Y136-Q136,"")))</f>
      </c>
      <c r="AA136" s="331"/>
      <c r="AB136" s="331"/>
      <c r="AC136" s="331" t="str">
        <f>IF(F136="","",IF(V136="キャンセル済み","キャンセル済み",IF(AND(V136="入荷済み",Y136&gt;=Q136),"通常",IF(AND(W136&lt;TODAY(),W136&lt;&gt;"",V136&lt;&gt;"入荷済み"),"入荷遅延",IF(J136&lt;=K136,"セキュリティ在庫割れ",IF(J136&lt;=L136,"発注点到達",IF(Q136&lt;P136,"申請数が推奨数未満","通常")))))))</f>
      </c>
      <c r="AD136" s="332" t="str">
        <f>IF(F136="","",IF(N136=0,"不明",IF(J136/N136&lt;O136,"高リスク：リードタイム不足",IF(J136/N136&lt;O136+3,"中リスク","低リスク"))))</f>
      </c>
    </row>
    <row r="137" ht="19" customHeight="true">
      <c r="A137" s="330" t="str">
        <f>IF(F137="","","RL-"&amp;TEXT(ROW()-3,"0000"))</f>
      </c>
      <c r="B137" s="365"/>
      <c r="C137" s="331"/>
      <c r="D137" s="331"/>
      <c r="E137" s="331"/>
      <c r="F137" s="331"/>
      <c r="G137" s="331" t="str">
        <f>IF(F137="","",IFERROR(VLOOKUP(F137,'商品カタログ'!$A:$O,2,FALSE),""))</f>
      </c>
      <c r="H137" s="331" t="str">
        <f>IF(F137="","",IFERROR(VLOOKUP(F137,'商品カタログ'!$A:$O,3,FALSE),""))</f>
      </c>
      <c r="I137" s="331" t="str">
        <f>IF(F137="","",IFERROR(VLOOKUP(F137,'商品カタログ'!$A:$O,7,FALSE),""))</f>
      </c>
      <c r="J137" s="371"/>
      <c r="K137" s="371" t="str">
        <f>IF(F137="","",IFERROR(VLOOKUP(F137,'商品カタログ'!$A:$O,11,FALSE),""))</f>
      </c>
      <c r="L137" s="371" t="str">
        <f>IF(F137="","",IFERROR(VLOOKUP(F137,'商品カタログ'!$A:$O,12,FALSE),""))</f>
      </c>
      <c r="M137" s="371" t="str">
        <f>IF(F137="","",IFERROR(VLOOKUP(F137,'商品カタログ'!$A:$O,13,FALSE),""))</f>
      </c>
      <c r="N137" s="371"/>
      <c r="O137" s="371" t="str">
        <f>IF(F137="","",IFERROR(VLOOKUP(F137,'商品カタログ'!$A:$O,10,FALSE),""))</f>
      </c>
      <c r="P137" s="371" t="str">
        <f>IF(F137="","",IF(OR(J137&lt;=L137,J137-N137*O137&lt;=K137),MAX(IFERROR(VLOOKUP(F137,'商品カタログ'!$A:$O,8,FALSE),0),IFERROR(CEILING(MAX(0,M137-J137),MAX(1,VLOOKUP(F137,'商品カタログ'!$A:$O,9,FALSE))),MAX(0,M137-J137))),0))</f>
      </c>
      <c r="Q137" s="371"/>
      <c r="R137" s="331" t="str">
        <f>IF(F137="","",IFERROR(VLOOKUP(F137,'商品カタログ'!$A:$O,6,FALSE),""))</f>
      </c>
      <c r="S137" s="377" t="str">
        <f>IF(F137="","",IFERROR(VLOOKUP(F137,'商品カタログ'!$A:$O,14,FALSE),""))</f>
      </c>
      <c r="T137" s="377" t="str">
        <f>IF(F137="","",IFERROR(Q137*S137,0))</f>
      </c>
      <c r="U137" s="331"/>
      <c r="V137" s="331"/>
      <c r="W137" s="365" t="str">
        <f>IF(OR(B137="",O137=""),"",B137+O137)</f>
      </c>
      <c r="X137" s="365"/>
      <c r="Y137" s="371"/>
      <c r="Z137" s="371" t="str">
        <f>IF(F137="","",IF(V137="入荷済み",Y137-Q137,IF(V137="一部入荷",Y137-Q137,"")))</f>
      </c>
      <c r="AA137" s="331"/>
      <c r="AB137" s="331"/>
      <c r="AC137" s="331" t="str">
        <f>IF(F137="","",IF(V137="キャンセル済み","キャンセル済み",IF(AND(V137="入荷済み",Y137&gt;=Q137),"通常",IF(AND(W137&lt;TODAY(),W137&lt;&gt;"",V137&lt;&gt;"入荷済み"),"入荷遅延",IF(J137&lt;=K137,"セキュリティ在庫割れ",IF(J137&lt;=L137,"発注点到達",IF(Q137&lt;P137,"申請数が推奨数未満","通常")))))))</f>
      </c>
      <c r="AD137" s="332" t="str">
        <f>IF(F137="","",IF(N137=0,"不明",IF(J137/N137&lt;O137,"高リスク：リードタイム不足",IF(J137/N137&lt;O137+3,"中リスク","低リスク"))))</f>
      </c>
    </row>
    <row r="138" ht="19" customHeight="true">
      <c r="A138" s="330" t="str">
        <f>IF(F138="","","RL-"&amp;TEXT(ROW()-3,"0000"))</f>
      </c>
      <c r="B138" s="365"/>
      <c r="C138" s="331"/>
      <c r="D138" s="331"/>
      <c r="E138" s="331"/>
      <c r="F138" s="331"/>
      <c r="G138" s="331" t="str">
        <f>IF(F138="","",IFERROR(VLOOKUP(F138,'商品カタログ'!$A:$O,2,FALSE),""))</f>
      </c>
      <c r="H138" s="331" t="str">
        <f>IF(F138="","",IFERROR(VLOOKUP(F138,'商品カタログ'!$A:$O,3,FALSE),""))</f>
      </c>
      <c r="I138" s="331" t="str">
        <f>IF(F138="","",IFERROR(VLOOKUP(F138,'商品カタログ'!$A:$O,7,FALSE),""))</f>
      </c>
      <c r="J138" s="371"/>
      <c r="K138" s="371" t="str">
        <f>IF(F138="","",IFERROR(VLOOKUP(F138,'商品カタログ'!$A:$O,11,FALSE),""))</f>
      </c>
      <c r="L138" s="371" t="str">
        <f>IF(F138="","",IFERROR(VLOOKUP(F138,'商品カタログ'!$A:$O,12,FALSE),""))</f>
      </c>
      <c r="M138" s="371" t="str">
        <f>IF(F138="","",IFERROR(VLOOKUP(F138,'商品カタログ'!$A:$O,13,FALSE),""))</f>
      </c>
      <c r="N138" s="371"/>
      <c r="O138" s="371" t="str">
        <f>IF(F138="","",IFERROR(VLOOKUP(F138,'商品カタログ'!$A:$O,10,FALSE),""))</f>
      </c>
      <c r="P138" s="371" t="str">
        <f>IF(F138="","",IF(OR(J138&lt;=L138,J138-N138*O138&lt;=K138),MAX(IFERROR(VLOOKUP(F138,'商品カタログ'!$A:$O,8,FALSE),0),IFERROR(CEILING(MAX(0,M138-J138),MAX(1,VLOOKUP(F138,'商品カタログ'!$A:$O,9,FALSE))),MAX(0,M138-J138))),0))</f>
      </c>
      <c r="Q138" s="371"/>
      <c r="R138" s="331" t="str">
        <f>IF(F138="","",IFERROR(VLOOKUP(F138,'商品カタログ'!$A:$O,6,FALSE),""))</f>
      </c>
      <c r="S138" s="377" t="str">
        <f>IF(F138="","",IFERROR(VLOOKUP(F138,'商品カタログ'!$A:$O,14,FALSE),""))</f>
      </c>
      <c r="T138" s="377" t="str">
        <f>IF(F138="","",IFERROR(Q138*S138,0))</f>
      </c>
      <c r="U138" s="331"/>
      <c r="V138" s="331"/>
      <c r="W138" s="365" t="str">
        <f>IF(OR(B138="",O138=""),"",B138+O138)</f>
      </c>
      <c r="X138" s="365"/>
      <c r="Y138" s="371"/>
      <c r="Z138" s="371" t="str">
        <f>IF(F138="","",IF(V138="入荷済み",Y138-Q138,IF(V138="一部入荷",Y138-Q138,"")))</f>
      </c>
      <c r="AA138" s="331"/>
      <c r="AB138" s="331"/>
      <c r="AC138" s="331" t="str">
        <f>IF(F138="","",IF(V138="キャンセル済み","キャンセル済み",IF(AND(V138="入荷済み",Y138&gt;=Q138),"通常",IF(AND(W138&lt;TODAY(),W138&lt;&gt;"",V138&lt;&gt;"入荷済み"),"入荷遅延",IF(J138&lt;=K138,"セキュリティ在庫割れ",IF(J138&lt;=L138,"発注点到達",IF(Q138&lt;P138,"申請数が推奨数未満","通常")))))))</f>
      </c>
      <c r="AD138" s="332" t="str">
        <f>IF(F138="","",IF(N138=0,"不明",IF(J138/N138&lt;O138,"高リスク：リードタイム不足",IF(J138/N138&lt;O138+3,"中リスク","低リスク"))))</f>
      </c>
    </row>
    <row r="139" ht="19" customHeight="true">
      <c r="A139" s="330" t="str">
        <f>IF(F139="","","RL-"&amp;TEXT(ROW()-3,"0000"))</f>
      </c>
      <c r="B139" s="365"/>
      <c r="C139" s="331"/>
      <c r="D139" s="331"/>
      <c r="E139" s="331"/>
      <c r="F139" s="331"/>
      <c r="G139" s="331" t="str">
        <f>IF(F139="","",IFERROR(VLOOKUP(F139,'商品カタログ'!$A:$O,2,FALSE),""))</f>
      </c>
      <c r="H139" s="331" t="str">
        <f>IF(F139="","",IFERROR(VLOOKUP(F139,'商品カタログ'!$A:$O,3,FALSE),""))</f>
      </c>
      <c r="I139" s="331" t="str">
        <f>IF(F139="","",IFERROR(VLOOKUP(F139,'商品カタログ'!$A:$O,7,FALSE),""))</f>
      </c>
      <c r="J139" s="371"/>
      <c r="K139" s="371" t="str">
        <f>IF(F139="","",IFERROR(VLOOKUP(F139,'商品カタログ'!$A:$O,11,FALSE),""))</f>
      </c>
      <c r="L139" s="371" t="str">
        <f>IF(F139="","",IFERROR(VLOOKUP(F139,'商品カタログ'!$A:$O,12,FALSE),""))</f>
      </c>
      <c r="M139" s="371" t="str">
        <f>IF(F139="","",IFERROR(VLOOKUP(F139,'商品カタログ'!$A:$O,13,FALSE),""))</f>
      </c>
      <c r="N139" s="371"/>
      <c r="O139" s="371" t="str">
        <f>IF(F139="","",IFERROR(VLOOKUP(F139,'商品カタログ'!$A:$O,10,FALSE),""))</f>
      </c>
      <c r="P139" s="371" t="str">
        <f>IF(F139="","",IF(OR(J139&lt;=L139,J139-N139*O139&lt;=K139),MAX(IFERROR(VLOOKUP(F139,'商品カタログ'!$A:$O,8,FALSE),0),IFERROR(CEILING(MAX(0,M139-J139),MAX(1,VLOOKUP(F139,'商品カタログ'!$A:$O,9,FALSE))),MAX(0,M139-J139))),0))</f>
      </c>
      <c r="Q139" s="371"/>
      <c r="R139" s="331" t="str">
        <f>IF(F139="","",IFERROR(VLOOKUP(F139,'商品カタログ'!$A:$O,6,FALSE),""))</f>
      </c>
      <c r="S139" s="377" t="str">
        <f>IF(F139="","",IFERROR(VLOOKUP(F139,'商品カタログ'!$A:$O,14,FALSE),""))</f>
      </c>
      <c r="T139" s="377" t="str">
        <f>IF(F139="","",IFERROR(Q139*S139,0))</f>
      </c>
      <c r="U139" s="331"/>
      <c r="V139" s="331"/>
      <c r="W139" s="365" t="str">
        <f>IF(OR(B139="",O139=""),"",B139+O139)</f>
      </c>
      <c r="X139" s="365"/>
      <c r="Y139" s="371"/>
      <c r="Z139" s="371" t="str">
        <f>IF(F139="","",IF(V139="入荷済み",Y139-Q139,IF(V139="一部入荷",Y139-Q139,"")))</f>
      </c>
      <c r="AA139" s="331"/>
      <c r="AB139" s="331"/>
      <c r="AC139" s="331" t="str">
        <f>IF(F139="","",IF(V139="キャンセル済み","キャンセル済み",IF(AND(V139="入荷済み",Y139&gt;=Q139),"通常",IF(AND(W139&lt;TODAY(),W139&lt;&gt;"",V139&lt;&gt;"入荷済み"),"入荷遅延",IF(J139&lt;=K139,"セキュリティ在庫割れ",IF(J139&lt;=L139,"発注点到達",IF(Q139&lt;P139,"申請数が推奨数未満","通常")))))))</f>
      </c>
      <c r="AD139" s="332" t="str">
        <f>IF(F139="","",IF(N139=0,"不明",IF(J139/N139&lt;O139,"高リスク：リードタイム不足",IF(J139/N139&lt;O139+3,"中リスク","低リスク"))))</f>
      </c>
    </row>
    <row r="140" ht="19" customHeight="true">
      <c r="A140" s="330" t="str">
        <f>IF(F140="","","RL-"&amp;TEXT(ROW()-3,"0000"))</f>
      </c>
      <c r="B140" s="365"/>
      <c r="C140" s="331"/>
      <c r="D140" s="331"/>
      <c r="E140" s="331"/>
      <c r="F140" s="331"/>
      <c r="G140" s="331" t="str">
        <f>IF(F140="","",IFERROR(VLOOKUP(F140,'商品カタログ'!$A:$O,2,FALSE),""))</f>
      </c>
      <c r="H140" s="331" t="str">
        <f>IF(F140="","",IFERROR(VLOOKUP(F140,'商品カタログ'!$A:$O,3,FALSE),""))</f>
      </c>
      <c r="I140" s="331" t="str">
        <f>IF(F140="","",IFERROR(VLOOKUP(F140,'商品カタログ'!$A:$O,7,FALSE),""))</f>
      </c>
      <c r="J140" s="371"/>
      <c r="K140" s="371" t="str">
        <f>IF(F140="","",IFERROR(VLOOKUP(F140,'商品カタログ'!$A:$O,11,FALSE),""))</f>
      </c>
      <c r="L140" s="371" t="str">
        <f>IF(F140="","",IFERROR(VLOOKUP(F140,'商品カタログ'!$A:$O,12,FALSE),""))</f>
      </c>
      <c r="M140" s="371" t="str">
        <f>IF(F140="","",IFERROR(VLOOKUP(F140,'商品カタログ'!$A:$O,13,FALSE),""))</f>
      </c>
      <c r="N140" s="371"/>
      <c r="O140" s="371" t="str">
        <f>IF(F140="","",IFERROR(VLOOKUP(F140,'商品カタログ'!$A:$O,10,FALSE),""))</f>
      </c>
      <c r="P140" s="371" t="str">
        <f>IF(F140="","",IF(OR(J140&lt;=L140,J140-N140*O140&lt;=K140),MAX(IFERROR(VLOOKUP(F140,'商品カタログ'!$A:$O,8,FALSE),0),IFERROR(CEILING(MAX(0,M140-J140),MAX(1,VLOOKUP(F140,'商品カタログ'!$A:$O,9,FALSE))),MAX(0,M140-J140))),0))</f>
      </c>
      <c r="Q140" s="371"/>
      <c r="R140" s="331" t="str">
        <f>IF(F140="","",IFERROR(VLOOKUP(F140,'商品カタログ'!$A:$O,6,FALSE),""))</f>
      </c>
      <c r="S140" s="377" t="str">
        <f>IF(F140="","",IFERROR(VLOOKUP(F140,'商品カタログ'!$A:$O,14,FALSE),""))</f>
      </c>
      <c r="T140" s="377" t="str">
        <f>IF(F140="","",IFERROR(Q140*S140,0))</f>
      </c>
      <c r="U140" s="331"/>
      <c r="V140" s="331"/>
      <c r="W140" s="365" t="str">
        <f>IF(OR(B140="",O140=""),"",B140+O140)</f>
      </c>
      <c r="X140" s="365"/>
      <c r="Y140" s="371"/>
      <c r="Z140" s="371" t="str">
        <f>IF(F140="","",IF(V140="入荷済み",Y140-Q140,IF(V140="一部入荷",Y140-Q140,"")))</f>
      </c>
      <c r="AA140" s="331"/>
      <c r="AB140" s="331"/>
      <c r="AC140" s="331" t="str">
        <f>IF(F140="","",IF(V140="キャンセル済み","キャンセル済み",IF(AND(V140="入荷済み",Y140&gt;=Q140),"通常",IF(AND(W140&lt;TODAY(),W140&lt;&gt;"",V140&lt;&gt;"入荷済み"),"入荷遅延",IF(J140&lt;=K140,"セキュリティ在庫割れ",IF(J140&lt;=L140,"発注点到達",IF(Q140&lt;P140,"申請数が推奨数未満","通常")))))))</f>
      </c>
      <c r="AD140" s="332" t="str">
        <f>IF(F140="","",IF(N140=0,"不明",IF(J140/N140&lt;O140,"高リスク：リードタイム不足",IF(J140/N140&lt;O140+3,"中リスク","低リスク"))))</f>
      </c>
    </row>
    <row r="141" ht="19" customHeight="true">
      <c r="A141" s="330" t="str">
        <f>IF(F141="","","RL-"&amp;TEXT(ROW()-3,"0000"))</f>
      </c>
      <c r="B141" s="365"/>
      <c r="C141" s="331"/>
      <c r="D141" s="331"/>
      <c r="E141" s="331"/>
      <c r="F141" s="331"/>
      <c r="G141" s="331" t="str">
        <f>IF(F141="","",IFERROR(VLOOKUP(F141,'商品カタログ'!$A:$O,2,FALSE),""))</f>
      </c>
      <c r="H141" s="331" t="str">
        <f>IF(F141="","",IFERROR(VLOOKUP(F141,'商品カタログ'!$A:$O,3,FALSE),""))</f>
      </c>
      <c r="I141" s="331" t="str">
        <f>IF(F141="","",IFERROR(VLOOKUP(F141,'商品カタログ'!$A:$O,7,FALSE),""))</f>
      </c>
      <c r="J141" s="371"/>
      <c r="K141" s="371" t="str">
        <f>IF(F141="","",IFERROR(VLOOKUP(F141,'商品カタログ'!$A:$O,11,FALSE),""))</f>
      </c>
      <c r="L141" s="371" t="str">
        <f>IF(F141="","",IFERROR(VLOOKUP(F141,'商品カタログ'!$A:$O,12,FALSE),""))</f>
      </c>
      <c r="M141" s="371" t="str">
        <f>IF(F141="","",IFERROR(VLOOKUP(F141,'商品カタログ'!$A:$O,13,FALSE),""))</f>
      </c>
      <c r="N141" s="371"/>
      <c r="O141" s="371" t="str">
        <f>IF(F141="","",IFERROR(VLOOKUP(F141,'商品カタログ'!$A:$O,10,FALSE),""))</f>
      </c>
      <c r="P141" s="371" t="str">
        <f>IF(F141="","",IF(OR(J141&lt;=L141,J141-N141*O141&lt;=K141),MAX(IFERROR(VLOOKUP(F141,'商品カタログ'!$A:$O,8,FALSE),0),IFERROR(CEILING(MAX(0,M141-J141),MAX(1,VLOOKUP(F141,'商品カタログ'!$A:$O,9,FALSE))),MAX(0,M141-J141))),0))</f>
      </c>
      <c r="Q141" s="371"/>
      <c r="R141" s="331" t="str">
        <f>IF(F141="","",IFERROR(VLOOKUP(F141,'商品カタログ'!$A:$O,6,FALSE),""))</f>
      </c>
      <c r="S141" s="377" t="str">
        <f>IF(F141="","",IFERROR(VLOOKUP(F141,'商品カタログ'!$A:$O,14,FALSE),""))</f>
      </c>
      <c r="T141" s="377" t="str">
        <f>IF(F141="","",IFERROR(Q141*S141,0))</f>
      </c>
      <c r="U141" s="331"/>
      <c r="V141" s="331"/>
      <c r="W141" s="365" t="str">
        <f>IF(OR(B141="",O141=""),"",B141+O141)</f>
      </c>
      <c r="X141" s="365"/>
      <c r="Y141" s="371"/>
      <c r="Z141" s="371" t="str">
        <f>IF(F141="","",IF(V141="入荷済み",Y141-Q141,IF(V141="一部入荷",Y141-Q141,"")))</f>
      </c>
      <c r="AA141" s="331"/>
      <c r="AB141" s="331"/>
      <c r="AC141" s="331" t="str">
        <f>IF(F141="","",IF(V141="キャンセル済み","キャンセル済み",IF(AND(V141="入荷済み",Y141&gt;=Q141),"通常",IF(AND(W141&lt;TODAY(),W141&lt;&gt;"",V141&lt;&gt;"入荷済み"),"入荷遅延",IF(J141&lt;=K141,"セキュリティ在庫割れ",IF(J141&lt;=L141,"発注点到達",IF(Q141&lt;P141,"申請数が推奨数未満","通常")))))))</f>
      </c>
      <c r="AD141" s="332" t="str">
        <f>IF(F141="","",IF(N141=0,"不明",IF(J141/N141&lt;O141,"高リスク：リードタイム不足",IF(J141/N141&lt;O141+3,"中リスク","低リスク"))))</f>
      </c>
    </row>
    <row r="142" ht="19" customHeight="true">
      <c r="A142" s="330" t="str">
        <f>IF(F142="","","RL-"&amp;TEXT(ROW()-3,"0000"))</f>
      </c>
      <c r="B142" s="365"/>
      <c r="C142" s="331"/>
      <c r="D142" s="331"/>
      <c r="E142" s="331"/>
      <c r="F142" s="331"/>
      <c r="G142" s="331" t="str">
        <f>IF(F142="","",IFERROR(VLOOKUP(F142,'商品カタログ'!$A:$O,2,FALSE),""))</f>
      </c>
      <c r="H142" s="331" t="str">
        <f>IF(F142="","",IFERROR(VLOOKUP(F142,'商品カタログ'!$A:$O,3,FALSE),""))</f>
      </c>
      <c r="I142" s="331" t="str">
        <f>IF(F142="","",IFERROR(VLOOKUP(F142,'商品カタログ'!$A:$O,7,FALSE),""))</f>
      </c>
      <c r="J142" s="371"/>
      <c r="K142" s="371" t="str">
        <f>IF(F142="","",IFERROR(VLOOKUP(F142,'商品カタログ'!$A:$O,11,FALSE),""))</f>
      </c>
      <c r="L142" s="371" t="str">
        <f>IF(F142="","",IFERROR(VLOOKUP(F142,'商品カタログ'!$A:$O,12,FALSE),""))</f>
      </c>
      <c r="M142" s="371" t="str">
        <f>IF(F142="","",IFERROR(VLOOKUP(F142,'商品カタログ'!$A:$O,13,FALSE),""))</f>
      </c>
      <c r="N142" s="371"/>
      <c r="O142" s="371" t="str">
        <f>IF(F142="","",IFERROR(VLOOKUP(F142,'商品カタログ'!$A:$O,10,FALSE),""))</f>
      </c>
      <c r="P142" s="371" t="str">
        <f>IF(F142="","",IF(OR(J142&lt;=L142,J142-N142*O142&lt;=K142),MAX(IFERROR(VLOOKUP(F142,'商品カタログ'!$A:$O,8,FALSE),0),IFERROR(CEILING(MAX(0,M142-J142),MAX(1,VLOOKUP(F142,'商品カタログ'!$A:$O,9,FALSE))),MAX(0,M142-J142))),0))</f>
      </c>
      <c r="Q142" s="371"/>
      <c r="R142" s="331" t="str">
        <f>IF(F142="","",IFERROR(VLOOKUP(F142,'商品カタログ'!$A:$O,6,FALSE),""))</f>
      </c>
      <c r="S142" s="377" t="str">
        <f>IF(F142="","",IFERROR(VLOOKUP(F142,'商品カタログ'!$A:$O,14,FALSE),""))</f>
      </c>
      <c r="T142" s="377" t="str">
        <f>IF(F142="","",IFERROR(Q142*S142,0))</f>
      </c>
      <c r="U142" s="331"/>
      <c r="V142" s="331"/>
      <c r="W142" s="365" t="str">
        <f>IF(OR(B142="",O142=""),"",B142+O142)</f>
      </c>
      <c r="X142" s="365"/>
      <c r="Y142" s="371"/>
      <c r="Z142" s="371" t="str">
        <f>IF(F142="","",IF(V142="入荷済み",Y142-Q142,IF(V142="一部入荷",Y142-Q142,"")))</f>
      </c>
      <c r="AA142" s="331"/>
      <c r="AB142" s="331"/>
      <c r="AC142" s="331" t="str">
        <f>IF(F142="","",IF(V142="キャンセル済み","キャンセル済み",IF(AND(V142="入荷済み",Y142&gt;=Q142),"通常",IF(AND(W142&lt;TODAY(),W142&lt;&gt;"",V142&lt;&gt;"入荷済み"),"入荷遅延",IF(J142&lt;=K142,"セキュリティ在庫割れ",IF(J142&lt;=L142,"発注点到達",IF(Q142&lt;P142,"申請数が推奨数未満","通常")))))))</f>
      </c>
      <c r="AD142" s="332" t="str">
        <f>IF(F142="","",IF(N142=0,"不明",IF(J142/N142&lt;O142,"高リスク：リードタイム不足",IF(J142/N142&lt;O142+3,"中リスク","低リスク"))))</f>
      </c>
    </row>
    <row r="143" ht="19" customHeight="true">
      <c r="A143" s="330" t="str">
        <f>IF(F143="","","RL-"&amp;TEXT(ROW()-3,"0000"))</f>
      </c>
      <c r="B143" s="365"/>
      <c r="C143" s="331"/>
      <c r="D143" s="331"/>
      <c r="E143" s="331"/>
      <c r="F143" s="331"/>
      <c r="G143" s="331" t="str">
        <f>IF(F143="","",IFERROR(VLOOKUP(F143,'商品カタログ'!$A:$O,2,FALSE),""))</f>
      </c>
      <c r="H143" s="331" t="str">
        <f>IF(F143="","",IFERROR(VLOOKUP(F143,'商品カタログ'!$A:$O,3,FALSE),""))</f>
      </c>
      <c r="I143" s="331" t="str">
        <f>IF(F143="","",IFERROR(VLOOKUP(F143,'商品カタログ'!$A:$O,7,FALSE),""))</f>
      </c>
      <c r="J143" s="371"/>
      <c r="K143" s="371" t="str">
        <f>IF(F143="","",IFERROR(VLOOKUP(F143,'商品カタログ'!$A:$O,11,FALSE),""))</f>
      </c>
      <c r="L143" s="371" t="str">
        <f>IF(F143="","",IFERROR(VLOOKUP(F143,'商品カタログ'!$A:$O,12,FALSE),""))</f>
      </c>
      <c r="M143" s="371" t="str">
        <f>IF(F143="","",IFERROR(VLOOKUP(F143,'商品カタログ'!$A:$O,13,FALSE),""))</f>
      </c>
      <c r="N143" s="371"/>
      <c r="O143" s="371" t="str">
        <f>IF(F143="","",IFERROR(VLOOKUP(F143,'商品カタログ'!$A:$O,10,FALSE),""))</f>
      </c>
      <c r="P143" s="371" t="str">
        <f>IF(F143="","",IF(OR(J143&lt;=L143,J143-N143*O143&lt;=K143),MAX(IFERROR(VLOOKUP(F143,'商品カタログ'!$A:$O,8,FALSE),0),IFERROR(CEILING(MAX(0,M143-J143),MAX(1,VLOOKUP(F143,'商品カタログ'!$A:$O,9,FALSE))),MAX(0,M143-J143))),0))</f>
      </c>
      <c r="Q143" s="371"/>
      <c r="R143" s="331" t="str">
        <f>IF(F143="","",IFERROR(VLOOKUP(F143,'商品カタログ'!$A:$O,6,FALSE),""))</f>
      </c>
      <c r="S143" s="377" t="str">
        <f>IF(F143="","",IFERROR(VLOOKUP(F143,'商品カタログ'!$A:$O,14,FALSE),""))</f>
      </c>
      <c r="T143" s="377" t="str">
        <f>IF(F143="","",IFERROR(Q143*S143,0))</f>
      </c>
      <c r="U143" s="331"/>
      <c r="V143" s="331"/>
      <c r="W143" s="365" t="str">
        <f>IF(OR(B143="",O143=""),"",B143+O143)</f>
      </c>
      <c r="X143" s="365"/>
      <c r="Y143" s="371"/>
      <c r="Z143" s="371" t="str">
        <f>IF(F143="","",IF(V143="入荷済み",Y143-Q143,IF(V143="一部入荷",Y143-Q143,"")))</f>
      </c>
      <c r="AA143" s="331"/>
      <c r="AB143" s="331"/>
      <c r="AC143" s="331" t="str">
        <f>IF(F143="","",IF(V143="キャンセル済み","キャンセル済み",IF(AND(V143="入荷済み",Y143&gt;=Q143),"通常",IF(AND(W143&lt;TODAY(),W143&lt;&gt;"",V143&lt;&gt;"入荷済み"),"入荷遅延",IF(J143&lt;=K143,"セキュリティ在庫割れ",IF(J143&lt;=L143,"発注点到達",IF(Q143&lt;P143,"申請数が推奨数未満","通常")))))))</f>
      </c>
      <c r="AD143" s="332" t="str">
        <f>IF(F143="","",IF(N143=0,"不明",IF(J143/N143&lt;O143,"高リスク：リードタイム不足",IF(J143/N143&lt;O143+3,"中リスク","低リスク"))))</f>
      </c>
    </row>
    <row r="144" ht="19" customHeight="true">
      <c r="A144" s="330" t="str">
        <f>IF(F144="","","RL-"&amp;TEXT(ROW()-3,"0000"))</f>
      </c>
      <c r="B144" s="365"/>
      <c r="C144" s="331"/>
      <c r="D144" s="331"/>
      <c r="E144" s="331"/>
      <c r="F144" s="331"/>
      <c r="G144" s="331" t="str">
        <f>IF(F144="","",IFERROR(VLOOKUP(F144,'商品カタログ'!$A:$O,2,FALSE),""))</f>
      </c>
      <c r="H144" s="331" t="str">
        <f>IF(F144="","",IFERROR(VLOOKUP(F144,'商品カタログ'!$A:$O,3,FALSE),""))</f>
      </c>
      <c r="I144" s="331" t="str">
        <f>IF(F144="","",IFERROR(VLOOKUP(F144,'商品カタログ'!$A:$O,7,FALSE),""))</f>
      </c>
      <c r="J144" s="371"/>
      <c r="K144" s="371" t="str">
        <f>IF(F144="","",IFERROR(VLOOKUP(F144,'商品カタログ'!$A:$O,11,FALSE),""))</f>
      </c>
      <c r="L144" s="371" t="str">
        <f>IF(F144="","",IFERROR(VLOOKUP(F144,'商品カタログ'!$A:$O,12,FALSE),""))</f>
      </c>
      <c r="M144" s="371" t="str">
        <f>IF(F144="","",IFERROR(VLOOKUP(F144,'商品カタログ'!$A:$O,13,FALSE),""))</f>
      </c>
      <c r="N144" s="371"/>
      <c r="O144" s="371" t="str">
        <f>IF(F144="","",IFERROR(VLOOKUP(F144,'商品カタログ'!$A:$O,10,FALSE),""))</f>
      </c>
      <c r="P144" s="371" t="str">
        <f>IF(F144="","",IF(OR(J144&lt;=L144,J144-N144*O144&lt;=K144),MAX(IFERROR(VLOOKUP(F144,'商品カタログ'!$A:$O,8,FALSE),0),IFERROR(CEILING(MAX(0,M144-J144),MAX(1,VLOOKUP(F144,'商品カタログ'!$A:$O,9,FALSE))),MAX(0,M144-J144))),0))</f>
      </c>
      <c r="Q144" s="371"/>
      <c r="R144" s="331" t="str">
        <f>IF(F144="","",IFERROR(VLOOKUP(F144,'商品カタログ'!$A:$O,6,FALSE),""))</f>
      </c>
      <c r="S144" s="377" t="str">
        <f>IF(F144="","",IFERROR(VLOOKUP(F144,'商品カタログ'!$A:$O,14,FALSE),""))</f>
      </c>
      <c r="T144" s="377" t="str">
        <f>IF(F144="","",IFERROR(Q144*S144,0))</f>
      </c>
      <c r="U144" s="331"/>
      <c r="V144" s="331"/>
      <c r="W144" s="365" t="str">
        <f>IF(OR(B144="",O144=""),"",B144+O144)</f>
      </c>
      <c r="X144" s="365"/>
      <c r="Y144" s="371"/>
      <c r="Z144" s="371" t="str">
        <f>IF(F144="","",IF(V144="入荷済み",Y144-Q144,IF(V144="一部入荷",Y144-Q144,"")))</f>
      </c>
      <c r="AA144" s="331"/>
      <c r="AB144" s="331"/>
      <c r="AC144" s="331" t="str">
        <f>IF(F144="","",IF(V144="キャンセル済み","キャンセル済み",IF(AND(V144="入荷済み",Y144&gt;=Q144),"通常",IF(AND(W144&lt;TODAY(),W144&lt;&gt;"",V144&lt;&gt;"入荷済み"),"入荷遅延",IF(J144&lt;=K144,"セキュリティ在庫割れ",IF(J144&lt;=L144,"発注点到達",IF(Q144&lt;P144,"申請数が推奨数未満","通常")))))))</f>
      </c>
      <c r="AD144" s="332" t="str">
        <f>IF(F144="","",IF(N144=0,"不明",IF(J144/N144&lt;O144,"高リスク：リードタイム不足",IF(J144/N144&lt;O144+3,"中リスク","低リスク"))))</f>
      </c>
    </row>
    <row r="145" ht="19" customHeight="true">
      <c r="A145" s="330" t="str">
        <f>IF(F145="","","RL-"&amp;TEXT(ROW()-3,"0000"))</f>
      </c>
      <c r="B145" s="365"/>
      <c r="C145" s="331"/>
      <c r="D145" s="331"/>
      <c r="E145" s="331"/>
      <c r="F145" s="331"/>
      <c r="G145" s="331" t="str">
        <f>IF(F145="","",IFERROR(VLOOKUP(F145,'商品カタログ'!$A:$O,2,FALSE),""))</f>
      </c>
      <c r="H145" s="331" t="str">
        <f>IF(F145="","",IFERROR(VLOOKUP(F145,'商品カタログ'!$A:$O,3,FALSE),""))</f>
      </c>
      <c r="I145" s="331" t="str">
        <f>IF(F145="","",IFERROR(VLOOKUP(F145,'商品カタログ'!$A:$O,7,FALSE),""))</f>
      </c>
      <c r="J145" s="371"/>
      <c r="K145" s="371" t="str">
        <f>IF(F145="","",IFERROR(VLOOKUP(F145,'商品カタログ'!$A:$O,11,FALSE),""))</f>
      </c>
      <c r="L145" s="371" t="str">
        <f>IF(F145="","",IFERROR(VLOOKUP(F145,'商品カタログ'!$A:$O,12,FALSE),""))</f>
      </c>
      <c r="M145" s="371" t="str">
        <f>IF(F145="","",IFERROR(VLOOKUP(F145,'商品カタログ'!$A:$O,13,FALSE),""))</f>
      </c>
      <c r="N145" s="371"/>
      <c r="O145" s="371" t="str">
        <f>IF(F145="","",IFERROR(VLOOKUP(F145,'商品カタログ'!$A:$O,10,FALSE),""))</f>
      </c>
      <c r="P145" s="371" t="str">
        <f>IF(F145="","",IF(OR(J145&lt;=L145,J145-N145*O145&lt;=K145),MAX(IFERROR(VLOOKUP(F145,'商品カタログ'!$A:$O,8,FALSE),0),IFERROR(CEILING(MAX(0,M145-J145),MAX(1,VLOOKUP(F145,'商品カタログ'!$A:$O,9,FALSE))),MAX(0,M145-J145))),0))</f>
      </c>
      <c r="Q145" s="371"/>
      <c r="R145" s="331" t="str">
        <f>IF(F145="","",IFERROR(VLOOKUP(F145,'商品カタログ'!$A:$O,6,FALSE),""))</f>
      </c>
      <c r="S145" s="377" t="str">
        <f>IF(F145="","",IFERROR(VLOOKUP(F145,'商品カタログ'!$A:$O,14,FALSE),""))</f>
      </c>
      <c r="T145" s="377" t="str">
        <f>IF(F145="","",IFERROR(Q145*S145,0))</f>
      </c>
      <c r="U145" s="331"/>
      <c r="V145" s="331"/>
      <c r="W145" s="365" t="str">
        <f>IF(OR(B145="",O145=""),"",B145+O145)</f>
      </c>
      <c r="X145" s="365"/>
      <c r="Y145" s="371"/>
      <c r="Z145" s="371" t="str">
        <f>IF(F145="","",IF(V145="入荷済み",Y145-Q145,IF(V145="一部入荷",Y145-Q145,"")))</f>
      </c>
      <c r="AA145" s="331"/>
      <c r="AB145" s="331"/>
      <c r="AC145" s="331" t="str">
        <f>IF(F145="","",IF(V145="キャンセル済み","キャンセル済み",IF(AND(V145="入荷済み",Y145&gt;=Q145),"通常",IF(AND(W145&lt;TODAY(),W145&lt;&gt;"",V145&lt;&gt;"入荷済み"),"入荷遅延",IF(J145&lt;=K145,"セキュリティ在庫割れ",IF(J145&lt;=L145,"発注点到達",IF(Q145&lt;P145,"申請数が推奨数未満","通常")))))))</f>
      </c>
      <c r="AD145" s="332" t="str">
        <f>IF(F145="","",IF(N145=0,"不明",IF(J145/N145&lt;O145,"高リスク：リードタイム不足",IF(J145/N145&lt;O145+3,"中リスク","低リスク"))))</f>
      </c>
    </row>
    <row r="146" ht="19" customHeight="true">
      <c r="A146" s="330" t="str">
        <f>IF(F146="","","RL-"&amp;TEXT(ROW()-3,"0000"))</f>
      </c>
      <c r="B146" s="365"/>
      <c r="C146" s="331"/>
      <c r="D146" s="331"/>
      <c r="E146" s="331"/>
      <c r="F146" s="331"/>
      <c r="G146" s="331" t="str">
        <f>IF(F146="","",IFERROR(VLOOKUP(F146,'商品カタログ'!$A:$O,2,FALSE),""))</f>
      </c>
      <c r="H146" s="331" t="str">
        <f>IF(F146="","",IFERROR(VLOOKUP(F146,'商品カタログ'!$A:$O,3,FALSE),""))</f>
      </c>
      <c r="I146" s="331" t="str">
        <f>IF(F146="","",IFERROR(VLOOKUP(F146,'商品カタログ'!$A:$O,7,FALSE),""))</f>
      </c>
      <c r="J146" s="371"/>
      <c r="K146" s="371" t="str">
        <f>IF(F146="","",IFERROR(VLOOKUP(F146,'商品カタログ'!$A:$O,11,FALSE),""))</f>
      </c>
      <c r="L146" s="371" t="str">
        <f>IF(F146="","",IFERROR(VLOOKUP(F146,'商品カタログ'!$A:$O,12,FALSE),""))</f>
      </c>
      <c r="M146" s="371" t="str">
        <f>IF(F146="","",IFERROR(VLOOKUP(F146,'商品カタログ'!$A:$O,13,FALSE),""))</f>
      </c>
      <c r="N146" s="371"/>
      <c r="O146" s="371" t="str">
        <f>IF(F146="","",IFERROR(VLOOKUP(F146,'商品カタログ'!$A:$O,10,FALSE),""))</f>
      </c>
      <c r="P146" s="371" t="str">
        <f>IF(F146="","",IF(OR(J146&lt;=L146,J146-N146*O146&lt;=K146),MAX(IFERROR(VLOOKUP(F146,'商品カタログ'!$A:$O,8,FALSE),0),IFERROR(CEILING(MAX(0,M146-J146),MAX(1,VLOOKUP(F146,'商品カタログ'!$A:$O,9,FALSE))),MAX(0,M146-J146))),0))</f>
      </c>
      <c r="Q146" s="371"/>
      <c r="R146" s="331" t="str">
        <f>IF(F146="","",IFERROR(VLOOKUP(F146,'商品カタログ'!$A:$O,6,FALSE),""))</f>
      </c>
      <c r="S146" s="377" t="str">
        <f>IF(F146="","",IFERROR(VLOOKUP(F146,'商品カタログ'!$A:$O,14,FALSE),""))</f>
      </c>
      <c r="T146" s="377" t="str">
        <f>IF(F146="","",IFERROR(Q146*S146,0))</f>
      </c>
      <c r="U146" s="331"/>
      <c r="V146" s="331"/>
      <c r="W146" s="365" t="str">
        <f>IF(OR(B146="",O146=""),"",B146+O146)</f>
      </c>
      <c r="X146" s="365"/>
      <c r="Y146" s="371"/>
      <c r="Z146" s="371" t="str">
        <f>IF(F146="","",IF(V146="入荷済み",Y146-Q146,IF(V146="一部入荷",Y146-Q146,"")))</f>
      </c>
      <c r="AA146" s="331"/>
      <c r="AB146" s="331"/>
      <c r="AC146" s="331" t="str">
        <f>IF(F146="","",IF(V146="キャンセル済み","キャンセル済み",IF(AND(V146="入荷済み",Y146&gt;=Q146),"通常",IF(AND(W146&lt;TODAY(),W146&lt;&gt;"",V146&lt;&gt;"入荷済み"),"入荷遅延",IF(J146&lt;=K146,"セキュリティ在庫割れ",IF(J146&lt;=L146,"発注点到達",IF(Q146&lt;P146,"申請数が推奨数未満","通常")))))))</f>
      </c>
      <c r="AD146" s="332" t="str">
        <f>IF(F146="","",IF(N146=0,"不明",IF(J146/N146&lt;O146,"高リスク：リードタイム不足",IF(J146/N146&lt;O146+3,"中リスク","低リスク"))))</f>
      </c>
    </row>
    <row r="147" ht="19" customHeight="true">
      <c r="A147" s="330" t="str">
        <f>IF(F147="","","RL-"&amp;TEXT(ROW()-3,"0000"))</f>
      </c>
      <c r="B147" s="365"/>
      <c r="C147" s="331"/>
      <c r="D147" s="331"/>
      <c r="E147" s="331"/>
      <c r="F147" s="331"/>
      <c r="G147" s="331" t="str">
        <f>IF(F147="","",IFERROR(VLOOKUP(F147,'商品カタログ'!$A:$O,2,FALSE),""))</f>
      </c>
      <c r="H147" s="331" t="str">
        <f>IF(F147="","",IFERROR(VLOOKUP(F147,'商品カタログ'!$A:$O,3,FALSE),""))</f>
      </c>
      <c r="I147" s="331" t="str">
        <f>IF(F147="","",IFERROR(VLOOKUP(F147,'商品カタログ'!$A:$O,7,FALSE),""))</f>
      </c>
      <c r="J147" s="371"/>
      <c r="K147" s="371" t="str">
        <f>IF(F147="","",IFERROR(VLOOKUP(F147,'商品カタログ'!$A:$O,11,FALSE),""))</f>
      </c>
      <c r="L147" s="371" t="str">
        <f>IF(F147="","",IFERROR(VLOOKUP(F147,'商品カタログ'!$A:$O,12,FALSE),""))</f>
      </c>
      <c r="M147" s="371" t="str">
        <f>IF(F147="","",IFERROR(VLOOKUP(F147,'商品カタログ'!$A:$O,13,FALSE),""))</f>
      </c>
      <c r="N147" s="371"/>
      <c r="O147" s="371" t="str">
        <f>IF(F147="","",IFERROR(VLOOKUP(F147,'商品カタログ'!$A:$O,10,FALSE),""))</f>
      </c>
      <c r="P147" s="371" t="str">
        <f>IF(F147="","",IF(OR(J147&lt;=L147,J147-N147*O147&lt;=K147),MAX(IFERROR(VLOOKUP(F147,'商品カタログ'!$A:$O,8,FALSE),0),IFERROR(CEILING(MAX(0,M147-J147),MAX(1,VLOOKUP(F147,'商品カタログ'!$A:$O,9,FALSE))),MAX(0,M147-J147))),0))</f>
      </c>
      <c r="Q147" s="371"/>
      <c r="R147" s="331" t="str">
        <f>IF(F147="","",IFERROR(VLOOKUP(F147,'商品カタログ'!$A:$O,6,FALSE),""))</f>
      </c>
      <c r="S147" s="377" t="str">
        <f>IF(F147="","",IFERROR(VLOOKUP(F147,'商品カタログ'!$A:$O,14,FALSE),""))</f>
      </c>
      <c r="T147" s="377" t="str">
        <f>IF(F147="","",IFERROR(Q147*S147,0))</f>
      </c>
      <c r="U147" s="331"/>
      <c r="V147" s="331"/>
      <c r="W147" s="365" t="str">
        <f>IF(OR(B147="",O147=""),"",B147+O147)</f>
      </c>
      <c r="X147" s="365"/>
      <c r="Y147" s="371"/>
      <c r="Z147" s="371" t="str">
        <f>IF(F147="","",IF(V147="入荷済み",Y147-Q147,IF(V147="一部入荷",Y147-Q147,"")))</f>
      </c>
      <c r="AA147" s="331"/>
      <c r="AB147" s="331"/>
      <c r="AC147" s="331" t="str">
        <f>IF(F147="","",IF(V147="キャンセル済み","キャンセル済み",IF(AND(V147="入荷済み",Y147&gt;=Q147),"通常",IF(AND(W147&lt;TODAY(),W147&lt;&gt;"",V147&lt;&gt;"入荷済み"),"入荷遅延",IF(J147&lt;=K147,"セキュリティ在庫割れ",IF(J147&lt;=L147,"発注点到達",IF(Q147&lt;P147,"申請数が推奨数未満","通常")))))))</f>
      </c>
      <c r="AD147" s="332" t="str">
        <f>IF(F147="","",IF(N147=0,"不明",IF(J147/N147&lt;O147,"高リスク：リードタイム不足",IF(J147/N147&lt;O147+3,"中リスク","低リスク"))))</f>
      </c>
    </row>
    <row r="148" ht="19" customHeight="true">
      <c r="A148" s="330" t="str">
        <f>IF(F148="","","RL-"&amp;TEXT(ROW()-3,"0000"))</f>
      </c>
      <c r="B148" s="365"/>
      <c r="C148" s="331"/>
      <c r="D148" s="331"/>
      <c r="E148" s="331"/>
      <c r="F148" s="331"/>
      <c r="G148" s="331" t="str">
        <f>IF(F148="","",IFERROR(VLOOKUP(F148,'商品カタログ'!$A:$O,2,FALSE),""))</f>
      </c>
      <c r="H148" s="331" t="str">
        <f>IF(F148="","",IFERROR(VLOOKUP(F148,'商品カタログ'!$A:$O,3,FALSE),""))</f>
      </c>
      <c r="I148" s="331" t="str">
        <f>IF(F148="","",IFERROR(VLOOKUP(F148,'商品カタログ'!$A:$O,7,FALSE),""))</f>
      </c>
      <c r="J148" s="371"/>
      <c r="K148" s="371" t="str">
        <f>IF(F148="","",IFERROR(VLOOKUP(F148,'商品カタログ'!$A:$O,11,FALSE),""))</f>
      </c>
      <c r="L148" s="371" t="str">
        <f>IF(F148="","",IFERROR(VLOOKUP(F148,'商品カタログ'!$A:$O,12,FALSE),""))</f>
      </c>
      <c r="M148" s="371" t="str">
        <f>IF(F148="","",IFERROR(VLOOKUP(F148,'商品カタログ'!$A:$O,13,FALSE),""))</f>
      </c>
      <c r="N148" s="371"/>
      <c r="O148" s="371" t="str">
        <f>IF(F148="","",IFERROR(VLOOKUP(F148,'商品カタログ'!$A:$O,10,FALSE),""))</f>
      </c>
      <c r="P148" s="371" t="str">
        <f>IF(F148="","",IF(OR(J148&lt;=L148,J148-N148*O148&lt;=K148),MAX(IFERROR(VLOOKUP(F148,'商品カタログ'!$A:$O,8,FALSE),0),IFERROR(CEILING(MAX(0,M148-J148),MAX(1,VLOOKUP(F148,'商品カタログ'!$A:$O,9,FALSE))),MAX(0,M148-J148))),0))</f>
      </c>
      <c r="Q148" s="371"/>
      <c r="R148" s="331" t="str">
        <f>IF(F148="","",IFERROR(VLOOKUP(F148,'商品カタログ'!$A:$O,6,FALSE),""))</f>
      </c>
      <c r="S148" s="377" t="str">
        <f>IF(F148="","",IFERROR(VLOOKUP(F148,'商品カタログ'!$A:$O,14,FALSE),""))</f>
      </c>
      <c r="T148" s="377" t="str">
        <f>IF(F148="","",IFERROR(Q148*S148,0))</f>
      </c>
      <c r="U148" s="331"/>
      <c r="V148" s="331"/>
      <c r="W148" s="365" t="str">
        <f>IF(OR(B148="",O148=""),"",B148+O148)</f>
      </c>
      <c r="X148" s="365"/>
      <c r="Y148" s="371"/>
      <c r="Z148" s="371" t="str">
        <f>IF(F148="","",IF(V148="入荷済み",Y148-Q148,IF(V148="一部入荷",Y148-Q148,"")))</f>
      </c>
      <c r="AA148" s="331"/>
      <c r="AB148" s="331"/>
      <c r="AC148" s="331" t="str">
        <f>IF(F148="","",IF(V148="キャンセル済み","キャンセル済み",IF(AND(V148="入荷済み",Y148&gt;=Q148),"通常",IF(AND(W148&lt;TODAY(),W148&lt;&gt;"",V148&lt;&gt;"入荷済み"),"入荷遅延",IF(J148&lt;=K148,"セキュリティ在庫割れ",IF(J148&lt;=L148,"発注点到達",IF(Q148&lt;P148,"申請数が推奨数未満","通常")))))))</f>
      </c>
      <c r="AD148" s="332" t="str">
        <f>IF(F148="","",IF(N148=0,"不明",IF(J148/N148&lt;O148,"高リスク：リードタイム不足",IF(J148/N148&lt;O148+3,"中リスク","低リスク"))))</f>
      </c>
    </row>
    <row r="149" ht="19" customHeight="true">
      <c r="A149" s="330" t="str">
        <f>IF(F149="","","RL-"&amp;TEXT(ROW()-3,"0000"))</f>
      </c>
      <c r="B149" s="365"/>
      <c r="C149" s="331"/>
      <c r="D149" s="331"/>
      <c r="E149" s="331"/>
      <c r="F149" s="331"/>
      <c r="G149" s="331" t="str">
        <f>IF(F149="","",IFERROR(VLOOKUP(F149,'商品カタログ'!$A:$O,2,FALSE),""))</f>
      </c>
      <c r="H149" s="331" t="str">
        <f>IF(F149="","",IFERROR(VLOOKUP(F149,'商品カタログ'!$A:$O,3,FALSE),""))</f>
      </c>
      <c r="I149" s="331" t="str">
        <f>IF(F149="","",IFERROR(VLOOKUP(F149,'商品カタログ'!$A:$O,7,FALSE),""))</f>
      </c>
      <c r="J149" s="371"/>
      <c r="K149" s="371" t="str">
        <f>IF(F149="","",IFERROR(VLOOKUP(F149,'商品カタログ'!$A:$O,11,FALSE),""))</f>
      </c>
      <c r="L149" s="371" t="str">
        <f>IF(F149="","",IFERROR(VLOOKUP(F149,'商品カタログ'!$A:$O,12,FALSE),""))</f>
      </c>
      <c r="M149" s="371" t="str">
        <f>IF(F149="","",IFERROR(VLOOKUP(F149,'商品カタログ'!$A:$O,13,FALSE),""))</f>
      </c>
      <c r="N149" s="371"/>
      <c r="O149" s="371" t="str">
        <f>IF(F149="","",IFERROR(VLOOKUP(F149,'商品カタログ'!$A:$O,10,FALSE),""))</f>
      </c>
      <c r="P149" s="371" t="str">
        <f>IF(F149="","",IF(OR(J149&lt;=L149,J149-N149*O149&lt;=K149),MAX(IFERROR(VLOOKUP(F149,'商品カタログ'!$A:$O,8,FALSE),0),IFERROR(CEILING(MAX(0,M149-J149),MAX(1,VLOOKUP(F149,'商品カタログ'!$A:$O,9,FALSE))),MAX(0,M149-J149))),0))</f>
      </c>
      <c r="Q149" s="371"/>
      <c r="R149" s="331" t="str">
        <f>IF(F149="","",IFERROR(VLOOKUP(F149,'商品カタログ'!$A:$O,6,FALSE),""))</f>
      </c>
      <c r="S149" s="377" t="str">
        <f>IF(F149="","",IFERROR(VLOOKUP(F149,'商品カタログ'!$A:$O,14,FALSE),""))</f>
      </c>
      <c r="T149" s="377" t="str">
        <f>IF(F149="","",IFERROR(Q149*S149,0))</f>
      </c>
      <c r="U149" s="331"/>
      <c r="V149" s="331"/>
      <c r="W149" s="365" t="str">
        <f>IF(OR(B149="",O149=""),"",B149+O149)</f>
      </c>
      <c r="X149" s="365"/>
      <c r="Y149" s="371"/>
      <c r="Z149" s="371" t="str">
        <f>IF(F149="","",IF(V149="入荷済み",Y149-Q149,IF(V149="一部入荷",Y149-Q149,"")))</f>
      </c>
      <c r="AA149" s="331"/>
      <c r="AB149" s="331"/>
      <c r="AC149" s="331" t="str">
        <f>IF(F149="","",IF(V149="キャンセル済み","キャンセル済み",IF(AND(V149="入荷済み",Y149&gt;=Q149),"通常",IF(AND(W149&lt;TODAY(),W149&lt;&gt;"",V149&lt;&gt;"入荷済み"),"入荷遅延",IF(J149&lt;=K149,"セキュリティ在庫割れ",IF(J149&lt;=L149,"発注点到達",IF(Q149&lt;P149,"申請数が推奨数未満","通常")))))))</f>
      </c>
      <c r="AD149" s="332" t="str">
        <f>IF(F149="","",IF(N149=0,"不明",IF(J149/N149&lt;O149,"高リスク：リードタイム不足",IF(J149/N149&lt;O149+3,"中リスク","低リスク"))))</f>
      </c>
    </row>
    <row r="150" ht="19" customHeight="true">
      <c r="A150" s="330" t="str">
        <f>IF(F150="","","RL-"&amp;TEXT(ROW()-3,"0000"))</f>
      </c>
      <c r="B150" s="365"/>
      <c r="C150" s="331"/>
      <c r="D150" s="331"/>
      <c r="E150" s="331"/>
      <c r="F150" s="331"/>
      <c r="G150" s="331" t="str">
        <f>IF(F150="","",IFERROR(VLOOKUP(F150,'商品カタログ'!$A:$O,2,FALSE),""))</f>
      </c>
      <c r="H150" s="331" t="str">
        <f>IF(F150="","",IFERROR(VLOOKUP(F150,'商品カタログ'!$A:$O,3,FALSE),""))</f>
      </c>
      <c r="I150" s="331" t="str">
        <f>IF(F150="","",IFERROR(VLOOKUP(F150,'商品カタログ'!$A:$O,7,FALSE),""))</f>
      </c>
      <c r="J150" s="371"/>
      <c r="K150" s="371" t="str">
        <f>IF(F150="","",IFERROR(VLOOKUP(F150,'商品カタログ'!$A:$O,11,FALSE),""))</f>
      </c>
      <c r="L150" s="371" t="str">
        <f>IF(F150="","",IFERROR(VLOOKUP(F150,'商品カタログ'!$A:$O,12,FALSE),""))</f>
      </c>
      <c r="M150" s="371" t="str">
        <f>IF(F150="","",IFERROR(VLOOKUP(F150,'商品カタログ'!$A:$O,13,FALSE),""))</f>
      </c>
      <c r="N150" s="371"/>
      <c r="O150" s="371" t="str">
        <f>IF(F150="","",IFERROR(VLOOKUP(F150,'商品カタログ'!$A:$O,10,FALSE),""))</f>
      </c>
      <c r="P150" s="371" t="str">
        <f>IF(F150="","",IF(OR(J150&lt;=L150,J150-N150*O150&lt;=K150),MAX(IFERROR(VLOOKUP(F150,'商品カタログ'!$A:$O,8,FALSE),0),IFERROR(CEILING(MAX(0,M150-J150),MAX(1,VLOOKUP(F150,'商品カタログ'!$A:$O,9,FALSE))),MAX(0,M150-J150))),0))</f>
      </c>
      <c r="Q150" s="371"/>
      <c r="R150" s="331" t="str">
        <f>IF(F150="","",IFERROR(VLOOKUP(F150,'商品カタログ'!$A:$O,6,FALSE),""))</f>
      </c>
      <c r="S150" s="377" t="str">
        <f>IF(F150="","",IFERROR(VLOOKUP(F150,'商品カタログ'!$A:$O,14,FALSE),""))</f>
      </c>
      <c r="T150" s="377" t="str">
        <f>IF(F150="","",IFERROR(Q150*S150,0))</f>
      </c>
      <c r="U150" s="331"/>
      <c r="V150" s="331"/>
      <c r="W150" s="365" t="str">
        <f>IF(OR(B150="",O150=""),"",B150+O150)</f>
      </c>
      <c r="X150" s="365"/>
      <c r="Y150" s="371"/>
      <c r="Z150" s="371" t="str">
        <f>IF(F150="","",IF(V150="入荷済み",Y150-Q150,IF(V150="一部入荷",Y150-Q150,"")))</f>
      </c>
      <c r="AA150" s="331"/>
      <c r="AB150" s="331"/>
      <c r="AC150" s="331" t="str">
        <f>IF(F150="","",IF(V150="キャンセル済み","キャンセル済み",IF(AND(V150="入荷済み",Y150&gt;=Q150),"通常",IF(AND(W150&lt;TODAY(),W150&lt;&gt;"",V150&lt;&gt;"入荷済み"),"入荷遅延",IF(J150&lt;=K150,"セキュリティ在庫割れ",IF(J150&lt;=L150,"発注点到達",IF(Q150&lt;P150,"申請数が推奨数未満","通常")))))))</f>
      </c>
      <c r="AD150" s="332" t="str">
        <f>IF(F150="","",IF(N150=0,"不明",IF(J150/N150&lt;O150,"高リスク：リードタイム不足",IF(J150/N150&lt;O150+3,"中リスク","低リスク"))))</f>
      </c>
    </row>
    <row r="151" ht="19" customHeight="true">
      <c r="A151" s="330" t="str">
        <f>IF(F151="","","RL-"&amp;TEXT(ROW()-3,"0000"))</f>
      </c>
      <c r="B151" s="365"/>
      <c r="C151" s="331"/>
      <c r="D151" s="331"/>
      <c r="E151" s="331"/>
      <c r="F151" s="331"/>
      <c r="G151" s="331" t="str">
        <f>IF(F151="","",IFERROR(VLOOKUP(F151,'商品カタログ'!$A:$O,2,FALSE),""))</f>
      </c>
      <c r="H151" s="331" t="str">
        <f>IF(F151="","",IFERROR(VLOOKUP(F151,'商品カタログ'!$A:$O,3,FALSE),""))</f>
      </c>
      <c r="I151" s="331" t="str">
        <f>IF(F151="","",IFERROR(VLOOKUP(F151,'商品カタログ'!$A:$O,7,FALSE),""))</f>
      </c>
      <c r="J151" s="371"/>
      <c r="K151" s="371" t="str">
        <f>IF(F151="","",IFERROR(VLOOKUP(F151,'商品カタログ'!$A:$O,11,FALSE),""))</f>
      </c>
      <c r="L151" s="371" t="str">
        <f>IF(F151="","",IFERROR(VLOOKUP(F151,'商品カタログ'!$A:$O,12,FALSE),""))</f>
      </c>
      <c r="M151" s="371" t="str">
        <f>IF(F151="","",IFERROR(VLOOKUP(F151,'商品カタログ'!$A:$O,13,FALSE),""))</f>
      </c>
      <c r="N151" s="371"/>
      <c r="O151" s="371" t="str">
        <f>IF(F151="","",IFERROR(VLOOKUP(F151,'商品カタログ'!$A:$O,10,FALSE),""))</f>
      </c>
      <c r="P151" s="371" t="str">
        <f>IF(F151="","",IF(OR(J151&lt;=L151,J151-N151*O151&lt;=K151),MAX(IFERROR(VLOOKUP(F151,'商品カタログ'!$A:$O,8,FALSE),0),IFERROR(CEILING(MAX(0,M151-J151),MAX(1,VLOOKUP(F151,'商品カタログ'!$A:$O,9,FALSE))),MAX(0,M151-J151))),0))</f>
      </c>
      <c r="Q151" s="371"/>
      <c r="R151" s="331" t="str">
        <f>IF(F151="","",IFERROR(VLOOKUP(F151,'商品カタログ'!$A:$O,6,FALSE),""))</f>
      </c>
      <c r="S151" s="377" t="str">
        <f>IF(F151="","",IFERROR(VLOOKUP(F151,'商品カタログ'!$A:$O,14,FALSE),""))</f>
      </c>
      <c r="T151" s="377" t="str">
        <f>IF(F151="","",IFERROR(Q151*S151,0))</f>
      </c>
      <c r="U151" s="331"/>
      <c r="V151" s="331"/>
      <c r="W151" s="365" t="str">
        <f>IF(OR(B151="",O151=""),"",B151+O151)</f>
      </c>
      <c r="X151" s="365"/>
      <c r="Y151" s="371"/>
      <c r="Z151" s="371" t="str">
        <f>IF(F151="","",IF(V151="入荷済み",Y151-Q151,IF(V151="一部入荷",Y151-Q151,"")))</f>
      </c>
      <c r="AA151" s="331"/>
      <c r="AB151" s="331"/>
      <c r="AC151" s="331" t="str">
        <f>IF(F151="","",IF(V151="キャンセル済み","キャンセル済み",IF(AND(V151="入荷済み",Y151&gt;=Q151),"通常",IF(AND(W151&lt;TODAY(),W151&lt;&gt;"",V151&lt;&gt;"入荷済み"),"入荷遅延",IF(J151&lt;=K151,"セキュリティ在庫割れ",IF(J151&lt;=L151,"発注点到達",IF(Q151&lt;P151,"申請数が推奨数未満","通常")))))))</f>
      </c>
      <c r="AD151" s="332" t="str">
        <f>IF(F151="","",IF(N151=0,"不明",IF(J151/N151&lt;O151,"高リスク：リードタイム不足",IF(J151/N151&lt;O151+3,"中リスク","低リスク"))))</f>
      </c>
    </row>
    <row r="152" ht="19" customHeight="true">
      <c r="A152" s="330" t="str">
        <f>IF(F152="","","RL-"&amp;TEXT(ROW()-3,"0000"))</f>
      </c>
      <c r="B152" s="365"/>
      <c r="C152" s="331"/>
      <c r="D152" s="331"/>
      <c r="E152" s="331"/>
      <c r="F152" s="331"/>
      <c r="G152" s="331" t="str">
        <f>IF(F152="","",IFERROR(VLOOKUP(F152,'商品カタログ'!$A:$O,2,FALSE),""))</f>
      </c>
      <c r="H152" s="331" t="str">
        <f>IF(F152="","",IFERROR(VLOOKUP(F152,'商品カタログ'!$A:$O,3,FALSE),""))</f>
      </c>
      <c r="I152" s="331" t="str">
        <f>IF(F152="","",IFERROR(VLOOKUP(F152,'商品カタログ'!$A:$O,7,FALSE),""))</f>
      </c>
      <c r="J152" s="371"/>
      <c r="K152" s="371" t="str">
        <f>IF(F152="","",IFERROR(VLOOKUP(F152,'商品カタログ'!$A:$O,11,FALSE),""))</f>
      </c>
      <c r="L152" s="371" t="str">
        <f>IF(F152="","",IFERROR(VLOOKUP(F152,'商品カタログ'!$A:$O,12,FALSE),""))</f>
      </c>
      <c r="M152" s="371" t="str">
        <f>IF(F152="","",IFERROR(VLOOKUP(F152,'商品カタログ'!$A:$O,13,FALSE),""))</f>
      </c>
      <c r="N152" s="371"/>
      <c r="O152" s="371" t="str">
        <f>IF(F152="","",IFERROR(VLOOKUP(F152,'商品カタログ'!$A:$O,10,FALSE),""))</f>
      </c>
      <c r="P152" s="371" t="str">
        <f>IF(F152="","",IF(OR(J152&lt;=L152,J152-N152*O152&lt;=K152),MAX(IFERROR(VLOOKUP(F152,'商品カタログ'!$A:$O,8,FALSE),0),IFERROR(CEILING(MAX(0,M152-J152),MAX(1,VLOOKUP(F152,'商品カタログ'!$A:$O,9,FALSE))),MAX(0,M152-J152))),0))</f>
      </c>
      <c r="Q152" s="371"/>
      <c r="R152" s="331" t="str">
        <f>IF(F152="","",IFERROR(VLOOKUP(F152,'商品カタログ'!$A:$O,6,FALSE),""))</f>
      </c>
      <c r="S152" s="377" t="str">
        <f>IF(F152="","",IFERROR(VLOOKUP(F152,'商品カタログ'!$A:$O,14,FALSE),""))</f>
      </c>
      <c r="T152" s="377" t="str">
        <f>IF(F152="","",IFERROR(Q152*S152,0))</f>
      </c>
      <c r="U152" s="331"/>
      <c r="V152" s="331"/>
      <c r="W152" s="365" t="str">
        <f>IF(OR(B152="",O152=""),"",B152+O152)</f>
      </c>
      <c r="X152" s="365"/>
      <c r="Y152" s="371"/>
      <c r="Z152" s="371" t="str">
        <f>IF(F152="","",IF(V152="入荷済み",Y152-Q152,IF(V152="一部入荷",Y152-Q152,"")))</f>
      </c>
      <c r="AA152" s="331"/>
      <c r="AB152" s="331"/>
      <c r="AC152" s="331" t="str">
        <f>IF(F152="","",IF(V152="キャンセル済み","キャンセル済み",IF(AND(V152="入荷済み",Y152&gt;=Q152),"通常",IF(AND(W152&lt;TODAY(),W152&lt;&gt;"",V152&lt;&gt;"入荷済み"),"入荷遅延",IF(J152&lt;=K152,"セキュリティ在庫割れ",IF(J152&lt;=L152,"発注点到達",IF(Q152&lt;P152,"申請数が推奨数未満","通常")))))))</f>
      </c>
      <c r="AD152" s="332" t="str">
        <f>IF(F152="","",IF(N152=0,"不明",IF(J152/N152&lt;O152,"高リスク：リードタイム不足",IF(J152/N152&lt;O152+3,"中リスク","低リスク"))))</f>
      </c>
    </row>
    <row r="153" ht="19" customHeight="true">
      <c r="A153" s="330" t="str">
        <f>IF(F153="","","RL-"&amp;TEXT(ROW()-3,"0000"))</f>
      </c>
      <c r="B153" s="365"/>
      <c r="C153" s="331"/>
      <c r="D153" s="331"/>
      <c r="E153" s="331"/>
      <c r="F153" s="331"/>
      <c r="G153" s="331" t="str">
        <f>IF(F153="","",IFERROR(VLOOKUP(F153,'商品カタログ'!$A:$O,2,FALSE),""))</f>
      </c>
      <c r="H153" s="331" t="str">
        <f>IF(F153="","",IFERROR(VLOOKUP(F153,'商品カタログ'!$A:$O,3,FALSE),""))</f>
      </c>
      <c r="I153" s="331" t="str">
        <f>IF(F153="","",IFERROR(VLOOKUP(F153,'商品カタログ'!$A:$O,7,FALSE),""))</f>
      </c>
      <c r="J153" s="371"/>
      <c r="K153" s="371" t="str">
        <f>IF(F153="","",IFERROR(VLOOKUP(F153,'商品カタログ'!$A:$O,11,FALSE),""))</f>
      </c>
      <c r="L153" s="371" t="str">
        <f>IF(F153="","",IFERROR(VLOOKUP(F153,'商品カタログ'!$A:$O,12,FALSE),""))</f>
      </c>
      <c r="M153" s="371" t="str">
        <f>IF(F153="","",IFERROR(VLOOKUP(F153,'商品カタログ'!$A:$O,13,FALSE),""))</f>
      </c>
      <c r="N153" s="371"/>
      <c r="O153" s="371" t="str">
        <f>IF(F153="","",IFERROR(VLOOKUP(F153,'商品カタログ'!$A:$O,10,FALSE),""))</f>
      </c>
      <c r="P153" s="371" t="str">
        <f>IF(F153="","",IF(OR(J153&lt;=L153,J153-N153*O153&lt;=K153),MAX(IFERROR(VLOOKUP(F153,'商品カタログ'!$A:$O,8,FALSE),0),IFERROR(CEILING(MAX(0,M153-J153),MAX(1,VLOOKUP(F153,'商品カタログ'!$A:$O,9,FALSE))),MAX(0,M153-J153))),0))</f>
      </c>
      <c r="Q153" s="371"/>
      <c r="R153" s="331" t="str">
        <f>IF(F153="","",IFERROR(VLOOKUP(F153,'商品カタログ'!$A:$O,6,FALSE),""))</f>
      </c>
      <c r="S153" s="377" t="str">
        <f>IF(F153="","",IFERROR(VLOOKUP(F153,'商品カタログ'!$A:$O,14,FALSE),""))</f>
      </c>
      <c r="T153" s="377" t="str">
        <f>IF(F153="","",IFERROR(Q153*S153,0))</f>
      </c>
      <c r="U153" s="331"/>
      <c r="V153" s="331"/>
      <c r="W153" s="365" t="str">
        <f>IF(OR(B153="",O153=""),"",B153+O153)</f>
      </c>
      <c r="X153" s="365"/>
      <c r="Y153" s="371"/>
      <c r="Z153" s="371" t="str">
        <f>IF(F153="","",IF(V153="入荷済み",Y153-Q153,IF(V153="一部入荷",Y153-Q153,"")))</f>
      </c>
      <c r="AA153" s="331"/>
      <c r="AB153" s="331"/>
      <c r="AC153" s="331" t="str">
        <f>IF(F153="","",IF(V153="キャンセル済み","キャンセル済み",IF(AND(V153="入荷済み",Y153&gt;=Q153),"通常",IF(AND(W153&lt;TODAY(),W153&lt;&gt;"",V153&lt;&gt;"入荷済み"),"入荷遅延",IF(J153&lt;=K153,"セキュリティ在庫割れ",IF(J153&lt;=L153,"発注点到達",IF(Q153&lt;P153,"申請数が推奨数未満","通常")))))))</f>
      </c>
      <c r="AD153" s="332" t="str">
        <f>IF(F153="","",IF(N153=0,"不明",IF(J153/N153&lt;O153,"高リスク：リードタイム不足",IF(J153/N153&lt;O153+3,"中リスク","低リスク"))))</f>
      </c>
    </row>
    <row r="154" ht="19" customHeight="true">
      <c r="A154" s="330" t="str">
        <f>IF(F154="","","RL-"&amp;TEXT(ROW()-3,"0000"))</f>
      </c>
      <c r="B154" s="365"/>
      <c r="C154" s="331"/>
      <c r="D154" s="331"/>
      <c r="E154" s="331"/>
      <c r="F154" s="331"/>
      <c r="G154" s="331" t="str">
        <f>IF(F154="","",IFERROR(VLOOKUP(F154,'商品カタログ'!$A:$O,2,FALSE),""))</f>
      </c>
      <c r="H154" s="331" t="str">
        <f>IF(F154="","",IFERROR(VLOOKUP(F154,'商品カタログ'!$A:$O,3,FALSE),""))</f>
      </c>
      <c r="I154" s="331" t="str">
        <f>IF(F154="","",IFERROR(VLOOKUP(F154,'商品カタログ'!$A:$O,7,FALSE),""))</f>
      </c>
      <c r="J154" s="371"/>
      <c r="K154" s="371" t="str">
        <f>IF(F154="","",IFERROR(VLOOKUP(F154,'商品カタログ'!$A:$O,11,FALSE),""))</f>
      </c>
      <c r="L154" s="371" t="str">
        <f>IF(F154="","",IFERROR(VLOOKUP(F154,'商品カタログ'!$A:$O,12,FALSE),""))</f>
      </c>
      <c r="M154" s="371" t="str">
        <f>IF(F154="","",IFERROR(VLOOKUP(F154,'商品カタログ'!$A:$O,13,FALSE),""))</f>
      </c>
      <c r="N154" s="371"/>
      <c r="O154" s="371" t="str">
        <f>IF(F154="","",IFERROR(VLOOKUP(F154,'商品カタログ'!$A:$O,10,FALSE),""))</f>
      </c>
      <c r="P154" s="371" t="str">
        <f>IF(F154="","",IF(OR(J154&lt;=L154,J154-N154*O154&lt;=K154),MAX(IFERROR(VLOOKUP(F154,'商品カタログ'!$A:$O,8,FALSE),0),IFERROR(CEILING(MAX(0,M154-J154),MAX(1,VLOOKUP(F154,'商品カタログ'!$A:$O,9,FALSE))),MAX(0,M154-J154))),0))</f>
      </c>
      <c r="Q154" s="371"/>
      <c r="R154" s="331" t="str">
        <f>IF(F154="","",IFERROR(VLOOKUP(F154,'商品カタログ'!$A:$O,6,FALSE),""))</f>
      </c>
      <c r="S154" s="377" t="str">
        <f>IF(F154="","",IFERROR(VLOOKUP(F154,'商品カタログ'!$A:$O,14,FALSE),""))</f>
      </c>
      <c r="T154" s="377" t="str">
        <f>IF(F154="","",IFERROR(Q154*S154,0))</f>
      </c>
      <c r="U154" s="331"/>
      <c r="V154" s="331"/>
      <c r="W154" s="365" t="str">
        <f>IF(OR(B154="",O154=""),"",B154+O154)</f>
      </c>
      <c r="X154" s="365"/>
      <c r="Y154" s="371"/>
      <c r="Z154" s="371" t="str">
        <f>IF(F154="","",IF(V154="入荷済み",Y154-Q154,IF(V154="一部入荷",Y154-Q154,"")))</f>
      </c>
      <c r="AA154" s="331"/>
      <c r="AB154" s="331"/>
      <c r="AC154" s="331" t="str">
        <f>IF(F154="","",IF(V154="キャンセル済み","キャンセル済み",IF(AND(V154="入荷済み",Y154&gt;=Q154),"通常",IF(AND(W154&lt;TODAY(),W154&lt;&gt;"",V154&lt;&gt;"入荷済み"),"入荷遅延",IF(J154&lt;=K154,"セキュリティ在庫割れ",IF(J154&lt;=L154,"発注点到達",IF(Q154&lt;P154,"申請数が推奨数未満","通常")))))))</f>
      </c>
      <c r="AD154" s="332" t="str">
        <f>IF(F154="","",IF(N154=0,"不明",IF(J154/N154&lt;O154,"高リスク：リードタイム不足",IF(J154/N154&lt;O154+3,"中リスク","低リスク"))))</f>
      </c>
    </row>
    <row r="155" ht="19" customHeight="true">
      <c r="A155" s="330" t="str">
        <f>IF(F155="","","RL-"&amp;TEXT(ROW()-3,"0000"))</f>
      </c>
      <c r="B155" s="365"/>
      <c r="C155" s="331"/>
      <c r="D155" s="331"/>
      <c r="E155" s="331"/>
      <c r="F155" s="331"/>
      <c r="G155" s="331" t="str">
        <f>IF(F155="","",IFERROR(VLOOKUP(F155,'商品カタログ'!$A:$O,2,FALSE),""))</f>
      </c>
      <c r="H155" s="331" t="str">
        <f>IF(F155="","",IFERROR(VLOOKUP(F155,'商品カタログ'!$A:$O,3,FALSE),""))</f>
      </c>
      <c r="I155" s="331" t="str">
        <f>IF(F155="","",IFERROR(VLOOKUP(F155,'商品カタログ'!$A:$O,7,FALSE),""))</f>
      </c>
      <c r="J155" s="371"/>
      <c r="K155" s="371" t="str">
        <f>IF(F155="","",IFERROR(VLOOKUP(F155,'商品カタログ'!$A:$O,11,FALSE),""))</f>
      </c>
      <c r="L155" s="371" t="str">
        <f>IF(F155="","",IFERROR(VLOOKUP(F155,'商品カタログ'!$A:$O,12,FALSE),""))</f>
      </c>
      <c r="M155" s="371" t="str">
        <f>IF(F155="","",IFERROR(VLOOKUP(F155,'商品カタログ'!$A:$O,13,FALSE),""))</f>
      </c>
      <c r="N155" s="371"/>
      <c r="O155" s="371" t="str">
        <f>IF(F155="","",IFERROR(VLOOKUP(F155,'商品カタログ'!$A:$O,10,FALSE),""))</f>
      </c>
      <c r="P155" s="371" t="str">
        <f>IF(F155="","",IF(OR(J155&lt;=L155,J155-N155*O155&lt;=K155),MAX(IFERROR(VLOOKUP(F155,'商品カタログ'!$A:$O,8,FALSE),0),IFERROR(CEILING(MAX(0,M155-J155),MAX(1,VLOOKUP(F155,'商品カタログ'!$A:$O,9,FALSE))),MAX(0,M155-J155))),0))</f>
      </c>
      <c r="Q155" s="371"/>
      <c r="R155" s="331" t="str">
        <f>IF(F155="","",IFERROR(VLOOKUP(F155,'商品カタログ'!$A:$O,6,FALSE),""))</f>
      </c>
      <c r="S155" s="377" t="str">
        <f>IF(F155="","",IFERROR(VLOOKUP(F155,'商品カタログ'!$A:$O,14,FALSE),""))</f>
      </c>
      <c r="T155" s="377" t="str">
        <f>IF(F155="","",IFERROR(Q155*S155,0))</f>
      </c>
      <c r="U155" s="331"/>
      <c r="V155" s="331"/>
      <c r="W155" s="365" t="str">
        <f>IF(OR(B155="",O155=""),"",B155+O155)</f>
      </c>
      <c r="X155" s="365"/>
      <c r="Y155" s="371"/>
      <c r="Z155" s="371" t="str">
        <f>IF(F155="","",IF(V155="入荷済み",Y155-Q155,IF(V155="一部入荷",Y155-Q155,"")))</f>
      </c>
      <c r="AA155" s="331"/>
      <c r="AB155" s="331"/>
      <c r="AC155" s="331" t="str">
        <f>IF(F155="","",IF(V155="キャンセル済み","キャンセル済み",IF(AND(V155="入荷済み",Y155&gt;=Q155),"通常",IF(AND(W155&lt;TODAY(),W155&lt;&gt;"",V155&lt;&gt;"入荷済み"),"入荷遅延",IF(J155&lt;=K155,"セキュリティ在庫割れ",IF(J155&lt;=L155,"発注点到達",IF(Q155&lt;P155,"申請数が推奨数未満","通常")))))))</f>
      </c>
      <c r="AD155" s="332" t="str">
        <f>IF(F155="","",IF(N155=0,"不明",IF(J155/N155&lt;O155,"高リスク：リードタイム不足",IF(J155/N155&lt;O155+3,"中リスク","低リスク"))))</f>
      </c>
    </row>
    <row r="156" ht="19" customHeight="true">
      <c r="A156" s="330" t="str">
        <f>IF(F156="","","RL-"&amp;TEXT(ROW()-3,"0000"))</f>
      </c>
      <c r="B156" s="365"/>
      <c r="C156" s="331"/>
      <c r="D156" s="331"/>
      <c r="E156" s="331"/>
      <c r="F156" s="331"/>
      <c r="G156" s="331" t="str">
        <f>IF(F156="","",IFERROR(VLOOKUP(F156,'商品カタログ'!$A:$O,2,FALSE),""))</f>
      </c>
      <c r="H156" s="331" t="str">
        <f>IF(F156="","",IFERROR(VLOOKUP(F156,'商品カタログ'!$A:$O,3,FALSE),""))</f>
      </c>
      <c r="I156" s="331" t="str">
        <f>IF(F156="","",IFERROR(VLOOKUP(F156,'商品カタログ'!$A:$O,7,FALSE),""))</f>
      </c>
      <c r="J156" s="371"/>
      <c r="K156" s="371" t="str">
        <f>IF(F156="","",IFERROR(VLOOKUP(F156,'商品カタログ'!$A:$O,11,FALSE),""))</f>
      </c>
      <c r="L156" s="371" t="str">
        <f>IF(F156="","",IFERROR(VLOOKUP(F156,'商品カタログ'!$A:$O,12,FALSE),""))</f>
      </c>
      <c r="M156" s="371" t="str">
        <f>IF(F156="","",IFERROR(VLOOKUP(F156,'商品カタログ'!$A:$O,13,FALSE),""))</f>
      </c>
      <c r="N156" s="371"/>
      <c r="O156" s="371" t="str">
        <f>IF(F156="","",IFERROR(VLOOKUP(F156,'商品カタログ'!$A:$O,10,FALSE),""))</f>
      </c>
      <c r="P156" s="371" t="str">
        <f>IF(F156="","",IF(OR(J156&lt;=L156,J156-N156*O156&lt;=K156),MAX(IFERROR(VLOOKUP(F156,'商品カタログ'!$A:$O,8,FALSE),0),IFERROR(CEILING(MAX(0,M156-J156),MAX(1,VLOOKUP(F156,'商品カタログ'!$A:$O,9,FALSE))),MAX(0,M156-J156))),0))</f>
      </c>
      <c r="Q156" s="371"/>
      <c r="R156" s="331" t="str">
        <f>IF(F156="","",IFERROR(VLOOKUP(F156,'商品カタログ'!$A:$O,6,FALSE),""))</f>
      </c>
      <c r="S156" s="377" t="str">
        <f>IF(F156="","",IFERROR(VLOOKUP(F156,'商品カタログ'!$A:$O,14,FALSE),""))</f>
      </c>
      <c r="T156" s="377" t="str">
        <f>IF(F156="","",IFERROR(Q156*S156,0))</f>
      </c>
      <c r="U156" s="331"/>
      <c r="V156" s="331"/>
      <c r="W156" s="365" t="str">
        <f>IF(OR(B156="",O156=""),"",B156+O156)</f>
      </c>
      <c r="X156" s="365"/>
      <c r="Y156" s="371"/>
      <c r="Z156" s="371" t="str">
        <f>IF(F156="","",IF(V156="入荷済み",Y156-Q156,IF(V156="一部入荷",Y156-Q156,"")))</f>
      </c>
      <c r="AA156" s="331"/>
      <c r="AB156" s="331"/>
      <c r="AC156" s="331" t="str">
        <f>IF(F156="","",IF(V156="キャンセル済み","キャンセル済み",IF(AND(V156="入荷済み",Y156&gt;=Q156),"通常",IF(AND(W156&lt;TODAY(),W156&lt;&gt;"",V156&lt;&gt;"入荷済み"),"入荷遅延",IF(J156&lt;=K156,"セキュリティ在庫割れ",IF(J156&lt;=L156,"発注点到達",IF(Q156&lt;P156,"申請数が推奨数未満","通常")))))))</f>
      </c>
      <c r="AD156" s="332" t="str">
        <f>IF(F156="","",IF(N156=0,"不明",IF(J156/N156&lt;O156,"高リスク：リードタイム不足",IF(J156/N156&lt;O156+3,"中リスク","低リスク"))))</f>
      </c>
    </row>
    <row r="157" ht="19" customHeight="true">
      <c r="A157" s="330" t="str">
        <f>IF(F157="","","RL-"&amp;TEXT(ROW()-3,"0000"))</f>
      </c>
      <c r="B157" s="365"/>
      <c r="C157" s="331"/>
      <c r="D157" s="331"/>
      <c r="E157" s="331"/>
      <c r="F157" s="331"/>
      <c r="G157" s="331" t="str">
        <f>IF(F157="","",IFERROR(VLOOKUP(F157,'商品カタログ'!$A:$O,2,FALSE),""))</f>
      </c>
      <c r="H157" s="331" t="str">
        <f>IF(F157="","",IFERROR(VLOOKUP(F157,'商品カタログ'!$A:$O,3,FALSE),""))</f>
      </c>
      <c r="I157" s="331" t="str">
        <f>IF(F157="","",IFERROR(VLOOKUP(F157,'商品カタログ'!$A:$O,7,FALSE),""))</f>
      </c>
      <c r="J157" s="371"/>
      <c r="K157" s="371" t="str">
        <f>IF(F157="","",IFERROR(VLOOKUP(F157,'商品カタログ'!$A:$O,11,FALSE),""))</f>
      </c>
      <c r="L157" s="371" t="str">
        <f>IF(F157="","",IFERROR(VLOOKUP(F157,'商品カタログ'!$A:$O,12,FALSE),""))</f>
      </c>
      <c r="M157" s="371" t="str">
        <f>IF(F157="","",IFERROR(VLOOKUP(F157,'商品カタログ'!$A:$O,13,FALSE),""))</f>
      </c>
      <c r="N157" s="371"/>
      <c r="O157" s="371" t="str">
        <f>IF(F157="","",IFERROR(VLOOKUP(F157,'商品カタログ'!$A:$O,10,FALSE),""))</f>
      </c>
      <c r="P157" s="371" t="str">
        <f>IF(F157="","",IF(OR(J157&lt;=L157,J157-N157*O157&lt;=K157),MAX(IFERROR(VLOOKUP(F157,'商品カタログ'!$A:$O,8,FALSE),0),IFERROR(CEILING(MAX(0,M157-J157),MAX(1,VLOOKUP(F157,'商品カタログ'!$A:$O,9,FALSE))),MAX(0,M157-J157))),0))</f>
      </c>
      <c r="Q157" s="371"/>
      <c r="R157" s="331" t="str">
        <f>IF(F157="","",IFERROR(VLOOKUP(F157,'商品カタログ'!$A:$O,6,FALSE),""))</f>
      </c>
      <c r="S157" s="377" t="str">
        <f>IF(F157="","",IFERROR(VLOOKUP(F157,'商品カタログ'!$A:$O,14,FALSE),""))</f>
      </c>
      <c r="T157" s="377" t="str">
        <f>IF(F157="","",IFERROR(Q157*S157,0))</f>
      </c>
      <c r="U157" s="331"/>
      <c r="V157" s="331"/>
      <c r="W157" s="365" t="str">
        <f>IF(OR(B157="",O157=""),"",B157+O157)</f>
      </c>
      <c r="X157" s="365"/>
      <c r="Y157" s="371"/>
      <c r="Z157" s="371" t="str">
        <f>IF(F157="","",IF(V157="入荷済み",Y157-Q157,IF(V157="一部入荷",Y157-Q157,"")))</f>
      </c>
      <c r="AA157" s="331"/>
      <c r="AB157" s="331"/>
      <c r="AC157" s="331" t="str">
        <f>IF(F157="","",IF(V157="キャンセル済み","キャンセル済み",IF(AND(V157="入荷済み",Y157&gt;=Q157),"通常",IF(AND(W157&lt;TODAY(),W157&lt;&gt;"",V157&lt;&gt;"入荷済み"),"入荷遅延",IF(J157&lt;=K157,"セキュリティ在庫割れ",IF(J157&lt;=L157,"発注点到達",IF(Q157&lt;P157,"申請数が推奨数未満","通常")))))))</f>
      </c>
      <c r="AD157" s="332" t="str">
        <f>IF(F157="","",IF(N157=0,"不明",IF(J157/N157&lt;O157,"高リスク：リードタイム不足",IF(J157/N157&lt;O157+3,"中リスク","低リスク"))))</f>
      </c>
    </row>
    <row r="158" ht="19" customHeight="true">
      <c r="A158" s="330" t="str">
        <f>IF(F158="","","RL-"&amp;TEXT(ROW()-3,"0000"))</f>
      </c>
      <c r="B158" s="365"/>
      <c r="C158" s="331"/>
      <c r="D158" s="331"/>
      <c r="E158" s="331"/>
      <c r="F158" s="331"/>
      <c r="G158" s="331" t="str">
        <f>IF(F158="","",IFERROR(VLOOKUP(F158,'商品カタログ'!$A:$O,2,FALSE),""))</f>
      </c>
      <c r="H158" s="331" t="str">
        <f>IF(F158="","",IFERROR(VLOOKUP(F158,'商品カタログ'!$A:$O,3,FALSE),""))</f>
      </c>
      <c r="I158" s="331" t="str">
        <f>IF(F158="","",IFERROR(VLOOKUP(F158,'商品カタログ'!$A:$O,7,FALSE),""))</f>
      </c>
      <c r="J158" s="371"/>
      <c r="K158" s="371" t="str">
        <f>IF(F158="","",IFERROR(VLOOKUP(F158,'商品カタログ'!$A:$O,11,FALSE),""))</f>
      </c>
      <c r="L158" s="371" t="str">
        <f>IF(F158="","",IFERROR(VLOOKUP(F158,'商品カタログ'!$A:$O,12,FALSE),""))</f>
      </c>
      <c r="M158" s="371" t="str">
        <f>IF(F158="","",IFERROR(VLOOKUP(F158,'商品カタログ'!$A:$O,13,FALSE),""))</f>
      </c>
      <c r="N158" s="371"/>
      <c r="O158" s="371" t="str">
        <f>IF(F158="","",IFERROR(VLOOKUP(F158,'商品カタログ'!$A:$O,10,FALSE),""))</f>
      </c>
      <c r="P158" s="371" t="str">
        <f>IF(F158="","",IF(OR(J158&lt;=L158,J158-N158*O158&lt;=K158),MAX(IFERROR(VLOOKUP(F158,'商品カタログ'!$A:$O,8,FALSE),0),IFERROR(CEILING(MAX(0,M158-J158),MAX(1,VLOOKUP(F158,'商品カタログ'!$A:$O,9,FALSE))),MAX(0,M158-J158))),0))</f>
      </c>
      <c r="Q158" s="371"/>
      <c r="R158" s="331" t="str">
        <f>IF(F158="","",IFERROR(VLOOKUP(F158,'商品カタログ'!$A:$O,6,FALSE),""))</f>
      </c>
      <c r="S158" s="377" t="str">
        <f>IF(F158="","",IFERROR(VLOOKUP(F158,'商品カタログ'!$A:$O,14,FALSE),""))</f>
      </c>
      <c r="T158" s="377" t="str">
        <f>IF(F158="","",IFERROR(Q158*S158,0))</f>
      </c>
      <c r="U158" s="331"/>
      <c r="V158" s="331"/>
      <c r="W158" s="365" t="str">
        <f>IF(OR(B158="",O158=""),"",B158+O158)</f>
      </c>
      <c r="X158" s="365"/>
      <c r="Y158" s="371"/>
      <c r="Z158" s="371" t="str">
        <f>IF(F158="","",IF(V158="入荷済み",Y158-Q158,IF(V158="一部入荷",Y158-Q158,"")))</f>
      </c>
      <c r="AA158" s="331"/>
      <c r="AB158" s="331"/>
      <c r="AC158" s="331" t="str">
        <f>IF(F158="","",IF(V158="キャンセル済み","キャンセル済み",IF(AND(V158="入荷済み",Y158&gt;=Q158),"通常",IF(AND(W158&lt;TODAY(),W158&lt;&gt;"",V158&lt;&gt;"入荷済み"),"入荷遅延",IF(J158&lt;=K158,"セキュリティ在庫割れ",IF(J158&lt;=L158,"発注点到達",IF(Q158&lt;P158,"申請数が推奨数未満","通常")))))))</f>
      </c>
      <c r="AD158" s="332" t="str">
        <f>IF(F158="","",IF(N158=0,"不明",IF(J158/N158&lt;O158,"高リスク：リードタイム不足",IF(J158/N158&lt;O158+3,"中リスク","低リスク"))))</f>
      </c>
    </row>
    <row r="159" ht="19" customHeight="true">
      <c r="A159" s="330" t="str">
        <f>IF(F159="","","RL-"&amp;TEXT(ROW()-3,"0000"))</f>
      </c>
      <c r="B159" s="365"/>
      <c r="C159" s="331"/>
      <c r="D159" s="331"/>
      <c r="E159" s="331"/>
      <c r="F159" s="331"/>
      <c r="G159" s="331" t="str">
        <f>IF(F159="","",IFERROR(VLOOKUP(F159,'商品カタログ'!$A:$O,2,FALSE),""))</f>
      </c>
      <c r="H159" s="331" t="str">
        <f>IF(F159="","",IFERROR(VLOOKUP(F159,'商品カタログ'!$A:$O,3,FALSE),""))</f>
      </c>
      <c r="I159" s="331" t="str">
        <f>IF(F159="","",IFERROR(VLOOKUP(F159,'商品カタログ'!$A:$O,7,FALSE),""))</f>
      </c>
      <c r="J159" s="371"/>
      <c r="K159" s="371" t="str">
        <f>IF(F159="","",IFERROR(VLOOKUP(F159,'商品カタログ'!$A:$O,11,FALSE),""))</f>
      </c>
      <c r="L159" s="371" t="str">
        <f>IF(F159="","",IFERROR(VLOOKUP(F159,'商品カタログ'!$A:$O,12,FALSE),""))</f>
      </c>
      <c r="M159" s="371" t="str">
        <f>IF(F159="","",IFERROR(VLOOKUP(F159,'商品カタログ'!$A:$O,13,FALSE),""))</f>
      </c>
      <c r="N159" s="371"/>
      <c r="O159" s="371" t="str">
        <f>IF(F159="","",IFERROR(VLOOKUP(F159,'商品カタログ'!$A:$O,10,FALSE),""))</f>
      </c>
      <c r="P159" s="371" t="str">
        <f>IF(F159="","",IF(OR(J159&lt;=L159,J159-N159*O159&lt;=K159),MAX(IFERROR(VLOOKUP(F159,'商品カタログ'!$A:$O,8,FALSE),0),IFERROR(CEILING(MAX(0,M159-J159),MAX(1,VLOOKUP(F159,'商品カタログ'!$A:$O,9,FALSE))),MAX(0,M159-J159))),0))</f>
      </c>
      <c r="Q159" s="371"/>
      <c r="R159" s="331" t="str">
        <f>IF(F159="","",IFERROR(VLOOKUP(F159,'商品カタログ'!$A:$O,6,FALSE),""))</f>
      </c>
      <c r="S159" s="377" t="str">
        <f>IF(F159="","",IFERROR(VLOOKUP(F159,'商品カタログ'!$A:$O,14,FALSE),""))</f>
      </c>
      <c r="T159" s="377" t="str">
        <f>IF(F159="","",IFERROR(Q159*S159,0))</f>
      </c>
      <c r="U159" s="331"/>
      <c r="V159" s="331"/>
      <c r="W159" s="365" t="str">
        <f>IF(OR(B159="",O159=""),"",B159+O159)</f>
      </c>
      <c r="X159" s="365"/>
      <c r="Y159" s="371"/>
      <c r="Z159" s="371" t="str">
        <f>IF(F159="","",IF(V159="入荷済み",Y159-Q159,IF(V159="一部入荷",Y159-Q159,"")))</f>
      </c>
      <c r="AA159" s="331"/>
      <c r="AB159" s="331"/>
      <c r="AC159" s="331" t="str">
        <f>IF(F159="","",IF(V159="キャンセル済み","キャンセル済み",IF(AND(V159="入荷済み",Y159&gt;=Q159),"通常",IF(AND(W159&lt;TODAY(),W159&lt;&gt;"",V159&lt;&gt;"入荷済み"),"入荷遅延",IF(J159&lt;=K159,"セキュリティ在庫割れ",IF(J159&lt;=L159,"発注点到達",IF(Q159&lt;P159,"申請数が推奨数未満","通常")))))))</f>
      </c>
      <c r="AD159" s="332" t="str">
        <f>IF(F159="","",IF(N159=0,"不明",IF(J159/N159&lt;O159,"高リスク：リードタイム不足",IF(J159/N159&lt;O159+3,"中リスク","低リスク"))))</f>
      </c>
    </row>
    <row r="160" ht="19" customHeight="true">
      <c r="A160" s="330" t="str">
        <f>IF(F160="","","RL-"&amp;TEXT(ROW()-3,"0000"))</f>
      </c>
      <c r="B160" s="365"/>
      <c r="C160" s="331"/>
      <c r="D160" s="331"/>
      <c r="E160" s="331"/>
      <c r="F160" s="331"/>
      <c r="G160" s="331" t="str">
        <f>IF(F160="","",IFERROR(VLOOKUP(F160,'商品カタログ'!$A:$O,2,FALSE),""))</f>
      </c>
      <c r="H160" s="331" t="str">
        <f>IF(F160="","",IFERROR(VLOOKUP(F160,'商品カタログ'!$A:$O,3,FALSE),""))</f>
      </c>
      <c r="I160" s="331" t="str">
        <f>IF(F160="","",IFERROR(VLOOKUP(F160,'商品カタログ'!$A:$O,7,FALSE),""))</f>
      </c>
      <c r="J160" s="371"/>
      <c r="K160" s="371" t="str">
        <f>IF(F160="","",IFERROR(VLOOKUP(F160,'商品カタログ'!$A:$O,11,FALSE),""))</f>
      </c>
      <c r="L160" s="371" t="str">
        <f>IF(F160="","",IFERROR(VLOOKUP(F160,'商品カタログ'!$A:$O,12,FALSE),""))</f>
      </c>
      <c r="M160" s="371" t="str">
        <f>IF(F160="","",IFERROR(VLOOKUP(F160,'商品カタログ'!$A:$O,13,FALSE),""))</f>
      </c>
      <c r="N160" s="371"/>
      <c r="O160" s="371" t="str">
        <f>IF(F160="","",IFERROR(VLOOKUP(F160,'商品カタログ'!$A:$O,10,FALSE),""))</f>
      </c>
      <c r="P160" s="371" t="str">
        <f>IF(F160="","",IF(OR(J160&lt;=L160,J160-N160*O160&lt;=K160),MAX(IFERROR(VLOOKUP(F160,'商品カタログ'!$A:$O,8,FALSE),0),IFERROR(CEILING(MAX(0,M160-J160),MAX(1,VLOOKUP(F160,'商品カタログ'!$A:$O,9,FALSE))),MAX(0,M160-J160))),0))</f>
      </c>
      <c r="Q160" s="371"/>
      <c r="R160" s="331" t="str">
        <f>IF(F160="","",IFERROR(VLOOKUP(F160,'商品カタログ'!$A:$O,6,FALSE),""))</f>
      </c>
      <c r="S160" s="377" t="str">
        <f>IF(F160="","",IFERROR(VLOOKUP(F160,'商品カタログ'!$A:$O,14,FALSE),""))</f>
      </c>
      <c r="T160" s="377" t="str">
        <f>IF(F160="","",IFERROR(Q160*S160,0))</f>
      </c>
      <c r="U160" s="331"/>
      <c r="V160" s="331"/>
      <c r="W160" s="365" t="str">
        <f>IF(OR(B160="",O160=""),"",B160+O160)</f>
      </c>
      <c r="X160" s="365"/>
      <c r="Y160" s="371"/>
      <c r="Z160" s="371" t="str">
        <f>IF(F160="","",IF(V160="入荷済み",Y160-Q160,IF(V160="一部入荷",Y160-Q160,"")))</f>
      </c>
      <c r="AA160" s="331"/>
      <c r="AB160" s="331"/>
      <c r="AC160" s="331" t="str">
        <f>IF(F160="","",IF(V160="キャンセル済み","キャンセル済み",IF(AND(V160="入荷済み",Y160&gt;=Q160),"通常",IF(AND(W160&lt;TODAY(),W160&lt;&gt;"",V160&lt;&gt;"入荷済み"),"入荷遅延",IF(J160&lt;=K160,"セキュリティ在庫割れ",IF(J160&lt;=L160,"発注点到達",IF(Q160&lt;P160,"申請数が推奨数未満","通常")))))))</f>
      </c>
      <c r="AD160" s="332" t="str">
        <f>IF(F160="","",IF(N160=0,"不明",IF(J160/N160&lt;O160,"高リスク：リードタイム不足",IF(J160/N160&lt;O160+3,"中リスク","低リスク"))))</f>
      </c>
    </row>
    <row r="161" ht="19" customHeight="true">
      <c r="A161" s="330" t="str">
        <f>IF(F161="","","RL-"&amp;TEXT(ROW()-3,"0000"))</f>
      </c>
      <c r="B161" s="365"/>
      <c r="C161" s="331"/>
      <c r="D161" s="331"/>
      <c r="E161" s="331"/>
      <c r="F161" s="331"/>
      <c r="G161" s="331" t="str">
        <f>IF(F161="","",IFERROR(VLOOKUP(F161,'商品カタログ'!$A:$O,2,FALSE),""))</f>
      </c>
      <c r="H161" s="331" t="str">
        <f>IF(F161="","",IFERROR(VLOOKUP(F161,'商品カタログ'!$A:$O,3,FALSE),""))</f>
      </c>
      <c r="I161" s="331" t="str">
        <f>IF(F161="","",IFERROR(VLOOKUP(F161,'商品カタログ'!$A:$O,7,FALSE),""))</f>
      </c>
      <c r="J161" s="371"/>
      <c r="K161" s="371" t="str">
        <f>IF(F161="","",IFERROR(VLOOKUP(F161,'商品カタログ'!$A:$O,11,FALSE),""))</f>
      </c>
      <c r="L161" s="371" t="str">
        <f>IF(F161="","",IFERROR(VLOOKUP(F161,'商品カタログ'!$A:$O,12,FALSE),""))</f>
      </c>
      <c r="M161" s="371" t="str">
        <f>IF(F161="","",IFERROR(VLOOKUP(F161,'商品カタログ'!$A:$O,13,FALSE),""))</f>
      </c>
      <c r="N161" s="371"/>
      <c r="O161" s="371" t="str">
        <f>IF(F161="","",IFERROR(VLOOKUP(F161,'商品カタログ'!$A:$O,10,FALSE),""))</f>
      </c>
      <c r="P161" s="371" t="str">
        <f>IF(F161="","",IF(OR(J161&lt;=L161,J161-N161*O161&lt;=K161),MAX(IFERROR(VLOOKUP(F161,'商品カタログ'!$A:$O,8,FALSE),0),IFERROR(CEILING(MAX(0,M161-J161),MAX(1,VLOOKUP(F161,'商品カタログ'!$A:$O,9,FALSE))),MAX(0,M161-J161))),0))</f>
      </c>
      <c r="Q161" s="371"/>
      <c r="R161" s="331" t="str">
        <f>IF(F161="","",IFERROR(VLOOKUP(F161,'商品カタログ'!$A:$O,6,FALSE),""))</f>
      </c>
      <c r="S161" s="377" t="str">
        <f>IF(F161="","",IFERROR(VLOOKUP(F161,'商品カタログ'!$A:$O,14,FALSE),""))</f>
      </c>
      <c r="T161" s="377" t="str">
        <f>IF(F161="","",IFERROR(Q161*S161,0))</f>
      </c>
      <c r="U161" s="331"/>
      <c r="V161" s="331"/>
      <c r="W161" s="365" t="str">
        <f>IF(OR(B161="",O161=""),"",B161+O161)</f>
      </c>
      <c r="X161" s="365"/>
      <c r="Y161" s="371"/>
      <c r="Z161" s="371" t="str">
        <f>IF(F161="","",IF(V161="入荷済み",Y161-Q161,IF(V161="一部入荷",Y161-Q161,"")))</f>
      </c>
      <c r="AA161" s="331"/>
      <c r="AB161" s="331"/>
      <c r="AC161" s="331" t="str">
        <f>IF(F161="","",IF(V161="キャンセル済み","キャンセル済み",IF(AND(V161="入荷済み",Y161&gt;=Q161),"通常",IF(AND(W161&lt;TODAY(),W161&lt;&gt;"",V161&lt;&gt;"入荷済み"),"入荷遅延",IF(J161&lt;=K161,"セキュリティ在庫割れ",IF(J161&lt;=L161,"発注点到達",IF(Q161&lt;P161,"申請数が推奨数未満","通常")))))))</f>
      </c>
      <c r="AD161" s="332" t="str">
        <f>IF(F161="","",IF(N161=0,"不明",IF(J161/N161&lt;O161,"高リスク：リードタイム不足",IF(J161/N161&lt;O161+3,"中リスク","低リスク"))))</f>
      </c>
    </row>
    <row r="162" ht="19" customHeight="true">
      <c r="A162" s="330" t="str">
        <f>IF(F162="","","RL-"&amp;TEXT(ROW()-3,"0000"))</f>
      </c>
      <c r="B162" s="365"/>
      <c r="C162" s="331"/>
      <c r="D162" s="331"/>
      <c r="E162" s="331"/>
      <c r="F162" s="331"/>
      <c r="G162" s="331" t="str">
        <f>IF(F162="","",IFERROR(VLOOKUP(F162,'商品カタログ'!$A:$O,2,FALSE),""))</f>
      </c>
      <c r="H162" s="331" t="str">
        <f>IF(F162="","",IFERROR(VLOOKUP(F162,'商品カタログ'!$A:$O,3,FALSE),""))</f>
      </c>
      <c r="I162" s="331" t="str">
        <f>IF(F162="","",IFERROR(VLOOKUP(F162,'商品カタログ'!$A:$O,7,FALSE),""))</f>
      </c>
      <c r="J162" s="371"/>
      <c r="K162" s="371" t="str">
        <f>IF(F162="","",IFERROR(VLOOKUP(F162,'商品カタログ'!$A:$O,11,FALSE),""))</f>
      </c>
      <c r="L162" s="371" t="str">
        <f>IF(F162="","",IFERROR(VLOOKUP(F162,'商品カタログ'!$A:$O,12,FALSE),""))</f>
      </c>
      <c r="M162" s="371" t="str">
        <f>IF(F162="","",IFERROR(VLOOKUP(F162,'商品カタログ'!$A:$O,13,FALSE),""))</f>
      </c>
      <c r="N162" s="371"/>
      <c r="O162" s="371" t="str">
        <f>IF(F162="","",IFERROR(VLOOKUP(F162,'商品カタログ'!$A:$O,10,FALSE),""))</f>
      </c>
      <c r="P162" s="371" t="str">
        <f>IF(F162="","",IF(OR(J162&lt;=L162,J162-N162*O162&lt;=K162),MAX(IFERROR(VLOOKUP(F162,'商品カタログ'!$A:$O,8,FALSE),0),IFERROR(CEILING(MAX(0,M162-J162),MAX(1,VLOOKUP(F162,'商品カタログ'!$A:$O,9,FALSE))),MAX(0,M162-J162))),0))</f>
      </c>
      <c r="Q162" s="371"/>
      <c r="R162" s="331" t="str">
        <f>IF(F162="","",IFERROR(VLOOKUP(F162,'商品カタログ'!$A:$O,6,FALSE),""))</f>
      </c>
      <c r="S162" s="377" t="str">
        <f>IF(F162="","",IFERROR(VLOOKUP(F162,'商品カタログ'!$A:$O,14,FALSE),""))</f>
      </c>
      <c r="T162" s="377" t="str">
        <f>IF(F162="","",IFERROR(Q162*S162,0))</f>
      </c>
      <c r="U162" s="331"/>
      <c r="V162" s="331"/>
      <c r="W162" s="365" t="str">
        <f>IF(OR(B162="",O162=""),"",B162+O162)</f>
      </c>
      <c r="X162" s="365"/>
      <c r="Y162" s="371"/>
      <c r="Z162" s="371" t="str">
        <f>IF(F162="","",IF(V162="入荷済み",Y162-Q162,IF(V162="一部入荷",Y162-Q162,"")))</f>
      </c>
      <c r="AA162" s="331"/>
      <c r="AB162" s="331"/>
      <c r="AC162" s="331" t="str">
        <f>IF(F162="","",IF(V162="キャンセル済み","キャンセル済み",IF(AND(V162="入荷済み",Y162&gt;=Q162),"通常",IF(AND(W162&lt;TODAY(),W162&lt;&gt;"",V162&lt;&gt;"入荷済み"),"入荷遅延",IF(J162&lt;=K162,"セキュリティ在庫割れ",IF(J162&lt;=L162,"発注点到達",IF(Q162&lt;P162,"申請数が推奨数未満","通常")))))))</f>
      </c>
      <c r="AD162" s="332" t="str">
        <f>IF(F162="","",IF(N162=0,"不明",IF(J162/N162&lt;O162,"高リスク：リードタイム不足",IF(J162/N162&lt;O162+3,"中リスク","低リスク"))))</f>
      </c>
    </row>
    <row r="163" ht="19" customHeight="true">
      <c r="A163" s="330" t="str">
        <f>IF(F163="","","RL-"&amp;TEXT(ROW()-3,"0000"))</f>
      </c>
      <c r="B163" s="365"/>
      <c r="C163" s="331"/>
      <c r="D163" s="331"/>
      <c r="E163" s="331"/>
      <c r="F163" s="331"/>
      <c r="G163" s="331" t="str">
        <f>IF(F163="","",IFERROR(VLOOKUP(F163,'商品カタログ'!$A:$O,2,FALSE),""))</f>
      </c>
      <c r="H163" s="331" t="str">
        <f>IF(F163="","",IFERROR(VLOOKUP(F163,'商品カタログ'!$A:$O,3,FALSE),""))</f>
      </c>
      <c r="I163" s="331" t="str">
        <f>IF(F163="","",IFERROR(VLOOKUP(F163,'商品カタログ'!$A:$O,7,FALSE),""))</f>
      </c>
      <c r="J163" s="371"/>
      <c r="K163" s="371" t="str">
        <f>IF(F163="","",IFERROR(VLOOKUP(F163,'商品カタログ'!$A:$O,11,FALSE),""))</f>
      </c>
      <c r="L163" s="371" t="str">
        <f>IF(F163="","",IFERROR(VLOOKUP(F163,'商品カタログ'!$A:$O,12,FALSE),""))</f>
      </c>
      <c r="M163" s="371" t="str">
        <f>IF(F163="","",IFERROR(VLOOKUP(F163,'商品カタログ'!$A:$O,13,FALSE),""))</f>
      </c>
      <c r="N163" s="371"/>
      <c r="O163" s="371" t="str">
        <f>IF(F163="","",IFERROR(VLOOKUP(F163,'商品カタログ'!$A:$O,10,FALSE),""))</f>
      </c>
      <c r="P163" s="371" t="str">
        <f>IF(F163="","",IF(OR(J163&lt;=L163,J163-N163*O163&lt;=K163),MAX(IFERROR(VLOOKUP(F163,'商品カタログ'!$A:$O,8,FALSE),0),IFERROR(CEILING(MAX(0,M163-J163),MAX(1,VLOOKUP(F163,'商品カタログ'!$A:$O,9,FALSE))),MAX(0,M163-J163))),0))</f>
      </c>
      <c r="Q163" s="371"/>
      <c r="R163" s="331" t="str">
        <f>IF(F163="","",IFERROR(VLOOKUP(F163,'商品カタログ'!$A:$O,6,FALSE),""))</f>
      </c>
      <c r="S163" s="377" t="str">
        <f>IF(F163="","",IFERROR(VLOOKUP(F163,'商品カタログ'!$A:$O,14,FALSE),""))</f>
      </c>
      <c r="T163" s="377" t="str">
        <f>IF(F163="","",IFERROR(Q163*S163,0))</f>
      </c>
      <c r="U163" s="331"/>
      <c r="V163" s="331"/>
      <c r="W163" s="365" t="str">
        <f>IF(OR(B163="",O163=""),"",B163+O163)</f>
      </c>
      <c r="X163" s="365"/>
      <c r="Y163" s="371"/>
      <c r="Z163" s="371" t="str">
        <f>IF(F163="","",IF(V163="入荷済み",Y163-Q163,IF(V163="一部入荷",Y163-Q163,"")))</f>
      </c>
      <c r="AA163" s="331"/>
      <c r="AB163" s="331"/>
      <c r="AC163" s="331" t="str">
        <f>IF(F163="","",IF(V163="キャンセル済み","キャンセル済み",IF(AND(V163="入荷済み",Y163&gt;=Q163),"通常",IF(AND(W163&lt;TODAY(),W163&lt;&gt;"",V163&lt;&gt;"入荷済み"),"入荷遅延",IF(J163&lt;=K163,"セキュリティ在庫割れ",IF(J163&lt;=L163,"発注点到達",IF(Q163&lt;P163,"申請数が推奨数未満","通常")))))))</f>
      </c>
      <c r="AD163" s="332" t="str">
        <f>IF(F163="","",IF(N163=0,"不明",IF(J163/N163&lt;O163,"高リスク：リードタイム不足",IF(J163/N163&lt;O163+3,"中リスク","低リスク"))))</f>
      </c>
    </row>
    <row r="164" ht="19" customHeight="true">
      <c r="A164" s="330" t="str">
        <f>IF(F164="","","RL-"&amp;TEXT(ROW()-3,"0000"))</f>
      </c>
      <c r="B164" s="365"/>
      <c r="C164" s="331"/>
      <c r="D164" s="331"/>
      <c r="E164" s="331"/>
      <c r="F164" s="331"/>
      <c r="G164" s="331" t="str">
        <f>IF(F164="","",IFERROR(VLOOKUP(F164,'商品カタログ'!$A:$O,2,FALSE),""))</f>
      </c>
      <c r="H164" s="331" t="str">
        <f>IF(F164="","",IFERROR(VLOOKUP(F164,'商品カタログ'!$A:$O,3,FALSE),""))</f>
      </c>
      <c r="I164" s="331" t="str">
        <f>IF(F164="","",IFERROR(VLOOKUP(F164,'商品カタログ'!$A:$O,7,FALSE),""))</f>
      </c>
      <c r="J164" s="371"/>
      <c r="K164" s="371" t="str">
        <f>IF(F164="","",IFERROR(VLOOKUP(F164,'商品カタログ'!$A:$O,11,FALSE),""))</f>
      </c>
      <c r="L164" s="371" t="str">
        <f>IF(F164="","",IFERROR(VLOOKUP(F164,'商品カタログ'!$A:$O,12,FALSE),""))</f>
      </c>
      <c r="M164" s="371" t="str">
        <f>IF(F164="","",IFERROR(VLOOKUP(F164,'商品カタログ'!$A:$O,13,FALSE),""))</f>
      </c>
      <c r="N164" s="371"/>
      <c r="O164" s="371" t="str">
        <f>IF(F164="","",IFERROR(VLOOKUP(F164,'商品カタログ'!$A:$O,10,FALSE),""))</f>
      </c>
      <c r="P164" s="371" t="str">
        <f>IF(F164="","",IF(OR(J164&lt;=L164,J164-N164*O164&lt;=K164),MAX(IFERROR(VLOOKUP(F164,'商品カタログ'!$A:$O,8,FALSE),0),IFERROR(CEILING(MAX(0,M164-J164),MAX(1,VLOOKUP(F164,'商品カタログ'!$A:$O,9,FALSE))),MAX(0,M164-J164))),0))</f>
      </c>
      <c r="Q164" s="371"/>
      <c r="R164" s="331" t="str">
        <f>IF(F164="","",IFERROR(VLOOKUP(F164,'商品カタログ'!$A:$O,6,FALSE),""))</f>
      </c>
      <c r="S164" s="377" t="str">
        <f>IF(F164="","",IFERROR(VLOOKUP(F164,'商品カタログ'!$A:$O,14,FALSE),""))</f>
      </c>
      <c r="T164" s="377" t="str">
        <f>IF(F164="","",IFERROR(Q164*S164,0))</f>
      </c>
      <c r="U164" s="331"/>
      <c r="V164" s="331"/>
      <c r="W164" s="365" t="str">
        <f>IF(OR(B164="",O164=""),"",B164+O164)</f>
      </c>
      <c r="X164" s="365"/>
      <c r="Y164" s="371"/>
      <c r="Z164" s="371" t="str">
        <f>IF(F164="","",IF(V164="入荷済み",Y164-Q164,IF(V164="一部入荷",Y164-Q164,"")))</f>
      </c>
      <c r="AA164" s="331"/>
      <c r="AB164" s="331"/>
      <c r="AC164" s="331" t="str">
        <f>IF(F164="","",IF(V164="キャンセル済み","キャンセル済み",IF(AND(V164="入荷済み",Y164&gt;=Q164),"通常",IF(AND(W164&lt;TODAY(),W164&lt;&gt;"",V164&lt;&gt;"入荷済み"),"入荷遅延",IF(J164&lt;=K164,"セキュリティ在庫割れ",IF(J164&lt;=L164,"発注点到達",IF(Q164&lt;P164,"申請数が推奨数未満","通常")))))))</f>
      </c>
      <c r="AD164" s="332" t="str">
        <f>IF(F164="","",IF(N164=0,"不明",IF(J164/N164&lt;O164,"高リスク：リードタイム不足",IF(J164/N164&lt;O164+3,"中リスク","低リスク"))))</f>
      </c>
    </row>
    <row r="165" ht="19" customHeight="true">
      <c r="A165" s="330" t="str">
        <f>IF(F165="","","RL-"&amp;TEXT(ROW()-3,"0000"))</f>
      </c>
      <c r="B165" s="365"/>
      <c r="C165" s="331"/>
      <c r="D165" s="331"/>
      <c r="E165" s="331"/>
      <c r="F165" s="331"/>
      <c r="G165" s="331" t="str">
        <f>IF(F165="","",IFERROR(VLOOKUP(F165,'商品カタログ'!$A:$O,2,FALSE),""))</f>
      </c>
      <c r="H165" s="331" t="str">
        <f>IF(F165="","",IFERROR(VLOOKUP(F165,'商品カタログ'!$A:$O,3,FALSE),""))</f>
      </c>
      <c r="I165" s="331" t="str">
        <f>IF(F165="","",IFERROR(VLOOKUP(F165,'商品カタログ'!$A:$O,7,FALSE),""))</f>
      </c>
      <c r="J165" s="371"/>
      <c r="K165" s="371" t="str">
        <f>IF(F165="","",IFERROR(VLOOKUP(F165,'商品カタログ'!$A:$O,11,FALSE),""))</f>
      </c>
      <c r="L165" s="371" t="str">
        <f>IF(F165="","",IFERROR(VLOOKUP(F165,'商品カタログ'!$A:$O,12,FALSE),""))</f>
      </c>
      <c r="M165" s="371" t="str">
        <f>IF(F165="","",IFERROR(VLOOKUP(F165,'商品カタログ'!$A:$O,13,FALSE),""))</f>
      </c>
      <c r="N165" s="371"/>
      <c r="O165" s="371" t="str">
        <f>IF(F165="","",IFERROR(VLOOKUP(F165,'商品カタログ'!$A:$O,10,FALSE),""))</f>
      </c>
      <c r="P165" s="371" t="str">
        <f>IF(F165="","",IF(OR(J165&lt;=L165,J165-N165*O165&lt;=K165),MAX(IFERROR(VLOOKUP(F165,'商品カタログ'!$A:$O,8,FALSE),0),IFERROR(CEILING(MAX(0,M165-J165),MAX(1,VLOOKUP(F165,'商品カタログ'!$A:$O,9,FALSE))),MAX(0,M165-J165))),0))</f>
      </c>
      <c r="Q165" s="371"/>
      <c r="R165" s="331" t="str">
        <f>IF(F165="","",IFERROR(VLOOKUP(F165,'商品カタログ'!$A:$O,6,FALSE),""))</f>
      </c>
      <c r="S165" s="377" t="str">
        <f>IF(F165="","",IFERROR(VLOOKUP(F165,'商品カタログ'!$A:$O,14,FALSE),""))</f>
      </c>
      <c r="T165" s="377" t="str">
        <f>IF(F165="","",IFERROR(Q165*S165,0))</f>
      </c>
      <c r="U165" s="331"/>
      <c r="V165" s="331"/>
      <c r="W165" s="365" t="str">
        <f>IF(OR(B165="",O165=""),"",B165+O165)</f>
      </c>
      <c r="X165" s="365"/>
      <c r="Y165" s="371"/>
      <c r="Z165" s="371" t="str">
        <f>IF(F165="","",IF(V165="入荷済み",Y165-Q165,IF(V165="一部入荷",Y165-Q165,"")))</f>
      </c>
      <c r="AA165" s="331"/>
      <c r="AB165" s="331"/>
      <c r="AC165" s="331" t="str">
        <f>IF(F165="","",IF(V165="キャンセル済み","キャンセル済み",IF(AND(V165="入荷済み",Y165&gt;=Q165),"通常",IF(AND(W165&lt;TODAY(),W165&lt;&gt;"",V165&lt;&gt;"入荷済み"),"入荷遅延",IF(J165&lt;=K165,"セキュリティ在庫割れ",IF(J165&lt;=L165,"発注点到達",IF(Q165&lt;P165,"申請数が推奨数未満","通常")))))))</f>
      </c>
      <c r="AD165" s="332" t="str">
        <f>IF(F165="","",IF(N165=0,"不明",IF(J165/N165&lt;O165,"高リスク：リードタイム不足",IF(J165/N165&lt;O165+3,"中リスク","低リスク"))))</f>
      </c>
    </row>
    <row r="166" ht="19" customHeight="true">
      <c r="A166" s="330" t="str">
        <f>IF(F166="","","RL-"&amp;TEXT(ROW()-3,"0000"))</f>
      </c>
      <c r="B166" s="365"/>
      <c r="C166" s="331"/>
      <c r="D166" s="331"/>
      <c r="E166" s="331"/>
      <c r="F166" s="331"/>
      <c r="G166" s="331" t="str">
        <f>IF(F166="","",IFERROR(VLOOKUP(F166,'商品カタログ'!$A:$O,2,FALSE),""))</f>
      </c>
      <c r="H166" s="331" t="str">
        <f>IF(F166="","",IFERROR(VLOOKUP(F166,'商品カタログ'!$A:$O,3,FALSE),""))</f>
      </c>
      <c r="I166" s="331" t="str">
        <f>IF(F166="","",IFERROR(VLOOKUP(F166,'商品カタログ'!$A:$O,7,FALSE),""))</f>
      </c>
      <c r="J166" s="371"/>
      <c r="K166" s="371" t="str">
        <f>IF(F166="","",IFERROR(VLOOKUP(F166,'商品カタログ'!$A:$O,11,FALSE),""))</f>
      </c>
      <c r="L166" s="371" t="str">
        <f>IF(F166="","",IFERROR(VLOOKUP(F166,'商品カタログ'!$A:$O,12,FALSE),""))</f>
      </c>
      <c r="M166" s="371" t="str">
        <f>IF(F166="","",IFERROR(VLOOKUP(F166,'商品カタログ'!$A:$O,13,FALSE),""))</f>
      </c>
      <c r="N166" s="371"/>
      <c r="O166" s="371" t="str">
        <f>IF(F166="","",IFERROR(VLOOKUP(F166,'商品カタログ'!$A:$O,10,FALSE),""))</f>
      </c>
      <c r="P166" s="371" t="str">
        <f>IF(F166="","",IF(OR(J166&lt;=L166,J166-N166*O166&lt;=K166),MAX(IFERROR(VLOOKUP(F166,'商品カタログ'!$A:$O,8,FALSE),0),IFERROR(CEILING(MAX(0,M166-J166),MAX(1,VLOOKUP(F166,'商品カタログ'!$A:$O,9,FALSE))),MAX(0,M166-J166))),0))</f>
      </c>
      <c r="Q166" s="371"/>
      <c r="R166" s="331" t="str">
        <f>IF(F166="","",IFERROR(VLOOKUP(F166,'商品カタログ'!$A:$O,6,FALSE),""))</f>
      </c>
      <c r="S166" s="377" t="str">
        <f>IF(F166="","",IFERROR(VLOOKUP(F166,'商品カタログ'!$A:$O,14,FALSE),""))</f>
      </c>
      <c r="T166" s="377" t="str">
        <f>IF(F166="","",IFERROR(Q166*S166,0))</f>
      </c>
      <c r="U166" s="331"/>
      <c r="V166" s="331"/>
      <c r="W166" s="365" t="str">
        <f>IF(OR(B166="",O166=""),"",B166+O166)</f>
      </c>
      <c r="X166" s="365"/>
      <c r="Y166" s="371"/>
      <c r="Z166" s="371" t="str">
        <f>IF(F166="","",IF(V166="入荷済み",Y166-Q166,IF(V166="一部入荷",Y166-Q166,"")))</f>
      </c>
      <c r="AA166" s="331"/>
      <c r="AB166" s="331"/>
      <c r="AC166" s="331" t="str">
        <f>IF(F166="","",IF(V166="キャンセル済み","キャンセル済み",IF(AND(V166="入荷済み",Y166&gt;=Q166),"通常",IF(AND(W166&lt;TODAY(),W166&lt;&gt;"",V166&lt;&gt;"入荷済み"),"入荷遅延",IF(J166&lt;=K166,"セキュリティ在庫割れ",IF(J166&lt;=L166,"発注点到達",IF(Q166&lt;P166,"申請数が推奨数未満","通常")))))))</f>
      </c>
      <c r="AD166" s="332" t="str">
        <f>IF(F166="","",IF(N166=0,"不明",IF(J166/N166&lt;O166,"高リスク：リードタイム不足",IF(J166/N166&lt;O166+3,"中リスク","低リスク"))))</f>
      </c>
    </row>
    <row r="167" ht="19" customHeight="true">
      <c r="A167" s="330" t="str">
        <f>IF(F167="","","RL-"&amp;TEXT(ROW()-3,"0000"))</f>
      </c>
      <c r="B167" s="365"/>
      <c r="C167" s="331"/>
      <c r="D167" s="331"/>
      <c r="E167" s="331"/>
      <c r="F167" s="331"/>
      <c r="G167" s="331" t="str">
        <f>IF(F167="","",IFERROR(VLOOKUP(F167,'商品カタログ'!$A:$O,2,FALSE),""))</f>
      </c>
      <c r="H167" s="331" t="str">
        <f>IF(F167="","",IFERROR(VLOOKUP(F167,'商品カタログ'!$A:$O,3,FALSE),""))</f>
      </c>
      <c r="I167" s="331" t="str">
        <f>IF(F167="","",IFERROR(VLOOKUP(F167,'商品カタログ'!$A:$O,7,FALSE),""))</f>
      </c>
      <c r="J167" s="371"/>
      <c r="K167" s="371" t="str">
        <f>IF(F167="","",IFERROR(VLOOKUP(F167,'商品カタログ'!$A:$O,11,FALSE),""))</f>
      </c>
      <c r="L167" s="371" t="str">
        <f>IF(F167="","",IFERROR(VLOOKUP(F167,'商品カタログ'!$A:$O,12,FALSE),""))</f>
      </c>
      <c r="M167" s="371" t="str">
        <f>IF(F167="","",IFERROR(VLOOKUP(F167,'商品カタログ'!$A:$O,13,FALSE),""))</f>
      </c>
      <c r="N167" s="371"/>
      <c r="O167" s="371" t="str">
        <f>IF(F167="","",IFERROR(VLOOKUP(F167,'商品カタログ'!$A:$O,10,FALSE),""))</f>
      </c>
      <c r="P167" s="371" t="str">
        <f>IF(F167="","",IF(OR(J167&lt;=L167,J167-N167*O167&lt;=K167),MAX(IFERROR(VLOOKUP(F167,'商品カタログ'!$A:$O,8,FALSE),0),IFERROR(CEILING(MAX(0,M167-J167),MAX(1,VLOOKUP(F167,'商品カタログ'!$A:$O,9,FALSE))),MAX(0,M167-J167))),0))</f>
      </c>
      <c r="Q167" s="371"/>
      <c r="R167" s="331" t="str">
        <f>IF(F167="","",IFERROR(VLOOKUP(F167,'商品カタログ'!$A:$O,6,FALSE),""))</f>
      </c>
      <c r="S167" s="377" t="str">
        <f>IF(F167="","",IFERROR(VLOOKUP(F167,'商品カタログ'!$A:$O,14,FALSE),""))</f>
      </c>
      <c r="T167" s="377" t="str">
        <f>IF(F167="","",IFERROR(Q167*S167,0))</f>
      </c>
      <c r="U167" s="331"/>
      <c r="V167" s="331"/>
      <c r="W167" s="365" t="str">
        <f>IF(OR(B167="",O167=""),"",B167+O167)</f>
      </c>
      <c r="X167" s="365"/>
      <c r="Y167" s="371"/>
      <c r="Z167" s="371" t="str">
        <f>IF(F167="","",IF(V167="入荷済み",Y167-Q167,IF(V167="一部入荷",Y167-Q167,"")))</f>
      </c>
      <c r="AA167" s="331"/>
      <c r="AB167" s="331"/>
      <c r="AC167" s="331" t="str">
        <f>IF(F167="","",IF(V167="キャンセル済み","キャンセル済み",IF(AND(V167="入荷済み",Y167&gt;=Q167),"通常",IF(AND(W167&lt;TODAY(),W167&lt;&gt;"",V167&lt;&gt;"入荷済み"),"入荷遅延",IF(J167&lt;=K167,"セキュリティ在庫割れ",IF(J167&lt;=L167,"発注点到達",IF(Q167&lt;P167,"申請数が推奨数未満","通常")))))))</f>
      </c>
      <c r="AD167" s="332" t="str">
        <f>IF(F167="","",IF(N167=0,"不明",IF(J167/N167&lt;O167,"高リスク：リードタイム不足",IF(J167/N167&lt;O167+3,"中リスク","低リスク"))))</f>
      </c>
    </row>
    <row r="168" ht="19" customHeight="true">
      <c r="A168" s="330" t="str">
        <f>IF(F168="","","RL-"&amp;TEXT(ROW()-3,"0000"))</f>
      </c>
      <c r="B168" s="365"/>
      <c r="C168" s="331"/>
      <c r="D168" s="331"/>
      <c r="E168" s="331"/>
      <c r="F168" s="331"/>
      <c r="G168" s="331" t="str">
        <f>IF(F168="","",IFERROR(VLOOKUP(F168,'商品カタログ'!$A:$O,2,FALSE),""))</f>
      </c>
      <c r="H168" s="331" t="str">
        <f>IF(F168="","",IFERROR(VLOOKUP(F168,'商品カタログ'!$A:$O,3,FALSE),""))</f>
      </c>
      <c r="I168" s="331" t="str">
        <f>IF(F168="","",IFERROR(VLOOKUP(F168,'商品カタログ'!$A:$O,7,FALSE),""))</f>
      </c>
      <c r="J168" s="371"/>
      <c r="K168" s="371" t="str">
        <f>IF(F168="","",IFERROR(VLOOKUP(F168,'商品カタログ'!$A:$O,11,FALSE),""))</f>
      </c>
      <c r="L168" s="371" t="str">
        <f>IF(F168="","",IFERROR(VLOOKUP(F168,'商品カタログ'!$A:$O,12,FALSE),""))</f>
      </c>
      <c r="M168" s="371" t="str">
        <f>IF(F168="","",IFERROR(VLOOKUP(F168,'商品カタログ'!$A:$O,13,FALSE),""))</f>
      </c>
      <c r="N168" s="371"/>
      <c r="O168" s="371" t="str">
        <f>IF(F168="","",IFERROR(VLOOKUP(F168,'商品カタログ'!$A:$O,10,FALSE),""))</f>
      </c>
      <c r="P168" s="371" t="str">
        <f>IF(F168="","",IF(OR(J168&lt;=L168,J168-N168*O168&lt;=K168),MAX(IFERROR(VLOOKUP(F168,'商品カタログ'!$A:$O,8,FALSE),0),IFERROR(CEILING(MAX(0,M168-J168),MAX(1,VLOOKUP(F168,'商品カタログ'!$A:$O,9,FALSE))),MAX(0,M168-J168))),0))</f>
      </c>
      <c r="Q168" s="371"/>
      <c r="R168" s="331" t="str">
        <f>IF(F168="","",IFERROR(VLOOKUP(F168,'商品カタログ'!$A:$O,6,FALSE),""))</f>
      </c>
      <c r="S168" s="377" t="str">
        <f>IF(F168="","",IFERROR(VLOOKUP(F168,'商品カタログ'!$A:$O,14,FALSE),""))</f>
      </c>
      <c r="T168" s="377" t="str">
        <f>IF(F168="","",IFERROR(Q168*S168,0))</f>
      </c>
      <c r="U168" s="331"/>
      <c r="V168" s="331"/>
      <c r="W168" s="365" t="str">
        <f>IF(OR(B168="",O168=""),"",B168+O168)</f>
      </c>
      <c r="X168" s="365"/>
      <c r="Y168" s="371"/>
      <c r="Z168" s="371" t="str">
        <f>IF(F168="","",IF(V168="入荷済み",Y168-Q168,IF(V168="一部入荷",Y168-Q168,"")))</f>
      </c>
      <c r="AA168" s="331"/>
      <c r="AB168" s="331"/>
      <c r="AC168" s="331" t="str">
        <f>IF(F168="","",IF(V168="キャンセル済み","キャンセル済み",IF(AND(V168="入荷済み",Y168&gt;=Q168),"通常",IF(AND(W168&lt;TODAY(),W168&lt;&gt;"",V168&lt;&gt;"入荷済み"),"入荷遅延",IF(J168&lt;=K168,"セキュリティ在庫割れ",IF(J168&lt;=L168,"発注点到達",IF(Q168&lt;P168,"申請数が推奨数未満","通常")))))))</f>
      </c>
      <c r="AD168" s="332" t="str">
        <f>IF(F168="","",IF(N168=0,"不明",IF(J168/N168&lt;O168,"高リスク：リードタイム不足",IF(J168/N168&lt;O168+3,"中リスク","低リスク"))))</f>
      </c>
    </row>
    <row r="169" ht="19" customHeight="true">
      <c r="A169" s="330" t="str">
        <f>IF(F169="","","RL-"&amp;TEXT(ROW()-3,"0000"))</f>
      </c>
      <c r="B169" s="365"/>
      <c r="C169" s="331"/>
      <c r="D169" s="331"/>
      <c r="E169" s="331"/>
      <c r="F169" s="331"/>
      <c r="G169" s="331" t="str">
        <f>IF(F169="","",IFERROR(VLOOKUP(F169,'商品カタログ'!$A:$O,2,FALSE),""))</f>
      </c>
      <c r="H169" s="331" t="str">
        <f>IF(F169="","",IFERROR(VLOOKUP(F169,'商品カタログ'!$A:$O,3,FALSE),""))</f>
      </c>
      <c r="I169" s="331" t="str">
        <f>IF(F169="","",IFERROR(VLOOKUP(F169,'商品カタログ'!$A:$O,7,FALSE),""))</f>
      </c>
      <c r="J169" s="371"/>
      <c r="K169" s="371" t="str">
        <f>IF(F169="","",IFERROR(VLOOKUP(F169,'商品カタログ'!$A:$O,11,FALSE),""))</f>
      </c>
      <c r="L169" s="371" t="str">
        <f>IF(F169="","",IFERROR(VLOOKUP(F169,'商品カタログ'!$A:$O,12,FALSE),""))</f>
      </c>
      <c r="M169" s="371" t="str">
        <f>IF(F169="","",IFERROR(VLOOKUP(F169,'商品カタログ'!$A:$O,13,FALSE),""))</f>
      </c>
      <c r="N169" s="371"/>
      <c r="O169" s="371" t="str">
        <f>IF(F169="","",IFERROR(VLOOKUP(F169,'商品カタログ'!$A:$O,10,FALSE),""))</f>
      </c>
      <c r="P169" s="371" t="str">
        <f>IF(F169="","",IF(OR(J169&lt;=L169,J169-N169*O169&lt;=K169),MAX(IFERROR(VLOOKUP(F169,'商品カタログ'!$A:$O,8,FALSE),0),IFERROR(CEILING(MAX(0,M169-J169),MAX(1,VLOOKUP(F169,'商品カタログ'!$A:$O,9,FALSE))),MAX(0,M169-J169))),0))</f>
      </c>
      <c r="Q169" s="371"/>
      <c r="R169" s="331" t="str">
        <f>IF(F169="","",IFERROR(VLOOKUP(F169,'商品カタログ'!$A:$O,6,FALSE),""))</f>
      </c>
      <c r="S169" s="377" t="str">
        <f>IF(F169="","",IFERROR(VLOOKUP(F169,'商品カタログ'!$A:$O,14,FALSE),""))</f>
      </c>
      <c r="T169" s="377" t="str">
        <f>IF(F169="","",IFERROR(Q169*S169,0))</f>
      </c>
      <c r="U169" s="331"/>
      <c r="V169" s="331"/>
      <c r="W169" s="365" t="str">
        <f>IF(OR(B169="",O169=""),"",B169+O169)</f>
      </c>
      <c r="X169" s="365"/>
      <c r="Y169" s="371"/>
      <c r="Z169" s="371" t="str">
        <f>IF(F169="","",IF(V169="入荷済み",Y169-Q169,IF(V169="一部入荷",Y169-Q169,"")))</f>
      </c>
      <c r="AA169" s="331"/>
      <c r="AB169" s="331"/>
      <c r="AC169" s="331" t="str">
        <f>IF(F169="","",IF(V169="キャンセル済み","キャンセル済み",IF(AND(V169="入荷済み",Y169&gt;=Q169),"通常",IF(AND(W169&lt;TODAY(),W169&lt;&gt;"",V169&lt;&gt;"入荷済み"),"入荷遅延",IF(J169&lt;=K169,"セキュリティ在庫割れ",IF(J169&lt;=L169,"発注点到達",IF(Q169&lt;P169,"申請数が推奨数未満","通常")))))))</f>
      </c>
      <c r="AD169" s="332" t="str">
        <f>IF(F169="","",IF(N169=0,"不明",IF(J169/N169&lt;O169,"高リスク：リードタイム不足",IF(J169/N169&lt;O169+3,"中リスク","低リスク"))))</f>
      </c>
    </row>
    <row r="170" ht="19" customHeight="true">
      <c r="A170" s="330" t="str">
        <f>IF(F170="","","RL-"&amp;TEXT(ROW()-3,"0000"))</f>
      </c>
      <c r="B170" s="365"/>
      <c r="C170" s="331"/>
      <c r="D170" s="331"/>
      <c r="E170" s="331"/>
      <c r="F170" s="331"/>
      <c r="G170" s="331" t="str">
        <f>IF(F170="","",IFERROR(VLOOKUP(F170,'商品カタログ'!$A:$O,2,FALSE),""))</f>
      </c>
      <c r="H170" s="331" t="str">
        <f>IF(F170="","",IFERROR(VLOOKUP(F170,'商品カタログ'!$A:$O,3,FALSE),""))</f>
      </c>
      <c r="I170" s="331" t="str">
        <f>IF(F170="","",IFERROR(VLOOKUP(F170,'商品カタログ'!$A:$O,7,FALSE),""))</f>
      </c>
      <c r="J170" s="371"/>
      <c r="K170" s="371" t="str">
        <f>IF(F170="","",IFERROR(VLOOKUP(F170,'商品カタログ'!$A:$O,11,FALSE),""))</f>
      </c>
      <c r="L170" s="371" t="str">
        <f>IF(F170="","",IFERROR(VLOOKUP(F170,'商品カタログ'!$A:$O,12,FALSE),""))</f>
      </c>
      <c r="M170" s="371" t="str">
        <f>IF(F170="","",IFERROR(VLOOKUP(F170,'商品カタログ'!$A:$O,13,FALSE),""))</f>
      </c>
      <c r="N170" s="371"/>
      <c r="O170" s="371" t="str">
        <f>IF(F170="","",IFERROR(VLOOKUP(F170,'商品カタログ'!$A:$O,10,FALSE),""))</f>
      </c>
      <c r="P170" s="371" t="str">
        <f>IF(F170="","",IF(OR(J170&lt;=L170,J170-N170*O170&lt;=K170),MAX(IFERROR(VLOOKUP(F170,'商品カタログ'!$A:$O,8,FALSE),0),IFERROR(CEILING(MAX(0,M170-J170),MAX(1,VLOOKUP(F170,'商品カタログ'!$A:$O,9,FALSE))),MAX(0,M170-J170))),0))</f>
      </c>
      <c r="Q170" s="371"/>
      <c r="R170" s="331" t="str">
        <f>IF(F170="","",IFERROR(VLOOKUP(F170,'商品カタログ'!$A:$O,6,FALSE),""))</f>
      </c>
      <c r="S170" s="377" t="str">
        <f>IF(F170="","",IFERROR(VLOOKUP(F170,'商品カタログ'!$A:$O,14,FALSE),""))</f>
      </c>
      <c r="T170" s="377" t="str">
        <f>IF(F170="","",IFERROR(Q170*S170,0))</f>
      </c>
      <c r="U170" s="331"/>
      <c r="V170" s="331"/>
      <c r="W170" s="365" t="str">
        <f>IF(OR(B170="",O170=""),"",B170+O170)</f>
      </c>
      <c r="X170" s="365"/>
      <c r="Y170" s="371"/>
      <c r="Z170" s="371" t="str">
        <f>IF(F170="","",IF(V170="入荷済み",Y170-Q170,IF(V170="一部入荷",Y170-Q170,"")))</f>
      </c>
      <c r="AA170" s="331"/>
      <c r="AB170" s="331"/>
      <c r="AC170" s="331" t="str">
        <f>IF(F170="","",IF(V170="キャンセル済み","キャンセル済み",IF(AND(V170="入荷済み",Y170&gt;=Q170),"通常",IF(AND(W170&lt;TODAY(),W170&lt;&gt;"",V170&lt;&gt;"入荷済み"),"入荷遅延",IF(J170&lt;=K170,"セキュリティ在庫割れ",IF(J170&lt;=L170,"発注点到達",IF(Q170&lt;P170,"申請数が推奨数未満","通常")))))))</f>
      </c>
      <c r="AD170" s="332" t="str">
        <f>IF(F170="","",IF(N170=0,"不明",IF(J170/N170&lt;O170,"高リスク：リードタイム不足",IF(J170/N170&lt;O170+3,"中リスク","低リスク"))))</f>
      </c>
    </row>
    <row r="171" ht="19" customHeight="true">
      <c r="A171" s="330" t="str">
        <f>IF(F171="","","RL-"&amp;TEXT(ROW()-3,"0000"))</f>
      </c>
      <c r="B171" s="365"/>
      <c r="C171" s="331"/>
      <c r="D171" s="331"/>
      <c r="E171" s="331"/>
      <c r="F171" s="331"/>
      <c r="G171" s="331" t="str">
        <f>IF(F171="","",IFERROR(VLOOKUP(F171,'商品カタログ'!$A:$O,2,FALSE),""))</f>
      </c>
      <c r="H171" s="331" t="str">
        <f>IF(F171="","",IFERROR(VLOOKUP(F171,'商品カタログ'!$A:$O,3,FALSE),""))</f>
      </c>
      <c r="I171" s="331" t="str">
        <f>IF(F171="","",IFERROR(VLOOKUP(F171,'商品カタログ'!$A:$O,7,FALSE),""))</f>
      </c>
      <c r="J171" s="371"/>
      <c r="K171" s="371" t="str">
        <f>IF(F171="","",IFERROR(VLOOKUP(F171,'商品カタログ'!$A:$O,11,FALSE),""))</f>
      </c>
      <c r="L171" s="371" t="str">
        <f>IF(F171="","",IFERROR(VLOOKUP(F171,'商品カタログ'!$A:$O,12,FALSE),""))</f>
      </c>
      <c r="M171" s="371" t="str">
        <f>IF(F171="","",IFERROR(VLOOKUP(F171,'商品カタログ'!$A:$O,13,FALSE),""))</f>
      </c>
      <c r="N171" s="371"/>
      <c r="O171" s="371" t="str">
        <f>IF(F171="","",IFERROR(VLOOKUP(F171,'商品カタログ'!$A:$O,10,FALSE),""))</f>
      </c>
      <c r="P171" s="371" t="str">
        <f>IF(F171="","",IF(OR(J171&lt;=L171,J171-N171*O171&lt;=K171),MAX(IFERROR(VLOOKUP(F171,'商品カタログ'!$A:$O,8,FALSE),0),IFERROR(CEILING(MAX(0,M171-J171),MAX(1,VLOOKUP(F171,'商品カタログ'!$A:$O,9,FALSE))),MAX(0,M171-J171))),0))</f>
      </c>
      <c r="Q171" s="371"/>
      <c r="R171" s="331" t="str">
        <f>IF(F171="","",IFERROR(VLOOKUP(F171,'商品カタログ'!$A:$O,6,FALSE),""))</f>
      </c>
      <c r="S171" s="377" t="str">
        <f>IF(F171="","",IFERROR(VLOOKUP(F171,'商品カタログ'!$A:$O,14,FALSE),""))</f>
      </c>
      <c r="T171" s="377" t="str">
        <f>IF(F171="","",IFERROR(Q171*S171,0))</f>
      </c>
      <c r="U171" s="331"/>
      <c r="V171" s="331"/>
      <c r="W171" s="365" t="str">
        <f>IF(OR(B171="",O171=""),"",B171+O171)</f>
      </c>
      <c r="X171" s="365"/>
      <c r="Y171" s="371"/>
      <c r="Z171" s="371" t="str">
        <f>IF(F171="","",IF(V171="入荷済み",Y171-Q171,IF(V171="一部入荷",Y171-Q171,"")))</f>
      </c>
      <c r="AA171" s="331"/>
      <c r="AB171" s="331"/>
      <c r="AC171" s="331" t="str">
        <f>IF(F171="","",IF(V171="キャンセル済み","キャンセル済み",IF(AND(V171="入荷済み",Y171&gt;=Q171),"通常",IF(AND(W171&lt;TODAY(),W171&lt;&gt;"",V171&lt;&gt;"入荷済み"),"入荷遅延",IF(J171&lt;=K171,"セキュリティ在庫割れ",IF(J171&lt;=L171,"発注点到達",IF(Q171&lt;P171,"申請数が推奨数未満","通常")))))))</f>
      </c>
      <c r="AD171" s="332" t="str">
        <f>IF(F171="","",IF(N171=0,"不明",IF(J171/N171&lt;O171,"高リスク：リードタイム不足",IF(J171/N171&lt;O171+3,"中リスク","低リスク"))))</f>
      </c>
    </row>
    <row r="172" ht="19" customHeight="true">
      <c r="A172" s="330" t="str">
        <f>IF(F172="","","RL-"&amp;TEXT(ROW()-3,"0000"))</f>
      </c>
      <c r="B172" s="365"/>
      <c r="C172" s="331"/>
      <c r="D172" s="331"/>
      <c r="E172" s="331"/>
      <c r="F172" s="331"/>
      <c r="G172" s="331" t="str">
        <f>IF(F172="","",IFERROR(VLOOKUP(F172,'商品カタログ'!$A:$O,2,FALSE),""))</f>
      </c>
      <c r="H172" s="331" t="str">
        <f>IF(F172="","",IFERROR(VLOOKUP(F172,'商品カタログ'!$A:$O,3,FALSE),""))</f>
      </c>
      <c r="I172" s="331" t="str">
        <f>IF(F172="","",IFERROR(VLOOKUP(F172,'商品カタログ'!$A:$O,7,FALSE),""))</f>
      </c>
      <c r="J172" s="371"/>
      <c r="K172" s="371" t="str">
        <f>IF(F172="","",IFERROR(VLOOKUP(F172,'商品カタログ'!$A:$O,11,FALSE),""))</f>
      </c>
      <c r="L172" s="371" t="str">
        <f>IF(F172="","",IFERROR(VLOOKUP(F172,'商品カタログ'!$A:$O,12,FALSE),""))</f>
      </c>
      <c r="M172" s="371" t="str">
        <f>IF(F172="","",IFERROR(VLOOKUP(F172,'商品カタログ'!$A:$O,13,FALSE),""))</f>
      </c>
      <c r="N172" s="371"/>
      <c r="O172" s="371" t="str">
        <f>IF(F172="","",IFERROR(VLOOKUP(F172,'商品カタログ'!$A:$O,10,FALSE),""))</f>
      </c>
      <c r="P172" s="371" t="str">
        <f>IF(F172="","",IF(OR(J172&lt;=L172,J172-N172*O172&lt;=K172),MAX(IFERROR(VLOOKUP(F172,'商品カタログ'!$A:$O,8,FALSE),0),IFERROR(CEILING(MAX(0,M172-J172),MAX(1,VLOOKUP(F172,'商品カタログ'!$A:$O,9,FALSE))),MAX(0,M172-J172))),0))</f>
      </c>
      <c r="Q172" s="371"/>
      <c r="R172" s="331" t="str">
        <f>IF(F172="","",IFERROR(VLOOKUP(F172,'商品カタログ'!$A:$O,6,FALSE),""))</f>
      </c>
      <c r="S172" s="377" t="str">
        <f>IF(F172="","",IFERROR(VLOOKUP(F172,'商品カタログ'!$A:$O,14,FALSE),""))</f>
      </c>
      <c r="T172" s="377" t="str">
        <f>IF(F172="","",IFERROR(Q172*S172,0))</f>
      </c>
      <c r="U172" s="331"/>
      <c r="V172" s="331"/>
      <c r="W172" s="365" t="str">
        <f>IF(OR(B172="",O172=""),"",B172+O172)</f>
      </c>
      <c r="X172" s="365"/>
      <c r="Y172" s="371"/>
      <c r="Z172" s="371" t="str">
        <f>IF(F172="","",IF(V172="入荷済み",Y172-Q172,IF(V172="一部入荷",Y172-Q172,"")))</f>
      </c>
      <c r="AA172" s="331"/>
      <c r="AB172" s="331"/>
      <c r="AC172" s="331" t="str">
        <f>IF(F172="","",IF(V172="キャンセル済み","キャンセル済み",IF(AND(V172="入荷済み",Y172&gt;=Q172),"通常",IF(AND(W172&lt;TODAY(),W172&lt;&gt;"",V172&lt;&gt;"入荷済み"),"入荷遅延",IF(J172&lt;=K172,"セキュリティ在庫割れ",IF(J172&lt;=L172,"発注点到達",IF(Q172&lt;P172,"申請数が推奨数未満","通常")))))))</f>
      </c>
      <c r="AD172" s="332" t="str">
        <f>IF(F172="","",IF(N172=0,"不明",IF(J172/N172&lt;O172,"高リスク：リードタイム不足",IF(J172/N172&lt;O172+3,"中リスク","低リスク"))))</f>
      </c>
    </row>
    <row r="173" ht="19" customHeight="true">
      <c r="A173" s="330" t="str">
        <f>IF(F173="","","RL-"&amp;TEXT(ROW()-3,"0000"))</f>
      </c>
      <c r="B173" s="365"/>
      <c r="C173" s="331"/>
      <c r="D173" s="331"/>
      <c r="E173" s="331"/>
      <c r="F173" s="331"/>
      <c r="G173" s="331" t="str">
        <f>IF(F173="","",IFERROR(VLOOKUP(F173,'商品カタログ'!$A:$O,2,FALSE),""))</f>
      </c>
      <c r="H173" s="331" t="str">
        <f>IF(F173="","",IFERROR(VLOOKUP(F173,'商品カタログ'!$A:$O,3,FALSE),""))</f>
      </c>
      <c r="I173" s="331" t="str">
        <f>IF(F173="","",IFERROR(VLOOKUP(F173,'商品カタログ'!$A:$O,7,FALSE),""))</f>
      </c>
      <c r="J173" s="371"/>
      <c r="K173" s="371" t="str">
        <f>IF(F173="","",IFERROR(VLOOKUP(F173,'商品カタログ'!$A:$O,11,FALSE),""))</f>
      </c>
      <c r="L173" s="371" t="str">
        <f>IF(F173="","",IFERROR(VLOOKUP(F173,'商品カタログ'!$A:$O,12,FALSE),""))</f>
      </c>
      <c r="M173" s="371" t="str">
        <f>IF(F173="","",IFERROR(VLOOKUP(F173,'商品カタログ'!$A:$O,13,FALSE),""))</f>
      </c>
      <c r="N173" s="371"/>
      <c r="O173" s="371" t="str">
        <f>IF(F173="","",IFERROR(VLOOKUP(F173,'商品カタログ'!$A:$O,10,FALSE),""))</f>
      </c>
      <c r="P173" s="371" t="str">
        <f>IF(F173="","",IF(OR(J173&lt;=L173,J173-N173*O173&lt;=K173),MAX(IFERROR(VLOOKUP(F173,'商品カタログ'!$A:$O,8,FALSE),0),IFERROR(CEILING(MAX(0,M173-J173),MAX(1,VLOOKUP(F173,'商品カタログ'!$A:$O,9,FALSE))),MAX(0,M173-J173))),0))</f>
      </c>
      <c r="Q173" s="371"/>
      <c r="R173" s="331" t="str">
        <f>IF(F173="","",IFERROR(VLOOKUP(F173,'商品カタログ'!$A:$O,6,FALSE),""))</f>
      </c>
      <c r="S173" s="377" t="str">
        <f>IF(F173="","",IFERROR(VLOOKUP(F173,'商品カタログ'!$A:$O,14,FALSE),""))</f>
      </c>
      <c r="T173" s="377" t="str">
        <f>IF(F173="","",IFERROR(Q173*S173,0))</f>
      </c>
      <c r="U173" s="331"/>
      <c r="V173" s="331"/>
      <c r="W173" s="365" t="str">
        <f>IF(OR(B173="",O173=""),"",B173+O173)</f>
      </c>
      <c r="X173" s="365"/>
      <c r="Y173" s="371"/>
      <c r="Z173" s="371" t="str">
        <f>IF(F173="","",IF(V173="入荷済み",Y173-Q173,IF(V173="一部入荷",Y173-Q173,"")))</f>
      </c>
      <c r="AA173" s="331"/>
      <c r="AB173" s="331"/>
      <c r="AC173" s="331" t="str">
        <f>IF(F173="","",IF(V173="キャンセル済み","キャンセル済み",IF(AND(V173="入荷済み",Y173&gt;=Q173),"通常",IF(AND(W173&lt;TODAY(),W173&lt;&gt;"",V173&lt;&gt;"入荷済み"),"入荷遅延",IF(J173&lt;=K173,"セキュリティ在庫割れ",IF(J173&lt;=L173,"発注点到達",IF(Q173&lt;P173,"申請数が推奨数未満","通常")))))))</f>
      </c>
      <c r="AD173" s="332" t="str">
        <f>IF(F173="","",IF(N173=0,"不明",IF(J173/N173&lt;O173,"高リスク：リードタイム不足",IF(J173/N173&lt;O173+3,"中リスク","低リスク"))))</f>
      </c>
    </row>
    <row r="174" ht="19" customHeight="true">
      <c r="A174" s="330" t="str">
        <f>IF(F174="","","RL-"&amp;TEXT(ROW()-3,"0000"))</f>
      </c>
      <c r="B174" s="365"/>
      <c r="C174" s="331"/>
      <c r="D174" s="331"/>
      <c r="E174" s="331"/>
      <c r="F174" s="331"/>
      <c r="G174" s="331" t="str">
        <f>IF(F174="","",IFERROR(VLOOKUP(F174,'商品カタログ'!$A:$O,2,FALSE),""))</f>
      </c>
      <c r="H174" s="331" t="str">
        <f>IF(F174="","",IFERROR(VLOOKUP(F174,'商品カタログ'!$A:$O,3,FALSE),""))</f>
      </c>
      <c r="I174" s="331" t="str">
        <f>IF(F174="","",IFERROR(VLOOKUP(F174,'商品カタログ'!$A:$O,7,FALSE),""))</f>
      </c>
      <c r="J174" s="371"/>
      <c r="K174" s="371" t="str">
        <f>IF(F174="","",IFERROR(VLOOKUP(F174,'商品カタログ'!$A:$O,11,FALSE),""))</f>
      </c>
      <c r="L174" s="371" t="str">
        <f>IF(F174="","",IFERROR(VLOOKUP(F174,'商品カタログ'!$A:$O,12,FALSE),""))</f>
      </c>
      <c r="M174" s="371" t="str">
        <f>IF(F174="","",IFERROR(VLOOKUP(F174,'商品カタログ'!$A:$O,13,FALSE),""))</f>
      </c>
      <c r="N174" s="371"/>
      <c r="O174" s="371" t="str">
        <f>IF(F174="","",IFERROR(VLOOKUP(F174,'商品カタログ'!$A:$O,10,FALSE),""))</f>
      </c>
      <c r="P174" s="371" t="str">
        <f>IF(F174="","",IF(OR(J174&lt;=L174,J174-N174*O174&lt;=K174),MAX(IFERROR(VLOOKUP(F174,'商品カタログ'!$A:$O,8,FALSE),0),IFERROR(CEILING(MAX(0,M174-J174),MAX(1,VLOOKUP(F174,'商品カタログ'!$A:$O,9,FALSE))),MAX(0,M174-J174))),0))</f>
      </c>
      <c r="Q174" s="371"/>
      <c r="R174" s="331" t="str">
        <f>IF(F174="","",IFERROR(VLOOKUP(F174,'商品カタログ'!$A:$O,6,FALSE),""))</f>
      </c>
      <c r="S174" s="377" t="str">
        <f>IF(F174="","",IFERROR(VLOOKUP(F174,'商品カタログ'!$A:$O,14,FALSE),""))</f>
      </c>
      <c r="T174" s="377" t="str">
        <f>IF(F174="","",IFERROR(Q174*S174,0))</f>
      </c>
      <c r="U174" s="331"/>
      <c r="V174" s="331"/>
      <c r="W174" s="365" t="str">
        <f>IF(OR(B174="",O174=""),"",B174+O174)</f>
      </c>
      <c r="X174" s="365"/>
      <c r="Y174" s="371"/>
      <c r="Z174" s="371" t="str">
        <f>IF(F174="","",IF(V174="入荷済み",Y174-Q174,IF(V174="一部入荷",Y174-Q174,"")))</f>
      </c>
      <c r="AA174" s="331"/>
      <c r="AB174" s="331"/>
      <c r="AC174" s="331" t="str">
        <f>IF(F174="","",IF(V174="キャンセル済み","キャンセル済み",IF(AND(V174="入荷済み",Y174&gt;=Q174),"通常",IF(AND(W174&lt;TODAY(),W174&lt;&gt;"",V174&lt;&gt;"入荷済み"),"入荷遅延",IF(J174&lt;=K174,"セキュリティ在庫割れ",IF(J174&lt;=L174,"発注点到達",IF(Q174&lt;P174,"申請数が推奨数未満","通常")))))))</f>
      </c>
      <c r="AD174" s="332" t="str">
        <f>IF(F174="","",IF(N174=0,"不明",IF(J174/N174&lt;O174,"高リスク：リードタイム不足",IF(J174/N174&lt;O174+3,"中リスク","低リスク"))))</f>
      </c>
    </row>
    <row r="175" ht="19" customHeight="true">
      <c r="A175" s="330" t="str">
        <f>IF(F175="","","RL-"&amp;TEXT(ROW()-3,"0000"))</f>
      </c>
      <c r="B175" s="365"/>
      <c r="C175" s="331"/>
      <c r="D175" s="331"/>
      <c r="E175" s="331"/>
      <c r="F175" s="331"/>
      <c r="G175" s="331" t="str">
        <f>IF(F175="","",IFERROR(VLOOKUP(F175,'商品カタログ'!$A:$O,2,FALSE),""))</f>
      </c>
      <c r="H175" s="331" t="str">
        <f>IF(F175="","",IFERROR(VLOOKUP(F175,'商品カタログ'!$A:$O,3,FALSE),""))</f>
      </c>
      <c r="I175" s="331" t="str">
        <f>IF(F175="","",IFERROR(VLOOKUP(F175,'商品カタログ'!$A:$O,7,FALSE),""))</f>
      </c>
      <c r="J175" s="371"/>
      <c r="K175" s="371" t="str">
        <f>IF(F175="","",IFERROR(VLOOKUP(F175,'商品カタログ'!$A:$O,11,FALSE),""))</f>
      </c>
      <c r="L175" s="371" t="str">
        <f>IF(F175="","",IFERROR(VLOOKUP(F175,'商品カタログ'!$A:$O,12,FALSE),""))</f>
      </c>
      <c r="M175" s="371" t="str">
        <f>IF(F175="","",IFERROR(VLOOKUP(F175,'商品カタログ'!$A:$O,13,FALSE),""))</f>
      </c>
      <c r="N175" s="371"/>
      <c r="O175" s="371" t="str">
        <f>IF(F175="","",IFERROR(VLOOKUP(F175,'商品カタログ'!$A:$O,10,FALSE),""))</f>
      </c>
      <c r="P175" s="371" t="str">
        <f>IF(F175="","",IF(OR(J175&lt;=L175,J175-N175*O175&lt;=K175),MAX(IFERROR(VLOOKUP(F175,'商品カタログ'!$A:$O,8,FALSE),0),IFERROR(CEILING(MAX(0,M175-J175),MAX(1,VLOOKUP(F175,'商品カタログ'!$A:$O,9,FALSE))),MAX(0,M175-J175))),0))</f>
      </c>
      <c r="Q175" s="371"/>
      <c r="R175" s="331" t="str">
        <f>IF(F175="","",IFERROR(VLOOKUP(F175,'商品カタログ'!$A:$O,6,FALSE),""))</f>
      </c>
      <c r="S175" s="377" t="str">
        <f>IF(F175="","",IFERROR(VLOOKUP(F175,'商品カタログ'!$A:$O,14,FALSE),""))</f>
      </c>
      <c r="T175" s="377" t="str">
        <f>IF(F175="","",IFERROR(Q175*S175,0))</f>
      </c>
      <c r="U175" s="331"/>
      <c r="V175" s="331"/>
      <c r="W175" s="365" t="str">
        <f>IF(OR(B175="",O175=""),"",B175+O175)</f>
      </c>
      <c r="X175" s="365"/>
      <c r="Y175" s="371"/>
      <c r="Z175" s="371" t="str">
        <f>IF(F175="","",IF(V175="入荷済み",Y175-Q175,IF(V175="一部入荷",Y175-Q175,"")))</f>
      </c>
      <c r="AA175" s="331"/>
      <c r="AB175" s="331"/>
      <c r="AC175" s="331" t="str">
        <f>IF(F175="","",IF(V175="キャンセル済み","キャンセル済み",IF(AND(V175="入荷済み",Y175&gt;=Q175),"通常",IF(AND(W175&lt;TODAY(),W175&lt;&gt;"",V175&lt;&gt;"入荷済み"),"入荷遅延",IF(J175&lt;=K175,"セキュリティ在庫割れ",IF(J175&lt;=L175,"発注点到達",IF(Q175&lt;P175,"申請数が推奨数未満","通常")))))))</f>
      </c>
      <c r="AD175" s="332" t="str">
        <f>IF(F175="","",IF(N175=0,"不明",IF(J175/N175&lt;O175,"高リスク：リードタイム不足",IF(J175/N175&lt;O175+3,"中リスク","低リスク"))))</f>
      </c>
    </row>
    <row r="176" ht="19" customHeight="true">
      <c r="A176" s="330" t="str">
        <f>IF(F176="","","RL-"&amp;TEXT(ROW()-3,"0000"))</f>
      </c>
      <c r="B176" s="365"/>
      <c r="C176" s="331"/>
      <c r="D176" s="331"/>
      <c r="E176" s="331"/>
      <c r="F176" s="331"/>
      <c r="G176" s="331" t="str">
        <f>IF(F176="","",IFERROR(VLOOKUP(F176,'商品カタログ'!$A:$O,2,FALSE),""))</f>
      </c>
      <c r="H176" s="331" t="str">
        <f>IF(F176="","",IFERROR(VLOOKUP(F176,'商品カタログ'!$A:$O,3,FALSE),""))</f>
      </c>
      <c r="I176" s="331" t="str">
        <f>IF(F176="","",IFERROR(VLOOKUP(F176,'商品カタログ'!$A:$O,7,FALSE),""))</f>
      </c>
      <c r="J176" s="371"/>
      <c r="K176" s="371" t="str">
        <f>IF(F176="","",IFERROR(VLOOKUP(F176,'商品カタログ'!$A:$O,11,FALSE),""))</f>
      </c>
      <c r="L176" s="371" t="str">
        <f>IF(F176="","",IFERROR(VLOOKUP(F176,'商品カタログ'!$A:$O,12,FALSE),""))</f>
      </c>
      <c r="M176" s="371" t="str">
        <f>IF(F176="","",IFERROR(VLOOKUP(F176,'商品カタログ'!$A:$O,13,FALSE),""))</f>
      </c>
      <c r="N176" s="371"/>
      <c r="O176" s="371" t="str">
        <f>IF(F176="","",IFERROR(VLOOKUP(F176,'商品カタログ'!$A:$O,10,FALSE),""))</f>
      </c>
      <c r="P176" s="371" t="str">
        <f>IF(F176="","",IF(OR(J176&lt;=L176,J176-N176*O176&lt;=K176),MAX(IFERROR(VLOOKUP(F176,'商品カタログ'!$A:$O,8,FALSE),0),IFERROR(CEILING(MAX(0,M176-J176),MAX(1,VLOOKUP(F176,'商品カタログ'!$A:$O,9,FALSE))),MAX(0,M176-J176))),0))</f>
      </c>
      <c r="Q176" s="371"/>
      <c r="R176" s="331" t="str">
        <f>IF(F176="","",IFERROR(VLOOKUP(F176,'商品カタログ'!$A:$O,6,FALSE),""))</f>
      </c>
      <c r="S176" s="377" t="str">
        <f>IF(F176="","",IFERROR(VLOOKUP(F176,'商品カタログ'!$A:$O,14,FALSE),""))</f>
      </c>
      <c r="T176" s="377" t="str">
        <f>IF(F176="","",IFERROR(Q176*S176,0))</f>
      </c>
      <c r="U176" s="331"/>
      <c r="V176" s="331"/>
      <c r="W176" s="365" t="str">
        <f>IF(OR(B176="",O176=""),"",B176+O176)</f>
      </c>
      <c r="X176" s="365"/>
      <c r="Y176" s="371"/>
      <c r="Z176" s="371" t="str">
        <f>IF(F176="","",IF(V176="入荷済み",Y176-Q176,IF(V176="一部入荷",Y176-Q176,"")))</f>
      </c>
      <c r="AA176" s="331"/>
      <c r="AB176" s="331"/>
      <c r="AC176" s="331" t="str">
        <f>IF(F176="","",IF(V176="キャンセル済み","キャンセル済み",IF(AND(V176="入荷済み",Y176&gt;=Q176),"通常",IF(AND(W176&lt;TODAY(),W176&lt;&gt;"",V176&lt;&gt;"入荷済み"),"入荷遅延",IF(J176&lt;=K176,"セキュリティ在庫割れ",IF(J176&lt;=L176,"発注点到達",IF(Q176&lt;P176,"申請数が推奨数未満","通常")))))))</f>
      </c>
      <c r="AD176" s="332" t="str">
        <f>IF(F176="","",IF(N176=0,"不明",IF(J176/N176&lt;O176,"高リスク：リードタイム不足",IF(J176/N176&lt;O176+3,"中リスク","低リスク"))))</f>
      </c>
    </row>
    <row r="177" ht="19" customHeight="true">
      <c r="A177" s="330" t="str">
        <f>IF(F177="","","RL-"&amp;TEXT(ROW()-3,"0000"))</f>
      </c>
      <c r="B177" s="365"/>
      <c r="C177" s="331"/>
      <c r="D177" s="331"/>
      <c r="E177" s="331"/>
      <c r="F177" s="331"/>
      <c r="G177" s="331" t="str">
        <f>IF(F177="","",IFERROR(VLOOKUP(F177,'商品カタログ'!$A:$O,2,FALSE),""))</f>
      </c>
      <c r="H177" s="331" t="str">
        <f>IF(F177="","",IFERROR(VLOOKUP(F177,'商品カタログ'!$A:$O,3,FALSE),""))</f>
      </c>
      <c r="I177" s="331" t="str">
        <f>IF(F177="","",IFERROR(VLOOKUP(F177,'商品カタログ'!$A:$O,7,FALSE),""))</f>
      </c>
      <c r="J177" s="371"/>
      <c r="K177" s="371" t="str">
        <f>IF(F177="","",IFERROR(VLOOKUP(F177,'商品カタログ'!$A:$O,11,FALSE),""))</f>
      </c>
      <c r="L177" s="371" t="str">
        <f>IF(F177="","",IFERROR(VLOOKUP(F177,'商品カタログ'!$A:$O,12,FALSE),""))</f>
      </c>
      <c r="M177" s="371" t="str">
        <f>IF(F177="","",IFERROR(VLOOKUP(F177,'商品カタログ'!$A:$O,13,FALSE),""))</f>
      </c>
      <c r="N177" s="371"/>
      <c r="O177" s="371" t="str">
        <f>IF(F177="","",IFERROR(VLOOKUP(F177,'商品カタログ'!$A:$O,10,FALSE),""))</f>
      </c>
      <c r="P177" s="371" t="str">
        <f>IF(F177="","",IF(OR(J177&lt;=L177,J177-N177*O177&lt;=K177),MAX(IFERROR(VLOOKUP(F177,'商品カタログ'!$A:$O,8,FALSE),0),IFERROR(CEILING(MAX(0,M177-J177),MAX(1,VLOOKUP(F177,'商品カタログ'!$A:$O,9,FALSE))),MAX(0,M177-J177))),0))</f>
      </c>
      <c r="Q177" s="371"/>
      <c r="R177" s="331" t="str">
        <f>IF(F177="","",IFERROR(VLOOKUP(F177,'商品カタログ'!$A:$O,6,FALSE),""))</f>
      </c>
      <c r="S177" s="377" t="str">
        <f>IF(F177="","",IFERROR(VLOOKUP(F177,'商品カタログ'!$A:$O,14,FALSE),""))</f>
      </c>
      <c r="T177" s="377" t="str">
        <f>IF(F177="","",IFERROR(Q177*S177,0))</f>
      </c>
      <c r="U177" s="331"/>
      <c r="V177" s="331"/>
      <c r="W177" s="365" t="str">
        <f>IF(OR(B177="",O177=""),"",B177+O177)</f>
      </c>
      <c r="X177" s="365"/>
      <c r="Y177" s="371"/>
      <c r="Z177" s="371" t="str">
        <f>IF(F177="","",IF(V177="入荷済み",Y177-Q177,IF(V177="一部入荷",Y177-Q177,"")))</f>
      </c>
      <c r="AA177" s="331"/>
      <c r="AB177" s="331"/>
      <c r="AC177" s="331" t="str">
        <f>IF(F177="","",IF(V177="キャンセル済み","キャンセル済み",IF(AND(V177="入荷済み",Y177&gt;=Q177),"通常",IF(AND(W177&lt;TODAY(),W177&lt;&gt;"",V177&lt;&gt;"入荷済み"),"入荷遅延",IF(J177&lt;=K177,"セキュリティ在庫割れ",IF(J177&lt;=L177,"発注点到達",IF(Q177&lt;P177,"申請数が推奨数未満","通常")))))))</f>
      </c>
      <c r="AD177" s="332" t="str">
        <f>IF(F177="","",IF(N177=0,"不明",IF(J177/N177&lt;O177,"高リスク：リードタイム不足",IF(J177/N177&lt;O177+3,"中リスク","低リスク"))))</f>
      </c>
    </row>
    <row r="178" ht="19" customHeight="true">
      <c r="A178" s="330" t="str">
        <f>IF(F178="","","RL-"&amp;TEXT(ROW()-3,"0000"))</f>
      </c>
      <c r="B178" s="365"/>
      <c r="C178" s="331"/>
      <c r="D178" s="331"/>
      <c r="E178" s="331"/>
      <c r="F178" s="331"/>
      <c r="G178" s="331" t="str">
        <f>IF(F178="","",IFERROR(VLOOKUP(F178,'商品カタログ'!$A:$O,2,FALSE),""))</f>
      </c>
      <c r="H178" s="331" t="str">
        <f>IF(F178="","",IFERROR(VLOOKUP(F178,'商品カタログ'!$A:$O,3,FALSE),""))</f>
      </c>
      <c r="I178" s="331" t="str">
        <f>IF(F178="","",IFERROR(VLOOKUP(F178,'商品カタログ'!$A:$O,7,FALSE),""))</f>
      </c>
      <c r="J178" s="371"/>
      <c r="K178" s="371" t="str">
        <f>IF(F178="","",IFERROR(VLOOKUP(F178,'商品カタログ'!$A:$O,11,FALSE),""))</f>
      </c>
      <c r="L178" s="371" t="str">
        <f>IF(F178="","",IFERROR(VLOOKUP(F178,'商品カタログ'!$A:$O,12,FALSE),""))</f>
      </c>
      <c r="M178" s="371" t="str">
        <f>IF(F178="","",IFERROR(VLOOKUP(F178,'商品カタログ'!$A:$O,13,FALSE),""))</f>
      </c>
      <c r="N178" s="371"/>
      <c r="O178" s="371" t="str">
        <f>IF(F178="","",IFERROR(VLOOKUP(F178,'商品カタログ'!$A:$O,10,FALSE),""))</f>
      </c>
      <c r="P178" s="371" t="str">
        <f>IF(F178="","",IF(OR(J178&lt;=L178,J178-N178*O178&lt;=K178),MAX(IFERROR(VLOOKUP(F178,'商品カタログ'!$A:$O,8,FALSE),0),IFERROR(CEILING(MAX(0,M178-J178),MAX(1,VLOOKUP(F178,'商品カタログ'!$A:$O,9,FALSE))),MAX(0,M178-J178))),0))</f>
      </c>
      <c r="Q178" s="371"/>
      <c r="R178" s="331" t="str">
        <f>IF(F178="","",IFERROR(VLOOKUP(F178,'商品カタログ'!$A:$O,6,FALSE),""))</f>
      </c>
      <c r="S178" s="377" t="str">
        <f>IF(F178="","",IFERROR(VLOOKUP(F178,'商品カタログ'!$A:$O,14,FALSE),""))</f>
      </c>
      <c r="T178" s="377" t="str">
        <f>IF(F178="","",IFERROR(Q178*S178,0))</f>
      </c>
      <c r="U178" s="331"/>
      <c r="V178" s="331"/>
      <c r="W178" s="365" t="str">
        <f>IF(OR(B178="",O178=""),"",B178+O178)</f>
      </c>
      <c r="X178" s="365"/>
      <c r="Y178" s="371"/>
      <c r="Z178" s="371" t="str">
        <f>IF(F178="","",IF(V178="入荷済み",Y178-Q178,IF(V178="一部入荷",Y178-Q178,"")))</f>
      </c>
      <c r="AA178" s="331"/>
      <c r="AB178" s="331"/>
      <c r="AC178" s="331" t="str">
        <f>IF(F178="","",IF(V178="キャンセル済み","キャンセル済み",IF(AND(V178="入荷済み",Y178&gt;=Q178),"通常",IF(AND(W178&lt;TODAY(),W178&lt;&gt;"",V178&lt;&gt;"入荷済み"),"入荷遅延",IF(J178&lt;=K178,"セキュリティ在庫割れ",IF(J178&lt;=L178,"発注点到達",IF(Q178&lt;P178,"申請数が推奨数未満","通常")))))))</f>
      </c>
      <c r="AD178" s="332" t="str">
        <f>IF(F178="","",IF(N178=0,"不明",IF(J178/N178&lt;O178,"高リスク：リードタイム不足",IF(J178/N178&lt;O178+3,"中リスク","低リスク"))))</f>
      </c>
    </row>
    <row r="179" ht="19" customHeight="true">
      <c r="A179" s="330" t="str">
        <f>IF(F179="","","RL-"&amp;TEXT(ROW()-3,"0000"))</f>
      </c>
      <c r="B179" s="365"/>
      <c r="C179" s="331"/>
      <c r="D179" s="331"/>
      <c r="E179" s="331"/>
      <c r="F179" s="331"/>
      <c r="G179" s="331" t="str">
        <f>IF(F179="","",IFERROR(VLOOKUP(F179,'商品カタログ'!$A:$O,2,FALSE),""))</f>
      </c>
      <c r="H179" s="331" t="str">
        <f>IF(F179="","",IFERROR(VLOOKUP(F179,'商品カタログ'!$A:$O,3,FALSE),""))</f>
      </c>
      <c r="I179" s="331" t="str">
        <f>IF(F179="","",IFERROR(VLOOKUP(F179,'商品カタログ'!$A:$O,7,FALSE),""))</f>
      </c>
      <c r="J179" s="371"/>
      <c r="K179" s="371" t="str">
        <f>IF(F179="","",IFERROR(VLOOKUP(F179,'商品カタログ'!$A:$O,11,FALSE),""))</f>
      </c>
      <c r="L179" s="371" t="str">
        <f>IF(F179="","",IFERROR(VLOOKUP(F179,'商品カタログ'!$A:$O,12,FALSE),""))</f>
      </c>
      <c r="M179" s="371" t="str">
        <f>IF(F179="","",IFERROR(VLOOKUP(F179,'商品カタログ'!$A:$O,13,FALSE),""))</f>
      </c>
      <c r="N179" s="371"/>
      <c r="O179" s="371" t="str">
        <f>IF(F179="","",IFERROR(VLOOKUP(F179,'商品カタログ'!$A:$O,10,FALSE),""))</f>
      </c>
      <c r="P179" s="371" t="str">
        <f>IF(F179="","",IF(OR(J179&lt;=L179,J179-N179*O179&lt;=K179),MAX(IFERROR(VLOOKUP(F179,'商品カタログ'!$A:$O,8,FALSE),0),IFERROR(CEILING(MAX(0,M179-J179),MAX(1,VLOOKUP(F179,'商品カタログ'!$A:$O,9,FALSE))),MAX(0,M179-J179))),0))</f>
      </c>
      <c r="Q179" s="371"/>
      <c r="R179" s="331" t="str">
        <f>IF(F179="","",IFERROR(VLOOKUP(F179,'商品カタログ'!$A:$O,6,FALSE),""))</f>
      </c>
      <c r="S179" s="377" t="str">
        <f>IF(F179="","",IFERROR(VLOOKUP(F179,'商品カタログ'!$A:$O,14,FALSE),""))</f>
      </c>
      <c r="T179" s="377" t="str">
        <f>IF(F179="","",IFERROR(Q179*S179,0))</f>
      </c>
      <c r="U179" s="331"/>
      <c r="V179" s="331"/>
      <c r="W179" s="365" t="str">
        <f>IF(OR(B179="",O179=""),"",B179+O179)</f>
      </c>
      <c r="X179" s="365"/>
      <c r="Y179" s="371"/>
      <c r="Z179" s="371" t="str">
        <f>IF(F179="","",IF(V179="入荷済み",Y179-Q179,IF(V179="一部入荷",Y179-Q179,"")))</f>
      </c>
      <c r="AA179" s="331"/>
      <c r="AB179" s="331"/>
      <c r="AC179" s="331" t="str">
        <f>IF(F179="","",IF(V179="キャンセル済み","キャンセル済み",IF(AND(V179="入荷済み",Y179&gt;=Q179),"通常",IF(AND(W179&lt;TODAY(),W179&lt;&gt;"",V179&lt;&gt;"入荷済み"),"入荷遅延",IF(J179&lt;=K179,"セキュリティ在庫割れ",IF(J179&lt;=L179,"発注点到達",IF(Q179&lt;P179,"申請数が推奨数未満","通常")))))))</f>
      </c>
      <c r="AD179" s="332" t="str">
        <f>IF(F179="","",IF(N179=0,"不明",IF(J179/N179&lt;O179,"高リスク：リードタイム不足",IF(J179/N179&lt;O179+3,"中リスク","低リスク"))))</f>
      </c>
    </row>
    <row r="180" ht="19" customHeight="true">
      <c r="A180" s="330" t="str">
        <f>IF(F180="","","RL-"&amp;TEXT(ROW()-3,"0000"))</f>
      </c>
      <c r="B180" s="365"/>
      <c r="C180" s="331"/>
      <c r="D180" s="331"/>
      <c r="E180" s="331"/>
      <c r="F180" s="331"/>
      <c r="G180" s="331" t="str">
        <f>IF(F180="","",IFERROR(VLOOKUP(F180,'商品カタログ'!$A:$O,2,FALSE),""))</f>
      </c>
      <c r="H180" s="331" t="str">
        <f>IF(F180="","",IFERROR(VLOOKUP(F180,'商品カタログ'!$A:$O,3,FALSE),""))</f>
      </c>
      <c r="I180" s="331" t="str">
        <f>IF(F180="","",IFERROR(VLOOKUP(F180,'商品カタログ'!$A:$O,7,FALSE),""))</f>
      </c>
      <c r="J180" s="371"/>
      <c r="K180" s="371" t="str">
        <f>IF(F180="","",IFERROR(VLOOKUP(F180,'商品カタログ'!$A:$O,11,FALSE),""))</f>
      </c>
      <c r="L180" s="371" t="str">
        <f>IF(F180="","",IFERROR(VLOOKUP(F180,'商品カタログ'!$A:$O,12,FALSE),""))</f>
      </c>
      <c r="M180" s="371" t="str">
        <f>IF(F180="","",IFERROR(VLOOKUP(F180,'商品カタログ'!$A:$O,13,FALSE),""))</f>
      </c>
      <c r="N180" s="371"/>
      <c r="O180" s="371" t="str">
        <f>IF(F180="","",IFERROR(VLOOKUP(F180,'商品カタログ'!$A:$O,10,FALSE),""))</f>
      </c>
      <c r="P180" s="371" t="str">
        <f>IF(F180="","",IF(OR(J180&lt;=L180,J180-N180*O180&lt;=K180),MAX(IFERROR(VLOOKUP(F180,'商品カタログ'!$A:$O,8,FALSE),0),IFERROR(CEILING(MAX(0,M180-J180),MAX(1,VLOOKUP(F180,'商品カタログ'!$A:$O,9,FALSE))),MAX(0,M180-J180))),0))</f>
      </c>
      <c r="Q180" s="371"/>
      <c r="R180" s="331" t="str">
        <f>IF(F180="","",IFERROR(VLOOKUP(F180,'商品カタログ'!$A:$O,6,FALSE),""))</f>
      </c>
      <c r="S180" s="377" t="str">
        <f>IF(F180="","",IFERROR(VLOOKUP(F180,'商品カタログ'!$A:$O,14,FALSE),""))</f>
      </c>
      <c r="T180" s="377" t="str">
        <f>IF(F180="","",IFERROR(Q180*S180,0))</f>
      </c>
      <c r="U180" s="331"/>
      <c r="V180" s="331"/>
      <c r="W180" s="365" t="str">
        <f>IF(OR(B180="",O180=""),"",B180+O180)</f>
      </c>
      <c r="X180" s="365"/>
      <c r="Y180" s="371"/>
      <c r="Z180" s="371" t="str">
        <f>IF(F180="","",IF(V180="入荷済み",Y180-Q180,IF(V180="一部入荷",Y180-Q180,"")))</f>
      </c>
      <c r="AA180" s="331"/>
      <c r="AB180" s="331"/>
      <c r="AC180" s="331" t="str">
        <f>IF(F180="","",IF(V180="キャンセル済み","キャンセル済み",IF(AND(V180="入荷済み",Y180&gt;=Q180),"通常",IF(AND(W180&lt;TODAY(),W180&lt;&gt;"",V180&lt;&gt;"入荷済み"),"入荷遅延",IF(J180&lt;=K180,"セキュリティ在庫割れ",IF(J180&lt;=L180,"発注点到達",IF(Q180&lt;P180,"申請数が推奨数未満","通常")))))))</f>
      </c>
      <c r="AD180" s="332" t="str">
        <f>IF(F180="","",IF(N180=0,"不明",IF(J180/N180&lt;O180,"高リスク：リードタイム不足",IF(J180/N180&lt;O180+3,"中リスク","低リスク"))))</f>
      </c>
    </row>
    <row r="181" ht="19" customHeight="true">
      <c r="A181" s="330" t="str">
        <f>IF(F181="","","RL-"&amp;TEXT(ROW()-3,"0000"))</f>
      </c>
      <c r="B181" s="365"/>
      <c r="C181" s="331"/>
      <c r="D181" s="331"/>
      <c r="E181" s="331"/>
      <c r="F181" s="331"/>
      <c r="G181" s="331" t="str">
        <f>IF(F181="","",IFERROR(VLOOKUP(F181,'商品カタログ'!$A:$O,2,FALSE),""))</f>
      </c>
      <c r="H181" s="331" t="str">
        <f>IF(F181="","",IFERROR(VLOOKUP(F181,'商品カタログ'!$A:$O,3,FALSE),""))</f>
      </c>
      <c r="I181" s="331" t="str">
        <f>IF(F181="","",IFERROR(VLOOKUP(F181,'商品カタログ'!$A:$O,7,FALSE),""))</f>
      </c>
      <c r="J181" s="371"/>
      <c r="K181" s="371" t="str">
        <f>IF(F181="","",IFERROR(VLOOKUP(F181,'商品カタログ'!$A:$O,11,FALSE),""))</f>
      </c>
      <c r="L181" s="371" t="str">
        <f>IF(F181="","",IFERROR(VLOOKUP(F181,'商品カタログ'!$A:$O,12,FALSE),""))</f>
      </c>
      <c r="M181" s="371" t="str">
        <f>IF(F181="","",IFERROR(VLOOKUP(F181,'商品カタログ'!$A:$O,13,FALSE),""))</f>
      </c>
      <c r="N181" s="371"/>
      <c r="O181" s="371" t="str">
        <f>IF(F181="","",IFERROR(VLOOKUP(F181,'商品カタログ'!$A:$O,10,FALSE),""))</f>
      </c>
      <c r="P181" s="371" t="str">
        <f>IF(F181="","",IF(OR(J181&lt;=L181,J181-N181*O181&lt;=K181),MAX(IFERROR(VLOOKUP(F181,'商品カタログ'!$A:$O,8,FALSE),0),IFERROR(CEILING(MAX(0,M181-J181),MAX(1,VLOOKUP(F181,'商品カタログ'!$A:$O,9,FALSE))),MAX(0,M181-J181))),0))</f>
      </c>
      <c r="Q181" s="371"/>
      <c r="R181" s="331" t="str">
        <f>IF(F181="","",IFERROR(VLOOKUP(F181,'商品カタログ'!$A:$O,6,FALSE),""))</f>
      </c>
      <c r="S181" s="377" t="str">
        <f>IF(F181="","",IFERROR(VLOOKUP(F181,'商品カタログ'!$A:$O,14,FALSE),""))</f>
      </c>
      <c r="T181" s="377" t="str">
        <f>IF(F181="","",IFERROR(Q181*S181,0))</f>
      </c>
      <c r="U181" s="331"/>
      <c r="V181" s="331"/>
      <c r="W181" s="365" t="str">
        <f>IF(OR(B181="",O181=""),"",B181+O181)</f>
      </c>
      <c r="X181" s="365"/>
      <c r="Y181" s="371"/>
      <c r="Z181" s="371" t="str">
        <f>IF(F181="","",IF(V181="入荷済み",Y181-Q181,IF(V181="一部入荷",Y181-Q181,"")))</f>
      </c>
      <c r="AA181" s="331"/>
      <c r="AB181" s="331"/>
      <c r="AC181" s="331" t="str">
        <f>IF(F181="","",IF(V181="キャンセル済み","キャンセル済み",IF(AND(V181="入荷済み",Y181&gt;=Q181),"通常",IF(AND(W181&lt;TODAY(),W181&lt;&gt;"",V181&lt;&gt;"入荷済み"),"入荷遅延",IF(J181&lt;=K181,"セキュリティ在庫割れ",IF(J181&lt;=L181,"発注点到達",IF(Q181&lt;P181,"申請数が推奨数未満","通常")))))))</f>
      </c>
      <c r="AD181" s="332" t="str">
        <f>IF(F181="","",IF(N181=0,"不明",IF(J181/N181&lt;O181,"高リスク：リードタイム不足",IF(J181/N181&lt;O181+3,"中リスク","低リスク"))))</f>
      </c>
    </row>
    <row r="182" ht="19" customHeight="true">
      <c r="A182" s="330" t="str">
        <f>IF(F182="","","RL-"&amp;TEXT(ROW()-3,"0000"))</f>
      </c>
      <c r="B182" s="365"/>
      <c r="C182" s="331"/>
      <c r="D182" s="331"/>
      <c r="E182" s="331"/>
      <c r="F182" s="331"/>
      <c r="G182" s="331" t="str">
        <f>IF(F182="","",IFERROR(VLOOKUP(F182,'商品カタログ'!$A:$O,2,FALSE),""))</f>
      </c>
      <c r="H182" s="331" t="str">
        <f>IF(F182="","",IFERROR(VLOOKUP(F182,'商品カタログ'!$A:$O,3,FALSE),""))</f>
      </c>
      <c r="I182" s="331" t="str">
        <f>IF(F182="","",IFERROR(VLOOKUP(F182,'商品カタログ'!$A:$O,7,FALSE),""))</f>
      </c>
      <c r="J182" s="371"/>
      <c r="K182" s="371" t="str">
        <f>IF(F182="","",IFERROR(VLOOKUP(F182,'商品カタログ'!$A:$O,11,FALSE),""))</f>
      </c>
      <c r="L182" s="371" t="str">
        <f>IF(F182="","",IFERROR(VLOOKUP(F182,'商品カタログ'!$A:$O,12,FALSE),""))</f>
      </c>
      <c r="M182" s="371" t="str">
        <f>IF(F182="","",IFERROR(VLOOKUP(F182,'商品カタログ'!$A:$O,13,FALSE),""))</f>
      </c>
      <c r="N182" s="371"/>
      <c r="O182" s="371" t="str">
        <f>IF(F182="","",IFERROR(VLOOKUP(F182,'商品カタログ'!$A:$O,10,FALSE),""))</f>
      </c>
      <c r="P182" s="371" t="str">
        <f>IF(F182="","",IF(OR(J182&lt;=L182,J182-N182*O182&lt;=K182),MAX(IFERROR(VLOOKUP(F182,'商品カタログ'!$A:$O,8,FALSE),0),IFERROR(CEILING(MAX(0,M182-J182),MAX(1,VLOOKUP(F182,'商品カタログ'!$A:$O,9,FALSE))),MAX(0,M182-J182))),0))</f>
      </c>
      <c r="Q182" s="371"/>
      <c r="R182" s="331" t="str">
        <f>IF(F182="","",IFERROR(VLOOKUP(F182,'商品カタログ'!$A:$O,6,FALSE),""))</f>
      </c>
      <c r="S182" s="377" t="str">
        <f>IF(F182="","",IFERROR(VLOOKUP(F182,'商品カタログ'!$A:$O,14,FALSE),""))</f>
      </c>
      <c r="T182" s="377" t="str">
        <f>IF(F182="","",IFERROR(Q182*S182,0))</f>
      </c>
      <c r="U182" s="331"/>
      <c r="V182" s="331"/>
      <c r="W182" s="365" t="str">
        <f>IF(OR(B182="",O182=""),"",B182+O182)</f>
      </c>
      <c r="X182" s="365"/>
      <c r="Y182" s="371"/>
      <c r="Z182" s="371" t="str">
        <f>IF(F182="","",IF(V182="入荷済み",Y182-Q182,IF(V182="一部入荷",Y182-Q182,"")))</f>
      </c>
      <c r="AA182" s="331"/>
      <c r="AB182" s="331"/>
      <c r="AC182" s="331" t="str">
        <f>IF(F182="","",IF(V182="キャンセル済み","キャンセル済み",IF(AND(V182="入荷済み",Y182&gt;=Q182),"通常",IF(AND(W182&lt;TODAY(),W182&lt;&gt;"",V182&lt;&gt;"入荷済み"),"入荷遅延",IF(J182&lt;=K182,"セキュリティ在庫割れ",IF(J182&lt;=L182,"発注点到達",IF(Q182&lt;P182,"申請数が推奨数未満","通常")))))))</f>
      </c>
      <c r="AD182" s="332" t="str">
        <f>IF(F182="","",IF(N182=0,"不明",IF(J182/N182&lt;O182,"高リスク：リードタイム不足",IF(J182/N182&lt;O182+3,"中リスク","低リスク"))))</f>
      </c>
    </row>
    <row r="183" ht="19" customHeight="true">
      <c r="A183" s="330" t="str">
        <f>IF(F183="","","RL-"&amp;TEXT(ROW()-3,"0000"))</f>
      </c>
      <c r="B183" s="365"/>
      <c r="C183" s="331"/>
      <c r="D183" s="331"/>
      <c r="E183" s="331"/>
      <c r="F183" s="331"/>
      <c r="G183" s="331" t="str">
        <f>IF(F183="","",IFERROR(VLOOKUP(F183,'商品カタログ'!$A:$O,2,FALSE),""))</f>
      </c>
      <c r="H183" s="331" t="str">
        <f>IF(F183="","",IFERROR(VLOOKUP(F183,'商品カタログ'!$A:$O,3,FALSE),""))</f>
      </c>
      <c r="I183" s="331" t="str">
        <f>IF(F183="","",IFERROR(VLOOKUP(F183,'商品カタログ'!$A:$O,7,FALSE),""))</f>
      </c>
      <c r="J183" s="371"/>
      <c r="K183" s="371" t="str">
        <f>IF(F183="","",IFERROR(VLOOKUP(F183,'商品カタログ'!$A:$O,11,FALSE),""))</f>
      </c>
      <c r="L183" s="371" t="str">
        <f>IF(F183="","",IFERROR(VLOOKUP(F183,'商品カタログ'!$A:$O,12,FALSE),""))</f>
      </c>
      <c r="M183" s="371" t="str">
        <f>IF(F183="","",IFERROR(VLOOKUP(F183,'商品カタログ'!$A:$O,13,FALSE),""))</f>
      </c>
      <c r="N183" s="371"/>
      <c r="O183" s="371" t="str">
        <f>IF(F183="","",IFERROR(VLOOKUP(F183,'商品カタログ'!$A:$O,10,FALSE),""))</f>
      </c>
      <c r="P183" s="371" t="str">
        <f>IF(F183="","",IF(OR(J183&lt;=L183,J183-N183*O183&lt;=K183),MAX(IFERROR(VLOOKUP(F183,'商品カタログ'!$A:$O,8,FALSE),0),IFERROR(CEILING(MAX(0,M183-J183),MAX(1,VLOOKUP(F183,'商品カタログ'!$A:$O,9,FALSE))),MAX(0,M183-J183))),0))</f>
      </c>
      <c r="Q183" s="371"/>
      <c r="R183" s="331" t="str">
        <f>IF(F183="","",IFERROR(VLOOKUP(F183,'商品カタログ'!$A:$O,6,FALSE),""))</f>
      </c>
      <c r="S183" s="377" t="str">
        <f>IF(F183="","",IFERROR(VLOOKUP(F183,'商品カタログ'!$A:$O,14,FALSE),""))</f>
      </c>
      <c r="T183" s="377" t="str">
        <f>IF(F183="","",IFERROR(Q183*S183,0))</f>
      </c>
      <c r="U183" s="331"/>
      <c r="V183" s="331"/>
      <c r="W183" s="365" t="str">
        <f>IF(OR(B183="",O183=""),"",B183+O183)</f>
      </c>
      <c r="X183" s="365"/>
      <c r="Y183" s="371"/>
      <c r="Z183" s="371" t="str">
        <f>IF(F183="","",IF(V183="入荷済み",Y183-Q183,IF(V183="一部入荷",Y183-Q183,"")))</f>
      </c>
      <c r="AA183" s="331"/>
      <c r="AB183" s="331"/>
      <c r="AC183" s="331" t="str">
        <f>IF(F183="","",IF(V183="キャンセル済み","キャンセル済み",IF(AND(V183="入荷済み",Y183&gt;=Q183),"通常",IF(AND(W183&lt;TODAY(),W183&lt;&gt;"",V183&lt;&gt;"入荷済み"),"入荷遅延",IF(J183&lt;=K183,"セキュリティ在庫割れ",IF(J183&lt;=L183,"発注点到達",IF(Q183&lt;P183,"申請数が推奨数未満","通常")))))))</f>
      </c>
      <c r="AD183" s="332" t="str">
        <f>IF(F183="","",IF(N183=0,"不明",IF(J183/N183&lt;O183,"高リスク：リードタイム不足",IF(J183/N183&lt;O183+3,"中リスク","低リスク"))))</f>
      </c>
    </row>
    <row r="184" ht="19" customHeight="true">
      <c r="A184" s="330" t="str">
        <f>IF(F184="","","RL-"&amp;TEXT(ROW()-3,"0000"))</f>
      </c>
      <c r="B184" s="365"/>
      <c r="C184" s="331"/>
      <c r="D184" s="331"/>
      <c r="E184" s="331"/>
      <c r="F184" s="331"/>
      <c r="G184" s="331" t="str">
        <f>IF(F184="","",IFERROR(VLOOKUP(F184,'商品カタログ'!$A:$O,2,FALSE),""))</f>
      </c>
      <c r="H184" s="331" t="str">
        <f>IF(F184="","",IFERROR(VLOOKUP(F184,'商品カタログ'!$A:$O,3,FALSE),""))</f>
      </c>
      <c r="I184" s="331" t="str">
        <f>IF(F184="","",IFERROR(VLOOKUP(F184,'商品カタログ'!$A:$O,7,FALSE),""))</f>
      </c>
      <c r="J184" s="371"/>
      <c r="K184" s="371" t="str">
        <f>IF(F184="","",IFERROR(VLOOKUP(F184,'商品カタログ'!$A:$O,11,FALSE),""))</f>
      </c>
      <c r="L184" s="371" t="str">
        <f>IF(F184="","",IFERROR(VLOOKUP(F184,'商品カタログ'!$A:$O,12,FALSE),""))</f>
      </c>
      <c r="M184" s="371" t="str">
        <f>IF(F184="","",IFERROR(VLOOKUP(F184,'商品カタログ'!$A:$O,13,FALSE),""))</f>
      </c>
      <c r="N184" s="371"/>
      <c r="O184" s="371" t="str">
        <f>IF(F184="","",IFERROR(VLOOKUP(F184,'商品カタログ'!$A:$O,10,FALSE),""))</f>
      </c>
      <c r="P184" s="371" t="str">
        <f>IF(F184="","",IF(OR(J184&lt;=L184,J184-N184*O184&lt;=K184),MAX(IFERROR(VLOOKUP(F184,'商品カタログ'!$A:$O,8,FALSE),0),IFERROR(CEILING(MAX(0,M184-J184),MAX(1,VLOOKUP(F184,'商品カタログ'!$A:$O,9,FALSE))),MAX(0,M184-J184))),0))</f>
      </c>
      <c r="Q184" s="371"/>
      <c r="R184" s="331" t="str">
        <f>IF(F184="","",IFERROR(VLOOKUP(F184,'商品カタログ'!$A:$O,6,FALSE),""))</f>
      </c>
      <c r="S184" s="377" t="str">
        <f>IF(F184="","",IFERROR(VLOOKUP(F184,'商品カタログ'!$A:$O,14,FALSE),""))</f>
      </c>
      <c r="T184" s="377" t="str">
        <f>IF(F184="","",IFERROR(Q184*S184,0))</f>
      </c>
      <c r="U184" s="331"/>
      <c r="V184" s="331"/>
      <c r="W184" s="365" t="str">
        <f>IF(OR(B184="",O184=""),"",B184+O184)</f>
      </c>
      <c r="X184" s="365"/>
      <c r="Y184" s="371"/>
      <c r="Z184" s="371" t="str">
        <f>IF(F184="","",IF(V184="入荷済み",Y184-Q184,IF(V184="一部入荷",Y184-Q184,"")))</f>
      </c>
      <c r="AA184" s="331"/>
      <c r="AB184" s="331"/>
      <c r="AC184" s="331" t="str">
        <f>IF(F184="","",IF(V184="キャンセル済み","キャンセル済み",IF(AND(V184="入荷済み",Y184&gt;=Q184),"通常",IF(AND(W184&lt;TODAY(),W184&lt;&gt;"",V184&lt;&gt;"入荷済み"),"入荷遅延",IF(J184&lt;=K184,"セキュリティ在庫割れ",IF(J184&lt;=L184,"発注点到達",IF(Q184&lt;P184,"申請数が推奨数未満","通常")))))))</f>
      </c>
      <c r="AD184" s="332" t="str">
        <f>IF(F184="","",IF(N184=0,"不明",IF(J184/N184&lt;O184,"高リスク：リードタイム不足",IF(J184/N184&lt;O184+3,"中リスク","低リスク"))))</f>
      </c>
    </row>
    <row r="185" ht="19" customHeight="true">
      <c r="A185" s="330" t="str">
        <f>IF(F185="","","RL-"&amp;TEXT(ROW()-3,"0000"))</f>
      </c>
      <c r="B185" s="365"/>
      <c r="C185" s="331"/>
      <c r="D185" s="331"/>
      <c r="E185" s="331"/>
      <c r="F185" s="331"/>
      <c r="G185" s="331" t="str">
        <f>IF(F185="","",IFERROR(VLOOKUP(F185,'商品カタログ'!$A:$O,2,FALSE),""))</f>
      </c>
      <c r="H185" s="331" t="str">
        <f>IF(F185="","",IFERROR(VLOOKUP(F185,'商品カタログ'!$A:$O,3,FALSE),""))</f>
      </c>
      <c r="I185" s="331" t="str">
        <f>IF(F185="","",IFERROR(VLOOKUP(F185,'商品カタログ'!$A:$O,7,FALSE),""))</f>
      </c>
      <c r="J185" s="371"/>
      <c r="K185" s="371" t="str">
        <f>IF(F185="","",IFERROR(VLOOKUP(F185,'商品カタログ'!$A:$O,11,FALSE),""))</f>
      </c>
      <c r="L185" s="371" t="str">
        <f>IF(F185="","",IFERROR(VLOOKUP(F185,'商品カタログ'!$A:$O,12,FALSE),""))</f>
      </c>
      <c r="M185" s="371" t="str">
        <f>IF(F185="","",IFERROR(VLOOKUP(F185,'商品カタログ'!$A:$O,13,FALSE),""))</f>
      </c>
      <c r="N185" s="371"/>
      <c r="O185" s="371" t="str">
        <f>IF(F185="","",IFERROR(VLOOKUP(F185,'商品カタログ'!$A:$O,10,FALSE),""))</f>
      </c>
      <c r="P185" s="371" t="str">
        <f>IF(F185="","",IF(OR(J185&lt;=L185,J185-N185*O185&lt;=K185),MAX(IFERROR(VLOOKUP(F185,'商品カタログ'!$A:$O,8,FALSE),0),IFERROR(CEILING(MAX(0,M185-J185),MAX(1,VLOOKUP(F185,'商品カタログ'!$A:$O,9,FALSE))),MAX(0,M185-J185))),0))</f>
      </c>
      <c r="Q185" s="371"/>
      <c r="R185" s="331" t="str">
        <f>IF(F185="","",IFERROR(VLOOKUP(F185,'商品カタログ'!$A:$O,6,FALSE),""))</f>
      </c>
      <c r="S185" s="377" t="str">
        <f>IF(F185="","",IFERROR(VLOOKUP(F185,'商品カタログ'!$A:$O,14,FALSE),""))</f>
      </c>
      <c r="T185" s="377" t="str">
        <f>IF(F185="","",IFERROR(Q185*S185,0))</f>
      </c>
      <c r="U185" s="331"/>
      <c r="V185" s="331"/>
      <c r="W185" s="365" t="str">
        <f>IF(OR(B185="",O185=""),"",B185+O185)</f>
      </c>
      <c r="X185" s="365"/>
      <c r="Y185" s="371"/>
      <c r="Z185" s="371" t="str">
        <f>IF(F185="","",IF(V185="入荷済み",Y185-Q185,IF(V185="一部入荷",Y185-Q185,"")))</f>
      </c>
      <c r="AA185" s="331"/>
      <c r="AB185" s="331"/>
      <c r="AC185" s="331" t="str">
        <f>IF(F185="","",IF(V185="キャンセル済み","キャンセル済み",IF(AND(V185="入荷済み",Y185&gt;=Q185),"通常",IF(AND(W185&lt;TODAY(),W185&lt;&gt;"",V185&lt;&gt;"入荷済み"),"入荷遅延",IF(J185&lt;=K185,"セキュリティ在庫割れ",IF(J185&lt;=L185,"発注点到達",IF(Q185&lt;P185,"申請数が推奨数未満","通常")))))))</f>
      </c>
      <c r="AD185" s="332" t="str">
        <f>IF(F185="","",IF(N185=0,"不明",IF(J185/N185&lt;O185,"高リスク：リードタイム不足",IF(J185/N185&lt;O185+3,"中リスク","低リスク"))))</f>
      </c>
    </row>
    <row r="186" ht="19" customHeight="true">
      <c r="A186" s="330" t="str">
        <f>IF(F186="","","RL-"&amp;TEXT(ROW()-3,"0000"))</f>
      </c>
      <c r="B186" s="365"/>
      <c r="C186" s="331"/>
      <c r="D186" s="331"/>
      <c r="E186" s="331"/>
      <c r="F186" s="331"/>
      <c r="G186" s="331" t="str">
        <f>IF(F186="","",IFERROR(VLOOKUP(F186,'商品カタログ'!$A:$O,2,FALSE),""))</f>
      </c>
      <c r="H186" s="331" t="str">
        <f>IF(F186="","",IFERROR(VLOOKUP(F186,'商品カタログ'!$A:$O,3,FALSE),""))</f>
      </c>
      <c r="I186" s="331" t="str">
        <f>IF(F186="","",IFERROR(VLOOKUP(F186,'商品カタログ'!$A:$O,7,FALSE),""))</f>
      </c>
      <c r="J186" s="371"/>
      <c r="K186" s="371" t="str">
        <f>IF(F186="","",IFERROR(VLOOKUP(F186,'商品カタログ'!$A:$O,11,FALSE),""))</f>
      </c>
      <c r="L186" s="371" t="str">
        <f>IF(F186="","",IFERROR(VLOOKUP(F186,'商品カタログ'!$A:$O,12,FALSE),""))</f>
      </c>
      <c r="M186" s="371" t="str">
        <f>IF(F186="","",IFERROR(VLOOKUP(F186,'商品カタログ'!$A:$O,13,FALSE),""))</f>
      </c>
      <c r="N186" s="371"/>
      <c r="O186" s="371" t="str">
        <f>IF(F186="","",IFERROR(VLOOKUP(F186,'商品カタログ'!$A:$O,10,FALSE),""))</f>
      </c>
      <c r="P186" s="371" t="str">
        <f>IF(F186="","",IF(OR(J186&lt;=L186,J186-N186*O186&lt;=K186),MAX(IFERROR(VLOOKUP(F186,'商品カタログ'!$A:$O,8,FALSE),0),IFERROR(CEILING(MAX(0,M186-J186),MAX(1,VLOOKUP(F186,'商品カタログ'!$A:$O,9,FALSE))),MAX(0,M186-J186))),0))</f>
      </c>
      <c r="Q186" s="371"/>
      <c r="R186" s="331" t="str">
        <f>IF(F186="","",IFERROR(VLOOKUP(F186,'商品カタログ'!$A:$O,6,FALSE),""))</f>
      </c>
      <c r="S186" s="377" t="str">
        <f>IF(F186="","",IFERROR(VLOOKUP(F186,'商品カタログ'!$A:$O,14,FALSE),""))</f>
      </c>
      <c r="T186" s="377" t="str">
        <f>IF(F186="","",IFERROR(Q186*S186,0))</f>
      </c>
      <c r="U186" s="331"/>
      <c r="V186" s="331"/>
      <c r="W186" s="365" t="str">
        <f>IF(OR(B186="",O186=""),"",B186+O186)</f>
      </c>
      <c r="X186" s="365"/>
      <c r="Y186" s="371"/>
      <c r="Z186" s="371" t="str">
        <f>IF(F186="","",IF(V186="入荷済み",Y186-Q186,IF(V186="一部入荷",Y186-Q186,"")))</f>
      </c>
      <c r="AA186" s="331"/>
      <c r="AB186" s="331"/>
      <c r="AC186" s="331" t="str">
        <f>IF(F186="","",IF(V186="キャンセル済み","キャンセル済み",IF(AND(V186="入荷済み",Y186&gt;=Q186),"通常",IF(AND(W186&lt;TODAY(),W186&lt;&gt;"",V186&lt;&gt;"入荷済み"),"入荷遅延",IF(J186&lt;=K186,"セキュリティ在庫割れ",IF(J186&lt;=L186,"発注点到達",IF(Q186&lt;P186,"申請数が推奨数未満","通常")))))))</f>
      </c>
      <c r="AD186" s="332" t="str">
        <f>IF(F186="","",IF(N186=0,"不明",IF(J186/N186&lt;O186,"高リスク：リードタイム不足",IF(J186/N186&lt;O186+3,"中リスク","低リスク"))))</f>
      </c>
    </row>
    <row r="187" ht="19" customHeight="true">
      <c r="A187" s="330" t="str">
        <f>IF(F187="","","RL-"&amp;TEXT(ROW()-3,"0000"))</f>
      </c>
      <c r="B187" s="365"/>
      <c r="C187" s="331"/>
      <c r="D187" s="331"/>
      <c r="E187" s="331"/>
      <c r="F187" s="331"/>
      <c r="G187" s="331" t="str">
        <f>IF(F187="","",IFERROR(VLOOKUP(F187,'商品カタログ'!$A:$O,2,FALSE),""))</f>
      </c>
      <c r="H187" s="331" t="str">
        <f>IF(F187="","",IFERROR(VLOOKUP(F187,'商品カタログ'!$A:$O,3,FALSE),""))</f>
      </c>
      <c r="I187" s="331" t="str">
        <f>IF(F187="","",IFERROR(VLOOKUP(F187,'商品カタログ'!$A:$O,7,FALSE),""))</f>
      </c>
      <c r="J187" s="371"/>
      <c r="K187" s="371" t="str">
        <f>IF(F187="","",IFERROR(VLOOKUP(F187,'商品カタログ'!$A:$O,11,FALSE),""))</f>
      </c>
      <c r="L187" s="371" t="str">
        <f>IF(F187="","",IFERROR(VLOOKUP(F187,'商品カタログ'!$A:$O,12,FALSE),""))</f>
      </c>
      <c r="M187" s="371" t="str">
        <f>IF(F187="","",IFERROR(VLOOKUP(F187,'商品カタログ'!$A:$O,13,FALSE),""))</f>
      </c>
      <c r="N187" s="371"/>
      <c r="O187" s="371" t="str">
        <f>IF(F187="","",IFERROR(VLOOKUP(F187,'商品カタログ'!$A:$O,10,FALSE),""))</f>
      </c>
      <c r="P187" s="371" t="str">
        <f>IF(F187="","",IF(OR(J187&lt;=L187,J187-N187*O187&lt;=K187),MAX(IFERROR(VLOOKUP(F187,'商品カタログ'!$A:$O,8,FALSE),0),IFERROR(CEILING(MAX(0,M187-J187),MAX(1,VLOOKUP(F187,'商品カタログ'!$A:$O,9,FALSE))),MAX(0,M187-J187))),0))</f>
      </c>
      <c r="Q187" s="371"/>
      <c r="R187" s="331" t="str">
        <f>IF(F187="","",IFERROR(VLOOKUP(F187,'商品カタログ'!$A:$O,6,FALSE),""))</f>
      </c>
      <c r="S187" s="377" t="str">
        <f>IF(F187="","",IFERROR(VLOOKUP(F187,'商品カタログ'!$A:$O,14,FALSE),""))</f>
      </c>
      <c r="T187" s="377" t="str">
        <f>IF(F187="","",IFERROR(Q187*S187,0))</f>
      </c>
      <c r="U187" s="331"/>
      <c r="V187" s="331"/>
      <c r="W187" s="365" t="str">
        <f>IF(OR(B187="",O187=""),"",B187+O187)</f>
      </c>
      <c r="X187" s="365"/>
      <c r="Y187" s="371"/>
      <c r="Z187" s="371" t="str">
        <f>IF(F187="","",IF(V187="入荷済み",Y187-Q187,IF(V187="一部入荷",Y187-Q187,"")))</f>
      </c>
      <c r="AA187" s="331"/>
      <c r="AB187" s="331"/>
      <c r="AC187" s="331" t="str">
        <f>IF(F187="","",IF(V187="キャンセル済み","キャンセル済み",IF(AND(V187="入荷済み",Y187&gt;=Q187),"通常",IF(AND(W187&lt;TODAY(),W187&lt;&gt;"",V187&lt;&gt;"入荷済み"),"入荷遅延",IF(J187&lt;=K187,"セキュリティ在庫割れ",IF(J187&lt;=L187,"発注点到達",IF(Q187&lt;P187,"申請数が推奨数未満","通常")))))))</f>
      </c>
      <c r="AD187" s="332" t="str">
        <f>IF(F187="","",IF(N187=0,"不明",IF(J187/N187&lt;O187,"高リスク：リードタイム不足",IF(J187/N187&lt;O187+3,"中リスク","低リスク"))))</f>
      </c>
    </row>
    <row r="188" ht="19" customHeight="true">
      <c r="A188" s="330" t="str">
        <f>IF(F188="","","RL-"&amp;TEXT(ROW()-3,"0000"))</f>
      </c>
      <c r="B188" s="365"/>
      <c r="C188" s="331"/>
      <c r="D188" s="331"/>
      <c r="E188" s="331"/>
      <c r="F188" s="331"/>
      <c r="G188" s="331" t="str">
        <f>IF(F188="","",IFERROR(VLOOKUP(F188,'商品カタログ'!$A:$O,2,FALSE),""))</f>
      </c>
      <c r="H188" s="331" t="str">
        <f>IF(F188="","",IFERROR(VLOOKUP(F188,'商品カタログ'!$A:$O,3,FALSE),""))</f>
      </c>
      <c r="I188" s="331" t="str">
        <f>IF(F188="","",IFERROR(VLOOKUP(F188,'商品カタログ'!$A:$O,7,FALSE),""))</f>
      </c>
      <c r="J188" s="371"/>
      <c r="K188" s="371" t="str">
        <f>IF(F188="","",IFERROR(VLOOKUP(F188,'商品カタログ'!$A:$O,11,FALSE),""))</f>
      </c>
      <c r="L188" s="371" t="str">
        <f>IF(F188="","",IFERROR(VLOOKUP(F188,'商品カタログ'!$A:$O,12,FALSE),""))</f>
      </c>
      <c r="M188" s="371" t="str">
        <f>IF(F188="","",IFERROR(VLOOKUP(F188,'商品カタログ'!$A:$O,13,FALSE),""))</f>
      </c>
      <c r="N188" s="371"/>
      <c r="O188" s="371" t="str">
        <f>IF(F188="","",IFERROR(VLOOKUP(F188,'商品カタログ'!$A:$O,10,FALSE),""))</f>
      </c>
      <c r="P188" s="371" t="str">
        <f>IF(F188="","",IF(OR(J188&lt;=L188,J188-N188*O188&lt;=K188),MAX(IFERROR(VLOOKUP(F188,'商品カタログ'!$A:$O,8,FALSE),0),IFERROR(CEILING(MAX(0,M188-J188),MAX(1,VLOOKUP(F188,'商品カタログ'!$A:$O,9,FALSE))),MAX(0,M188-J188))),0))</f>
      </c>
      <c r="Q188" s="371"/>
      <c r="R188" s="331" t="str">
        <f>IF(F188="","",IFERROR(VLOOKUP(F188,'商品カタログ'!$A:$O,6,FALSE),""))</f>
      </c>
      <c r="S188" s="377" t="str">
        <f>IF(F188="","",IFERROR(VLOOKUP(F188,'商品カタログ'!$A:$O,14,FALSE),""))</f>
      </c>
      <c r="T188" s="377" t="str">
        <f>IF(F188="","",IFERROR(Q188*S188,0))</f>
      </c>
      <c r="U188" s="331"/>
      <c r="V188" s="331"/>
      <c r="W188" s="365" t="str">
        <f>IF(OR(B188="",O188=""),"",B188+O188)</f>
      </c>
      <c r="X188" s="365"/>
      <c r="Y188" s="371"/>
      <c r="Z188" s="371" t="str">
        <f>IF(F188="","",IF(V188="入荷済み",Y188-Q188,IF(V188="一部入荷",Y188-Q188,"")))</f>
      </c>
      <c r="AA188" s="331"/>
      <c r="AB188" s="331"/>
      <c r="AC188" s="331" t="str">
        <f>IF(F188="","",IF(V188="キャンセル済み","キャンセル済み",IF(AND(V188="入荷済み",Y188&gt;=Q188),"通常",IF(AND(W188&lt;TODAY(),W188&lt;&gt;"",V188&lt;&gt;"入荷済み"),"入荷遅延",IF(J188&lt;=K188,"セキュリティ在庫割れ",IF(J188&lt;=L188,"発注点到達",IF(Q188&lt;P188,"申請数が推奨数未満","通常")))))))</f>
      </c>
      <c r="AD188" s="332" t="str">
        <f>IF(F188="","",IF(N188=0,"不明",IF(J188/N188&lt;O188,"高リスク：リードタイム不足",IF(J188/N188&lt;O188+3,"中リスク","低リスク"))))</f>
      </c>
    </row>
    <row r="189" ht="19" customHeight="true">
      <c r="A189" s="330" t="str">
        <f>IF(F189="","","RL-"&amp;TEXT(ROW()-3,"0000"))</f>
      </c>
      <c r="B189" s="365"/>
      <c r="C189" s="331"/>
      <c r="D189" s="331"/>
      <c r="E189" s="331"/>
      <c r="F189" s="331"/>
      <c r="G189" s="331" t="str">
        <f>IF(F189="","",IFERROR(VLOOKUP(F189,'商品カタログ'!$A:$O,2,FALSE),""))</f>
      </c>
      <c r="H189" s="331" t="str">
        <f>IF(F189="","",IFERROR(VLOOKUP(F189,'商品カタログ'!$A:$O,3,FALSE),""))</f>
      </c>
      <c r="I189" s="331" t="str">
        <f>IF(F189="","",IFERROR(VLOOKUP(F189,'商品カタログ'!$A:$O,7,FALSE),""))</f>
      </c>
      <c r="J189" s="371"/>
      <c r="K189" s="371" t="str">
        <f>IF(F189="","",IFERROR(VLOOKUP(F189,'商品カタログ'!$A:$O,11,FALSE),""))</f>
      </c>
      <c r="L189" s="371" t="str">
        <f>IF(F189="","",IFERROR(VLOOKUP(F189,'商品カタログ'!$A:$O,12,FALSE),""))</f>
      </c>
      <c r="M189" s="371" t="str">
        <f>IF(F189="","",IFERROR(VLOOKUP(F189,'商品カタログ'!$A:$O,13,FALSE),""))</f>
      </c>
      <c r="N189" s="371"/>
      <c r="O189" s="371" t="str">
        <f>IF(F189="","",IFERROR(VLOOKUP(F189,'商品カタログ'!$A:$O,10,FALSE),""))</f>
      </c>
      <c r="P189" s="371" t="str">
        <f>IF(F189="","",IF(OR(J189&lt;=L189,J189-N189*O189&lt;=K189),MAX(IFERROR(VLOOKUP(F189,'商品カタログ'!$A:$O,8,FALSE),0),IFERROR(CEILING(MAX(0,M189-J189),MAX(1,VLOOKUP(F189,'商品カタログ'!$A:$O,9,FALSE))),MAX(0,M189-J189))),0))</f>
      </c>
      <c r="Q189" s="371"/>
      <c r="R189" s="331" t="str">
        <f>IF(F189="","",IFERROR(VLOOKUP(F189,'商品カタログ'!$A:$O,6,FALSE),""))</f>
      </c>
      <c r="S189" s="377" t="str">
        <f>IF(F189="","",IFERROR(VLOOKUP(F189,'商品カタログ'!$A:$O,14,FALSE),""))</f>
      </c>
      <c r="T189" s="377" t="str">
        <f>IF(F189="","",IFERROR(Q189*S189,0))</f>
      </c>
      <c r="U189" s="331"/>
      <c r="V189" s="331"/>
      <c r="W189" s="365" t="str">
        <f>IF(OR(B189="",O189=""),"",B189+O189)</f>
      </c>
      <c r="X189" s="365"/>
      <c r="Y189" s="371"/>
      <c r="Z189" s="371" t="str">
        <f>IF(F189="","",IF(V189="入荷済み",Y189-Q189,IF(V189="一部入荷",Y189-Q189,"")))</f>
      </c>
      <c r="AA189" s="331"/>
      <c r="AB189" s="331"/>
      <c r="AC189" s="331" t="str">
        <f>IF(F189="","",IF(V189="キャンセル済み","キャンセル済み",IF(AND(V189="入荷済み",Y189&gt;=Q189),"通常",IF(AND(W189&lt;TODAY(),W189&lt;&gt;"",V189&lt;&gt;"入荷済み"),"入荷遅延",IF(J189&lt;=K189,"セキュリティ在庫割れ",IF(J189&lt;=L189,"発注点到達",IF(Q189&lt;P189,"申請数が推奨数未満","通常")))))))</f>
      </c>
      <c r="AD189" s="332" t="str">
        <f>IF(F189="","",IF(N189=0,"不明",IF(J189/N189&lt;O189,"高リスク：リードタイム不足",IF(J189/N189&lt;O189+3,"中リスク","低リスク"))))</f>
      </c>
    </row>
    <row r="190" ht="19" customHeight="true">
      <c r="A190" s="330" t="str">
        <f>IF(F190="","","RL-"&amp;TEXT(ROW()-3,"0000"))</f>
      </c>
      <c r="B190" s="365"/>
      <c r="C190" s="331"/>
      <c r="D190" s="331"/>
      <c r="E190" s="331"/>
      <c r="F190" s="331"/>
      <c r="G190" s="331" t="str">
        <f>IF(F190="","",IFERROR(VLOOKUP(F190,'商品カタログ'!$A:$O,2,FALSE),""))</f>
      </c>
      <c r="H190" s="331" t="str">
        <f>IF(F190="","",IFERROR(VLOOKUP(F190,'商品カタログ'!$A:$O,3,FALSE),""))</f>
      </c>
      <c r="I190" s="331" t="str">
        <f>IF(F190="","",IFERROR(VLOOKUP(F190,'商品カタログ'!$A:$O,7,FALSE),""))</f>
      </c>
      <c r="J190" s="371"/>
      <c r="K190" s="371" t="str">
        <f>IF(F190="","",IFERROR(VLOOKUP(F190,'商品カタログ'!$A:$O,11,FALSE),""))</f>
      </c>
      <c r="L190" s="371" t="str">
        <f>IF(F190="","",IFERROR(VLOOKUP(F190,'商品カタログ'!$A:$O,12,FALSE),""))</f>
      </c>
      <c r="M190" s="371" t="str">
        <f>IF(F190="","",IFERROR(VLOOKUP(F190,'商品カタログ'!$A:$O,13,FALSE),""))</f>
      </c>
      <c r="N190" s="371"/>
      <c r="O190" s="371" t="str">
        <f>IF(F190="","",IFERROR(VLOOKUP(F190,'商品カタログ'!$A:$O,10,FALSE),""))</f>
      </c>
      <c r="P190" s="371" t="str">
        <f>IF(F190="","",IF(OR(J190&lt;=L190,J190-N190*O190&lt;=K190),MAX(IFERROR(VLOOKUP(F190,'商品カタログ'!$A:$O,8,FALSE),0),IFERROR(CEILING(MAX(0,M190-J190),MAX(1,VLOOKUP(F190,'商品カタログ'!$A:$O,9,FALSE))),MAX(0,M190-J190))),0))</f>
      </c>
      <c r="Q190" s="371"/>
      <c r="R190" s="331" t="str">
        <f>IF(F190="","",IFERROR(VLOOKUP(F190,'商品カタログ'!$A:$O,6,FALSE),""))</f>
      </c>
      <c r="S190" s="377" t="str">
        <f>IF(F190="","",IFERROR(VLOOKUP(F190,'商品カタログ'!$A:$O,14,FALSE),""))</f>
      </c>
      <c r="T190" s="377" t="str">
        <f>IF(F190="","",IFERROR(Q190*S190,0))</f>
      </c>
      <c r="U190" s="331"/>
      <c r="V190" s="331"/>
      <c r="W190" s="365" t="str">
        <f>IF(OR(B190="",O190=""),"",B190+O190)</f>
      </c>
      <c r="X190" s="365"/>
      <c r="Y190" s="371"/>
      <c r="Z190" s="371" t="str">
        <f>IF(F190="","",IF(V190="入荷済み",Y190-Q190,IF(V190="一部入荷",Y190-Q190,"")))</f>
      </c>
      <c r="AA190" s="331"/>
      <c r="AB190" s="331"/>
      <c r="AC190" s="331" t="str">
        <f>IF(F190="","",IF(V190="キャンセル済み","キャンセル済み",IF(AND(V190="入荷済み",Y190&gt;=Q190),"通常",IF(AND(W190&lt;TODAY(),W190&lt;&gt;"",V190&lt;&gt;"入荷済み"),"入荷遅延",IF(J190&lt;=K190,"セキュリティ在庫割れ",IF(J190&lt;=L190,"発注点到達",IF(Q190&lt;P190,"申請数が推奨数未満","通常")))))))</f>
      </c>
      <c r="AD190" s="332" t="str">
        <f>IF(F190="","",IF(N190=0,"不明",IF(J190/N190&lt;O190,"高リスク：リードタイム不足",IF(J190/N190&lt;O190+3,"中リスク","低リスク"))))</f>
      </c>
    </row>
    <row r="191" ht="19" customHeight="true">
      <c r="A191" s="330" t="str">
        <f>IF(F191="","","RL-"&amp;TEXT(ROW()-3,"0000"))</f>
      </c>
      <c r="B191" s="365"/>
      <c r="C191" s="331"/>
      <c r="D191" s="331"/>
      <c r="E191" s="331"/>
      <c r="F191" s="331"/>
      <c r="G191" s="331" t="str">
        <f>IF(F191="","",IFERROR(VLOOKUP(F191,'商品カタログ'!$A:$O,2,FALSE),""))</f>
      </c>
      <c r="H191" s="331" t="str">
        <f>IF(F191="","",IFERROR(VLOOKUP(F191,'商品カタログ'!$A:$O,3,FALSE),""))</f>
      </c>
      <c r="I191" s="331" t="str">
        <f>IF(F191="","",IFERROR(VLOOKUP(F191,'商品カタログ'!$A:$O,7,FALSE),""))</f>
      </c>
      <c r="J191" s="371"/>
      <c r="K191" s="371" t="str">
        <f>IF(F191="","",IFERROR(VLOOKUP(F191,'商品カタログ'!$A:$O,11,FALSE),""))</f>
      </c>
      <c r="L191" s="371" t="str">
        <f>IF(F191="","",IFERROR(VLOOKUP(F191,'商品カタログ'!$A:$O,12,FALSE),""))</f>
      </c>
      <c r="M191" s="371" t="str">
        <f>IF(F191="","",IFERROR(VLOOKUP(F191,'商品カタログ'!$A:$O,13,FALSE),""))</f>
      </c>
      <c r="N191" s="371"/>
      <c r="O191" s="371" t="str">
        <f>IF(F191="","",IFERROR(VLOOKUP(F191,'商品カタログ'!$A:$O,10,FALSE),""))</f>
      </c>
      <c r="P191" s="371" t="str">
        <f>IF(F191="","",IF(OR(J191&lt;=L191,J191-N191*O191&lt;=K191),MAX(IFERROR(VLOOKUP(F191,'商品カタログ'!$A:$O,8,FALSE),0),IFERROR(CEILING(MAX(0,M191-J191),MAX(1,VLOOKUP(F191,'商品カタログ'!$A:$O,9,FALSE))),MAX(0,M191-J191))),0))</f>
      </c>
      <c r="Q191" s="371"/>
      <c r="R191" s="331" t="str">
        <f>IF(F191="","",IFERROR(VLOOKUP(F191,'商品カタログ'!$A:$O,6,FALSE),""))</f>
      </c>
      <c r="S191" s="377" t="str">
        <f>IF(F191="","",IFERROR(VLOOKUP(F191,'商品カタログ'!$A:$O,14,FALSE),""))</f>
      </c>
      <c r="T191" s="377" t="str">
        <f>IF(F191="","",IFERROR(Q191*S191,0))</f>
      </c>
      <c r="U191" s="331"/>
      <c r="V191" s="331"/>
      <c r="W191" s="365" t="str">
        <f>IF(OR(B191="",O191=""),"",B191+O191)</f>
      </c>
      <c r="X191" s="365"/>
      <c r="Y191" s="371"/>
      <c r="Z191" s="371" t="str">
        <f>IF(F191="","",IF(V191="入荷済み",Y191-Q191,IF(V191="一部入荷",Y191-Q191,"")))</f>
      </c>
      <c r="AA191" s="331"/>
      <c r="AB191" s="331"/>
      <c r="AC191" s="331" t="str">
        <f>IF(F191="","",IF(V191="キャンセル済み","キャンセル済み",IF(AND(V191="入荷済み",Y191&gt;=Q191),"通常",IF(AND(W191&lt;TODAY(),W191&lt;&gt;"",V191&lt;&gt;"入荷済み"),"入荷遅延",IF(J191&lt;=K191,"セキュリティ在庫割れ",IF(J191&lt;=L191,"発注点到達",IF(Q191&lt;P191,"申請数が推奨数未満","通常")))))))</f>
      </c>
      <c r="AD191" s="332" t="str">
        <f>IF(F191="","",IF(N191=0,"不明",IF(J191/N191&lt;O191,"高リスク：リードタイム不足",IF(J191/N191&lt;O191+3,"中リスク","低リスク"))))</f>
      </c>
    </row>
    <row r="192" ht="19" customHeight="true">
      <c r="A192" s="330" t="str">
        <f>IF(F192="","","RL-"&amp;TEXT(ROW()-3,"0000"))</f>
      </c>
      <c r="B192" s="365"/>
      <c r="C192" s="331"/>
      <c r="D192" s="331"/>
      <c r="E192" s="331"/>
      <c r="F192" s="331"/>
      <c r="G192" s="331" t="str">
        <f>IF(F192="","",IFERROR(VLOOKUP(F192,'商品カタログ'!$A:$O,2,FALSE),""))</f>
      </c>
      <c r="H192" s="331" t="str">
        <f>IF(F192="","",IFERROR(VLOOKUP(F192,'商品カタログ'!$A:$O,3,FALSE),""))</f>
      </c>
      <c r="I192" s="331" t="str">
        <f>IF(F192="","",IFERROR(VLOOKUP(F192,'商品カタログ'!$A:$O,7,FALSE),""))</f>
      </c>
      <c r="J192" s="371"/>
      <c r="K192" s="371" t="str">
        <f>IF(F192="","",IFERROR(VLOOKUP(F192,'商品カタログ'!$A:$O,11,FALSE),""))</f>
      </c>
      <c r="L192" s="371" t="str">
        <f>IF(F192="","",IFERROR(VLOOKUP(F192,'商品カタログ'!$A:$O,12,FALSE),""))</f>
      </c>
      <c r="M192" s="371" t="str">
        <f>IF(F192="","",IFERROR(VLOOKUP(F192,'商品カタログ'!$A:$O,13,FALSE),""))</f>
      </c>
      <c r="N192" s="371"/>
      <c r="O192" s="371" t="str">
        <f>IF(F192="","",IFERROR(VLOOKUP(F192,'商品カタログ'!$A:$O,10,FALSE),""))</f>
      </c>
      <c r="P192" s="371" t="str">
        <f>IF(F192="","",IF(OR(J192&lt;=L192,J192-N192*O192&lt;=K192),MAX(IFERROR(VLOOKUP(F192,'商品カタログ'!$A:$O,8,FALSE),0),IFERROR(CEILING(MAX(0,M192-J192),MAX(1,VLOOKUP(F192,'商品カタログ'!$A:$O,9,FALSE))),MAX(0,M192-J192))),0))</f>
      </c>
      <c r="Q192" s="371"/>
      <c r="R192" s="331" t="str">
        <f>IF(F192="","",IFERROR(VLOOKUP(F192,'商品カタログ'!$A:$O,6,FALSE),""))</f>
      </c>
      <c r="S192" s="377" t="str">
        <f>IF(F192="","",IFERROR(VLOOKUP(F192,'商品カタログ'!$A:$O,14,FALSE),""))</f>
      </c>
      <c r="T192" s="377" t="str">
        <f>IF(F192="","",IFERROR(Q192*S192,0))</f>
      </c>
      <c r="U192" s="331"/>
      <c r="V192" s="331"/>
      <c r="W192" s="365" t="str">
        <f>IF(OR(B192="",O192=""),"",B192+O192)</f>
      </c>
      <c r="X192" s="365"/>
      <c r="Y192" s="371"/>
      <c r="Z192" s="371" t="str">
        <f>IF(F192="","",IF(V192="入荷済み",Y192-Q192,IF(V192="一部入荷",Y192-Q192,"")))</f>
      </c>
      <c r="AA192" s="331"/>
      <c r="AB192" s="331"/>
      <c r="AC192" s="331" t="str">
        <f>IF(F192="","",IF(V192="キャンセル済み","キャンセル済み",IF(AND(V192="入荷済み",Y192&gt;=Q192),"通常",IF(AND(W192&lt;TODAY(),W192&lt;&gt;"",V192&lt;&gt;"入荷済み"),"入荷遅延",IF(J192&lt;=K192,"セキュリティ在庫割れ",IF(J192&lt;=L192,"発注点到達",IF(Q192&lt;P192,"申請数が推奨数未満","通常")))))))</f>
      </c>
      <c r="AD192" s="332" t="str">
        <f>IF(F192="","",IF(N192=0,"不明",IF(J192/N192&lt;O192,"高リスク：リードタイム不足",IF(J192/N192&lt;O192+3,"中リスク","低リスク"))))</f>
      </c>
    </row>
    <row r="193" ht="19" customHeight="true">
      <c r="A193" s="330" t="str">
        <f>IF(F193="","","RL-"&amp;TEXT(ROW()-3,"0000"))</f>
      </c>
      <c r="B193" s="365"/>
      <c r="C193" s="331"/>
      <c r="D193" s="331"/>
      <c r="E193" s="331"/>
      <c r="F193" s="331"/>
      <c r="G193" s="331" t="str">
        <f>IF(F193="","",IFERROR(VLOOKUP(F193,'商品カタログ'!$A:$O,2,FALSE),""))</f>
      </c>
      <c r="H193" s="331" t="str">
        <f>IF(F193="","",IFERROR(VLOOKUP(F193,'商品カタログ'!$A:$O,3,FALSE),""))</f>
      </c>
      <c r="I193" s="331" t="str">
        <f>IF(F193="","",IFERROR(VLOOKUP(F193,'商品カタログ'!$A:$O,7,FALSE),""))</f>
      </c>
      <c r="J193" s="371"/>
      <c r="K193" s="371" t="str">
        <f>IF(F193="","",IFERROR(VLOOKUP(F193,'商品カタログ'!$A:$O,11,FALSE),""))</f>
      </c>
      <c r="L193" s="371" t="str">
        <f>IF(F193="","",IFERROR(VLOOKUP(F193,'商品カタログ'!$A:$O,12,FALSE),""))</f>
      </c>
      <c r="M193" s="371" t="str">
        <f>IF(F193="","",IFERROR(VLOOKUP(F193,'商品カタログ'!$A:$O,13,FALSE),""))</f>
      </c>
      <c r="N193" s="371"/>
      <c r="O193" s="371" t="str">
        <f>IF(F193="","",IFERROR(VLOOKUP(F193,'商品カタログ'!$A:$O,10,FALSE),""))</f>
      </c>
      <c r="P193" s="371" t="str">
        <f>IF(F193="","",IF(OR(J193&lt;=L193,J193-N193*O193&lt;=K193),MAX(IFERROR(VLOOKUP(F193,'商品カタログ'!$A:$O,8,FALSE),0),IFERROR(CEILING(MAX(0,M193-J193),MAX(1,VLOOKUP(F193,'商品カタログ'!$A:$O,9,FALSE))),MAX(0,M193-J193))),0))</f>
      </c>
      <c r="Q193" s="371"/>
      <c r="R193" s="331" t="str">
        <f>IF(F193="","",IFERROR(VLOOKUP(F193,'商品カタログ'!$A:$O,6,FALSE),""))</f>
      </c>
      <c r="S193" s="377" t="str">
        <f>IF(F193="","",IFERROR(VLOOKUP(F193,'商品カタログ'!$A:$O,14,FALSE),""))</f>
      </c>
      <c r="T193" s="377" t="str">
        <f>IF(F193="","",IFERROR(Q193*S193,0))</f>
      </c>
      <c r="U193" s="331"/>
      <c r="V193" s="331"/>
      <c r="W193" s="365" t="str">
        <f>IF(OR(B193="",O193=""),"",B193+O193)</f>
      </c>
      <c r="X193" s="365"/>
      <c r="Y193" s="371"/>
      <c r="Z193" s="371" t="str">
        <f>IF(F193="","",IF(V193="入荷済み",Y193-Q193,IF(V193="一部入荷",Y193-Q193,"")))</f>
      </c>
      <c r="AA193" s="331"/>
      <c r="AB193" s="331"/>
      <c r="AC193" s="331" t="str">
        <f>IF(F193="","",IF(V193="キャンセル済み","キャンセル済み",IF(AND(V193="入荷済み",Y193&gt;=Q193),"通常",IF(AND(W193&lt;TODAY(),W193&lt;&gt;"",V193&lt;&gt;"入荷済み"),"入荷遅延",IF(J193&lt;=K193,"セキュリティ在庫割れ",IF(J193&lt;=L193,"発注点到達",IF(Q193&lt;P193,"申請数が推奨数未満","通常")))))))</f>
      </c>
      <c r="AD193" s="332" t="str">
        <f>IF(F193="","",IF(N193=0,"不明",IF(J193/N193&lt;O193,"高リスク：リードタイム不足",IF(J193/N193&lt;O193+3,"中リスク","低リスク"))))</f>
      </c>
    </row>
    <row r="194" ht="19" customHeight="true">
      <c r="A194" s="330" t="str">
        <f>IF(F194="","","RL-"&amp;TEXT(ROW()-3,"0000"))</f>
      </c>
      <c r="B194" s="365"/>
      <c r="C194" s="331"/>
      <c r="D194" s="331"/>
      <c r="E194" s="331"/>
      <c r="F194" s="331"/>
      <c r="G194" s="331" t="str">
        <f>IF(F194="","",IFERROR(VLOOKUP(F194,'商品カタログ'!$A:$O,2,FALSE),""))</f>
      </c>
      <c r="H194" s="331" t="str">
        <f>IF(F194="","",IFERROR(VLOOKUP(F194,'商品カタログ'!$A:$O,3,FALSE),""))</f>
      </c>
      <c r="I194" s="331" t="str">
        <f>IF(F194="","",IFERROR(VLOOKUP(F194,'商品カタログ'!$A:$O,7,FALSE),""))</f>
      </c>
      <c r="J194" s="371"/>
      <c r="K194" s="371" t="str">
        <f>IF(F194="","",IFERROR(VLOOKUP(F194,'商品カタログ'!$A:$O,11,FALSE),""))</f>
      </c>
      <c r="L194" s="371" t="str">
        <f>IF(F194="","",IFERROR(VLOOKUP(F194,'商品カタログ'!$A:$O,12,FALSE),""))</f>
      </c>
      <c r="M194" s="371" t="str">
        <f>IF(F194="","",IFERROR(VLOOKUP(F194,'商品カタログ'!$A:$O,13,FALSE),""))</f>
      </c>
      <c r="N194" s="371"/>
      <c r="O194" s="371" t="str">
        <f>IF(F194="","",IFERROR(VLOOKUP(F194,'商品カタログ'!$A:$O,10,FALSE),""))</f>
      </c>
      <c r="P194" s="371" t="str">
        <f>IF(F194="","",IF(OR(J194&lt;=L194,J194-N194*O194&lt;=K194),MAX(IFERROR(VLOOKUP(F194,'商品カタログ'!$A:$O,8,FALSE),0),IFERROR(CEILING(MAX(0,M194-J194),MAX(1,VLOOKUP(F194,'商品カタログ'!$A:$O,9,FALSE))),MAX(0,M194-J194))),0))</f>
      </c>
      <c r="Q194" s="371"/>
      <c r="R194" s="331" t="str">
        <f>IF(F194="","",IFERROR(VLOOKUP(F194,'商品カタログ'!$A:$O,6,FALSE),""))</f>
      </c>
      <c r="S194" s="377" t="str">
        <f>IF(F194="","",IFERROR(VLOOKUP(F194,'商品カタログ'!$A:$O,14,FALSE),""))</f>
      </c>
      <c r="T194" s="377" t="str">
        <f>IF(F194="","",IFERROR(Q194*S194,0))</f>
      </c>
      <c r="U194" s="331"/>
      <c r="V194" s="331"/>
      <c r="W194" s="365" t="str">
        <f>IF(OR(B194="",O194=""),"",B194+O194)</f>
      </c>
      <c r="X194" s="365"/>
      <c r="Y194" s="371"/>
      <c r="Z194" s="371" t="str">
        <f>IF(F194="","",IF(V194="入荷済み",Y194-Q194,IF(V194="一部入荷",Y194-Q194,"")))</f>
      </c>
      <c r="AA194" s="331"/>
      <c r="AB194" s="331"/>
      <c r="AC194" s="331" t="str">
        <f>IF(F194="","",IF(V194="キャンセル済み","キャンセル済み",IF(AND(V194="入荷済み",Y194&gt;=Q194),"通常",IF(AND(W194&lt;TODAY(),W194&lt;&gt;"",V194&lt;&gt;"入荷済み"),"入荷遅延",IF(J194&lt;=K194,"セキュリティ在庫割れ",IF(J194&lt;=L194,"発注点到達",IF(Q194&lt;P194,"申請数が推奨数未満","通常")))))))</f>
      </c>
      <c r="AD194" s="332" t="str">
        <f>IF(F194="","",IF(N194=0,"不明",IF(J194/N194&lt;O194,"高リスク：リードタイム不足",IF(J194/N194&lt;O194+3,"中リスク","低リスク"))))</f>
      </c>
    </row>
    <row r="195" ht="19" customHeight="true">
      <c r="A195" s="330" t="str">
        <f>IF(F195="","","RL-"&amp;TEXT(ROW()-3,"0000"))</f>
      </c>
      <c r="B195" s="365"/>
      <c r="C195" s="331"/>
      <c r="D195" s="331"/>
      <c r="E195" s="331"/>
      <c r="F195" s="331"/>
      <c r="G195" s="331" t="str">
        <f>IF(F195="","",IFERROR(VLOOKUP(F195,'商品カタログ'!$A:$O,2,FALSE),""))</f>
      </c>
      <c r="H195" s="331" t="str">
        <f>IF(F195="","",IFERROR(VLOOKUP(F195,'商品カタログ'!$A:$O,3,FALSE),""))</f>
      </c>
      <c r="I195" s="331" t="str">
        <f>IF(F195="","",IFERROR(VLOOKUP(F195,'商品カタログ'!$A:$O,7,FALSE),""))</f>
      </c>
      <c r="J195" s="371"/>
      <c r="K195" s="371" t="str">
        <f>IF(F195="","",IFERROR(VLOOKUP(F195,'商品カタログ'!$A:$O,11,FALSE),""))</f>
      </c>
      <c r="L195" s="371" t="str">
        <f>IF(F195="","",IFERROR(VLOOKUP(F195,'商品カタログ'!$A:$O,12,FALSE),""))</f>
      </c>
      <c r="M195" s="371" t="str">
        <f>IF(F195="","",IFERROR(VLOOKUP(F195,'商品カタログ'!$A:$O,13,FALSE),""))</f>
      </c>
      <c r="N195" s="371"/>
      <c r="O195" s="371" t="str">
        <f>IF(F195="","",IFERROR(VLOOKUP(F195,'商品カタログ'!$A:$O,10,FALSE),""))</f>
      </c>
      <c r="P195" s="371" t="str">
        <f>IF(F195="","",IF(OR(J195&lt;=L195,J195-N195*O195&lt;=K195),MAX(IFERROR(VLOOKUP(F195,'商品カタログ'!$A:$O,8,FALSE),0),IFERROR(CEILING(MAX(0,M195-J195),MAX(1,VLOOKUP(F195,'商品カタログ'!$A:$O,9,FALSE))),MAX(0,M195-J195))),0))</f>
      </c>
      <c r="Q195" s="371"/>
      <c r="R195" s="331" t="str">
        <f>IF(F195="","",IFERROR(VLOOKUP(F195,'商品カタログ'!$A:$O,6,FALSE),""))</f>
      </c>
      <c r="S195" s="377" t="str">
        <f>IF(F195="","",IFERROR(VLOOKUP(F195,'商品カタログ'!$A:$O,14,FALSE),""))</f>
      </c>
      <c r="T195" s="377" t="str">
        <f>IF(F195="","",IFERROR(Q195*S195,0))</f>
      </c>
      <c r="U195" s="331"/>
      <c r="V195" s="331"/>
      <c r="W195" s="365" t="str">
        <f>IF(OR(B195="",O195=""),"",B195+O195)</f>
      </c>
      <c r="X195" s="365"/>
      <c r="Y195" s="371"/>
      <c r="Z195" s="371" t="str">
        <f>IF(F195="","",IF(V195="入荷済み",Y195-Q195,IF(V195="一部入荷",Y195-Q195,"")))</f>
      </c>
      <c r="AA195" s="331"/>
      <c r="AB195" s="331"/>
      <c r="AC195" s="331" t="str">
        <f>IF(F195="","",IF(V195="キャンセル済み","キャンセル済み",IF(AND(V195="入荷済み",Y195&gt;=Q195),"通常",IF(AND(W195&lt;TODAY(),W195&lt;&gt;"",V195&lt;&gt;"入荷済み"),"入荷遅延",IF(J195&lt;=K195,"セキュリティ在庫割れ",IF(J195&lt;=L195,"発注点到達",IF(Q195&lt;P195,"申請数が推奨数未満","通常")))))))</f>
      </c>
      <c r="AD195" s="332" t="str">
        <f>IF(F195="","",IF(N195=0,"不明",IF(J195/N195&lt;O195,"高リスク：リードタイム不足",IF(J195/N195&lt;O195+3,"中リスク","低リスク"))))</f>
      </c>
    </row>
    <row r="196" ht="19" customHeight="true">
      <c r="A196" s="330" t="str">
        <f>IF(F196="","","RL-"&amp;TEXT(ROW()-3,"0000"))</f>
      </c>
      <c r="B196" s="365"/>
      <c r="C196" s="331"/>
      <c r="D196" s="331"/>
      <c r="E196" s="331"/>
      <c r="F196" s="331"/>
      <c r="G196" s="331" t="str">
        <f>IF(F196="","",IFERROR(VLOOKUP(F196,'商品カタログ'!$A:$O,2,FALSE),""))</f>
      </c>
      <c r="H196" s="331" t="str">
        <f>IF(F196="","",IFERROR(VLOOKUP(F196,'商品カタログ'!$A:$O,3,FALSE),""))</f>
      </c>
      <c r="I196" s="331" t="str">
        <f>IF(F196="","",IFERROR(VLOOKUP(F196,'商品カタログ'!$A:$O,7,FALSE),""))</f>
      </c>
      <c r="J196" s="371"/>
      <c r="K196" s="371" t="str">
        <f>IF(F196="","",IFERROR(VLOOKUP(F196,'商品カタログ'!$A:$O,11,FALSE),""))</f>
      </c>
      <c r="L196" s="371" t="str">
        <f>IF(F196="","",IFERROR(VLOOKUP(F196,'商品カタログ'!$A:$O,12,FALSE),""))</f>
      </c>
      <c r="M196" s="371" t="str">
        <f>IF(F196="","",IFERROR(VLOOKUP(F196,'商品カタログ'!$A:$O,13,FALSE),""))</f>
      </c>
      <c r="N196" s="371"/>
      <c r="O196" s="371" t="str">
        <f>IF(F196="","",IFERROR(VLOOKUP(F196,'商品カタログ'!$A:$O,10,FALSE),""))</f>
      </c>
      <c r="P196" s="371" t="str">
        <f>IF(F196="","",IF(OR(J196&lt;=L196,J196-N196*O196&lt;=K196),MAX(IFERROR(VLOOKUP(F196,'商品カタログ'!$A:$O,8,FALSE),0),IFERROR(CEILING(MAX(0,M196-J196),MAX(1,VLOOKUP(F196,'商品カタログ'!$A:$O,9,FALSE))),MAX(0,M196-J196))),0))</f>
      </c>
      <c r="Q196" s="371"/>
      <c r="R196" s="331" t="str">
        <f>IF(F196="","",IFERROR(VLOOKUP(F196,'商品カタログ'!$A:$O,6,FALSE),""))</f>
      </c>
      <c r="S196" s="377" t="str">
        <f>IF(F196="","",IFERROR(VLOOKUP(F196,'商品カタログ'!$A:$O,14,FALSE),""))</f>
      </c>
      <c r="T196" s="377" t="str">
        <f>IF(F196="","",IFERROR(Q196*S196,0))</f>
      </c>
      <c r="U196" s="331"/>
      <c r="V196" s="331"/>
      <c r="W196" s="365" t="str">
        <f>IF(OR(B196="",O196=""),"",B196+O196)</f>
      </c>
      <c r="X196" s="365"/>
      <c r="Y196" s="371"/>
      <c r="Z196" s="371" t="str">
        <f>IF(F196="","",IF(V196="入荷済み",Y196-Q196,IF(V196="一部入荷",Y196-Q196,"")))</f>
      </c>
      <c r="AA196" s="331"/>
      <c r="AB196" s="331"/>
      <c r="AC196" s="331" t="str">
        <f>IF(F196="","",IF(V196="キャンセル済み","キャンセル済み",IF(AND(V196="入荷済み",Y196&gt;=Q196),"通常",IF(AND(W196&lt;TODAY(),W196&lt;&gt;"",V196&lt;&gt;"入荷済み"),"入荷遅延",IF(J196&lt;=K196,"セキュリティ在庫割れ",IF(J196&lt;=L196,"発注点到達",IF(Q196&lt;P196,"申請数が推奨数未満","通常")))))))</f>
      </c>
      <c r="AD196" s="332" t="str">
        <f>IF(F196="","",IF(N196=0,"不明",IF(J196/N196&lt;O196,"高リスク：リードタイム不足",IF(J196/N196&lt;O196+3,"中リスク","低リスク"))))</f>
      </c>
    </row>
    <row r="197" ht="19" customHeight="true">
      <c r="A197" s="330" t="str">
        <f>IF(F197="","","RL-"&amp;TEXT(ROW()-3,"0000"))</f>
      </c>
      <c r="B197" s="365"/>
      <c r="C197" s="331"/>
      <c r="D197" s="331"/>
      <c r="E197" s="331"/>
      <c r="F197" s="331"/>
      <c r="G197" s="331" t="str">
        <f>IF(F197="","",IFERROR(VLOOKUP(F197,'商品カタログ'!$A:$O,2,FALSE),""))</f>
      </c>
      <c r="H197" s="331" t="str">
        <f>IF(F197="","",IFERROR(VLOOKUP(F197,'商品カタログ'!$A:$O,3,FALSE),""))</f>
      </c>
      <c r="I197" s="331" t="str">
        <f>IF(F197="","",IFERROR(VLOOKUP(F197,'商品カタログ'!$A:$O,7,FALSE),""))</f>
      </c>
      <c r="J197" s="371"/>
      <c r="K197" s="371" t="str">
        <f>IF(F197="","",IFERROR(VLOOKUP(F197,'商品カタログ'!$A:$O,11,FALSE),""))</f>
      </c>
      <c r="L197" s="371" t="str">
        <f>IF(F197="","",IFERROR(VLOOKUP(F197,'商品カタログ'!$A:$O,12,FALSE),""))</f>
      </c>
      <c r="M197" s="371" t="str">
        <f>IF(F197="","",IFERROR(VLOOKUP(F197,'商品カタログ'!$A:$O,13,FALSE),""))</f>
      </c>
      <c r="N197" s="371"/>
      <c r="O197" s="371" t="str">
        <f>IF(F197="","",IFERROR(VLOOKUP(F197,'商品カタログ'!$A:$O,10,FALSE),""))</f>
      </c>
      <c r="P197" s="371" t="str">
        <f>IF(F197="","",IF(OR(J197&lt;=L197,J197-N197*O197&lt;=K197),MAX(IFERROR(VLOOKUP(F197,'商品カタログ'!$A:$O,8,FALSE),0),IFERROR(CEILING(MAX(0,M197-J197),MAX(1,VLOOKUP(F197,'商品カタログ'!$A:$O,9,FALSE))),MAX(0,M197-J197))),0))</f>
      </c>
      <c r="Q197" s="371"/>
      <c r="R197" s="331" t="str">
        <f>IF(F197="","",IFERROR(VLOOKUP(F197,'商品カタログ'!$A:$O,6,FALSE),""))</f>
      </c>
      <c r="S197" s="377" t="str">
        <f>IF(F197="","",IFERROR(VLOOKUP(F197,'商品カタログ'!$A:$O,14,FALSE),""))</f>
      </c>
      <c r="T197" s="377" t="str">
        <f>IF(F197="","",IFERROR(Q197*S197,0))</f>
      </c>
      <c r="U197" s="331"/>
      <c r="V197" s="331"/>
      <c r="W197" s="365" t="str">
        <f>IF(OR(B197="",O197=""),"",B197+O197)</f>
      </c>
      <c r="X197" s="365"/>
      <c r="Y197" s="371"/>
      <c r="Z197" s="371" t="str">
        <f>IF(F197="","",IF(V197="入荷済み",Y197-Q197,IF(V197="一部入荷",Y197-Q197,"")))</f>
      </c>
      <c r="AA197" s="331"/>
      <c r="AB197" s="331"/>
      <c r="AC197" s="331" t="str">
        <f>IF(F197="","",IF(V197="キャンセル済み","キャンセル済み",IF(AND(V197="入荷済み",Y197&gt;=Q197),"通常",IF(AND(W197&lt;TODAY(),W197&lt;&gt;"",V197&lt;&gt;"入荷済み"),"入荷遅延",IF(J197&lt;=K197,"セキュリティ在庫割れ",IF(J197&lt;=L197,"発注点到達",IF(Q197&lt;P197,"申請数が推奨数未満","通常")))))))</f>
      </c>
      <c r="AD197" s="332" t="str">
        <f>IF(F197="","",IF(N197=0,"不明",IF(J197/N197&lt;O197,"高リスク：リードタイム不足",IF(J197/N197&lt;O197+3,"中リスク","低リスク"))))</f>
      </c>
    </row>
    <row r="198" ht="19" customHeight="true">
      <c r="A198" s="330" t="str">
        <f>IF(F198="","","RL-"&amp;TEXT(ROW()-3,"0000"))</f>
      </c>
      <c r="B198" s="365"/>
      <c r="C198" s="331"/>
      <c r="D198" s="331"/>
      <c r="E198" s="331"/>
      <c r="F198" s="331"/>
      <c r="G198" s="331" t="str">
        <f>IF(F198="","",IFERROR(VLOOKUP(F198,'商品カタログ'!$A:$O,2,FALSE),""))</f>
      </c>
      <c r="H198" s="331" t="str">
        <f>IF(F198="","",IFERROR(VLOOKUP(F198,'商品カタログ'!$A:$O,3,FALSE),""))</f>
      </c>
      <c r="I198" s="331" t="str">
        <f>IF(F198="","",IFERROR(VLOOKUP(F198,'商品カタログ'!$A:$O,7,FALSE),""))</f>
      </c>
      <c r="J198" s="371"/>
      <c r="K198" s="371" t="str">
        <f>IF(F198="","",IFERROR(VLOOKUP(F198,'商品カタログ'!$A:$O,11,FALSE),""))</f>
      </c>
      <c r="L198" s="371" t="str">
        <f>IF(F198="","",IFERROR(VLOOKUP(F198,'商品カタログ'!$A:$O,12,FALSE),""))</f>
      </c>
      <c r="M198" s="371" t="str">
        <f>IF(F198="","",IFERROR(VLOOKUP(F198,'商品カタログ'!$A:$O,13,FALSE),""))</f>
      </c>
      <c r="N198" s="371"/>
      <c r="O198" s="371" t="str">
        <f>IF(F198="","",IFERROR(VLOOKUP(F198,'商品カタログ'!$A:$O,10,FALSE),""))</f>
      </c>
      <c r="P198" s="371" t="str">
        <f>IF(F198="","",IF(OR(J198&lt;=L198,J198-N198*O198&lt;=K198),MAX(IFERROR(VLOOKUP(F198,'商品カタログ'!$A:$O,8,FALSE),0),IFERROR(CEILING(MAX(0,M198-J198),MAX(1,VLOOKUP(F198,'商品カタログ'!$A:$O,9,FALSE))),MAX(0,M198-J198))),0))</f>
      </c>
      <c r="Q198" s="371"/>
      <c r="R198" s="331" t="str">
        <f>IF(F198="","",IFERROR(VLOOKUP(F198,'商品カタログ'!$A:$O,6,FALSE),""))</f>
      </c>
      <c r="S198" s="377" t="str">
        <f>IF(F198="","",IFERROR(VLOOKUP(F198,'商品カタログ'!$A:$O,14,FALSE),""))</f>
      </c>
      <c r="T198" s="377" t="str">
        <f>IF(F198="","",IFERROR(Q198*S198,0))</f>
      </c>
      <c r="U198" s="331"/>
      <c r="V198" s="331"/>
      <c r="W198" s="365" t="str">
        <f>IF(OR(B198="",O198=""),"",B198+O198)</f>
      </c>
      <c r="X198" s="365"/>
      <c r="Y198" s="371"/>
      <c r="Z198" s="371" t="str">
        <f>IF(F198="","",IF(V198="入荷済み",Y198-Q198,IF(V198="一部入荷",Y198-Q198,"")))</f>
      </c>
      <c r="AA198" s="331"/>
      <c r="AB198" s="331"/>
      <c r="AC198" s="331" t="str">
        <f>IF(F198="","",IF(V198="キャンセル済み","キャンセル済み",IF(AND(V198="入荷済み",Y198&gt;=Q198),"通常",IF(AND(W198&lt;TODAY(),W198&lt;&gt;"",V198&lt;&gt;"入荷済み"),"入荷遅延",IF(J198&lt;=K198,"セキュリティ在庫割れ",IF(J198&lt;=L198,"発注点到達",IF(Q198&lt;P198,"申請数が推奨数未満","通常")))))))</f>
      </c>
      <c r="AD198" s="332" t="str">
        <f>IF(F198="","",IF(N198=0,"不明",IF(J198/N198&lt;O198,"高リスク：リードタイム不足",IF(J198/N198&lt;O198+3,"中リスク","低リスク"))))</f>
      </c>
    </row>
    <row r="199" ht="19" customHeight="true">
      <c r="A199" s="330" t="str">
        <f>IF(F199="","","RL-"&amp;TEXT(ROW()-3,"0000"))</f>
      </c>
      <c r="B199" s="365"/>
      <c r="C199" s="331"/>
      <c r="D199" s="331"/>
      <c r="E199" s="331"/>
      <c r="F199" s="331"/>
      <c r="G199" s="331" t="str">
        <f>IF(F199="","",IFERROR(VLOOKUP(F199,'商品カタログ'!$A:$O,2,FALSE),""))</f>
      </c>
      <c r="H199" s="331" t="str">
        <f>IF(F199="","",IFERROR(VLOOKUP(F199,'商品カタログ'!$A:$O,3,FALSE),""))</f>
      </c>
      <c r="I199" s="331" t="str">
        <f>IF(F199="","",IFERROR(VLOOKUP(F199,'商品カタログ'!$A:$O,7,FALSE),""))</f>
      </c>
      <c r="J199" s="371"/>
      <c r="K199" s="371" t="str">
        <f>IF(F199="","",IFERROR(VLOOKUP(F199,'商品カタログ'!$A:$O,11,FALSE),""))</f>
      </c>
      <c r="L199" s="371" t="str">
        <f>IF(F199="","",IFERROR(VLOOKUP(F199,'商品カタログ'!$A:$O,12,FALSE),""))</f>
      </c>
      <c r="M199" s="371" t="str">
        <f>IF(F199="","",IFERROR(VLOOKUP(F199,'商品カタログ'!$A:$O,13,FALSE),""))</f>
      </c>
      <c r="N199" s="371"/>
      <c r="O199" s="371" t="str">
        <f>IF(F199="","",IFERROR(VLOOKUP(F199,'商品カタログ'!$A:$O,10,FALSE),""))</f>
      </c>
      <c r="P199" s="371" t="str">
        <f>IF(F199="","",IF(OR(J199&lt;=L199,J199-N199*O199&lt;=K199),MAX(IFERROR(VLOOKUP(F199,'商品カタログ'!$A:$O,8,FALSE),0),IFERROR(CEILING(MAX(0,M199-J199),MAX(1,VLOOKUP(F199,'商品カタログ'!$A:$O,9,FALSE))),MAX(0,M199-J199))),0))</f>
      </c>
      <c r="Q199" s="371"/>
      <c r="R199" s="331" t="str">
        <f>IF(F199="","",IFERROR(VLOOKUP(F199,'商品カタログ'!$A:$O,6,FALSE),""))</f>
      </c>
      <c r="S199" s="377" t="str">
        <f>IF(F199="","",IFERROR(VLOOKUP(F199,'商品カタログ'!$A:$O,14,FALSE),""))</f>
      </c>
      <c r="T199" s="377" t="str">
        <f>IF(F199="","",IFERROR(Q199*S199,0))</f>
      </c>
      <c r="U199" s="331"/>
      <c r="V199" s="331"/>
      <c r="W199" s="365" t="str">
        <f>IF(OR(B199="",O199=""),"",B199+O199)</f>
      </c>
      <c r="X199" s="365"/>
      <c r="Y199" s="371"/>
      <c r="Z199" s="371" t="str">
        <f>IF(F199="","",IF(V199="入荷済み",Y199-Q199,IF(V199="一部入荷",Y199-Q199,"")))</f>
      </c>
      <c r="AA199" s="331"/>
      <c r="AB199" s="331"/>
      <c r="AC199" s="331" t="str">
        <f>IF(F199="","",IF(V199="キャンセル済み","キャンセル済み",IF(AND(V199="入荷済み",Y199&gt;=Q199),"通常",IF(AND(W199&lt;TODAY(),W199&lt;&gt;"",V199&lt;&gt;"入荷済み"),"入荷遅延",IF(J199&lt;=K199,"セキュリティ在庫割れ",IF(J199&lt;=L199,"発注点到達",IF(Q199&lt;P199,"申請数が推奨数未満","通常")))))))</f>
      </c>
      <c r="AD199" s="332" t="str">
        <f>IF(F199="","",IF(N199=0,"不明",IF(J199/N199&lt;O199,"高リスク：リードタイム不足",IF(J199/N199&lt;O199+3,"中リスク","低リスク"))))</f>
      </c>
    </row>
    <row r="200" ht="19" customHeight="true">
      <c r="A200" s="330" t="str">
        <f>IF(F200="","","RL-"&amp;TEXT(ROW()-3,"0000"))</f>
      </c>
      <c r="B200" s="365"/>
      <c r="C200" s="331"/>
      <c r="D200" s="331"/>
      <c r="E200" s="331"/>
      <c r="F200" s="331"/>
      <c r="G200" s="331" t="str">
        <f>IF(F200="","",IFERROR(VLOOKUP(F200,'商品カタログ'!$A:$O,2,FALSE),""))</f>
      </c>
      <c r="H200" s="331" t="str">
        <f>IF(F200="","",IFERROR(VLOOKUP(F200,'商品カタログ'!$A:$O,3,FALSE),""))</f>
      </c>
      <c r="I200" s="331" t="str">
        <f>IF(F200="","",IFERROR(VLOOKUP(F200,'商品カタログ'!$A:$O,7,FALSE),""))</f>
      </c>
      <c r="J200" s="371"/>
      <c r="K200" s="371" t="str">
        <f>IF(F200="","",IFERROR(VLOOKUP(F200,'商品カタログ'!$A:$O,11,FALSE),""))</f>
      </c>
      <c r="L200" s="371" t="str">
        <f>IF(F200="","",IFERROR(VLOOKUP(F200,'商品カタログ'!$A:$O,12,FALSE),""))</f>
      </c>
      <c r="M200" s="371" t="str">
        <f>IF(F200="","",IFERROR(VLOOKUP(F200,'商品カタログ'!$A:$O,13,FALSE),""))</f>
      </c>
      <c r="N200" s="371"/>
      <c r="O200" s="371" t="str">
        <f>IF(F200="","",IFERROR(VLOOKUP(F200,'商品カタログ'!$A:$O,10,FALSE),""))</f>
      </c>
      <c r="P200" s="371" t="str">
        <f>IF(F200="","",IF(OR(J200&lt;=L200,J200-N200*O200&lt;=K200),MAX(IFERROR(VLOOKUP(F200,'商品カタログ'!$A:$O,8,FALSE),0),IFERROR(CEILING(MAX(0,M200-J200),MAX(1,VLOOKUP(F200,'商品カタログ'!$A:$O,9,FALSE))),MAX(0,M200-J200))),0))</f>
      </c>
      <c r="Q200" s="371"/>
      <c r="R200" s="331" t="str">
        <f>IF(F200="","",IFERROR(VLOOKUP(F200,'商品カタログ'!$A:$O,6,FALSE),""))</f>
      </c>
      <c r="S200" s="377" t="str">
        <f>IF(F200="","",IFERROR(VLOOKUP(F200,'商品カタログ'!$A:$O,14,FALSE),""))</f>
      </c>
      <c r="T200" s="377" t="str">
        <f>IF(F200="","",IFERROR(Q200*S200,0))</f>
      </c>
      <c r="U200" s="331"/>
      <c r="V200" s="331"/>
      <c r="W200" s="365" t="str">
        <f>IF(OR(B200="",O200=""),"",B200+O200)</f>
      </c>
      <c r="X200" s="365"/>
      <c r="Y200" s="371"/>
      <c r="Z200" s="371" t="str">
        <f>IF(F200="","",IF(V200="入荷済み",Y200-Q200,IF(V200="一部入荷",Y200-Q200,"")))</f>
      </c>
      <c r="AA200" s="331"/>
      <c r="AB200" s="331"/>
      <c r="AC200" s="331" t="str">
        <f>IF(F200="","",IF(V200="キャンセル済み","キャンセル済み",IF(AND(V200="入荷済み",Y200&gt;=Q200),"通常",IF(AND(W200&lt;TODAY(),W200&lt;&gt;"",V200&lt;&gt;"入荷済み"),"入荷遅延",IF(J200&lt;=K200,"セキュリティ在庫割れ",IF(J200&lt;=L200,"発注点到達",IF(Q200&lt;P200,"申請数が推奨数未満","通常")))))))</f>
      </c>
      <c r="AD200" s="332" t="str">
        <f>IF(F200="","",IF(N200=0,"不明",IF(J200/N200&lt;O200,"高リスク：リードタイム不足",IF(J200/N200&lt;O200+3,"中リスク","低リスク"))))</f>
      </c>
    </row>
    <row r="201" ht="19" customHeight="true">
      <c r="A201" s="330" t="str">
        <f>IF(F201="","","RL-"&amp;TEXT(ROW()-3,"0000"))</f>
      </c>
      <c r="B201" s="365"/>
      <c r="C201" s="331"/>
      <c r="D201" s="331"/>
      <c r="E201" s="331"/>
      <c r="F201" s="331"/>
      <c r="G201" s="331" t="str">
        <f>IF(F201="","",IFERROR(VLOOKUP(F201,'商品カタログ'!$A:$O,2,FALSE),""))</f>
      </c>
      <c r="H201" s="331" t="str">
        <f>IF(F201="","",IFERROR(VLOOKUP(F201,'商品カタログ'!$A:$O,3,FALSE),""))</f>
      </c>
      <c r="I201" s="331" t="str">
        <f>IF(F201="","",IFERROR(VLOOKUP(F201,'商品カタログ'!$A:$O,7,FALSE),""))</f>
      </c>
      <c r="J201" s="371"/>
      <c r="K201" s="371" t="str">
        <f>IF(F201="","",IFERROR(VLOOKUP(F201,'商品カタログ'!$A:$O,11,FALSE),""))</f>
      </c>
      <c r="L201" s="371" t="str">
        <f>IF(F201="","",IFERROR(VLOOKUP(F201,'商品カタログ'!$A:$O,12,FALSE),""))</f>
      </c>
      <c r="M201" s="371" t="str">
        <f>IF(F201="","",IFERROR(VLOOKUP(F201,'商品カタログ'!$A:$O,13,FALSE),""))</f>
      </c>
      <c r="N201" s="371"/>
      <c r="O201" s="371" t="str">
        <f>IF(F201="","",IFERROR(VLOOKUP(F201,'商品カタログ'!$A:$O,10,FALSE),""))</f>
      </c>
      <c r="P201" s="371" t="str">
        <f>IF(F201="","",IF(OR(J201&lt;=L201,J201-N201*O201&lt;=K201),MAX(IFERROR(VLOOKUP(F201,'商品カタログ'!$A:$O,8,FALSE),0),IFERROR(CEILING(MAX(0,M201-J201),MAX(1,VLOOKUP(F201,'商品カタログ'!$A:$O,9,FALSE))),MAX(0,M201-J201))),0))</f>
      </c>
      <c r="Q201" s="371"/>
      <c r="R201" s="331" t="str">
        <f>IF(F201="","",IFERROR(VLOOKUP(F201,'商品カタログ'!$A:$O,6,FALSE),""))</f>
      </c>
      <c r="S201" s="377" t="str">
        <f>IF(F201="","",IFERROR(VLOOKUP(F201,'商品カタログ'!$A:$O,14,FALSE),""))</f>
      </c>
      <c r="T201" s="377" t="str">
        <f>IF(F201="","",IFERROR(Q201*S201,0))</f>
      </c>
      <c r="U201" s="331"/>
      <c r="V201" s="331"/>
      <c r="W201" s="365" t="str">
        <f>IF(OR(B201="",O201=""),"",B201+O201)</f>
      </c>
      <c r="X201" s="365"/>
      <c r="Y201" s="371"/>
      <c r="Z201" s="371" t="str">
        <f>IF(F201="","",IF(V201="入荷済み",Y201-Q201,IF(V201="一部入荷",Y201-Q201,"")))</f>
      </c>
      <c r="AA201" s="331"/>
      <c r="AB201" s="331"/>
      <c r="AC201" s="331" t="str">
        <f>IF(F201="","",IF(V201="キャンセル済み","キャンセル済み",IF(AND(V201="入荷済み",Y201&gt;=Q201),"通常",IF(AND(W201&lt;TODAY(),W201&lt;&gt;"",V201&lt;&gt;"入荷済み"),"入荷遅延",IF(J201&lt;=K201,"セキュリティ在庫割れ",IF(J201&lt;=L201,"発注点到達",IF(Q201&lt;P201,"申請数が推奨数未満","通常")))))))</f>
      </c>
      <c r="AD201" s="332" t="str">
        <f>IF(F201="","",IF(N201=0,"不明",IF(J201/N201&lt;O201,"高リスク：リードタイム不足",IF(J201/N201&lt;O201+3,"中リスク","低リスク"))))</f>
      </c>
    </row>
    <row r="202" ht="19" customHeight="true">
      <c r="A202" s="330" t="str">
        <f>IF(F202="","","RL-"&amp;TEXT(ROW()-3,"0000"))</f>
      </c>
      <c r="B202" s="365"/>
      <c r="C202" s="331"/>
      <c r="D202" s="331"/>
      <c r="E202" s="331"/>
      <c r="F202" s="331"/>
      <c r="G202" s="331" t="str">
        <f>IF(F202="","",IFERROR(VLOOKUP(F202,'商品カタログ'!$A:$O,2,FALSE),""))</f>
      </c>
      <c r="H202" s="331" t="str">
        <f>IF(F202="","",IFERROR(VLOOKUP(F202,'商品カタログ'!$A:$O,3,FALSE),""))</f>
      </c>
      <c r="I202" s="331" t="str">
        <f>IF(F202="","",IFERROR(VLOOKUP(F202,'商品カタログ'!$A:$O,7,FALSE),""))</f>
      </c>
      <c r="J202" s="371"/>
      <c r="K202" s="371" t="str">
        <f>IF(F202="","",IFERROR(VLOOKUP(F202,'商品カタログ'!$A:$O,11,FALSE),""))</f>
      </c>
      <c r="L202" s="371" t="str">
        <f>IF(F202="","",IFERROR(VLOOKUP(F202,'商品カタログ'!$A:$O,12,FALSE),""))</f>
      </c>
      <c r="M202" s="371" t="str">
        <f>IF(F202="","",IFERROR(VLOOKUP(F202,'商品カタログ'!$A:$O,13,FALSE),""))</f>
      </c>
      <c r="N202" s="371"/>
      <c r="O202" s="371" t="str">
        <f>IF(F202="","",IFERROR(VLOOKUP(F202,'商品カタログ'!$A:$O,10,FALSE),""))</f>
      </c>
      <c r="P202" s="371" t="str">
        <f>IF(F202="","",IF(OR(J202&lt;=L202,J202-N202*O202&lt;=K202),MAX(IFERROR(VLOOKUP(F202,'商品カタログ'!$A:$O,8,FALSE),0),IFERROR(CEILING(MAX(0,M202-J202),MAX(1,VLOOKUP(F202,'商品カタログ'!$A:$O,9,FALSE))),MAX(0,M202-J202))),0))</f>
      </c>
      <c r="Q202" s="371"/>
      <c r="R202" s="331" t="str">
        <f>IF(F202="","",IFERROR(VLOOKUP(F202,'商品カタログ'!$A:$O,6,FALSE),""))</f>
      </c>
      <c r="S202" s="377" t="str">
        <f>IF(F202="","",IFERROR(VLOOKUP(F202,'商品カタログ'!$A:$O,14,FALSE),""))</f>
      </c>
      <c r="T202" s="377" t="str">
        <f>IF(F202="","",IFERROR(Q202*S202,0))</f>
      </c>
      <c r="U202" s="331"/>
      <c r="V202" s="331"/>
      <c r="W202" s="365" t="str">
        <f>IF(OR(B202="",O202=""),"",B202+O202)</f>
      </c>
      <c r="X202" s="365"/>
      <c r="Y202" s="371"/>
      <c r="Z202" s="371" t="str">
        <f>IF(F202="","",IF(V202="入荷済み",Y202-Q202,IF(V202="一部入荷",Y202-Q202,"")))</f>
      </c>
      <c r="AA202" s="331"/>
      <c r="AB202" s="331"/>
      <c r="AC202" s="331" t="str">
        <f>IF(F202="","",IF(V202="キャンセル済み","キャンセル済み",IF(AND(V202="入荷済み",Y202&gt;=Q202),"通常",IF(AND(W202&lt;TODAY(),W202&lt;&gt;"",V202&lt;&gt;"入荷済み"),"入荷遅延",IF(J202&lt;=K202,"セキュリティ在庫割れ",IF(J202&lt;=L202,"発注点到達",IF(Q202&lt;P202,"申請数が推奨数未満","通常")))))))</f>
      </c>
      <c r="AD202" s="332" t="str">
        <f>IF(F202="","",IF(N202=0,"不明",IF(J202/N202&lt;O202,"高リスク：リードタイム不足",IF(J202/N202&lt;O202+3,"中リスク","低リスク"))))</f>
      </c>
    </row>
    <row r="203" ht="19" customHeight="true">
      <c r="A203" s="333" t="str">
        <f>IF(F203="","","RL-"&amp;TEXT(ROW()-3,"0000"))</f>
      </c>
      <c r="B203" s="366"/>
      <c r="C203" s="334"/>
      <c r="D203" s="334"/>
      <c r="E203" s="334"/>
      <c r="F203" s="334"/>
      <c r="G203" s="334" t="str">
        <f>IF(F203="","",IFERROR(VLOOKUP(F203,'商品カタログ'!$A:$O,2,FALSE),""))</f>
      </c>
      <c r="H203" s="334" t="str">
        <f>IF(F203="","",IFERROR(VLOOKUP(F203,'商品カタログ'!$A:$O,3,FALSE),""))</f>
      </c>
      <c r="I203" s="334" t="str">
        <f>IF(F203="","",IFERROR(VLOOKUP(F203,'商品カタログ'!$A:$O,7,FALSE),""))</f>
      </c>
      <c r="J203" s="372"/>
      <c r="K203" s="372" t="str">
        <f>IF(F203="","",IFERROR(VLOOKUP(F203,'商品カタログ'!$A:$O,11,FALSE),""))</f>
      </c>
      <c r="L203" s="372" t="str">
        <f>IF(F203="","",IFERROR(VLOOKUP(F203,'商品カタログ'!$A:$O,12,FALSE),""))</f>
      </c>
      <c r="M203" s="372" t="str">
        <f>IF(F203="","",IFERROR(VLOOKUP(F203,'商品カタログ'!$A:$O,13,FALSE),""))</f>
      </c>
      <c r="N203" s="372"/>
      <c r="O203" s="372" t="str">
        <f>IF(F203="","",IFERROR(VLOOKUP(F203,'商品カタログ'!$A:$O,10,FALSE),""))</f>
      </c>
      <c r="P203" s="372" t="str">
        <f>IF(F203="","",IF(OR(J203&lt;=L203,J203-N203*O203&lt;=K203),MAX(IFERROR(VLOOKUP(F203,'商品カタログ'!$A:$O,8,FALSE),0),IFERROR(CEILING(MAX(0,M203-J203),MAX(1,VLOOKUP(F203,'商品カタログ'!$A:$O,9,FALSE))),MAX(0,M203-J203))),0))</f>
      </c>
      <c r="Q203" s="372"/>
      <c r="R203" s="334" t="str">
        <f>IF(F203="","",IFERROR(VLOOKUP(F203,'商品カタログ'!$A:$O,6,FALSE),""))</f>
      </c>
      <c r="S203" s="378" t="str">
        <f>IF(F203="","",IFERROR(VLOOKUP(F203,'商品カタログ'!$A:$O,14,FALSE),""))</f>
      </c>
      <c r="T203" s="378" t="str">
        <f>IF(F203="","",IFERROR(Q203*S203,0))</f>
      </c>
      <c r="U203" s="334"/>
      <c r="V203" s="334"/>
      <c r="W203" s="366" t="str">
        <f>IF(OR(B203="",O203=""),"",B203+O203)</f>
      </c>
      <c r="X203" s="366"/>
      <c r="Y203" s="372"/>
      <c r="Z203" s="372" t="str">
        <f>IF(F203="","",IF(V203="入荷済み",Y203-Q203,IF(V203="一部入荷",Y203-Q203,"")))</f>
      </c>
      <c r="AA203" s="334"/>
      <c r="AB203" s="334"/>
      <c r="AC203" s="334" t="str">
        <f>IF(F203="","",IF(V203="キャンセル済み","キャンセル済み",IF(AND(V203="入荷済み",Y203&gt;=Q203),"通常",IF(AND(W203&lt;TODAY(),W203&lt;&gt;"",V203&lt;&gt;"入荷済み"),"入荷遅延",IF(J203&lt;=K203,"セキュリティ在庫割れ",IF(J203&lt;=L203,"発注点到達",IF(Q203&lt;P203,"申請数が推奨数未満","通常")))))))</f>
      </c>
      <c r="AD203" s="335" t="str">
        <f>IF(F203="","",IF(N203=0,"不明",IF(J203/N203&lt;O203,"高リスク：リードタイム不足",IF(J203/N203&lt;O203+3,"中リスク","低リスク"))))</f>
      </c>
    </row>
  </sheetData>
  <mergeCells count="2">
    <mergeCell ref="A1:AD1"/>
    <mergeCell ref="A2:AD2"/>
  </mergeCells>
  <conditionalFormatting sqref="AC4:AC203">
    <cfRule type="containsText" dxfId="0" priority="1" operator="containsText" text="セキュリティ在庫割れ">
      <formula>NOT(ISERROR(SEARCH("セキュリティ在庫割れ",AC4)))</formula>
    </cfRule>
    <cfRule type="containsText" dxfId="1" priority="2" operator="containsText" text="入荷遅延">
      <formula>NOT(ISERROR(SEARCH("入荷遅延",AC4)))</formula>
    </cfRule>
    <cfRule type="containsText" dxfId="2" priority="3" operator="containsText" text="発注点到達">
      <formula>NOT(ISERROR(SEARCH("発注点到達",AC4)))</formula>
    </cfRule>
  </conditionalFormatting>
  <conditionalFormatting sqref="AD4:AD203">
    <cfRule type="containsText" dxfId="3" priority="4" operator="containsText" text="高リスク">
      <formula>NOT(ISERROR(SEARCH("高リスク",AD4)))</formula>
    </cfRule>
    <cfRule type="containsText" dxfId="4" priority="5" operator="containsText" text="中リスク">
      <formula>NOT(ISERROR(SEARCH("中リスク",AD4)))</formula>
    </cfRule>
  </conditionalFormatting>
  <conditionalFormatting sqref="T4:T203">
    <cfRule type="dataBar" priority="6">
      <dataBar>
        <cfvo type="min"/>
        <cfvo type="max"/>
        <color rgb="FF6366F1"/>
      </dataBar>
      <ignoredErrors>
        <ignoredError sqref="A1:XFD1048576" evalError="1" twoDigitTextYear="1" numberStoredAsText="1" formula="1" formulaRange="1" unlockedFormula="1" emptyCellReference="1" listDataValidation="1" calculatedColumn="1"/>
      </ignoredErrors>
      <extLst>
        <x:ext xmlns:x14="http://schemas.microsoft.com/office/spreadsheetml/2009/9/main" uri="{B025F937-C7B1-47D3-B67F-A62EFF666E3E}">
          <x14:id>{8A1B25A7-6F9A-F57C-4AE0-FCDD9DCB66C3}</x14:id>
        </x:ext>
      </extLst>
    </cfRule>
  </conditionalFormatting>
  <dataValidations count="6">
    <dataValidation allowBlank="true" sqref="C4:C203" type="list">
      <formula1>"サンプルリテール株式会社,東日本事業部,西日本事業部,FC事業部,EC事業部"</formula1>
    </dataValidation>
    <dataValidation allowBlank="true" sqref="D4:D203" type="list">
      <formula1>"通常補充,販促備蓄,季節備蓄,新商品配荷,店舗間移動,EC大型セール,生鮮/期限間近管理,仕入先遅延リカバリー,返品交換補充,セキュリティ在庫見直し"</formula1>
    </dataValidation>
    <dataValidation allowBlank="true" sqref="E4:E203" type="list">
      <formula1>"関東中央倉庫,東京銀座店,大阪梅田店,福岡天神店,横浜前置倉庫,千葉EC倉庫,名古屋栄店,仙台一番町店"</formula1>
    </dataValidation>
    <dataValidation allowBlank="true" sqref="F4:F203" type="list">
      <formula1>"SKU-DRK-001,SKU-DRK-002,SKU-SNK-001,SKU-SNK-002,SKU-HPC-001,SKU-HPC-002,SKU-FRS-001,SKU-FRS-002,SKU-APP-001,SKU-APP-002,SKU-ELE-001,SKU-BBY-001,SKU-OFF-001,SKU-HME-001,SKU-PER-001"</formula1>
    </dataValidation>
    <dataValidation allowBlank="true" sqref="U4:U203" type="list">
      <formula1>"低,中,高,緊急"</formula1>
    </dataValidation>
    <dataValidation allowBlank="true" sqref="V4:V203" type="list">
      <formula1>"下書き,承認待ち,承認済み,発注済み,輸送中,一部入荷,入荷済み,キャンセル済み"</formula1>
    </dataValidation>
  </dataValidations>
  <pageMargins left="0.7" right="0.7" top="0.75" bottom="0.75" header="0.3" footer="0.3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6" id="{8A1B25A7-6F9A-F57C-4AE0-FCDD9DCB66C3}">
            <x14:dataBar gradient="1">
              <x14:cfvo type="min"/>
              <x14:cfvo type="max"/>
              <x14:fillColor rgb="FF6366F1"/>
            </x14:dataBar>
          </x14:cfRule>
          <xm:sqref>T4:T203</xm:sqref>
        </x14:conditionalFormatting>
      </x14:conditionalFormattings>
    </x:ext>
  </extLst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6"/>
    <col customWidth="true" max="2" min="2" width="24"/>
    <col customWidth="true" max="3" min="3" width="12"/>
    <col customWidth="true" max="4" min="4" width="14"/>
    <col customWidth="true" max="5" min="5" width="16"/>
    <col customWidth="true" max="6" min="6" width="10"/>
    <col customWidth="true" max="7" min="7" width="26"/>
    <col customWidth="true" max="8" min="8" width="12"/>
    <col customWidth="true" max="9" min="9" width="10"/>
    <col customWidth="true" max="10" min="10" width="14"/>
    <col customWidth="true" max="14" min="11" width="12"/>
    <col customWidth="true" max="15" min="15" width="10"/>
  </cols>
  <sheetData>
    <row r="1" ht="34" customHeight="true">
      <c r="A1" s="6" t="s">
        <v>124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0" customHeight="true">
      <c r="A2" s="15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>
      <c r="A3" s="135" t="s">
        <v>307</v>
      </c>
      <c r="B3" s="136" t="s">
        <v>72</v>
      </c>
      <c r="C3" s="136" t="s">
        <v>35</v>
      </c>
      <c r="D3" s="136" t="s">
        <v>126</v>
      </c>
      <c r="E3" s="136" t="s">
        <v>127</v>
      </c>
      <c r="F3" s="136" t="s">
        <v>128</v>
      </c>
      <c r="G3" s="136" t="s">
        <v>129</v>
      </c>
      <c r="H3" s="136" t="s">
        <v>130</v>
      </c>
      <c r="I3" s="136" t="s">
        <v>420</v>
      </c>
      <c r="J3" s="136" t="s">
        <v>131</v>
      </c>
      <c r="K3" s="136" t="s">
        <v>411</v>
      </c>
      <c r="L3" s="136" t="s">
        <v>9</v>
      </c>
      <c r="M3" s="136" t="s">
        <v>75</v>
      </c>
      <c r="N3" s="136" t="s">
        <v>80</v>
      </c>
      <c r="O3" s="137" t="s">
        <v>132</v>
      </c>
    </row>
    <row r="4">
      <c r="A4" s="157" t="s">
        <v>309</v>
      </c>
      <c r="B4" s="184" t="s">
        <v>133</v>
      </c>
      <c r="C4" s="184" t="s">
        <v>62</v>
      </c>
      <c r="D4" s="184" t="s">
        <v>351</v>
      </c>
      <c r="E4" s="184" t="s">
        <v>352</v>
      </c>
      <c r="F4" s="184" t="s">
        <v>310</v>
      </c>
      <c r="G4" s="184" t="s">
        <v>134</v>
      </c>
      <c r="H4" s="190" t="n">
        <v>20</v>
      </c>
      <c r="I4" s="190" t="n">
        <v>5</v>
      </c>
      <c r="J4" s="190" t="n">
        <v>3</v>
      </c>
      <c r="K4" s="190" t="n">
        <v>30</v>
      </c>
      <c r="L4" s="190" t="n">
        <v>60</v>
      </c>
      <c r="M4" s="190" t="n">
        <v>160</v>
      </c>
      <c r="N4" s="190" t="n">
        <v>28</v>
      </c>
      <c r="O4" s="159" t="s">
        <v>135</v>
      </c>
    </row>
    <row r="5">
      <c r="A5" s="160" t="s">
        <v>345</v>
      </c>
      <c r="B5" s="185" t="s">
        <v>136</v>
      </c>
      <c r="C5" s="185" t="s">
        <v>62</v>
      </c>
      <c r="D5" s="185" t="s">
        <v>137</v>
      </c>
      <c r="E5" s="185" t="s">
        <v>353</v>
      </c>
      <c r="F5" s="185" t="s">
        <v>310</v>
      </c>
      <c r="G5" s="185" t="s">
        <v>134</v>
      </c>
      <c r="H5" s="191" t="n">
        <v>15</v>
      </c>
      <c r="I5" s="191" t="n">
        <v>5</v>
      </c>
      <c r="J5" s="191" t="n">
        <v>4</v>
      </c>
      <c r="K5" s="191" t="n">
        <v>24</v>
      </c>
      <c r="L5" s="191" t="n">
        <v>50</v>
      </c>
      <c r="M5" s="191" t="n">
        <v>140</v>
      </c>
      <c r="N5" s="191" t="n">
        <v>42</v>
      </c>
      <c r="O5" s="162" t="s">
        <v>135</v>
      </c>
    </row>
    <row r="6">
      <c r="A6" s="160" t="s">
        <v>332</v>
      </c>
      <c r="B6" s="185" t="s">
        <v>138</v>
      </c>
      <c r="C6" s="185" t="s">
        <v>61</v>
      </c>
      <c r="D6" s="185" t="s">
        <v>139</v>
      </c>
      <c r="E6" s="185" t="s">
        <v>315</v>
      </c>
      <c r="F6" s="185" t="s">
        <v>315</v>
      </c>
      <c r="G6" s="185" t="s">
        <v>140</v>
      </c>
      <c r="H6" s="191" t="n">
        <v>100</v>
      </c>
      <c r="I6" s="191" t="n">
        <v>10</v>
      </c>
      <c r="J6" s="191" t="n">
        <v>5</v>
      </c>
      <c r="K6" s="191" t="n">
        <v>150</v>
      </c>
      <c r="L6" s="191" t="n">
        <v>260</v>
      </c>
      <c r="M6" s="191" t="n">
        <v>700</v>
      </c>
      <c r="N6" s="191" t="n">
        <v>8.5</v>
      </c>
      <c r="O6" s="162" t="s">
        <v>135</v>
      </c>
    </row>
    <row r="7">
      <c r="A7" s="160" t="s">
        <v>314</v>
      </c>
      <c r="B7" s="185" t="s">
        <v>141</v>
      </c>
      <c r="C7" s="185" t="s">
        <v>61</v>
      </c>
      <c r="D7" s="185" t="s">
        <v>354</v>
      </c>
      <c r="E7" s="185" t="s">
        <v>315</v>
      </c>
      <c r="F7" s="185" t="s">
        <v>315</v>
      </c>
      <c r="G7" s="185" t="s">
        <v>140</v>
      </c>
      <c r="H7" s="191" t="n">
        <v>120</v>
      </c>
      <c r="I7" s="191" t="n">
        <v>12</v>
      </c>
      <c r="J7" s="191" t="n">
        <v>4</v>
      </c>
      <c r="K7" s="191" t="n">
        <v>200</v>
      </c>
      <c r="L7" s="191" t="n">
        <v>360</v>
      </c>
      <c r="M7" s="191" t="n">
        <v>900</v>
      </c>
      <c r="N7" s="191" t="n">
        <v>4.2</v>
      </c>
      <c r="O7" s="162" t="s">
        <v>135</v>
      </c>
    </row>
    <row r="8">
      <c r="A8" s="160" t="s">
        <v>328</v>
      </c>
      <c r="B8" s="185" t="s">
        <v>142</v>
      </c>
      <c r="C8" s="185" t="s">
        <v>51</v>
      </c>
      <c r="D8" s="185" t="s">
        <v>143</v>
      </c>
      <c r="E8" s="185" t="s">
        <v>320</v>
      </c>
      <c r="F8" s="185" t="s">
        <v>320</v>
      </c>
      <c r="G8" s="185" t="s">
        <v>144</v>
      </c>
      <c r="H8" s="191" t="n">
        <v>60</v>
      </c>
      <c r="I8" s="191" t="n">
        <v>6</v>
      </c>
      <c r="J8" s="191" t="n">
        <v>7</v>
      </c>
      <c r="K8" s="191" t="n">
        <v>80</v>
      </c>
      <c r="L8" s="191" t="n">
        <v>150</v>
      </c>
      <c r="M8" s="191" t="n">
        <v>420</v>
      </c>
      <c r="N8" s="191" t="n">
        <v>11.8</v>
      </c>
      <c r="O8" s="162" t="s">
        <v>135</v>
      </c>
    </row>
    <row r="9">
      <c r="A9" s="160" t="s">
        <v>342</v>
      </c>
      <c r="B9" s="185" t="s">
        <v>145</v>
      </c>
      <c r="C9" s="185" t="s">
        <v>51</v>
      </c>
      <c r="D9" s="185" t="s">
        <v>355</v>
      </c>
      <c r="E9" s="185" t="s">
        <v>343</v>
      </c>
      <c r="F9" s="185" t="s">
        <v>343</v>
      </c>
      <c r="G9" s="185" t="s">
        <v>144</v>
      </c>
      <c r="H9" s="191" t="n">
        <v>80</v>
      </c>
      <c r="I9" s="191" t="n">
        <v>8</v>
      </c>
      <c r="J9" s="191" t="n">
        <v>6</v>
      </c>
      <c r="K9" s="191" t="n">
        <v>120</v>
      </c>
      <c r="L9" s="191" t="n">
        <v>220</v>
      </c>
      <c r="M9" s="191" t="n">
        <v>520</v>
      </c>
      <c r="N9" s="191" t="n">
        <v>12.5</v>
      </c>
      <c r="O9" s="162" t="s">
        <v>135</v>
      </c>
    </row>
    <row r="10">
      <c r="A10" s="160" t="s">
        <v>319</v>
      </c>
      <c r="B10" s="185" t="s">
        <v>146</v>
      </c>
      <c r="C10" s="185" t="s">
        <v>59</v>
      </c>
      <c r="D10" s="185" t="s">
        <v>356</v>
      </c>
      <c r="E10" s="185" t="s">
        <v>320</v>
      </c>
      <c r="F10" s="185" t="s">
        <v>320</v>
      </c>
      <c r="G10" s="185" t="s">
        <v>147</v>
      </c>
      <c r="H10" s="191" t="n">
        <v>40</v>
      </c>
      <c r="I10" s="191" t="n">
        <v>4</v>
      </c>
      <c r="J10" s="191" t="n">
        <v>2</v>
      </c>
      <c r="K10" s="191" t="n">
        <v>60</v>
      </c>
      <c r="L10" s="191" t="n">
        <v>100</v>
      </c>
      <c r="M10" s="191" t="n">
        <v>220</v>
      </c>
      <c r="N10" s="191" t="n">
        <v>9.8</v>
      </c>
      <c r="O10" s="162" t="s">
        <v>135</v>
      </c>
    </row>
    <row r="11">
      <c r="A11" s="160" t="s">
        <v>347</v>
      </c>
      <c r="B11" s="185" t="s">
        <v>148</v>
      </c>
      <c r="C11" s="185" t="s">
        <v>59</v>
      </c>
      <c r="D11" s="185" t="s">
        <v>149</v>
      </c>
      <c r="E11" s="185" t="s">
        <v>348</v>
      </c>
      <c r="F11" s="185" t="s">
        <v>348</v>
      </c>
      <c r="G11" s="185" t="s">
        <v>147</v>
      </c>
      <c r="H11" s="191" t="n">
        <v>50</v>
      </c>
      <c r="I11" s="191" t="n">
        <v>5</v>
      </c>
      <c r="J11" s="191" t="n">
        <v>2</v>
      </c>
      <c r="K11" s="191" t="n">
        <v>50</v>
      </c>
      <c r="L11" s="191" t="n">
        <v>90</v>
      </c>
      <c r="M11" s="191" t="n">
        <v>180</v>
      </c>
      <c r="N11" s="191" t="n">
        <v>13.6</v>
      </c>
      <c r="O11" s="162" t="s">
        <v>135</v>
      </c>
    </row>
    <row r="12">
      <c r="A12" s="160" t="s">
        <v>350</v>
      </c>
      <c r="B12" s="185" t="s">
        <v>150</v>
      </c>
      <c r="C12" s="185" t="s">
        <v>54</v>
      </c>
      <c r="D12" s="185" t="s">
        <v>357</v>
      </c>
      <c r="E12" s="185" t="s">
        <v>335</v>
      </c>
      <c r="F12" s="185" t="s">
        <v>335</v>
      </c>
      <c r="G12" s="185" t="s">
        <v>151</v>
      </c>
      <c r="H12" s="191" t="n">
        <v>30</v>
      </c>
      <c r="I12" s="191" t="n">
        <v>3</v>
      </c>
      <c r="J12" s="191" t="n">
        <v>12</v>
      </c>
      <c r="K12" s="191" t="n">
        <v>40</v>
      </c>
      <c r="L12" s="191" t="n">
        <v>80</v>
      </c>
      <c r="M12" s="191" t="n">
        <v>220</v>
      </c>
      <c r="N12" s="191" t="n">
        <v>29</v>
      </c>
      <c r="O12" s="162" t="s">
        <v>135</v>
      </c>
    </row>
    <row r="13">
      <c r="A13" s="160" t="s">
        <v>334</v>
      </c>
      <c r="B13" s="185" t="s">
        <v>152</v>
      </c>
      <c r="C13" s="185" t="s">
        <v>54</v>
      </c>
      <c r="D13" s="185" t="s">
        <v>357</v>
      </c>
      <c r="E13" s="185" t="s">
        <v>335</v>
      </c>
      <c r="F13" s="185" t="s">
        <v>335</v>
      </c>
      <c r="G13" s="185" t="s">
        <v>151</v>
      </c>
      <c r="H13" s="191" t="n">
        <v>24</v>
      </c>
      <c r="I13" s="191" t="n">
        <v>4</v>
      </c>
      <c r="J13" s="191" t="n">
        <v>15</v>
      </c>
      <c r="K13" s="191" t="n">
        <v>30</v>
      </c>
      <c r="L13" s="191" t="n">
        <v>70</v>
      </c>
      <c r="M13" s="191" t="n">
        <v>180</v>
      </c>
      <c r="N13" s="191" t="n">
        <v>78</v>
      </c>
      <c r="O13" s="162" t="s">
        <v>135</v>
      </c>
    </row>
    <row r="14">
      <c r="A14" s="160" t="s">
        <v>330</v>
      </c>
      <c r="B14" s="185" t="s">
        <v>153</v>
      </c>
      <c r="C14" s="185" t="s">
        <v>48</v>
      </c>
      <c r="D14" s="185" t="s">
        <v>358</v>
      </c>
      <c r="E14" s="185" t="s">
        <v>326</v>
      </c>
      <c r="F14" s="185" t="s">
        <v>326</v>
      </c>
      <c r="G14" s="185" t="s">
        <v>154</v>
      </c>
      <c r="H14" s="191" t="n">
        <v>20</v>
      </c>
      <c r="I14" s="191" t="n">
        <v>2</v>
      </c>
      <c r="J14" s="191" t="n">
        <v>10</v>
      </c>
      <c r="K14" s="191" t="n">
        <v>25</v>
      </c>
      <c r="L14" s="191" t="n">
        <v>55</v>
      </c>
      <c r="M14" s="191" t="n">
        <v>150</v>
      </c>
      <c r="N14" s="191" t="n">
        <v>69</v>
      </c>
      <c r="O14" s="162" t="s">
        <v>135</v>
      </c>
    </row>
    <row r="15">
      <c r="A15" s="160" t="s">
        <v>322</v>
      </c>
      <c r="B15" s="185" t="s">
        <v>155</v>
      </c>
      <c r="C15" s="185" t="s">
        <v>56</v>
      </c>
      <c r="D15" s="185" t="s">
        <v>359</v>
      </c>
      <c r="E15" s="185" t="s">
        <v>323</v>
      </c>
      <c r="F15" s="185" t="s">
        <v>323</v>
      </c>
      <c r="G15" s="185" t="s">
        <v>156</v>
      </c>
      <c r="H15" s="191" t="n">
        <v>80</v>
      </c>
      <c r="I15" s="191" t="n">
        <v>8</v>
      </c>
      <c r="J15" s="191" t="n">
        <v>7</v>
      </c>
      <c r="K15" s="191" t="n">
        <v>110</v>
      </c>
      <c r="L15" s="191" t="n">
        <v>200</v>
      </c>
      <c r="M15" s="191" t="n">
        <v>480</v>
      </c>
      <c r="N15" s="191" t="n">
        <v>6.6</v>
      </c>
      <c r="O15" s="162" t="s">
        <v>135</v>
      </c>
    </row>
    <row r="16">
      <c r="A16" s="160" t="s">
        <v>337</v>
      </c>
      <c r="B16" s="185" t="s">
        <v>157</v>
      </c>
      <c r="C16" s="185" t="s">
        <v>42</v>
      </c>
      <c r="D16" s="185" t="s">
        <v>158</v>
      </c>
      <c r="E16" s="185" t="s">
        <v>323</v>
      </c>
      <c r="F16" s="185" t="s">
        <v>323</v>
      </c>
      <c r="G16" s="185" t="s">
        <v>159</v>
      </c>
      <c r="H16" s="191" t="n">
        <v>50</v>
      </c>
      <c r="I16" s="191" t="n">
        <v>5</v>
      </c>
      <c r="J16" s="191" t="n">
        <v>5</v>
      </c>
      <c r="K16" s="191" t="n">
        <v>70</v>
      </c>
      <c r="L16" s="191" t="n">
        <v>130</v>
      </c>
      <c r="M16" s="191" t="n">
        <v>300</v>
      </c>
      <c r="N16" s="191" t="n">
        <v>22</v>
      </c>
      <c r="O16" s="162" t="s">
        <v>135</v>
      </c>
    </row>
    <row r="17">
      <c r="A17" s="160" t="s">
        <v>325</v>
      </c>
      <c r="B17" s="185" t="s">
        <v>160</v>
      </c>
      <c r="C17" s="185" t="s">
        <v>45</v>
      </c>
      <c r="D17" s="185" t="s">
        <v>360</v>
      </c>
      <c r="E17" s="185" t="s">
        <v>326</v>
      </c>
      <c r="F17" s="185" t="s">
        <v>326</v>
      </c>
      <c r="G17" s="185" t="s">
        <v>161</v>
      </c>
      <c r="H17" s="191" t="n">
        <v>40</v>
      </c>
      <c r="I17" s="191" t="n">
        <v>4</v>
      </c>
      <c r="J17" s="191" t="n">
        <v>8</v>
      </c>
      <c r="K17" s="191" t="n">
        <v>55</v>
      </c>
      <c r="L17" s="191" t="n">
        <v>100</v>
      </c>
      <c r="M17" s="191" t="n">
        <v>260</v>
      </c>
      <c r="N17" s="191" t="n">
        <v>18.5</v>
      </c>
      <c r="O17" s="162" t="s">
        <v>135</v>
      </c>
    </row>
    <row r="18">
      <c r="A18" s="163" t="s">
        <v>340</v>
      </c>
      <c r="B18" s="186" t="s">
        <v>162</v>
      </c>
      <c r="C18" s="186" t="s">
        <v>40</v>
      </c>
      <c r="D18" s="186" t="s">
        <v>361</v>
      </c>
      <c r="E18" s="186" t="s">
        <v>320</v>
      </c>
      <c r="F18" s="186" t="s">
        <v>320</v>
      </c>
      <c r="G18" s="186" t="s">
        <v>163</v>
      </c>
      <c r="H18" s="192" t="n">
        <v>100</v>
      </c>
      <c r="I18" s="192" t="n">
        <v>10</v>
      </c>
      <c r="J18" s="192" t="n">
        <v>6</v>
      </c>
      <c r="K18" s="192" t="n">
        <v>150</v>
      </c>
      <c r="L18" s="192" t="n">
        <v>260</v>
      </c>
      <c r="M18" s="192" t="n">
        <v>650</v>
      </c>
      <c r="N18" s="192" t="n">
        <v>5.8</v>
      </c>
      <c r="O18" s="165" t="s">
        <v>135</v>
      </c>
    </row>
  </sheetData>
  <mergeCells count="2">
    <mergeCell ref="A1:O1"/>
    <mergeCell ref="A2:O2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4"/>
    <col customWidth="true" max="2" min="2" width="24"/>
    <col customWidth="true" max="4" min="3" width="12"/>
    <col customWidth="true" max="5" min="5" width="16"/>
    <col customWidth="true" max="6" min="6" width="24"/>
    <col customWidth="true" max="9" min="7" width="14"/>
    <col customWidth="true" max="10" min="10" width="8"/>
    <col customWidth="true" max="11" min="11" width="10"/>
    <col customWidth="true" max="12" min="12" width="32"/>
  </cols>
  <sheetData>
    <row r="1" ht="34" customHeight="true">
      <c r="A1" s="6" t="s">
        <v>164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true">
      <c r="A2" s="15" t="s">
        <v>421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>
      <c r="A3" s="135" t="s">
        <v>165</v>
      </c>
      <c r="B3" s="136" t="s">
        <v>166</v>
      </c>
      <c r="C3" s="136" t="s">
        <v>167</v>
      </c>
      <c r="D3" s="136" t="s">
        <v>168</v>
      </c>
      <c r="E3" s="136" t="s">
        <v>169</v>
      </c>
      <c r="F3" s="136" t="s">
        <v>170</v>
      </c>
      <c r="G3" s="136" t="s">
        <v>131</v>
      </c>
      <c r="H3" s="136" t="s">
        <v>171</v>
      </c>
      <c r="I3" s="136" t="s">
        <v>422</v>
      </c>
      <c r="J3" s="136" t="s">
        <v>172</v>
      </c>
      <c r="K3" s="136" t="s">
        <v>135</v>
      </c>
      <c r="L3" s="137" t="s">
        <v>87</v>
      </c>
    </row>
    <row r="4">
      <c r="A4" s="157" t="s">
        <v>362</v>
      </c>
      <c r="B4" s="184" t="s">
        <v>173</v>
      </c>
      <c r="C4" s="184" t="s">
        <v>62</v>
      </c>
      <c r="D4" s="184" t="s">
        <v>174</v>
      </c>
      <c r="E4" s="158" t="s">
        <v>363</v>
      </c>
      <c r="F4" s="158" t="s">
        <v>364</v>
      </c>
      <c r="G4" s="158" t="n">
        <v>4</v>
      </c>
      <c r="H4" s="196" t="n">
        <v>3000</v>
      </c>
      <c r="I4" s="158" t="s">
        <v>175</v>
      </c>
      <c r="J4" s="158" t="s">
        <v>365</v>
      </c>
      <c r="K4" s="158" t="s">
        <v>366</v>
      </c>
      <c r="L4" s="159" t="s">
        <v>176</v>
      </c>
    </row>
    <row r="5">
      <c r="A5" s="160" t="s">
        <v>367</v>
      </c>
      <c r="B5" s="185" t="s">
        <v>177</v>
      </c>
      <c r="C5" s="185" t="s">
        <v>61</v>
      </c>
      <c r="D5" s="185" t="s">
        <v>178</v>
      </c>
      <c r="E5" s="161" t="s">
        <v>368</v>
      </c>
      <c r="F5" s="161" t="s">
        <v>369</v>
      </c>
      <c r="G5" s="161" t="n">
        <v>5</v>
      </c>
      <c r="H5" s="197" t="n">
        <v>5000</v>
      </c>
      <c r="I5" s="161" t="s">
        <v>175</v>
      </c>
      <c r="J5" s="161" t="s">
        <v>365</v>
      </c>
      <c r="K5" s="161" t="s">
        <v>366</v>
      </c>
      <c r="L5" s="162" t="s">
        <v>179</v>
      </c>
    </row>
    <row r="6">
      <c r="A6" s="160" t="s">
        <v>370</v>
      </c>
      <c r="B6" s="185" t="s">
        <v>180</v>
      </c>
      <c r="C6" s="185" t="s">
        <v>51</v>
      </c>
      <c r="D6" s="185" t="s">
        <v>181</v>
      </c>
      <c r="E6" s="161" t="s">
        <v>371</v>
      </c>
      <c r="F6" s="161" t="s">
        <v>372</v>
      </c>
      <c r="G6" s="161" t="n">
        <v>7</v>
      </c>
      <c r="H6" s="197" t="n">
        <v>4000</v>
      </c>
      <c r="I6" s="161" t="s">
        <v>182</v>
      </c>
      <c r="J6" s="161" t="s">
        <v>373</v>
      </c>
      <c r="K6" s="161" t="s">
        <v>366</v>
      </c>
      <c r="L6" s="162" t="s">
        <v>423</v>
      </c>
    </row>
    <row r="7">
      <c r="A7" s="160" t="s">
        <v>374</v>
      </c>
      <c r="B7" s="185" t="s">
        <v>183</v>
      </c>
      <c r="C7" s="185" t="s">
        <v>59</v>
      </c>
      <c r="D7" s="185" t="s">
        <v>184</v>
      </c>
      <c r="E7" s="161" t="s">
        <v>375</v>
      </c>
      <c r="F7" s="161" t="s">
        <v>376</v>
      </c>
      <c r="G7" s="161" t="n">
        <v>2</v>
      </c>
      <c r="H7" s="197" t="n">
        <v>2000</v>
      </c>
      <c r="I7" s="161" t="s">
        <v>185</v>
      </c>
      <c r="J7" s="161" t="s">
        <v>365</v>
      </c>
      <c r="K7" s="161" t="s">
        <v>366</v>
      </c>
      <c r="L7" s="162" t="s">
        <v>424</v>
      </c>
    </row>
    <row r="8">
      <c r="A8" s="160" t="s">
        <v>377</v>
      </c>
      <c r="B8" s="185" t="s">
        <v>186</v>
      </c>
      <c r="C8" s="185" t="s">
        <v>54</v>
      </c>
      <c r="D8" s="185" t="s">
        <v>187</v>
      </c>
      <c r="E8" s="161" t="s">
        <v>378</v>
      </c>
      <c r="F8" s="161" t="s">
        <v>379</v>
      </c>
      <c r="G8" s="161" t="n">
        <v>12</v>
      </c>
      <c r="H8" s="197" t="n">
        <v>8000</v>
      </c>
      <c r="I8" s="161" t="s">
        <v>188</v>
      </c>
      <c r="J8" s="161" t="s">
        <v>373</v>
      </c>
      <c r="K8" s="161" t="s">
        <v>366</v>
      </c>
      <c r="L8" s="162" t="s">
        <v>189</v>
      </c>
    </row>
    <row r="9">
      <c r="A9" s="160" t="s">
        <v>380</v>
      </c>
      <c r="B9" s="185" t="s">
        <v>190</v>
      </c>
      <c r="C9" s="185" t="s">
        <v>48</v>
      </c>
      <c r="D9" s="185" t="s">
        <v>191</v>
      </c>
      <c r="E9" s="161" t="s">
        <v>381</v>
      </c>
      <c r="F9" s="161" t="s">
        <v>382</v>
      </c>
      <c r="G9" s="161" t="n">
        <v>10</v>
      </c>
      <c r="H9" s="197" t="n">
        <v>6000</v>
      </c>
      <c r="I9" s="161" t="s">
        <v>175</v>
      </c>
      <c r="J9" s="161" t="s">
        <v>373</v>
      </c>
      <c r="K9" s="161" t="s">
        <v>366</v>
      </c>
      <c r="L9" s="162" t="s">
        <v>192</v>
      </c>
    </row>
    <row r="10">
      <c r="A10" s="160" t="s">
        <v>383</v>
      </c>
      <c r="B10" s="185" t="s">
        <v>193</v>
      </c>
      <c r="C10" s="185" t="s">
        <v>56</v>
      </c>
      <c r="D10" s="185" t="s">
        <v>194</v>
      </c>
      <c r="E10" s="161" t="s">
        <v>384</v>
      </c>
      <c r="F10" s="161" t="s">
        <v>385</v>
      </c>
      <c r="G10" s="161" t="n">
        <v>7</v>
      </c>
      <c r="H10" s="197" t="n">
        <v>5000</v>
      </c>
      <c r="I10" s="161" t="s">
        <v>175</v>
      </c>
      <c r="J10" s="161" t="s">
        <v>365</v>
      </c>
      <c r="K10" s="161" t="s">
        <v>366</v>
      </c>
      <c r="L10" s="162" t="s">
        <v>195</v>
      </c>
    </row>
    <row r="11">
      <c r="A11" s="160" t="s">
        <v>386</v>
      </c>
      <c r="B11" s="185" t="s">
        <v>196</v>
      </c>
      <c r="C11" s="185" t="s">
        <v>42</v>
      </c>
      <c r="D11" s="185" t="s">
        <v>197</v>
      </c>
      <c r="E11" s="161" t="s">
        <v>387</v>
      </c>
      <c r="F11" s="161" t="s">
        <v>388</v>
      </c>
      <c r="G11" s="161" t="n">
        <v>5</v>
      </c>
      <c r="H11" s="197" t="n">
        <v>3000</v>
      </c>
      <c r="I11" s="161" t="s">
        <v>198</v>
      </c>
      <c r="J11" s="161" t="s">
        <v>373</v>
      </c>
      <c r="K11" s="161" t="s">
        <v>366</v>
      </c>
      <c r="L11" s="162" t="s">
        <v>199</v>
      </c>
    </row>
    <row r="12">
      <c r="A12" s="160" t="s">
        <v>389</v>
      </c>
      <c r="B12" s="185" t="s">
        <v>200</v>
      </c>
      <c r="C12" s="185" t="s">
        <v>45</v>
      </c>
      <c r="D12" s="185" t="s">
        <v>201</v>
      </c>
      <c r="E12" s="161" t="s">
        <v>390</v>
      </c>
      <c r="F12" s="161" t="s">
        <v>391</v>
      </c>
      <c r="G12" s="161" t="n">
        <v>8</v>
      </c>
      <c r="H12" s="197" t="n">
        <v>3500</v>
      </c>
      <c r="I12" s="161" t="s">
        <v>175</v>
      </c>
      <c r="J12" s="161" t="s">
        <v>373</v>
      </c>
      <c r="K12" s="161" t="s">
        <v>366</v>
      </c>
      <c r="L12" s="162" t="s">
        <v>202</v>
      </c>
    </row>
    <row r="13">
      <c r="A13" s="163" t="s">
        <v>392</v>
      </c>
      <c r="B13" s="186" t="s">
        <v>203</v>
      </c>
      <c r="C13" s="186" t="s">
        <v>40</v>
      </c>
      <c r="D13" s="186" t="s">
        <v>204</v>
      </c>
      <c r="E13" s="164" t="s">
        <v>393</v>
      </c>
      <c r="F13" s="164" t="s">
        <v>394</v>
      </c>
      <c r="G13" s="164" t="n">
        <v>6</v>
      </c>
      <c r="H13" s="198" t="n">
        <v>4500</v>
      </c>
      <c r="I13" s="164" t="s">
        <v>175</v>
      </c>
      <c r="J13" s="164" t="s">
        <v>365</v>
      </c>
      <c r="K13" s="164" t="s">
        <v>366</v>
      </c>
      <c r="L13" s="165" t="s">
        <v>205</v>
      </c>
    </row>
  </sheetData>
  <mergeCells count="2">
    <mergeCell ref="A1:L1"/>
    <mergeCell ref="A2:L2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2"/>
    <col customWidth="true" max="2" min="2" width="20"/>
    <col customWidth="true" max="3" min="3" width="12"/>
    <col customWidth="true" max="4" min="4" width="10"/>
    <col customWidth="true" max="6" min="5" width="12"/>
    <col customWidth="true" max="7" min="7" width="16"/>
    <col customWidth="true" max="9" min="8" width="10"/>
    <col customWidth="true" max="10" min="10" width="28"/>
  </cols>
  <sheetData>
    <row r="1" ht="34" customHeight="true">
      <c r="A1" s="6" t="s">
        <v>206</v>
      </c>
      <c r="B1" s="6"/>
      <c r="C1" s="6"/>
      <c r="D1" s="6"/>
      <c r="E1" s="6"/>
      <c r="F1" s="6"/>
      <c r="G1" s="6"/>
      <c r="H1" s="6"/>
      <c r="I1" s="6"/>
      <c r="J1" s="6"/>
    </row>
    <row r="2" ht="30" customHeight="true">
      <c r="A2" s="15" t="s">
        <v>207</v>
      </c>
      <c r="B2" s="15"/>
      <c r="C2" s="15"/>
      <c r="D2" s="15"/>
      <c r="E2" s="15"/>
      <c r="F2" s="15"/>
      <c r="G2" s="15"/>
      <c r="H2" s="15"/>
      <c r="I2" s="15"/>
      <c r="J2" s="15"/>
    </row>
    <row r="3">
      <c r="A3" s="135" t="s">
        <v>208</v>
      </c>
      <c r="B3" s="136" t="s">
        <v>209</v>
      </c>
      <c r="C3" s="136" t="s">
        <v>4</v>
      </c>
      <c r="D3" s="136" t="s">
        <v>210</v>
      </c>
      <c r="E3" s="136" t="s">
        <v>211</v>
      </c>
      <c r="F3" s="136" t="s">
        <v>86</v>
      </c>
      <c r="G3" s="136" t="s">
        <v>212</v>
      </c>
      <c r="H3" s="136" t="s">
        <v>213</v>
      </c>
      <c r="I3" s="136" t="s">
        <v>135</v>
      </c>
      <c r="J3" s="137" t="s">
        <v>87</v>
      </c>
    </row>
    <row r="4">
      <c r="A4" s="157" t="s">
        <v>395</v>
      </c>
      <c r="B4" s="184" t="s">
        <v>116</v>
      </c>
      <c r="C4" s="184" t="s">
        <v>214</v>
      </c>
      <c r="D4" s="184" t="s">
        <v>215</v>
      </c>
      <c r="E4" s="184" t="s">
        <v>216</v>
      </c>
      <c r="F4" s="184" t="s">
        <v>117</v>
      </c>
      <c r="G4" s="158" t="s">
        <v>396</v>
      </c>
      <c r="H4" s="158" t="s">
        <v>316</v>
      </c>
      <c r="I4" s="158" t="s">
        <v>366</v>
      </c>
      <c r="J4" s="159" t="s">
        <v>217</v>
      </c>
    </row>
    <row r="5">
      <c r="A5" s="160" t="s">
        <v>397</v>
      </c>
      <c r="B5" s="185" t="s">
        <v>89</v>
      </c>
      <c r="C5" s="185" t="s">
        <v>218</v>
      </c>
      <c r="D5" s="185" t="s">
        <v>219</v>
      </c>
      <c r="E5" s="185" t="s">
        <v>216</v>
      </c>
      <c r="F5" s="185" t="s">
        <v>90</v>
      </c>
      <c r="G5" s="161" t="s">
        <v>398</v>
      </c>
      <c r="H5" s="161" t="s">
        <v>311</v>
      </c>
      <c r="I5" s="161" t="s">
        <v>366</v>
      </c>
      <c r="J5" s="162" t="s">
        <v>220</v>
      </c>
    </row>
    <row r="6">
      <c r="A6" s="160" t="s">
        <v>399</v>
      </c>
      <c r="B6" s="185" t="s">
        <v>91</v>
      </c>
      <c r="C6" s="185" t="s">
        <v>218</v>
      </c>
      <c r="D6" s="185" t="s">
        <v>221</v>
      </c>
      <c r="E6" s="185" t="s">
        <v>222</v>
      </c>
      <c r="F6" s="185" t="s">
        <v>92</v>
      </c>
      <c r="G6" s="161" t="s">
        <v>400</v>
      </c>
      <c r="H6" s="161" t="s">
        <v>311</v>
      </c>
      <c r="I6" s="161" t="s">
        <v>366</v>
      </c>
      <c r="J6" s="162" t="s">
        <v>223</v>
      </c>
    </row>
    <row r="7">
      <c r="A7" s="160" t="s">
        <v>401</v>
      </c>
      <c r="B7" s="185" t="s">
        <v>106</v>
      </c>
      <c r="C7" s="185" t="s">
        <v>218</v>
      </c>
      <c r="D7" s="185" t="s">
        <v>224</v>
      </c>
      <c r="E7" s="185" t="s">
        <v>225</v>
      </c>
      <c r="F7" s="185" t="s">
        <v>107</v>
      </c>
      <c r="G7" s="161" t="s">
        <v>402</v>
      </c>
      <c r="H7" s="161" t="s">
        <v>311</v>
      </c>
      <c r="I7" s="161" t="s">
        <v>366</v>
      </c>
      <c r="J7" s="162" t="s">
        <v>226</v>
      </c>
    </row>
    <row r="8">
      <c r="A8" s="160" t="s">
        <v>403</v>
      </c>
      <c r="B8" s="185" t="s">
        <v>95</v>
      </c>
      <c r="C8" s="185" t="s">
        <v>227</v>
      </c>
      <c r="D8" s="185" t="s">
        <v>221</v>
      </c>
      <c r="E8" s="185" t="s">
        <v>228</v>
      </c>
      <c r="F8" s="185" t="s">
        <v>97</v>
      </c>
      <c r="G8" s="161" t="s">
        <v>404</v>
      </c>
      <c r="H8" s="161" t="s">
        <v>316</v>
      </c>
      <c r="I8" s="161" t="s">
        <v>366</v>
      </c>
      <c r="J8" s="162" t="s">
        <v>229</v>
      </c>
    </row>
    <row r="9">
      <c r="A9" s="160" t="s">
        <v>405</v>
      </c>
      <c r="B9" s="185" t="s">
        <v>99</v>
      </c>
      <c r="C9" s="185" t="s">
        <v>230</v>
      </c>
      <c r="D9" s="185" t="s">
        <v>219</v>
      </c>
      <c r="E9" s="185" t="s">
        <v>231</v>
      </c>
      <c r="F9" s="185" t="s">
        <v>100</v>
      </c>
      <c r="G9" s="161" t="s">
        <v>406</v>
      </c>
      <c r="H9" s="161" t="s">
        <v>316</v>
      </c>
      <c r="I9" s="161" t="s">
        <v>366</v>
      </c>
      <c r="J9" s="162" t="s">
        <v>232</v>
      </c>
    </row>
    <row r="10">
      <c r="A10" s="160" t="s">
        <v>407</v>
      </c>
      <c r="B10" s="185" t="s">
        <v>103</v>
      </c>
      <c r="C10" s="185" t="s">
        <v>218</v>
      </c>
      <c r="D10" s="185" t="s">
        <v>233</v>
      </c>
      <c r="E10" s="185" t="s">
        <v>234</v>
      </c>
      <c r="F10" s="185" t="s">
        <v>104</v>
      </c>
      <c r="G10" s="161" t="s">
        <v>408</v>
      </c>
      <c r="H10" s="161" t="s">
        <v>311</v>
      </c>
      <c r="I10" s="161" t="s">
        <v>366</v>
      </c>
      <c r="J10" s="162" t="s">
        <v>235</v>
      </c>
    </row>
    <row r="11">
      <c r="A11" s="163" t="s">
        <v>409</v>
      </c>
      <c r="B11" s="186" t="s">
        <v>112</v>
      </c>
      <c r="C11" s="186" t="s">
        <v>218</v>
      </c>
      <c r="D11" s="186" t="s">
        <v>236</v>
      </c>
      <c r="E11" s="186" t="s">
        <v>237</v>
      </c>
      <c r="F11" s="186" t="s">
        <v>113</v>
      </c>
      <c r="G11" s="164" t="s">
        <v>410</v>
      </c>
      <c r="H11" s="164" t="s">
        <v>338</v>
      </c>
      <c r="I11" s="164" t="s">
        <v>366</v>
      </c>
      <c r="J11" s="165" t="s">
        <v>238</v>
      </c>
    </row>
  </sheetData>
  <mergeCells count="2">
    <mergeCell ref="A1:J1"/>
    <mergeCell ref="A2:J2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7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20"/>
    <col customWidth="true" max="3" min="3" width="20"/>
    <col customWidth="true" max="5" min="5" width="20"/>
    <col customWidth="true" max="7" min="7" width="20"/>
    <col customWidth="true" max="9" min="9" width="18"/>
    <col customWidth="true" max="10" min="10" width="42"/>
    <col customWidth="true" max="11" min="11" width="40"/>
  </cols>
  <sheetData>
    <row r="1" ht="34" customHeight="true">
      <c r="A1" s="6" t="s">
        <v>239</v>
      </c>
      <c r="B1" s="6"/>
      <c r="C1" s="6"/>
      <c r="D1" s="6"/>
      <c r="E1" s="6"/>
      <c r="F1" s="6"/>
      <c r="G1" s="6"/>
      <c r="H1" s="6"/>
    </row>
    <row r="2" ht="30" customHeight="true">
      <c r="A2" s="15" t="s">
        <v>240</v>
      </c>
      <c r="B2" s="15"/>
      <c r="C2" s="15"/>
      <c r="D2" s="15"/>
      <c r="E2" s="15"/>
      <c r="F2" s="15"/>
      <c r="G2" s="15"/>
      <c r="H2" s="15"/>
    </row>
    <row r="3">
      <c r="A3" s="207" t="s">
        <v>32</v>
      </c>
      <c r="C3" s="207" t="s">
        <v>30</v>
      </c>
      <c r="E3" s="207" t="s">
        <v>81</v>
      </c>
      <c r="G3" s="207" t="s">
        <v>79</v>
      </c>
      <c r="I3" s="223" t="s">
        <v>241</v>
      </c>
      <c r="J3" s="223" t="s">
        <v>425</v>
      </c>
      <c r="K3" s="223" t="s">
        <v>242</v>
      </c>
    </row>
    <row r="4">
      <c r="A4" s="212" t="s">
        <v>39</v>
      </c>
      <c r="C4" s="212" t="s">
        <v>38</v>
      </c>
      <c r="E4" s="212" t="s">
        <v>338</v>
      </c>
      <c r="G4" s="212" t="s">
        <v>326</v>
      </c>
      <c r="I4" s="245" t="s">
        <v>418</v>
      </c>
      <c r="J4" s="246" t="s">
        <v>426</v>
      </c>
      <c r="K4" s="247" t="s">
        <v>243</v>
      </c>
    </row>
    <row r="5">
      <c r="A5" s="212" t="s">
        <v>41</v>
      </c>
      <c r="C5" s="212" t="s">
        <v>29</v>
      </c>
      <c r="E5" s="212" t="s">
        <v>311</v>
      </c>
      <c r="G5" s="212" t="s">
        <v>335</v>
      </c>
      <c r="I5" s="248" t="s">
        <v>244</v>
      </c>
      <c r="J5" s="249" t="s">
        <v>245</v>
      </c>
      <c r="K5" s="250" t="s">
        <v>246</v>
      </c>
    </row>
    <row r="6">
      <c r="A6" s="212" t="s">
        <v>44</v>
      </c>
      <c r="C6" s="212" t="s">
        <v>43</v>
      </c>
      <c r="E6" s="212" t="s">
        <v>316</v>
      </c>
      <c r="G6" s="212" t="s">
        <v>323</v>
      </c>
      <c r="I6" s="248" t="s">
        <v>247</v>
      </c>
      <c r="J6" s="249" t="s">
        <v>248</v>
      </c>
      <c r="K6" s="250" t="s">
        <v>249</v>
      </c>
    </row>
    <row r="7">
      <c r="A7" s="212" t="s">
        <v>47</v>
      </c>
      <c r="C7" s="212" t="s">
        <v>46</v>
      </c>
      <c r="E7" s="213" t="s">
        <v>96</v>
      </c>
      <c r="G7" s="212" t="s">
        <v>343</v>
      </c>
      <c r="I7" s="248" t="s">
        <v>250</v>
      </c>
      <c r="J7" s="249" t="s">
        <v>251</v>
      </c>
      <c r="K7" s="250" t="s">
        <v>252</v>
      </c>
    </row>
    <row r="8">
      <c r="A8" s="212" t="s">
        <v>50</v>
      </c>
      <c r="C8" s="212" t="s">
        <v>49</v>
      </c>
      <c r="G8" s="212" t="s">
        <v>320</v>
      </c>
      <c r="I8" s="251" t="s">
        <v>419</v>
      </c>
      <c r="J8" s="252" t="s">
        <v>427</v>
      </c>
      <c r="K8" s="253" t="s">
        <v>253</v>
      </c>
    </row>
    <row r="9">
      <c r="A9" s="212" t="s">
        <v>53</v>
      </c>
      <c r="C9" s="212" t="s">
        <v>52</v>
      </c>
      <c r="G9" s="212" t="s">
        <v>320</v>
      </c>
    </row>
    <row r="10">
      <c r="A10" s="212" t="s">
        <v>305</v>
      </c>
      <c r="C10" s="212" t="s">
        <v>55</v>
      </c>
      <c r="G10" s="212" t="s">
        <v>348</v>
      </c>
    </row>
    <row r="11">
      <c r="A11" s="212" t="s">
        <v>58</v>
      </c>
      <c r="C11" s="213" t="s">
        <v>57</v>
      </c>
      <c r="G11" s="212" t="s">
        <v>310</v>
      </c>
    </row>
    <row r="12">
      <c r="A12" s="212" t="s">
        <v>60</v>
      </c>
      <c r="G12" s="213" t="s">
        <v>315</v>
      </c>
    </row>
    <row r="13">
      <c r="A13" s="213" t="s">
        <v>417</v>
      </c>
    </row>
    <row r="14"/>
    <row r="15"/>
    <row r="16">
      <c r="A16" s="207" t="s">
        <v>254</v>
      </c>
    </row>
    <row r="17">
      <c r="A17" s="212" t="s">
        <v>88</v>
      </c>
    </row>
    <row r="18">
      <c r="A18" s="212" t="s">
        <v>94</v>
      </c>
    </row>
    <row r="19">
      <c r="A19" s="212" t="s">
        <v>102</v>
      </c>
    </row>
    <row r="20">
      <c r="A20" s="212" t="s">
        <v>111</v>
      </c>
    </row>
    <row r="21">
      <c r="A21" s="213" t="s">
        <v>109</v>
      </c>
    </row>
  </sheetData>
  <mergeCells count="2">
    <mergeCell ref="A1:H1"/>
    <mergeCell ref="A2:H2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8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2" min="2" width="34"/>
    <col customWidth="true" max="3" min="3" width="36"/>
    <col customWidth="true" max="4" min="4" width="44"/>
    <col customWidth="true" max="5" min="5" width="28"/>
  </cols>
  <sheetData>
    <row r="1" ht="34" customHeight="true">
      <c r="A1" s="6" t="s">
        <v>255</v>
      </c>
      <c r="B1" s="6"/>
      <c r="C1" s="6"/>
      <c r="D1" s="6"/>
      <c r="E1" s="6"/>
      <c r="F1" s="6"/>
      <c r="G1" s="6"/>
      <c r="H1" s="6"/>
      <c r="I1" s="6"/>
      <c r="J1" s="6"/>
    </row>
    <row r="2" ht="30" customHeight="true">
      <c r="A2" s="15" t="s">
        <v>256</v>
      </c>
      <c r="B2" s="15"/>
      <c r="C2" s="15"/>
      <c r="D2" s="15"/>
      <c r="E2" s="15"/>
      <c r="F2" s="15"/>
      <c r="G2" s="15"/>
      <c r="H2" s="15"/>
      <c r="I2" s="15"/>
      <c r="J2" s="15"/>
    </row>
    <row r="3" ht="15" customHeight="true">
      <c r="A3" s="462" t="s">
        <v>32</v>
      </c>
      <c r="B3" s="462" t="s">
        <v>428</v>
      </c>
      <c r="C3" s="462" t="s">
        <v>3</v>
      </c>
      <c r="D3" s="462" t="s">
        <v>257</v>
      </c>
      <c r="E3" s="462" t="s">
        <v>258</v>
      </c>
    </row>
    <row r="4" ht="24.4140625" customHeight="true">
      <c r="A4" s="466" t="s">
        <v>39</v>
      </c>
      <c r="B4" s="467" t="s">
        <v>429</v>
      </c>
      <c r="C4" s="467" t="s">
        <v>259</v>
      </c>
      <c r="D4" s="467" t="s">
        <v>260</v>
      </c>
      <c r="E4" s="468" t="s">
        <v>261</v>
      </c>
    </row>
    <row r="5" ht="15" customHeight="true">
      <c r="A5" s="469" t="s">
        <v>41</v>
      </c>
      <c r="B5" s="470" t="s">
        <v>262</v>
      </c>
      <c r="C5" s="470" t="s">
        <v>263</v>
      </c>
      <c r="D5" s="470" t="s">
        <v>430</v>
      </c>
      <c r="E5" s="471" t="s">
        <v>264</v>
      </c>
    </row>
    <row r="6" ht="15" customHeight="true">
      <c r="A6" s="469" t="s">
        <v>44</v>
      </c>
      <c r="B6" s="470" t="s">
        <v>265</v>
      </c>
      <c r="C6" s="470" t="s">
        <v>266</v>
      </c>
      <c r="D6" s="470" t="s">
        <v>267</v>
      </c>
      <c r="E6" s="471" t="s">
        <v>268</v>
      </c>
    </row>
    <row r="7" ht="15" customHeight="true">
      <c r="A7" s="469" t="s">
        <v>47</v>
      </c>
      <c r="B7" s="470" t="s">
        <v>269</v>
      </c>
      <c r="C7" s="470" t="s">
        <v>270</v>
      </c>
      <c r="D7" s="470" t="s">
        <v>271</v>
      </c>
      <c r="E7" s="471" t="s">
        <v>272</v>
      </c>
    </row>
    <row r="8" ht="15" customHeight="true">
      <c r="A8" s="469" t="s">
        <v>50</v>
      </c>
      <c r="B8" s="470" t="s">
        <v>273</v>
      </c>
      <c r="C8" s="470" t="s">
        <v>274</v>
      </c>
      <c r="D8" s="470" t="s">
        <v>275</v>
      </c>
      <c r="E8" s="471" t="s">
        <v>276</v>
      </c>
    </row>
    <row r="9" ht="15" customHeight="true">
      <c r="A9" s="469" t="s">
        <v>53</v>
      </c>
      <c r="B9" s="470" t="s">
        <v>277</v>
      </c>
      <c r="C9" s="470" t="s">
        <v>278</v>
      </c>
      <c r="D9" s="470" t="s">
        <v>279</v>
      </c>
      <c r="E9" s="471" t="s">
        <v>280</v>
      </c>
    </row>
    <row r="10" ht="15" customHeight="true">
      <c r="A10" s="469" t="s">
        <v>305</v>
      </c>
      <c r="B10" s="470" t="s">
        <v>281</v>
      </c>
      <c r="C10" s="470" t="s">
        <v>282</v>
      </c>
      <c r="D10" s="470" t="s">
        <v>283</v>
      </c>
      <c r="E10" s="471" t="s">
        <v>284</v>
      </c>
    </row>
    <row r="11" ht="15" customHeight="true">
      <c r="A11" s="469" t="s">
        <v>58</v>
      </c>
      <c r="B11" s="470" t="s">
        <v>285</v>
      </c>
      <c r="C11" s="470" t="s">
        <v>286</v>
      </c>
      <c r="D11" s="470" t="s">
        <v>287</v>
      </c>
      <c r="E11" s="471" t="s">
        <v>288</v>
      </c>
    </row>
    <row r="12" ht="15" customHeight="true">
      <c r="A12" s="469" t="s">
        <v>60</v>
      </c>
      <c r="B12" s="470" t="s">
        <v>289</v>
      </c>
      <c r="C12" s="470" t="s">
        <v>290</v>
      </c>
      <c r="D12" s="470" t="s">
        <v>291</v>
      </c>
      <c r="E12" s="471" t="s">
        <v>292</v>
      </c>
    </row>
    <row r="13" ht="15" customHeight="true">
      <c r="A13" s="472" t="s">
        <v>417</v>
      </c>
      <c r="B13" s="473" t="s">
        <v>293</v>
      </c>
      <c r="C13" s="473" t="s">
        <v>431</v>
      </c>
      <c r="D13" s="473" t="s">
        <v>294</v>
      </c>
      <c r="E13" s="474" t="s">
        <v>295</v>
      </c>
    </row>
  </sheetData>
  <mergeCells count="2">
    <mergeCell ref="A1:J1"/>
    <mergeCell ref="A2:J2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