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drawings/charts/chart2.xml" ContentType="application/vnd.openxmlformats-officedocument.drawingml.char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drawings/drawing2.xml" ContentType="application/vnd.openxmlformats-officedocument.drawing+xml"/>
  <Override PartName="/xl/drawings/charts/chart3.xml" ContentType="application/vnd.openxmlformats-officedocument.drawingml.char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98dd5c7190c04902" Target="xl/workbook.xml" Type="http://schemas.openxmlformats.org/officeDocument/2006/relationships/officeDocument"></Relationship></Relationships>
</file>

<file path=xl/workbook.xml><?xml version="1.0" encoding="utf-8"?>
<workbook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bookViews>
    <workbookView/>
  </bookViews>
  <sheets>
    <sheet name="Dashboard" sheetId="1" r:id="R1d2327e13d144e77"/>
    <sheet name="Inputantagelser" sheetId="2" r:id="Ra5c37dd734584960"/>
    <sheet name="Omsætningsopsætning" sheetId="3" r:id="R0c6b08cfad824228"/>
    <sheet name="Omsætningsprognose" sheetId="4" r:id="R40357c3b3c62480a"/>
    <sheet name="Bemanding og kompensation" sheetId="5" r:id="R428931b4334c49ef"/>
    <sheet name="Omkostningsopsætning" sheetId="6" r:id="R5d782096d20a4070"/>
    <sheet name="Startup-investering" sheetId="7" r:id="R078c653f9ad249aa"/>
    <sheet name="Resultat og likviditet" sheetId="8" r:id="Rfa2469f684b44f77"/>
    <sheet name="Scenariesammenligning" sheetId="9" r:id="Rcbaf1dd1e5cc47fc"/>
    <sheet name="Instruktioner" sheetId="10" r:id="R0ca847e9d58a4b39"/>
  </sheets>
</workbook>
</file>

<file path=xl/sharedStrings.xml><?xml version="1.0" encoding="utf-8"?>
<sst xmlns="http://schemas.openxmlformats.org/spreadsheetml/2006/main" count="274" uniqueCount="274">
  <si>
    <t>Dashboard til startup-driftsomkostninger og resultatprognose</t>
  </si>
  <si>
    <t>Se det aktuelle scenaries nøgletal, break-even-punkt og likviditetsadvarsel.</t>
  </si>
  <si>
    <t>nøgletal</t>
  </si>
  <si>
    <t>Aktuel værdi</t>
  </si>
  <si>
    <t>Noter</t>
  </si>
  <si>
    <t>Virksomhedsnavn</t>
  </si>
  <si>
    <t>Rediger i "Inputantagelser"</t>
  </si>
  <si>
    <t>Aktuelt scenarie</t>
  </si>
  <si>
    <t>Skift via dropdown: konservativ/basis/optimistisk</t>
  </si>
  <si>
    <t>Forretningstype</t>
  </si>
  <si>
    <t>til opsætningsreference</t>
  </si>
  <si>
    <t>12-måneders nettoomsætning</t>
  </si>
  <si>
    <t>første års omsætningsprognose</t>
  </si>
  <si>
    <t>12-måneders nettoresultat</t>
  </si>
  <si>
    <t>første års resultatprognose</t>
  </si>
  <si>
    <t>12-måneders gennemsnitlig bruttomargin</t>
  </si>
  <si>
    <t>Beregnet som bruttofortjeneste / nettoomsætning</t>
  </si>
  <si>
    <t>break-even-måned</t>
  </si>
  <si>
    <t>Måned med første positive nettoresultat</t>
  </si>
  <si>
    <t>likviditetsrækkevidde (måneder)</t>
  </si>
  <si>
    <t>måneder før likviditeten bliver negativ</t>
  </si>
  <si>
    <t>laveste slutlikviditet</t>
  </si>
  <si>
    <t>Under advarselsniveauet er finansiering eller omkostningsreduktion nødvendig</t>
  </si>
  <si>
    <t>Kræver opmærksomhed</t>
  </si>
  <si>
    <t>likviditetssikkerhedsnote</t>
  </si>
  <si>
    <t>Måned</t>
  </si>
  <si>
    <t>nettoomsætning</t>
  </si>
  <si>
    <t>Bruttofortjeneste</t>
  </si>
  <si>
    <t>nettoresultat</t>
  </si>
  <si>
    <t>Slutlikviditet</t>
  </si>
  <si>
    <t>Skabelon til startup-driftsomkostninger og resultatprognose</t>
  </si>
  <si>
    <t>Blå tekst / gul udfyldning markerer redigerbare input; sort tekst er formler; grøn tekst er links på tværs af ark. Erstat eksempelværdierne med dine faktiske virksomhedsdata.</t>
  </si>
  <si>
    <t>Grundopsætning</t>
  </si>
  <si>
    <t>Inputværdier</t>
  </si>
  <si>
    <t>Scenarieparametre</t>
  </si>
  <si>
    <t>Eksempelvirksomhed</t>
  </si>
  <si>
    <t>Parametre</t>
  </si>
  <si>
    <t>Konservativ</t>
  </si>
  <si>
    <t>Basis</t>
  </si>
  <si>
    <t>Optimistisk</t>
  </si>
  <si>
    <t>Startdato for prognose</t>
  </si>
  <si>
    <t>Månedlig omsætningsvækstrate</t>
  </si>
  <si>
    <t>Standardvækstrate for omsætningslinjer</t>
  </si>
  <si>
    <t>Prognoseperiode (måneder)</t>
  </si>
  <si>
    <t>Kundefrafald / returrate</t>
  </si>
  <si>
    <t>Standardfrafald, returneringer eller kontraktion for omsætningslinjer</t>
  </si>
  <si>
    <t>Standard bruttomargin</t>
  </si>
  <si>
    <t>For omsætningslinjer uden separat bruttomarginopsætning</t>
  </si>
  <si>
    <t>Marketingudgiftsrate</t>
  </si>
  <si>
    <t>For blandet marketingforbrug</t>
  </si>
  <si>
    <t>Valuta</t>
  </si>
  <si>
    <t>CNY</t>
  </si>
  <si>
    <t>Inflationsrate for faste udgifter</t>
  </si>
  <si>
    <t>For månedlig vækst i faste driftsudgifter</t>
  </si>
  <si>
    <t>Indledende likviditetsbeholdning</t>
  </si>
  <si>
    <t>Faktor for bemandingsudvidelse</t>
  </si>
  <si>
    <t>Bruges til at justere ansættelsestempo</t>
  </si>
  <si>
    <t>Indkomstskattesats</t>
  </si>
  <si>
    <t>Prisjusteringsrate</t>
  </si>
  <si>
    <t>For prisjusteringer på nyt volumen / nye kunder</t>
  </si>
  <si>
    <t>Kundeopkrævningscyklus (måned)</t>
  </si>
  <si>
    <t>Tab på debitorer / refusionsrate</t>
  </si>
  <si>
    <t>For tab på debitorer eller refusionsfradrag efter omsætningsindregning</t>
  </si>
  <si>
    <t>Leverandørbetalingscyklus (måneder)</t>
  </si>
  <si>
    <t>Laveste likviditetsadvarsel</t>
  </si>
  <si>
    <t>Driftsreserveforhold</t>
  </si>
  <si>
    <t>Automatisk værdi for aktuelt scenarie</t>
  </si>
  <si>
    <t>Anvendt værdi</t>
  </si>
  <si>
    <t>Omsætningsopsætning</t>
  </si>
  <si>
    <t>Konfigurer flere omsætningslinjer for produkter, e-handel, abonnementer, projektydelser, kanaldistribution og lignende scenarier.</t>
  </si>
  <si>
    <t>Omsætningslinje / produkt</t>
  </si>
  <si>
    <t>Omsætningstype</t>
  </si>
  <si>
    <t>Aktiveret</t>
  </si>
  <si>
    <t>Indledende månedsomsætning</t>
  </si>
  <si>
    <t>Enhedspris</t>
  </si>
  <si>
    <t>Indledende kunde / volumen</t>
  </si>
  <si>
    <t>Månedlig ny kunde / volumen</t>
  </si>
  <si>
    <t>Overstyring af månedlig vækstrate</t>
  </si>
  <si>
    <t>Overstyring af bruttomargin</t>
  </si>
  <si>
    <t>Overstyring af frafalds- / returrate</t>
  </si>
  <si>
    <t>Månedlig ny omsætning</t>
  </si>
  <si>
    <t>produkt / tjeneste</t>
  </si>
  <si>
    <t>Ja</t>
  </si>
  <si>
    <t>Primær omsætningslinje</t>
  </si>
  <si>
    <t>Anden omsætningslinje</t>
  </si>
  <si>
    <t>Abonnement/medlemskab</t>
  </si>
  <si>
    <t>Abonnement</t>
  </si>
  <si>
    <t>Nej</t>
  </si>
  <si>
    <t>Vareydelse</t>
  </si>
  <si>
    <t>Vare / tjeneste</t>
  </si>
  <si>
    <t>Egnet til rådgivning / specialydelser</t>
  </si>
  <si>
    <t>Kanal/distribution</t>
  </si>
  <si>
    <t>Egnet til distributions- / agenturmodeller</t>
  </si>
  <si>
    <t>Anden omsætning</t>
  </si>
  <si>
    <t>Andet</t>
  </si>
  <si>
    <t>Yderligere omsætning</t>
  </si>
  <si>
    <t>Reserveret omsætningslinje 1</t>
  </si>
  <si>
    <t>Kan ændres til en ny produktlinje</t>
  </si>
  <si>
    <t>Reserveret omsætningslinje 2</t>
  </si>
  <si>
    <t>Kan ændres til en ny region / kanal</t>
  </si>
  <si>
    <t>I alt (aktiverede poster)</t>
  </si>
  <si>
    <t>Omsætningsprognose</t>
  </si>
  <si>
    <t>Månedsindeks</t>
  </si>
  <si>
    <t>Detaljer for omsætningslinjer</t>
  </si>
  <si>
    <t>Omsætning i alt</t>
  </si>
  <si>
    <t>Fratrukket: tab på debitorer / refusioner</t>
  </si>
  <si>
    <t>Direkte omkostning - abonnement / medlemskab</t>
  </si>
  <si>
    <t>Direkte omkostning - vareydelse</t>
  </si>
  <si>
    <t>Direkte omkostning - kanal / distribution</t>
  </si>
  <si>
    <t>Direkte omkostning - anden omsætning</t>
  </si>
  <si>
    <t>Direkte omkostning - reserveret omsætningslinje 1</t>
  </si>
  <si>
    <t>Direkte omkostning - reserveret omsætningslinje 2</t>
  </si>
  <si>
    <t>Salgsomkostning / samlede direkte omkostninger</t>
  </si>
  <si>
    <t>Bruttomargin</t>
  </si>
  <si>
    <t>Bemanding og kompensation</t>
  </si>
  <si>
    <t>Indtast roller, indledende bemanding, månedsløn, personalegodesats og ansættelseskadence for automatisk at generere månedlige bemandings- og lønprognoser.</t>
  </si>
  <si>
    <t>Rolle</t>
  </si>
  <si>
    <t>Afdeling</t>
  </si>
  <si>
    <t>Indledende bemanding</t>
  </si>
  <si>
    <t>Månedsløn pr. person</t>
  </si>
  <si>
    <t>Tilføj bemanding hver 6. måned</t>
  </si>
  <si>
    <t>Personalegodesats</t>
  </si>
  <si>
    <t>Årlig lønstigning</t>
  </si>
  <si>
    <t>Indledende månedlig løn i alt</t>
  </si>
  <si>
    <t>Stifter / ledelse</t>
  </si>
  <si>
    <t>Ledelse</t>
  </si>
  <si>
    <t>Stifterteam / kerneledelse</t>
  </si>
  <si>
    <t>Produkt / forskning og udvikling</t>
  </si>
  <si>
    <t>Forskning og udvikling</t>
  </si>
  <si>
    <t>Produkt- eller teknisk team</t>
  </si>
  <si>
    <t>Salg</t>
  </si>
  <si>
    <t>Salgspersonale</t>
  </si>
  <si>
    <t>Marketing</t>
  </si>
  <si>
    <t>Marketing / vækst</t>
  </si>
  <si>
    <t>Drift</t>
  </si>
  <si>
    <t>Drift/levering</t>
  </si>
  <si>
    <t>Kundesupport</t>
  </si>
  <si>
    <t>Økonomi/admin</t>
  </si>
  <si>
    <t>Admin</t>
  </si>
  <si>
    <t>Økonomi / HR / admin</t>
  </si>
  <si>
    <t>Produktion/levering</t>
  </si>
  <si>
    <t>Produktion eller varelevering</t>
  </si>
  <si>
    <t>I alt</t>
  </si>
  <si>
    <t>Månedlig prognose for bemanding og løn</t>
  </si>
  <si>
    <t>Bemanding</t>
  </si>
  <si>
    <t>Kompensation + personalegoder</t>
  </si>
  <si>
    <t>Samlet kompensation og personalegoder</t>
  </si>
  <si>
    <t>Samlet bemanding</t>
  </si>
  <si>
    <t>Omkostningsopsætning</t>
  </si>
  <si>
    <t>Udgiftskategori</t>
  </si>
  <si>
    <t>Omkostningstype</t>
  </si>
  <si>
    <t>Beløb i første måned</t>
  </si>
  <si>
    <t>Omsætningsandel</t>
  </si>
  <si>
    <t>Betalingsforsinkelse (måneder)</t>
  </si>
  <si>
    <t>Relevant forretning</t>
  </si>
  <si>
    <t>Kontorleje / arbejdsstationer</t>
  </si>
  <si>
    <t>Fast</t>
  </si>
  <si>
    <t>Alle</t>
  </si>
  <si>
    <t>Kontorplads, arbejdsstationer og butiksleje</t>
  </si>
  <si>
    <t>Blandet</t>
  </si>
  <si>
    <t>Cloudtjenester kan sættes som blandede</t>
  </si>
  <si>
    <t>Logistik/fulfillment</t>
  </si>
  <si>
    <t>Varierer med omsætning</t>
  </si>
  <si>
    <t>E-handelsdetail</t>
  </si>
  <si>
    <t>Fulfillment, logistik, emballage</t>
  </si>
  <si>
    <t>Materialer/outsourcing</t>
  </si>
  <si>
    <t>Produktion / hardware</t>
  </si>
  <si>
    <t>Materialer eller outsourcede leverancer</t>
  </si>
  <si>
    <t>Marketingforbrug</t>
  </si>
  <si>
    <t>Hvis omsætningsandel er tom, bruges scenariets marketingudgiftsrate</t>
  </si>
  <si>
    <t>Salgsprovision</t>
  </si>
  <si>
    <t>Salgsdrevet</t>
  </si>
  <si>
    <t>Provision baseret på omsætning</t>
  </si>
  <si>
    <t>Professionelle tjenester</t>
  </si>
  <si>
    <t>Juridisk, skat og rådgivning</t>
  </si>
  <si>
    <t>Rejse/transport</t>
  </si>
  <si>
    <t>Rejse og transport</t>
  </si>
  <si>
    <t>Forsikring/licenser</t>
  </si>
  <si>
    <t>Reguleret forretning</t>
  </si>
  <si>
    <t>Forsikring, certificeringer, licenser</t>
  </si>
  <si>
    <t>Diverse administration</t>
  </si>
  <si>
    <t>Kontorartikler, kommunikation osv.</t>
  </si>
  <si>
    <t>FoU-værktøjer</t>
  </si>
  <si>
    <t>Udviklingsværktøjer og testtjenester</t>
  </si>
  <si>
    <t>Butiksdrift</t>
  </si>
  <si>
    <t>Foodservice / fysisk butik</t>
  </si>
  <si>
    <t>Forsyning, ejendom og butikstjenester</t>
  </si>
  <si>
    <t>I alt / hjælpepost</t>
  </si>
  <si>
    <t>Månedlig prognose for driftsudgifter</t>
  </si>
  <si>
    <t>Samlede driftsudgifter (ekskl. løn)</t>
  </si>
  <si>
    <t>Startup-investering</t>
  </si>
  <si>
    <t>Registrer engangsudlæg ved opstart og aktiverbare poster som virksomhedsregistrering, udstyr, lager, systemopsætning, depositummer og lanceringsmarketing.</t>
  </si>
  <si>
    <t>Investeringspost</t>
  </si>
  <si>
    <t>Kategori</t>
  </si>
  <si>
    <t>Afholdt måned</t>
  </si>
  <si>
    <t>Budgetbeløb</t>
  </si>
  <si>
    <t>Afskrivnings- / amortiseringsmåneder</t>
  </si>
  <si>
    <t>Virksomhedsregistrering / juridisk</t>
  </si>
  <si>
    <t>Engangsudgift</t>
  </si>
  <si>
    <t>Virksomhedsregistrering, juridiske dokumenter, kontraktskabelon</t>
  </si>
  <si>
    <t>Kontorrenovering / udstyr</t>
  </si>
  <si>
    <t>Kapitaludstrømning</t>
  </si>
  <si>
    <t>Kontorudstyr, renovering, produktionsudstyr</t>
  </si>
  <si>
    <t>Indledende lager / materialer</t>
  </si>
  <si>
    <t>Arbejdskapital</t>
  </si>
  <si>
    <t>Egnet til e-handel, produktion og foodservice</t>
  </si>
  <si>
    <t>Branddesign / visuel identitet</t>
  </si>
  <si>
    <t>Branddesign, visuel identitet</t>
  </si>
  <si>
    <t>Åbnings- / lanceringsmarketing</t>
  </si>
  <si>
    <t>Lancering, åbning eller første kundetiltrækning</t>
  </si>
  <si>
    <t>Depositummer / forudbetalinger</t>
  </si>
  <si>
    <t>Lejedepositummer, serviceforudbetalinger</t>
  </si>
  <si>
    <t>Licenser / kvalifikationer</t>
  </si>
  <si>
    <t>Branchelicenser, certificeringer</t>
  </si>
  <si>
    <t>Rekruttering / træning</t>
  </si>
  <si>
    <t>Rekruttering, HR og træning</t>
  </si>
  <si>
    <t>Andre reserver</t>
  </si>
  <si>
    <t>Reserve</t>
  </si>
  <si>
    <t>Reserve, anbefales at beholde</t>
  </si>
  <si>
    <t>Månedlig startup-investering og afskrivning / amortisering</t>
  </si>
  <si>
    <t>Likviditetsudstrømning</t>
  </si>
  <si>
    <t>Samlet likviditetsudstrømning for startup-investering</t>
  </si>
  <si>
    <t>Afskrivning / amortisering</t>
  </si>
  <si>
    <t>Samlet afskrivning / amortisering</t>
  </si>
  <si>
    <t>Resultat og likviditet</t>
  </si>
  <si>
    <t>Aggreger omsætning, omkostninger, udgifter, skat og likviditet for automatisk at outputte nettoresultat, likviditetsbeholdning og advarselsstatus.</t>
  </si>
  <si>
    <t>Salgsomkostning / direkte omkostning</t>
  </si>
  <si>
    <t>Løn</t>
  </si>
  <si>
    <t>Driftsudgifter (ekskl. løn)</t>
  </si>
  <si>
    <t>Indkomstskat</t>
  </si>
  <si>
    <t>Nettomargin</t>
  </si>
  <si>
    <t>Opkrævninger, likviditetsindstrømning</t>
  </si>
  <si>
    <t>Kreditoromkostning og udgift</t>
  </si>
  <si>
    <t>Eksterne betalingers likviditetsudstrømning</t>
  </si>
  <si>
    <t>Likviditetsudstrømning for startup-investering</t>
  </si>
  <si>
    <t>Skattebetalingers likviditetsudstrømning</t>
  </si>
  <si>
    <t>Netto likviditetsflow</t>
  </si>
  <si>
    <t>Likviditetsstatus</t>
  </si>
  <si>
    <t>Rentabilitetsstatus</t>
  </si>
  <si>
    <t>Scenariesammenligning</t>
  </si>
  <si>
    <t>Sammenlign de konservative, basis- og optimistiske scenarier med et blik. For fuld månedlig detalje skal du skifte aktuelt scenarie i [Inputantagelser] og gennemgå dashboardet samt resultat- og likviditetsarkene.</t>
  </si>
  <si>
    <t>Måling</t>
  </si>
  <si>
    <t>Konservativ omsætning</t>
  </si>
  <si>
    <t>Basisomsætning</t>
  </si>
  <si>
    <t>Optimistisk omsætning</t>
  </si>
  <si>
    <t>Konservativt nettoresultat</t>
  </si>
  <si>
    <t>Basisnettoresultat</t>
  </si>
  <si>
    <t>Optimistisk nettoresultat</t>
  </si>
  <si>
    <t>Konservativ slutlikviditet</t>
  </si>
  <si>
    <t>Basis slutlikviditet</t>
  </si>
  <si>
    <t>Optimistisk slutlikviditet</t>
  </si>
  <si>
    <t>Sådan bruges den og kilder</t>
  </si>
  <si>
    <t>Denne skabelon er en generel model til startup-driftsomkostninger og resultatprognose. Eksempelværdierne er kun til demonstration.</t>
  </si>
  <si>
    <t>Nr.</t>
  </si>
  <si>
    <t>Emne</t>
  </si>
  <si>
    <t>Angiv grundparametre først</t>
  </si>
  <si>
    <t>I [Inputantagelser] udfyldes virksomhedsnavn, prognosestartdato, aktuelt scenarie, forretningstype, skattesats, opkrævningscyklus, betalingscyklus og likviditetsadvarselstærskel.</t>
  </si>
  <si>
    <t>Opsæt omsætningslinjer</t>
  </si>
  <si>
    <t>I [Omsætningsopsætning] aktiveres eller deaktiveres omsætningslinjer, og indledende månedsomsætning, enhedspris, indledende kunder/volumen og månedlige nye kunder/volumen udfyldes. Vækstrate, bruttomargin og frafaldsrate kan stå tomme for at bruge scenariestandarder.</t>
  </si>
  <si>
    <t>Opsæt bemanding</t>
  </si>
  <si>
    <t>I [Bemanding og kompensation] udfyldes rolle, indledende bemanding, månedsløn, personalegodesats, lønstigning og ansættelseskadence. Skabelonen beregner automatisk bemanding og løn.</t>
  </si>
  <si>
    <t>Opsæt driftsudgifter</t>
  </si>
  <si>
    <t>I [Omkostningsopsætning] vælges faste, variable eller blandede omkostninger for at dække kontor, cloudtjenester, logistik, materialer, marketingforbrug, provisioner, professionelle tjenester og butiksdrift.</t>
  </si>
  <si>
    <t>Indtast startup-investering</t>
  </si>
  <si>
    <t>I [Startup-investering] indtastes engangsposter som registrering, udstyr, lager, systemopsætning, branding, lanceringsmarketing, depositummer og licenser, og aktivering og amortisering angives.</t>
  </si>
  <si>
    <t>Se resultater</t>
  </si>
  <si>
    <t>Brug [Dashboard] til at gennemgå første års omsætning, resultat, bruttomargin, break-even-måned, likviditetsrækkevidde og minimumslikviditet; brug [Resultat og likviditet] til månedlig detalje.</t>
  </si>
  <si>
    <t>Skift scenarie</t>
  </si>
  <si>
    <t>Brug dropdown for aktuelt scenarie i [Inputantagelser] til at skifte mellem konservativ, basis og optimistisk; [Scenariesammenligning] giver en forenklet side-om-side-sammenligning af de tre scenarier.</t>
  </si>
  <si>
    <t>Farveregler</t>
  </si>
  <si>
    <t>Blå tekst / gul udfyldning markerer redigerbare input; sort tekst er formler; grøn tekst er links på tværs af ark; negative tal vises i røde parenteser, og nulværdier vises som en bindestreg.</t>
  </si>
  <si>
    <t>Kildenoter</t>
  </si>
  <si>
    <t>Brugsgrænse</t>
  </si>
  <si>
    <t>Denne skabelon er ikke regnskabs-, skatte-, juridisk eller fundraisingrådgivning. Lad økonomi-, skatte- og forretningsejere gennemgå de vigtigste antagelser før lancering.</t>
  </si>
</sst>
</file>

<file path=xl/styles.xml><?xml version="1.0" encoding="utf-8"?>
<styleSheet xmlns="http://schemas.openxmlformats.org/spreadsheetml/2006/main">
  <numFmts count="7">
    <numFmt numFmtId="200" formatCode="yyyy-mm-dd"/>
    <numFmt numFmtId="201" formatCode="#,##0;[Red](#,##0);-"/>
    <numFmt numFmtId="202" formatCode="0.0%;[Red](0.0%);-"/>
    <numFmt numFmtId="203" formatCode="0"/>
    <numFmt numFmtId="204" formatCode="yyyy-mm"/>
    <numFmt numFmtId="205" formatCode="0.0"/>
    <numFmt numFmtId="206" formatCode="@"/>
  </numFmts>
  <fonts count="11">
    <font>
      <sz val="11"/>
      <name val="Carlito"/>
    </font>
    <font>
      <sz val="10"/>
      <color rgb="FF111827"/>
      <name val="Microsoft YaHei"/>
    </font>
    <font>
      <b val="1"/>
      <sz val="16"/>
      <color rgb="FF1F4E79"/>
      <name val="Microsoft YaHei"/>
    </font>
    <font>
      <i val="1"/>
      <sz val="10"/>
      <color rgb="FF6B7280"/>
      <name val="Microsoft YaHei"/>
    </font>
    <font>
      <b val="1"/>
      <sz val="10"/>
      <color rgb="FFFFFFFF"/>
      <name val="Microsoft YaHei"/>
    </font>
    <font>
      <sz val="10"/>
      <color rgb="FF0000FF"/>
      <name val="Microsoft YaHei"/>
    </font>
    <font>
      <b val="1"/>
      <sz val="10"/>
      <color rgb="FF111827"/>
      <name val="Microsoft YaHei"/>
    </font>
    <font>
      <sz val="10"/>
      <color rgb="FF000000"/>
      <name val="Microsoft YaHei"/>
    </font>
    <font>
      <b val="1"/>
      <sz val="9"/>
      <color rgb="FF111827"/>
      <name val="Microsoft YaHei"/>
    </font>
    <font>
      <sz val="9"/>
      <color rgb="FF6B7280"/>
      <name val="Microsoft YaHei"/>
    </font>
    <font>
      <sz val="10"/>
      <color rgb="FF008000"/>
      <name val="Microsoft YaHei"/>
    </font>
  </fonts>
  <fills count="9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FFF2CC"/>
      </patternFill>
    </fill>
    <fill>
      <patternFill patternType="solid">
        <fgColor rgb="FFD9EAF7"/>
      </patternFill>
    </fill>
    <fill>
      <patternFill patternType="solid">
        <fgColor rgb="FFEAF7EA"/>
      </patternFill>
    </fill>
    <fill>
      <patternFill patternType="solid">
        <fgColor rgb="FFF3F4F6"/>
      </patternFill>
    </fill>
    <fill>
      <patternFill patternType="solid">
        <fgColor rgb="FFEAF3FF"/>
      </patternFill>
    </fill>
    <fill>
      <patternFill patternType="solid">
        <fgColor rgb="FFFAFBFF"/>
      </patternFill>
    </fill>
  </fills>
  <borders count="24">
    <border/>
    <border/>
    <border>
      <left style="thin">
        <color rgb="FFD1D5DB"/>
      </left>
      <top style="thin">
        <color rgb="FFD1D5DB"/>
      </top>
    </border>
    <border>
      <right style="thin">
        <color rgb="FFD1D5DB"/>
      </right>
      <top style="thin">
        <color rgb="FFD1D5DB"/>
      </top>
    </border>
    <border>
      <left style="thin">
        <color rgb="FFD1D5DB"/>
      </left>
    </border>
    <border>
      <right style="thin">
        <color rgb="FFD1D5DB"/>
      </right>
    </border>
    <border>
      <left style="thin">
        <color rgb="FFD1D5DB"/>
      </left>
      <bottom style="thin">
        <color rgb="FFD1D5DB"/>
      </bottom>
    </border>
    <border>
      <right style="thin">
        <color rgb="FFD1D5DB"/>
      </right>
      <bottom style="thin">
        <color rgb="FFD1D5DB"/>
      </bottom>
    </border>
    <border>
      <left style="thin">
        <color rgb="FFD1D5DB"/>
      </left>
      <top style="thin">
        <color rgb="FFD1D5DB"/>
      </top>
    </border>
    <border>
      <right style="thin">
        <color rgb="FFD1D5DB"/>
      </right>
      <top style="thin">
        <color rgb="FFD1D5DB"/>
      </top>
    </border>
    <border>
      <left style="thin">
        <color rgb="FFD1D5DB"/>
      </left>
    </border>
    <border>
      <right style="thin">
        <color rgb="FFD1D5DB"/>
      </right>
    </border>
    <border>
      <left style="thin">
        <color rgb="FFD1D5DB"/>
      </left>
      <bottom style="thin">
        <color rgb="FFD1D5DB"/>
      </bottom>
    </border>
    <border>
      <right style="thin">
        <color rgb="FFD1D5DB"/>
      </right>
      <bottom style="thin">
        <color rgb="FFD1D5DB"/>
      </bottom>
    </border>
    <border>
      <left style="thin">
        <color rgb="FFD1D5DB"/>
      </left>
      <top style="thin">
        <color rgb="FFD1D5DB"/>
      </top>
      <bottom style="thin">
        <color rgb="FFD1D5DB"/>
      </bottom>
    </border>
    <border>
      <top style="thin">
        <color rgb="FFD1D5DB"/>
      </top>
      <bottom style="thin">
        <color rgb="FFD1D5DB"/>
      </bottom>
    </border>
    <border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D1D5DB"/>
      </left>
      <top style="thin">
        <color rgb="FFD1D5DB"/>
      </top>
      <bottom style="thin">
        <color rgb="FFD1D5DB"/>
      </bottom>
    </border>
    <border>
      <top style="thin">
        <color rgb="FFD1D5DB"/>
      </top>
      <bottom style="thin">
        <color rgb="FFD1D5DB"/>
      </bottom>
    </border>
    <border>
      <right style="thin">
        <color rgb="FFD1D5DB"/>
      </right>
      <top style="thin">
        <color rgb="FFD1D5DB"/>
      </top>
      <bottom style="thin">
        <color rgb="FFD1D5DB"/>
      </bottom>
    </border>
    <border>
      <top style="thin">
        <color rgb="FFD1D5DB"/>
      </top>
    </border>
    <border>
      <bottom style="thin">
        <color rgb="FFD1D5DB"/>
      </bottom>
    </border>
    <border>
      <top style="thin">
        <color rgb="FFD1D5DB"/>
      </top>
    </border>
    <border>
      <bottom style="thin">
        <color rgb="FFD1D5DB"/>
      </bottom>
    </border>
  </borders>
  <cellStyleXfs count="1">
    <xf numFmtId="0" fontId="0" fillId="0" borderId="0"/>
  </cellStyleXfs>
  <cellXfs count="439">
    <xf numFmtId="0" fontId="0" fillId="0" borderId="0" xfId="0"/>
    <xf numFmtId="0" fontId="0" fillId="0" borderId="1" xfId="0" applyNumberFormat="true" applyFont="true" applyFill="true" applyBorder="true"/>
    <xf numFmtId="0" fontId="1" fillId="0" borderId="0" xfId="0" applyNumberFormat="true" applyFont="true" applyFill="true" applyBorder="true"/>
    <xf numFmtId="0" fontId="1" fillId="0" borderId="1" xfId="0" applyNumberFormat="true" applyFont="true" applyFill="true" applyBorder="true"/>
    <xf numFmtId="0" fontId="2" fillId="0" borderId="0" xfId="0" applyNumberFormat="true" applyFont="true" applyFill="true" applyBorder="true"/>
    <xf numFmtId="0" fontId="2" fillId="0" borderId="1" xfId="0" applyNumberFormat="true" applyFont="true" applyFill="true" applyBorder="true"/>
    <xf numFmtId="0" fontId="3" fillId="0" borderId="0" xfId="0" applyNumberFormat="true" applyFont="true" applyFill="true" applyBorder="true"/>
    <xf numFmtId="0" fontId="3" fillId="0" borderId="1" xfId="0" applyNumberFormat="true" applyFont="true" applyFill="true" applyBorder="true"/>
    <xf numFmtId="0" fontId="0" fillId="2" borderId="0" xfId="0" applyNumberFormat="true" applyFont="true" applyFill="true" applyBorder="true"/>
    <xf numFmtId="0" fontId="0" fillId="2" borderId="1" xfId="0" applyNumberFormat="true" applyFont="true" applyFill="true" applyBorder="true"/>
    <xf numFmtId="0" fontId="4" fillId="2" borderId="0" xfId="0" applyNumberFormat="true" applyFont="true" applyFill="true" applyBorder="true"/>
    <xf numFmtId="0" fontId="4" fillId="2" borderId="1" xfId="0" applyNumberFormat="true" applyFont="true" applyFill="true" applyBorder="true"/>
    <xf numFmtId="0" fontId="4" fillId="2" borderId="0" xfId="0" applyNumberFormat="true" applyFont="true" applyFill="true" applyBorder="true" applyAlignment="true">
      <alignment horizontal="left"/>
    </xf>
    <xf numFmtId="0" fontId="4" fillId="2" borderId="1" xfId="0" applyNumberFormat="true" applyFont="true" applyFill="true" applyBorder="true" applyAlignment="true">
      <alignment horizontal="left"/>
    </xf>
    <xf numFmtId="0" fontId="4" fillId="2" borderId="0" xfId="0" applyNumberFormat="true" applyFont="true" applyFill="true" applyBorder="true" applyAlignment="true">
      <alignment horizontal="left" vertical="center"/>
    </xf>
    <xf numFmtId="0" fontId="4" fillId="2" borderId="1" xfId="0" applyNumberFormat="true" applyFont="true" applyFill="true" applyBorder="true" applyAlignment="true">
      <alignment horizontal="left" vertical="center"/>
    </xf>
    <xf numFmtId="0" fontId="0" fillId="0" borderId="2" xfId="0" applyNumberFormat="true" applyFont="true" applyFill="true" applyBorder="true"/>
    <xf numFmtId="0" fontId="0" fillId="0" borderId="3" xfId="0" applyNumberFormat="true" applyFont="true" applyFill="true" applyBorder="true"/>
    <xf numFmtId="0" fontId="0" fillId="0" borderId="4" xfId="0" applyNumberFormat="true" applyFont="true" applyFill="true" applyBorder="true"/>
    <xf numFmtId="0" fontId="0" fillId="0" borderId="5" xfId="0" applyNumberFormat="true" applyFont="true" applyFill="true" applyBorder="true"/>
    <xf numFmtId="0" fontId="0" fillId="0" borderId="6" xfId="0" applyNumberFormat="true" applyFont="true" applyFill="true" applyBorder="true"/>
    <xf numFmtId="0" fontId="0" fillId="0" borderId="7" xfId="0" applyNumberFormat="true" applyFont="true" applyFill="true" applyBorder="true"/>
    <xf numFmtId="0" fontId="0" fillId="0" borderId="8" xfId="0" applyNumberFormat="true" applyFont="true" applyFill="true" applyBorder="true"/>
    <xf numFmtId="0" fontId="0" fillId="0" borderId="9" xfId="0" applyNumberFormat="true" applyFont="true" applyFill="true" applyBorder="true"/>
    <xf numFmtId="0" fontId="0" fillId="0" borderId="10" xfId="0" applyNumberFormat="true" applyFont="true" applyFill="true" applyBorder="true"/>
    <xf numFmtId="0" fontId="0" fillId="0" borderId="11" xfId="0" applyNumberFormat="true" applyFont="true" applyFill="true" applyBorder="true"/>
    <xf numFmtId="0" fontId="0" fillId="0" borderId="12" xfId="0" applyNumberFormat="true" applyFont="true" applyFill="true" applyBorder="true"/>
    <xf numFmtId="0" fontId="0" fillId="0" borderId="13" xfId="0" applyNumberFormat="true" applyFont="true" applyFill="true" applyBorder="true"/>
    <xf numFmtId="0" fontId="0" fillId="0" borderId="2" xfId="0" applyNumberFormat="true" applyFont="true" applyFill="true" applyBorder="true" applyAlignment="true">
      <alignment vertical="center"/>
    </xf>
    <xf numFmtId="0" fontId="0" fillId="0" borderId="3" xfId="0" applyNumberFormat="true" applyFont="true" applyFill="true" applyBorder="true" applyAlignment="true">
      <alignment vertical="center"/>
    </xf>
    <xf numFmtId="0" fontId="0" fillId="0" borderId="4" xfId="0" applyNumberFormat="true" applyFont="true" applyFill="true" applyBorder="true" applyAlignment="true">
      <alignment vertical="center"/>
    </xf>
    <xf numFmtId="0" fontId="0" fillId="0" borderId="5" xfId="0" applyNumberFormat="true" applyFont="true" applyFill="true" applyBorder="true" applyAlignment="true">
      <alignment vertical="center"/>
    </xf>
    <xf numFmtId="0" fontId="0" fillId="0" borderId="6" xfId="0" applyNumberFormat="true" applyFont="true" applyFill="true" applyBorder="true" applyAlignment="true">
      <alignment vertical="center"/>
    </xf>
    <xf numFmtId="0" fontId="0" fillId="0" borderId="7" xfId="0" applyNumberFormat="true" applyFont="true" applyFill="true" applyBorder="true" applyAlignment="true">
      <alignment vertical="center"/>
    </xf>
    <xf numFmtId="0" fontId="0" fillId="0" borderId="8" xfId="0" applyNumberFormat="true" applyFont="true" applyFill="true" applyBorder="true" applyAlignment="true">
      <alignment vertical="center"/>
    </xf>
    <xf numFmtId="0" fontId="0" fillId="0" borderId="9" xfId="0" applyNumberFormat="true" applyFont="true" applyFill="true" applyBorder="true" applyAlignment="true">
      <alignment vertical="center"/>
    </xf>
    <xf numFmtId="0" fontId="0" fillId="0" borderId="10" xfId="0" applyNumberFormat="true" applyFont="true" applyFill="true" applyBorder="true" applyAlignment="true">
      <alignment vertical="center"/>
    </xf>
    <xf numFmtId="0" fontId="0" fillId="0" borderId="11" xfId="0" applyNumberFormat="true" applyFont="true" applyFill="true" applyBorder="true" applyAlignment="true">
      <alignment vertical="center"/>
    </xf>
    <xf numFmtId="0" fontId="0" fillId="0" borderId="12" xfId="0" applyNumberFormat="true" applyFont="true" applyFill="true" applyBorder="true" applyAlignment="true">
      <alignment vertical="center"/>
    </xf>
    <xf numFmtId="0" fontId="0" fillId="0" borderId="13" xfId="0" applyNumberFormat="true" applyFont="true" applyFill="true" applyBorder="true" applyAlignment="true">
      <alignment vertical="center"/>
    </xf>
    <xf numFmtId="0" fontId="0" fillId="3" borderId="3" xfId="0" applyNumberFormat="true" applyFont="true" applyFill="true" applyBorder="true" applyAlignment="true">
      <alignment vertical="center"/>
    </xf>
    <xf numFmtId="0" fontId="0" fillId="3" borderId="5" xfId="0" applyNumberFormat="true" applyFont="true" applyFill="true" applyBorder="true" applyAlignment="true">
      <alignment vertical="center"/>
    </xf>
    <xf numFmtId="0" fontId="0" fillId="3" borderId="7" xfId="0" applyNumberFormat="true" applyFont="true" applyFill="true" applyBorder="true" applyAlignment="true">
      <alignment vertical="center"/>
    </xf>
    <xf numFmtId="0" fontId="0" fillId="3" borderId="9" xfId="0" applyNumberFormat="true" applyFont="true" applyFill="true" applyBorder="true" applyAlignment="true">
      <alignment vertical="center"/>
    </xf>
    <xf numFmtId="0" fontId="0" fillId="3" borderId="11" xfId="0" applyNumberFormat="true" applyFont="true" applyFill="true" applyBorder="true" applyAlignment="true">
      <alignment vertical="center"/>
    </xf>
    <xf numFmtId="0" fontId="0" fillId="3" borderId="13" xfId="0" applyNumberFormat="true" applyFont="true" applyFill="true" applyBorder="true" applyAlignment="true">
      <alignment vertical="center"/>
    </xf>
    <xf numFmtId="0" fontId="5" fillId="3" borderId="3" xfId="0" applyNumberFormat="true" applyFont="true" applyFill="true" applyBorder="true" applyAlignment="true">
      <alignment vertical="center"/>
    </xf>
    <xf numFmtId="0" fontId="5" fillId="3" borderId="5" xfId="0" applyNumberFormat="true" applyFont="true" applyFill="true" applyBorder="true" applyAlignment="true">
      <alignment vertical="center"/>
    </xf>
    <xf numFmtId="0" fontId="5" fillId="3" borderId="7" xfId="0" applyNumberFormat="true" applyFont="true" applyFill="true" applyBorder="true" applyAlignment="true">
      <alignment vertical="center"/>
    </xf>
    <xf numFmtId="0" fontId="5" fillId="3" borderId="9" xfId="0" applyNumberFormat="true" applyFont="true" applyFill="true" applyBorder="true" applyAlignment="true">
      <alignment vertical="center"/>
    </xf>
    <xf numFmtId="0" fontId="5" fillId="3" borderId="11" xfId="0" applyNumberFormat="true" applyFont="true" applyFill="true" applyBorder="true" applyAlignment="true">
      <alignment vertical="center"/>
    </xf>
    <xf numFmtId="0" fontId="5" fillId="3" borderId="13" xfId="0" applyNumberFormat="true" applyFont="true" applyFill="true" applyBorder="true" applyAlignment="true">
      <alignment vertical="center"/>
    </xf>
    <xf numFmtId="200" fontId="5" fillId="3" borderId="5" xfId="0" applyNumberFormat="true" applyFont="true" applyFill="true" applyBorder="true" applyAlignment="true">
      <alignment vertical="center"/>
    </xf>
    <xf numFmtId="200" fontId="5" fillId="3" borderId="11" xfId="0" applyNumberFormat="true" applyFont="true" applyFill="true" applyBorder="true" applyAlignment="true">
      <alignment vertical="center"/>
    </xf>
    <xf numFmtId="201" fontId="5" fillId="3" borderId="5" xfId="0" applyNumberFormat="true" applyFont="true" applyFill="true" applyBorder="true" applyAlignment="true">
      <alignment vertical="center"/>
    </xf>
    <xf numFmtId="201" fontId="5" fillId="3" borderId="11" xfId="0" applyNumberFormat="true" applyFont="true" applyFill="true" applyBorder="true" applyAlignment="true">
      <alignment vertical="center"/>
    </xf>
    <xf numFmtId="202" fontId="5" fillId="3" borderId="5" xfId="0" applyNumberFormat="true" applyFont="true" applyFill="true" applyBorder="true" applyAlignment="true">
      <alignment vertical="center"/>
    </xf>
    <xf numFmtId="202" fontId="5" fillId="3" borderId="11" xfId="0" applyNumberFormat="true" applyFont="true" applyFill="true" applyBorder="true" applyAlignment="true">
      <alignment vertical="center"/>
    </xf>
    <xf numFmtId="203" fontId="5" fillId="3" borderId="5" xfId="0" applyNumberFormat="true" applyFont="true" applyFill="true" applyBorder="true" applyAlignment="true">
      <alignment vertical="center"/>
    </xf>
    <xf numFmtId="203" fontId="5" fillId="3" borderId="11" xfId="0" applyNumberFormat="true" applyFont="true" applyFill="true" applyBorder="true" applyAlignment="true">
      <alignment vertical="center"/>
    </xf>
    <xf numFmtId="202" fontId="5" fillId="3" borderId="7" xfId="0" applyNumberFormat="true" applyFont="true" applyFill="true" applyBorder="true" applyAlignment="true">
      <alignment vertical="center"/>
    </xf>
    <xf numFmtId="202" fontId="5" fillId="3" borderId="13" xfId="0" applyNumberFormat="true" applyFont="true" applyFill="true" applyBorder="true" applyAlignment="true">
      <alignment vertical="center"/>
    </xf>
    <xf numFmtId="0" fontId="0" fillId="4" borderId="0" xfId="0" applyNumberFormat="true" applyFont="true" applyFill="true" applyBorder="true"/>
    <xf numFmtId="0" fontId="0" fillId="4" borderId="1" xfId="0" applyNumberFormat="true" applyFont="true" applyFill="true" applyBorder="true"/>
    <xf numFmtId="0" fontId="6" fillId="4" borderId="0" xfId="0" applyNumberFormat="true" applyFont="true" applyFill="true" applyBorder="true"/>
    <xf numFmtId="0" fontId="6" fillId="4" borderId="1" xfId="0" applyNumberFormat="true" applyFont="true" applyFill="true" applyBorder="true"/>
    <xf numFmtId="0" fontId="6" fillId="4" borderId="0" xfId="0" applyNumberFormat="true" applyFont="true" applyFill="true" applyBorder="true" applyAlignment="true">
      <alignment horizontal="center"/>
    </xf>
    <xf numFmtId="0" fontId="6" fillId="4" borderId="1" xfId="0" applyNumberFormat="true" applyFont="true" applyFill="true" applyBorder="true" applyAlignment="true">
      <alignment horizontal="center"/>
    </xf>
    <xf numFmtId="0" fontId="6" fillId="4" borderId="0" xfId="0" applyNumberFormat="true" applyFont="true" applyFill="true" applyBorder="true" applyAlignment="true">
      <alignment horizontal="center" vertical="center"/>
    </xf>
    <xf numFmtId="0" fontId="6" fillId="4" borderId="1" xfId="0" applyNumberFormat="true" applyFont="true" applyFill="true" applyBorder="true" applyAlignment="true">
      <alignment horizontal="center" vertical="center"/>
    </xf>
    <xf numFmtId="0" fontId="6" fillId="4" borderId="0" xfId="0" applyNumberFormat="true" applyFont="true" applyFill="true" applyBorder="true" applyAlignment="true">
      <alignment horizontal="center" vertical="center" wrapText="true"/>
    </xf>
    <xf numFmtId="0" fontId="6" fillId="4" borderId="1" xfId="0" applyNumberFormat="true" applyFont="true" applyFill="true" applyBorder="true" applyAlignment="true">
      <alignment horizontal="center" vertical="center" wrapText="true"/>
    </xf>
    <xf numFmtId="0" fontId="6" fillId="4" borderId="14" xfId="0" applyNumberFormat="true" applyFont="true" applyFill="true" applyBorder="true" applyAlignment="true">
      <alignment horizontal="center" vertical="center" wrapText="true"/>
    </xf>
    <xf numFmtId="0" fontId="6" fillId="4" borderId="15" xfId="0" applyNumberFormat="true" applyFont="true" applyFill="true" applyBorder="true" applyAlignment="true">
      <alignment horizontal="center" vertical="center" wrapText="true"/>
    </xf>
    <xf numFmtId="0" fontId="6" fillId="4" borderId="16" xfId="0" applyNumberFormat="true" applyFont="true" applyFill="true" applyBorder="true" applyAlignment="true">
      <alignment horizontal="center" vertical="center" wrapText="true"/>
    </xf>
    <xf numFmtId="0" fontId="6" fillId="4" borderId="17" xfId="0" applyNumberFormat="true" applyFont="true" applyFill="true" applyBorder="true" applyAlignment="true">
      <alignment horizontal="center" vertical="center" wrapText="true"/>
    </xf>
    <xf numFmtId="0" fontId="6" fillId="4" borderId="18" xfId="0" applyNumberFormat="true" applyFont="true" applyFill="true" applyBorder="true" applyAlignment="true">
      <alignment horizontal="center" vertical="center" wrapText="true"/>
    </xf>
    <xf numFmtId="0" fontId="6" fillId="4" borderId="19" xfId="0" applyNumberFormat="true" applyFont="true" applyFill="true" applyBorder="true" applyAlignment="true">
      <alignment horizontal="center" vertical="center" wrapText="true"/>
    </xf>
    <xf numFmtId="0" fontId="0" fillId="0" borderId="20" xfId="0" applyNumberFormat="true" applyFont="true" applyFill="true" applyBorder="true"/>
    <xf numFmtId="0" fontId="0" fillId="0" borderId="0" xfId="0" applyNumberFormat="true" applyFont="true" applyFill="true" applyBorder="true"/>
    <xf numFmtId="0" fontId="0" fillId="0" borderId="21" xfId="0" applyNumberFormat="true" applyFont="true" applyFill="true" applyBorder="true"/>
    <xf numFmtId="0" fontId="0" fillId="0" borderId="22" xfId="0" applyNumberFormat="true" applyFont="true" applyFill="true" applyBorder="true"/>
    <xf numFmtId="0" fontId="0" fillId="0" borderId="23" xfId="0" applyNumberFormat="true" applyFont="true" applyFill="true" applyBorder="true"/>
    <xf numFmtId="0" fontId="0" fillId="0" borderId="20" xfId="0" applyNumberFormat="true" applyFont="true" applyFill="true" applyBorder="true" applyAlignment="true">
      <alignment vertical="center"/>
    </xf>
    <xf numFmtId="0" fontId="0" fillId="0" borderId="0" xfId="0" applyNumberFormat="true" applyFont="true" applyFill="true" applyBorder="true" applyAlignment="true">
      <alignment vertical="center"/>
    </xf>
    <xf numFmtId="0" fontId="0" fillId="0" borderId="21" xfId="0" applyNumberFormat="true" applyFont="true" applyFill="true" applyBorder="true" applyAlignment="true">
      <alignment vertical="center"/>
    </xf>
    <xf numFmtId="0" fontId="0" fillId="0" borderId="22" xfId="0" applyNumberFormat="true" applyFont="true" applyFill="true" applyBorder="true" applyAlignment="true">
      <alignment vertical="center"/>
    </xf>
    <xf numFmtId="0" fontId="0" fillId="0" borderId="1" xfId="0" applyNumberFormat="true" applyFont="true" applyFill="true" applyBorder="true" applyAlignment="true">
      <alignment vertical="center"/>
    </xf>
    <xf numFmtId="0" fontId="0" fillId="0" borderId="23" xfId="0" applyNumberFormat="true" applyFont="true" applyFill="true" applyBorder="true" applyAlignment="true">
      <alignment vertical="center"/>
    </xf>
    <xf numFmtId="202" fontId="0" fillId="0" borderId="20" xfId="0" applyNumberFormat="true" applyFont="true" applyFill="true" applyBorder="true" applyAlignment="true">
      <alignment vertical="center"/>
    </xf>
    <xf numFmtId="202" fontId="0" fillId="0" borderId="0" xfId="0" applyNumberFormat="true" applyFont="true" applyFill="true" applyBorder="true" applyAlignment="true">
      <alignment vertical="center"/>
    </xf>
    <xf numFmtId="202" fontId="0" fillId="0" borderId="21" xfId="0" applyNumberFormat="true" applyFont="true" applyFill="true" applyBorder="true" applyAlignment="true">
      <alignment vertical="center"/>
    </xf>
    <xf numFmtId="202" fontId="0" fillId="0" borderId="22" xfId="0" applyNumberFormat="true" applyFont="true" applyFill="true" applyBorder="true" applyAlignment="true">
      <alignment vertical="center"/>
    </xf>
    <xf numFmtId="202" fontId="0" fillId="0" borderId="1" xfId="0" applyNumberFormat="true" applyFont="true" applyFill="true" applyBorder="true" applyAlignment="true">
      <alignment vertical="center"/>
    </xf>
    <xf numFmtId="202" fontId="0" fillId="0" borderId="23" xfId="0" applyNumberFormat="true" applyFont="true" applyFill="true" applyBorder="true" applyAlignment="true">
      <alignment vertical="center"/>
    </xf>
    <xf numFmtId="202" fontId="0" fillId="3" borderId="20" xfId="0" applyNumberFormat="true" applyFont="true" applyFill="true" applyBorder="true" applyAlignment="true">
      <alignment vertical="center"/>
    </xf>
    <xf numFmtId="202" fontId="0" fillId="3" borderId="0" xfId="0" applyNumberFormat="true" applyFont="true" applyFill="true" applyBorder="true" applyAlignment="true">
      <alignment vertical="center"/>
    </xf>
    <xf numFmtId="202" fontId="0" fillId="3" borderId="21" xfId="0" applyNumberFormat="true" applyFont="true" applyFill="true" applyBorder="true" applyAlignment="true">
      <alignment vertical="center"/>
    </xf>
    <xf numFmtId="202" fontId="0" fillId="3" borderId="22" xfId="0" applyNumberFormat="true" applyFont="true" applyFill="true" applyBorder="true" applyAlignment="true">
      <alignment vertical="center"/>
    </xf>
    <xf numFmtId="202" fontId="0" fillId="3" borderId="1" xfId="0" applyNumberFormat="true" applyFont="true" applyFill="true" applyBorder="true" applyAlignment="true">
      <alignment vertical="center"/>
    </xf>
    <xf numFmtId="202" fontId="0" fillId="3" borderId="23" xfId="0" applyNumberFormat="true" applyFont="true" applyFill="true" applyBorder="true" applyAlignment="true">
      <alignment vertical="center"/>
    </xf>
    <xf numFmtId="202" fontId="5" fillId="3" borderId="20" xfId="0" applyNumberFormat="true" applyFont="true" applyFill="true" applyBorder="true" applyAlignment="true">
      <alignment vertical="center"/>
    </xf>
    <xf numFmtId="202" fontId="5" fillId="3" borderId="0" xfId="0" applyNumberFormat="true" applyFont="true" applyFill="true" applyBorder="true" applyAlignment="true">
      <alignment vertical="center"/>
    </xf>
    <xf numFmtId="202" fontId="5" fillId="3" borderId="21" xfId="0" applyNumberFormat="true" applyFont="true" applyFill="true" applyBorder="true" applyAlignment="true">
      <alignment vertical="center"/>
    </xf>
    <xf numFmtId="202" fontId="5" fillId="3" borderId="22" xfId="0" applyNumberFormat="true" applyFont="true" applyFill="true" applyBorder="true" applyAlignment="true">
      <alignment vertical="center"/>
    </xf>
    <xf numFmtId="202" fontId="5" fillId="3" borderId="1" xfId="0" applyNumberFormat="true" applyFont="true" applyFill="true" applyBorder="true" applyAlignment="true">
      <alignment vertical="center"/>
    </xf>
    <xf numFmtId="202" fontId="5" fillId="3" borderId="23" xfId="0" applyNumberFormat="true" applyFont="true" applyFill="true" applyBorder="true" applyAlignment="true">
      <alignment vertical="center"/>
    </xf>
    <xf numFmtId="0" fontId="0" fillId="0" borderId="3" xfId="0" applyNumberFormat="true" applyFont="true" applyFill="true" applyBorder="true" applyAlignment="true">
      <alignment vertical="center" wrapText="true"/>
    </xf>
    <xf numFmtId="0" fontId="0" fillId="0" borderId="5" xfId="0" applyNumberFormat="true" applyFont="true" applyFill="true" applyBorder="true" applyAlignment="true">
      <alignment vertical="center" wrapText="true"/>
    </xf>
    <xf numFmtId="0" fontId="0" fillId="0" borderId="7" xfId="0" applyNumberFormat="true" applyFont="true" applyFill="true" applyBorder="true" applyAlignment="true">
      <alignment vertical="center" wrapText="true"/>
    </xf>
    <xf numFmtId="0" fontId="0" fillId="0" borderId="9" xfId="0" applyNumberFormat="true" applyFont="true" applyFill="true" applyBorder="true" applyAlignment="true">
      <alignment vertical="center" wrapText="true"/>
    </xf>
    <xf numFmtId="0" fontId="0" fillId="0" borderId="11" xfId="0" applyNumberFormat="true" applyFont="true" applyFill="true" applyBorder="true" applyAlignment="true">
      <alignment vertical="center" wrapText="true"/>
    </xf>
    <xf numFmtId="0" fontId="0" fillId="0" borderId="13" xfId="0" applyNumberFormat="true" applyFont="true" applyFill="true" applyBorder="true" applyAlignment="true">
      <alignment vertical="center" wrapText="true"/>
    </xf>
    <xf numFmtId="0" fontId="0" fillId="5" borderId="3" xfId="0" applyNumberFormat="true" applyFont="true" applyFill="true" applyBorder="true" applyAlignment="true">
      <alignment vertical="center"/>
    </xf>
    <xf numFmtId="0" fontId="0" fillId="5" borderId="5" xfId="0" applyNumberFormat="true" applyFont="true" applyFill="true" applyBorder="true" applyAlignment="true">
      <alignment vertical="center"/>
    </xf>
    <xf numFmtId="0" fontId="0" fillId="5" borderId="7" xfId="0" applyNumberFormat="true" applyFont="true" applyFill="true" applyBorder="true" applyAlignment="true">
      <alignment vertical="center"/>
    </xf>
    <xf numFmtId="0" fontId="0" fillId="5" borderId="9" xfId="0" applyNumberFormat="true" applyFont="true" applyFill="true" applyBorder="true" applyAlignment="true">
      <alignment vertical="center"/>
    </xf>
    <xf numFmtId="0" fontId="0" fillId="5" borderId="11" xfId="0" applyNumberFormat="true" applyFont="true" applyFill="true" applyBorder="true" applyAlignment="true">
      <alignment vertical="center"/>
    </xf>
    <xf numFmtId="0" fontId="0" fillId="5" borderId="13" xfId="0" applyNumberFormat="true" applyFont="true" applyFill="true" applyBorder="true" applyAlignment="true">
      <alignment vertical="center"/>
    </xf>
    <xf numFmtId="0" fontId="7" fillId="5" borderId="3" xfId="0" applyNumberFormat="true" applyFont="true" applyFill="true" applyBorder="true" applyAlignment="true">
      <alignment vertical="center"/>
    </xf>
    <xf numFmtId="0" fontId="7" fillId="5" borderId="5" xfId="0" applyNumberFormat="true" applyFont="true" applyFill="true" applyBorder="true" applyAlignment="true">
      <alignment vertical="center"/>
    </xf>
    <xf numFmtId="0" fontId="7" fillId="5" borderId="7" xfId="0" applyNumberFormat="true" applyFont="true" applyFill="true" applyBorder="true" applyAlignment="true">
      <alignment vertical="center"/>
    </xf>
    <xf numFmtId="0" fontId="7" fillId="5" borderId="9" xfId="0" applyNumberFormat="true" applyFont="true" applyFill="true" applyBorder="true" applyAlignment="true">
      <alignment vertical="center"/>
    </xf>
    <xf numFmtId="0" fontId="7" fillId="5" borderId="11" xfId="0" applyNumberFormat="true" applyFont="true" applyFill="true" applyBorder="true" applyAlignment="true">
      <alignment vertical="center"/>
    </xf>
    <xf numFmtId="0" fontId="7" fillId="5" borderId="13" xfId="0" applyNumberFormat="true" applyFont="true" applyFill="true" applyBorder="true" applyAlignment="true">
      <alignment vertical="center"/>
    </xf>
    <xf numFmtId="202" fontId="7" fillId="5" borderId="3" xfId="0" applyNumberFormat="true" applyFont="true" applyFill="true" applyBorder="true" applyAlignment="true">
      <alignment vertical="center"/>
    </xf>
    <xf numFmtId="202" fontId="7" fillId="5" borderId="5" xfId="0" applyNumberFormat="true" applyFont="true" applyFill="true" applyBorder="true" applyAlignment="true">
      <alignment vertical="center"/>
    </xf>
    <xf numFmtId="202" fontId="7" fillId="5" borderId="7" xfId="0" applyNumberFormat="true" applyFont="true" applyFill="true" applyBorder="true" applyAlignment="true">
      <alignment vertical="center"/>
    </xf>
    <xf numFmtId="202" fontId="7" fillId="5" borderId="9" xfId="0" applyNumberFormat="true" applyFont="true" applyFill="true" applyBorder="true" applyAlignment="true">
      <alignment vertical="center"/>
    </xf>
    <xf numFmtId="202" fontId="7" fillId="5" borderId="11" xfId="0" applyNumberFormat="true" applyFont="true" applyFill="true" applyBorder="true" applyAlignment="true">
      <alignment vertical="center"/>
    </xf>
    <xf numFmtId="202" fontId="7" fillId="5" borderId="13" xfId="0" applyNumberFormat="true" applyFont="true" applyFill="true" applyBorder="true" applyAlignment="true">
      <alignment vertical="center"/>
    </xf>
    <xf numFmtId="0" fontId="0" fillId="3" borderId="2" xfId="0" applyNumberFormat="true" applyFont="true" applyFill="true" applyBorder="true" applyAlignment="true">
      <alignment vertical="center"/>
    </xf>
    <xf numFmtId="0" fontId="0" fillId="3" borderId="20" xfId="0" applyNumberFormat="true" applyFont="true" applyFill="true" applyBorder="true" applyAlignment="true">
      <alignment vertical="center"/>
    </xf>
    <xf numFmtId="0" fontId="0" fillId="3" borderId="4" xfId="0" applyNumberFormat="true" applyFont="true" applyFill="true" applyBorder="true" applyAlignment="true">
      <alignment vertical="center"/>
    </xf>
    <xf numFmtId="0" fontId="0" fillId="3" borderId="0" xfId="0" applyNumberFormat="true" applyFont="true" applyFill="true" applyBorder="true" applyAlignment="true">
      <alignment vertical="center"/>
    </xf>
    <xf numFmtId="0" fontId="0" fillId="3" borderId="6" xfId="0" applyNumberFormat="true" applyFont="true" applyFill="true" applyBorder="true" applyAlignment="true">
      <alignment vertical="center"/>
    </xf>
    <xf numFmtId="0" fontId="0" fillId="3" borderId="21" xfId="0" applyNumberFormat="true" applyFont="true" applyFill="true" applyBorder="true" applyAlignment="true">
      <alignment vertical="center"/>
    </xf>
    <xf numFmtId="0" fontId="0" fillId="3" borderId="8" xfId="0" applyNumberFormat="true" applyFont="true" applyFill="true" applyBorder="true" applyAlignment="true">
      <alignment vertical="center"/>
    </xf>
    <xf numFmtId="0" fontId="0" fillId="3" borderId="22" xfId="0" applyNumberFormat="true" applyFont="true" applyFill="true" applyBorder="true" applyAlignment="true">
      <alignment vertical="center"/>
    </xf>
    <xf numFmtId="0" fontId="0" fillId="3" borderId="10" xfId="0" applyNumberFormat="true" applyFont="true" applyFill="true" applyBorder="true" applyAlignment="true">
      <alignment vertical="center"/>
    </xf>
    <xf numFmtId="0" fontId="0" fillId="3" borderId="1" xfId="0" applyNumberFormat="true" applyFont="true" applyFill="true" applyBorder="true" applyAlignment="true">
      <alignment vertical="center"/>
    </xf>
    <xf numFmtId="0" fontId="0" fillId="3" borderId="12" xfId="0" applyNumberFormat="true" applyFont="true" applyFill="true" applyBorder="true" applyAlignment="true">
      <alignment vertical="center"/>
    </xf>
    <xf numFmtId="0" fontId="0" fillId="3" borderId="23" xfId="0" applyNumberFormat="true" applyFont="true" applyFill="true" applyBorder="true" applyAlignment="true">
      <alignment vertical="center"/>
    </xf>
    <xf numFmtId="0" fontId="5" fillId="3" borderId="2" xfId="0" applyNumberFormat="true" applyFont="true" applyFill="true" applyBorder="true" applyAlignment="true">
      <alignment vertical="center"/>
    </xf>
    <xf numFmtId="0" fontId="5" fillId="3" borderId="20" xfId="0" applyNumberFormat="true" applyFont="true" applyFill="true" applyBorder="true" applyAlignment="true">
      <alignment vertical="center"/>
    </xf>
    <xf numFmtId="0" fontId="5" fillId="3" borderId="4" xfId="0" applyNumberFormat="true" applyFont="true" applyFill="true" applyBorder="true" applyAlignment="true">
      <alignment vertical="center"/>
    </xf>
    <xf numFmtId="0" fontId="5" fillId="3" borderId="0" xfId="0" applyNumberFormat="true" applyFont="true" applyFill="true" applyBorder="true" applyAlignment="true">
      <alignment vertical="center"/>
    </xf>
    <xf numFmtId="0" fontId="5" fillId="3" borderId="6" xfId="0" applyNumberFormat="true" applyFont="true" applyFill="true" applyBorder="true" applyAlignment="true">
      <alignment vertical="center"/>
    </xf>
    <xf numFmtId="0" fontId="5" fillId="3" borderId="21" xfId="0" applyNumberFormat="true" applyFont="true" applyFill="true" applyBorder="true" applyAlignment="true">
      <alignment vertical="center"/>
    </xf>
    <xf numFmtId="0" fontId="5" fillId="3" borderId="8" xfId="0" applyNumberFormat="true" applyFont="true" applyFill="true" applyBorder="true" applyAlignment="true">
      <alignment vertical="center"/>
    </xf>
    <xf numFmtId="0" fontId="5" fillId="3" borderId="22" xfId="0" applyNumberFormat="true" applyFont="true" applyFill="true" applyBorder="true" applyAlignment="true">
      <alignment vertical="center"/>
    </xf>
    <xf numFmtId="0" fontId="5" fillId="3" borderId="10" xfId="0" applyNumberFormat="true" applyFont="true" applyFill="true" applyBorder="true" applyAlignment="true">
      <alignment vertical="center"/>
    </xf>
    <xf numFmtId="0" fontId="5" fillId="3" borderId="1" xfId="0" applyNumberFormat="true" applyFont="true" applyFill="true" applyBorder="true" applyAlignment="true">
      <alignment vertical="center"/>
    </xf>
    <xf numFmtId="0" fontId="5" fillId="3" borderId="12" xfId="0" applyNumberFormat="true" applyFont="true" applyFill="true" applyBorder="true" applyAlignment="true">
      <alignment vertical="center"/>
    </xf>
    <xf numFmtId="0" fontId="5" fillId="3" borderId="23" xfId="0" applyNumberFormat="true" applyFont="true" applyFill="true" applyBorder="true" applyAlignment="true">
      <alignment vertical="center"/>
    </xf>
    <xf numFmtId="201" fontId="5" fillId="3" borderId="20" xfId="0" applyNumberFormat="true" applyFont="true" applyFill="true" applyBorder="true" applyAlignment="true">
      <alignment vertical="center"/>
    </xf>
    <xf numFmtId="201" fontId="5" fillId="3" borderId="0" xfId="0" applyNumberFormat="true" applyFont="true" applyFill="true" applyBorder="true" applyAlignment="true">
      <alignment vertical="center"/>
    </xf>
    <xf numFmtId="201" fontId="5" fillId="3" borderId="21" xfId="0" applyNumberFormat="true" applyFont="true" applyFill="true" applyBorder="true" applyAlignment="true">
      <alignment vertical="center"/>
    </xf>
    <xf numFmtId="201" fontId="5" fillId="3" borderId="22" xfId="0" applyNumberFormat="true" applyFont="true" applyFill="true" applyBorder="true" applyAlignment="true">
      <alignment vertical="center"/>
    </xf>
    <xf numFmtId="201" fontId="5" fillId="3" borderId="1" xfId="0" applyNumberFormat="true" applyFont="true" applyFill="true" applyBorder="true" applyAlignment="true">
      <alignment vertical="center"/>
    </xf>
    <xf numFmtId="201" fontId="5" fillId="3" borderId="23" xfId="0" applyNumberFormat="true" applyFont="true" applyFill="true" applyBorder="true" applyAlignment="true">
      <alignment vertical="center"/>
    </xf>
    <xf numFmtId="201" fontId="7" fillId="5" borderId="3" xfId="0" applyNumberFormat="true" applyFont="true" applyFill="true" applyBorder="true" applyAlignment="true">
      <alignment vertical="center"/>
    </xf>
    <xf numFmtId="201" fontId="7" fillId="5" borderId="5" xfId="0" applyNumberFormat="true" applyFont="true" applyFill="true" applyBorder="true" applyAlignment="true">
      <alignment vertical="center"/>
    </xf>
    <xf numFmtId="201" fontId="7" fillId="5" borderId="7" xfId="0" applyNumberFormat="true" applyFont="true" applyFill="true" applyBorder="true" applyAlignment="true">
      <alignment vertical="center"/>
    </xf>
    <xf numFmtId="201" fontId="7" fillId="5" borderId="9" xfId="0" applyNumberFormat="true" applyFont="true" applyFill="true" applyBorder="true" applyAlignment="true">
      <alignment vertical="center"/>
    </xf>
    <xf numFmtId="201" fontId="7" fillId="5" borderId="11" xfId="0" applyNumberFormat="true" applyFont="true" applyFill="true" applyBorder="true" applyAlignment="true">
      <alignment vertical="center"/>
    </xf>
    <xf numFmtId="201" fontId="7" fillId="5" borderId="13" xfId="0" applyNumberFormat="true" applyFont="true" applyFill="true" applyBorder="true" applyAlignment="true">
      <alignment vertical="center"/>
    </xf>
    <xf numFmtId="0" fontId="5" fillId="3" borderId="20" xfId="0" applyNumberFormat="true" applyFont="true" applyFill="true" applyBorder="true" applyAlignment="true">
      <alignment vertical="center" wrapText="true"/>
    </xf>
    <xf numFmtId="0" fontId="5" fillId="3" borderId="0" xfId="0" applyNumberFormat="true" applyFont="true" applyFill="true" applyBorder="true" applyAlignment="true">
      <alignment vertical="center" wrapText="true"/>
    </xf>
    <xf numFmtId="0" fontId="5" fillId="3" borderId="21" xfId="0" applyNumberFormat="true" applyFont="true" applyFill="true" applyBorder="true" applyAlignment="true">
      <alignment vertical="center" wrapText="true"/>
    </xf>
    <xf numFmtId="0" fontId="5" fillId="3" borderId="22" xfId="0" applyNumberFormat="true" applyFont="true" applyFill="true" applyBorder="true" applyAlignment="true">
      <alignment vertical="center" wrapText="true"/>
    </xf>
    <xf numFmtId="0" fontId="5" fillId="3" borderId="1" xfId="0" applyNumberFormat="true" applyFont="true" applyFill="true" applyBorder="true" applyAlignment="true">
      <alignment vertical="center" wrapText="true"/>
    </xf>
    <xf numFmtId="0" fontId="5" fillId="3" borderId="23" xfId="0" applyNumberFormat="true" applyFont="true" applyFill="true" applyBorder="true" applyAlignment="true">
      <alignment vertical="center" wrapText="true"/>
    </xf>
    <xf numFmtId="0" fontId="0" fillId="0" borderId="14" xfId="0" applyNumberFormat="true" applyFont="true" applyFill="true" applyBorder="true"/>
    <xf numFmtId="0" fontId="0" fillId="0" borderId="15" xfId="0" applyNumberFormat="true" applyFont="true" applyFill="true" applyBorder="true"/>
    <xf numFmtId="0" fontId="0" fillId="0" borderId="16" xfId="0" applyNumberFormat="true" applyFont="true" applyFill="true" applyBorder="true"/>
    <xf numFmtId="0" fontId="0" fillId="0" borderId="17" xfId="0" applyNumberFormat="true" applyFont="true" applyFill="true" applyBorder="true"/>
    <xf numFmtId="0" fontId="0" fillId="0" borderId="18" xfId="0" applyNumberFormat="true" applyFont="true" applyFill="true" applyBorder="true"/>
    <xf numFmtId="0" fontId="0" fillId="0" borderId="19" xfId="0" applyNumberFormat="true" applyFont="true" applyFill="true" applyBorder="true"/>
    <xf numFmtId="0" fontId="0" fillId="0" borderId="14" xfId="0" applyNumberFormat="true" applyFont="true" applyFill="true" applyBorder="true" applyAlignment="true">
      <alignment vertical="center"/>
    </xf>
    <xf numFmtId="0" fontId="0" fillId="0" borderId="15" xfId="0" applyNumberFormat="true" applyFont="true" applyFill="true" applyBorder="true" applyAlignment="true">
      <alignment vertical="center"/>
    </xf>
    <xf numFmtId="0" fontId="0" fillId="0" borderId="16" xfId="0" applyNumberFormat="true" applyFont="true" applyFill="true" applyBorder="true" applyAlignment="true">
      <alignment vertical="center"/>
    </xf>
    <xf numFmtId="0" fontId="0" fillId="0" borderId="17" xfId="0" applyNumberFormat="true" applyFont="true" applyFill="true" applyBorder="true" applyAlignment="true">
      <alignment vertical="center"/>
    </xf>
    <xf numFmtId="0" fontId="0" fillId="0" borderId="18" xfId="0" applyNumberFormat="true" applyFont="true" applyFill="true" applyBorder="true" applyAlignment="true">
      <alignment vertical="center"/>
    </xf>
    <xf numFmtId="0" fontId="0" fillId="0" borderId="19" xfId="0" applyNumberFormat="true" applyFont="true" applyFill="true" applyBorder="true" applyAlignment="true">
      <alignment vertical="center"/>
    </xf>
    <xf numFmtId="0" fontId="0" fillId="6" borderId="14" xfId="0" applyNumberFormat="true" applyFont="true" applyFill="true" applyBorder="true" applyAlignment="true">
      <alignment vertical="center"/>
    </xf>
    <xf numFmtId="0" fontId="0" fillId="6" borderId="15" xfId="0" applyNumberFormat="true" applyFont="true" applyFill="true" applyBorder="true" applyAlignment="true">
      <alignment vertical="center"/>
    </xf>
    <xf numFmtId="0" fontId="0" fillId="6" borderId="16" xfId="0" applyNumberFormat="true" applyFont="true" applyFill="true" applyBorder="true" applyAlignment="true">
      <alignment vertical="center"/>
    </xf>
    <xf numFmtId="0" fontId="0" fillId="6" borderId="17" xfId="0" applyNumberFormat="true" applyFont="true" applyFill="true" applyBorder="true" applyAlignment="true">
      <alignment vertical="center"/>
    </xf>
    <xf numFmtId="0" fontId="0" fillId="6" borderId="18" xfId="0" applyNumberFormat="true" applyFont="true" applyFill="true" applyBorder="true" applyAlignment="true">
      <alignment vertical="center"/>
    </xf>
    <xf numFmtId="0" fontId="0" fillId="6" borderId="19" xfId="0" applyNumberFormat="true" applyFont="true" applyFill="true" applyBorder="true" applyAlignment="true">
      <alignment vertical="center"/>
    </xf>
    <xf numFmtId="0" fontId="6" fillId="6" borderId="14" xfId="0" applyNumberFormat="true" applyFont="true" applyFill="true" applyBorder="true" applyAlignment="true">
      <alignment vertical="center"/>
    </xf>
    <xf numFmtId="0" fontId="6" fillId="6" borderId="15" xfId="0" applyNumberFormat="true" applyFont="true" applyFill="true" applyBorder="true" applyAlignment="true">
      <alignment vertical="center"/>
    </xf>
    <xf numFmtId="0" fontId="6" fillId="6" borderId="16" xfId="0" applyNumberFormat="true" applyFont="true" applyFill="true" applyBorder="true" applyAlignment="true">
      <alignment vertical="center"/>
    </xf>
    <xf numFmtId="0" fontId="6" fillId="6" borderId="17" xfId="0" applyNumberFormat="true" applyFont="true" applyFill="true" applyBorder="true" applyAlignment="true">
      <alignment vertical="center"/>
    </xf>
    <xf numFmtId="0" fontId="6" fillId="6" borderId="18" xfId="0" applyNumberFormat="true" applyFont="true" applyFill="true" applyBorder="true" applyAlignment="true">
      <alignment vertical="center"/>
    </xf>
    <xf numFmtId="0" fontId="6" fillId="6" borderId="19" xfId="0" applyNumberFormat="true" applyFont="true" applyFill="true" applyBorder="true" applyAlignment="true">
      <alignment vertical="center"/>
    </xf>
    <xf numFmtId="201" fontId="6" fillId="6" borderId="15" xfId="0" applyNumberFormat="true" applyFont="true" applyFill="true" applyBorder="true" applyAlignment="true">
      <alignment vertical="center"/>
    </xf>
    <xf numFmtId="201" fontId="6" fillId="6" borderId="16" xfId="0" applyNumberFormat="true" applyFont="true" applyFill="true" applyBorder="true" applyAlignment="true">
      <alignment vertical="center"/>
    </xf>
    <xf numFmtId="201" fontId="6" fillId="6" borderId="18" xfId="0" applyNumberFormat="true" applyFont="true" applyFill="true" applyBorder="true" applyAlignment="true">
      <alignment vertical="center"/>
    </xf>
    <xf numFmtId="201" fontId="6" fillId="6" borderId="19" xfId="0" applyNumberFormat="true" applyFont="true" applyFill="true" applyBorder="true" applyAlignment="true">
      <alignment vertical="center"/>
    </xf>
    <xf numFmtId="0" fontId="6" fillId="4" borderId="2" xfId="0" applyNumberFormat="true" applyFont="true" applyFill="true" applyBorder="true" applyAlignment="true">
      <alignment horizontal="center" vertical="center" wrapText="true"/>
    </xf>
    <xf numFmtId="0" fontId="6" fillId="4" borderId="3" xfId="0" applyNumberFormat="true" applyFont="true" applyFill="true" applyBorder="true" applyAlignment="true">
      <alignment horizontal="center" vertical="center" wrapText="true"/>
    </xf>
    <xf numFmtId="0" fontId="6" fillId="4" borderId="6" xfId="0" applyNumberFormat="true" applyFont="true" applyFill="true" applyBorder="true" applyAlignment="true">
      <alignment horizontal="center" vertical="center" wrapText="true"/>
    </xf>
    <xf numFmtId="0" fontId="6" fillId="4" borderId="7" xfId="0" applyNumberFormat="true" applyFont="true" applyFill="true" applyBorder="true" applyAlignment="true">
      <alignment horizontal="center" vertical="center" wrapText="true"/>
    </xf>
    <xf numFmtId="0" fontId="6" fillId="4" borderId="8" xfId="0" applyNumberFormat="true" applyFont="true" applyFill="true" applyBorder="true" applyAlignment="true">
      <alignment horizontal="center" vertical="center" wrapText="true"/>
    </xf>
    <xf numFmtId="0" fontId="6" fillId="4" borderId="9" xfId="0" applyNumberFormat="true" applyFont="true" applyFill="true" applyBorder="true" applyAlignment="true">
      <alignment horizontal="center" vertical="center" wrapText="true"/>
    </xf>
    <xf numFmtId="0" fontId="6" fillId="4" borderId="12" xfId="0" applyNumberFormat="true" applyFont="true" applyFill="true" applyBorder="true" applyAlignment="true">
      <alignment horizontal="center" vertical="center" wrapText="true"/>
    </xf>
    <xf numFmtId="0" fontId="6" fillId="4" borderId="13" xfId="0" applyNumberFormat="true" applyFont="true" applyFill="true" applyBorder="true" applyAlignment="true">
      <alignment horizontal="center" vertical="center" wrapText="true"/>
    </xf>
    <xf numFmtId="204" fontId="0" fillId="0" borderId="0" xfId="0" applyNumberFormat="true" applyFont="true" applyFill="true" applyBorder="true"/>
    <xf numFmtId="204" fontId="0" fillId="0" borderId="1" xfId="0" applyNumberFormat="true" applyFont="true" applyFill="true" applyBorder="true"/>
    <xf numFmtId="204" fontId="0" fillId="7" borderId="0" xfId="0" applyNumberFormat="true" applyFont="true" applyFill="true" applyBorder="true"/>
    <xf numFmtId="204" fontId="0" fillId="7" borderId="1" xfId="0" applyNumberFormat="true" applyFont="true" applyFill="true" applyBorder="true"/>
    <xf numFmtId="204" fontId="8" fillId="7" borderId="0" xfId="0" applyNumberFormat="true" applyFont="true" applyFill="true" applyBorder="true"/>
    <xf numFmtId="204" fontId="8" fillId="7" borderId="1" xfId="0" applyNumberFormat="true" applyFont="true" applyFill="true" applyBorder="true"/>
    <xf numFmtId="0" fontId="0" fillId="6" borderId="0" xfId="0" applyNumberFormat="true" applyFont="true" applyFill="true" applyBorder="true"/>
    <xf numFmtId="0" fontId="0" fillId="6" borderId="1" xfId="0" applyNumberFormat="true" applyFont="true" applyFill="true" applyBorder="true"/>
    <xf numFmtId="0" fontId="9" fillId="6" borderId="0" xfId="0" applyNumberFormat="true" applyFont="true" applyFill="true" applyBorder="true"/>
    <xf numFmtId="0" fontId="9" fillId="6" borderId="1" xfId="0" applyNumberFormat="true" applyFont="true" applyFill="true" applyBorder="true"/>
    <xf numFmtId="204" fontId="8" fillId="7" borderId="0" xfId="0" applyNumberFormat="true" applyFont="true" applyFill="true" applyBorder="true" applyAlignment="true">
      <alignment horizontal="center"/>
    </xf>
    <xf numFmtId="0" fontId="9" fillId="6" borderId="0" xfId="0" applyNumberFormat="true" applyFont="true" applyFill="true" applyBorder="true" applyAlignment="true">
      <alignment horizontal="center"/>
    </xf>
    <xf numFmtId="204" fontId="8" fillId="7" borderId="1" xfId="0" applyNumberFormat="true" applyFont="true" applyFill="true" applyBorder="true" applyAlignment="true">
      <alignment horizontal="center"/>
    </xf>
    <xf numFmtId="0" fontId="9" fillId="6" borderId="1" xfId="0" applyNumberFormat="true" applyFont="true" applyFill="true" applyBorder="true" applyAlignment="true">
      <alignment horizontal="center"/>
    </xf>
    <xf numFmtId="204" fontId="8" fillId="7" borderId="2" xfId="0" applyNumberFormat="true" applyFont="true" applyFill="true" applyBorder="true" applyAlignment="true">
      <alignment horizontal="center"/>
    </xf>
    <xf numFmtId="204" fontId="8" fillId="7" borderId="20" xfId="0" applyNumberFormat="true" applyFont="true" applyFill="true" applyBorder="true" applyAlignment="true">
      <alignment horizontal="center"/>
    </xf>
    <xf numFmtId="204" fontId="8" fillId="7" borderId="3" xfId="0" applyNumberFormat="true" applyFont="true" applyFill="true" applyBorder="true" applyAlignment="true">
      <alignment horizontal="center"/>
    </xf>
    <xf numFmtId="0" fontId="9" fillId="6" borderId="6" xfId="0" applyNumberFormat="true" applyFont="true" applyFill="true" applyBorder="true" applyAlignment="true">
      <alignment horizontal="center"/>
    </xf>
    <xf numFmtId="0" fontId="9" fillId="6" borderId="21" xfId="0" applyNumberFormat="true" applyFont="true" applyFill="true" applyBorder="true" applyAlignment="true">
      <alignment horizontal="center"/>
    </xf>
    <xf numFmtId="0" fontId="9" fillId="6" borderId="7" xfId="0" applyNumberFormat="true" applyFont="true" applyFill="true" applyBorder="true" applyAlignment="true">
      <alignment horizontal="center"/>
    </xf>
    <xf numFmtId="204" fontId="8" fillId="7" borderId="8" xfId="0" applyNumberFormat="true" applyFont="true" applyFill="true" applyBorder="true" applyAlignment="true">
      <alignment horizontal="center"/>
    </xf>
    <xf numFmtId="204" fontId="8" fillId="7" borderId="22" xfId="0" applyNumberFormat="true" applyFont="true" applyFill="true" applyBorder="true" applyAlignment="true">
      <alignment horizontal="center"/>
    </xf>
    <xf numFmtId="204" fontId="8" fillId="7" borderId="9" xfId="0" applyNumberFormat="true" applyFont="true" applyFill="true" applyBorder="true" applyAlignment="true">
      <alignment horizontal="center"/>
    </xf>
    <xf numFmtId="0" fontId="9" fillId="6" borderId="12" xfId="0" applyNumberFormat="true" applyFont="true" applyFill="true" applyBorder="true" applyAlignment="true">
      <alignment horizontal="center"/>
    </xf>
    <xf numFmtId="0" fontId="9" fillId="6" borderId="23" xfId="0" applyNumberFormat="true" applyFont="true" applyFill="true" applyBorder="true" applyAlignment="true">
      <alignment horizontal="center"/>
    </xf>
    <xf numFmtId="0" fontId="9" fillId="6" borderId="13" xfId="0" applyNumberFormat="true" applyFont="true" applyFill="true" applyBorder="true" applyAlignment="true">
      <alignment horizontal="center"/>
    </xf>
    <xf numFmtId="0" fontId="0" fillId="6" borderId="4" xfId="0" applyNumberFormat="true" applyFont="true" applyFill="true" applyBorder="true" applyAlignment="true">
      <alignment vertical="center"/>
    </xf>
    <xf numFmtId="0" fontId="0" fillId="6" borderId="0" xfId="0" applyNumberFormat="true" applyFont="true" applyFill="true" applyBorder="true" applyAlignment="true">
      <alignment vertical="center"/>
    </xf>
    <xf numFmtId="0" fontId="0" fillId="6" borderId="5" xfId="0" applyNumberFormat="true" applyFont="true" applyFill="true" applyBorder="true" applyAlignment="true">
      <alignment vertical="center"/>
    </xf>
    <xf numFmtId="0" fontId="0" fillId="6" borderId="10" xfId="0" applyNumberFormat="true" applyFont="true" applyFill="true" applyBorder="true" applyAlignment="true">
      <alignment vertical="center"/>
    </xf>
    <xf numFmtId="0" fontId="0" fillId="6" borderId="1" xfId="0" applyNumberFormat="true" applyFont="true" applyFill="true" applyBorder="true" applyAlignment="true">
      <alignment vertical="center"/>
    </xf>
    <xf numFmtId="0" fontId="0" fillId="6" borderId="11" xfId="0" applyNumberFormat="true" applyFont="true" applyFill="true" applyBorder="true" applyAlignment="true">
      <alignment vertical="center"/>
    </xf>
    <xf numFmtId="0" fontId="0" fillId="6" borderId="6" xfId="0" applyNumberFormat="true" applyFont="true" applyFill="true" applyBorder="true" applyAlignment="true">
      <alignment vertical="center"/>
    </xf>
    <xf numFmtId="0" fontId="0" fillId="6" borderId="21" xfId="0" applyNumberFormat="true" applyFont="true" applyFill="true" applyBorder="true" applyAlignment="true">
      <alignment vertical="center"/>
    </xf>
    <xf numFmtId="0" fontId="0" fillId="6" borderId="7" xfId="0" applyNumberFormat="true" applyFont="true" applyFill="true" applyBorder="true" applyAlignment="true">
      <alignment vertical="center"/>
    </xf>
    <xf numFmtId="0" fontId="0" fillId="6" borderId="12" xfId="0" applyNumberFormat="true" applyFont="true" applyFill="true" applyBorder="true" applyAlignment="true">
      <alignment vertical="center"/>
    </xf>
    <xf numFmtId="0" fontId="0" fillId="6" borderId="23" xfId="0" applyNumberFormat="true" applyFont="true" applyFill="true" applyBorder="true" applyAlignment="true">
      <alignment vertical="center"/>
    </xf>
    <xf numFmtId="0" fontId="0" fillId="6" borderId="13" xfId="0" applyNumberFormat="true" applyFont="true" applyFill="true" applyBorder="true" applyAlignment="true">
      <alignment vertical="center"/>
    </xf>
    <xf numFmtId="201" fontId="0" fillId="0" borderId="20" xfId="0" applyNumberFormat="true" applyFont="true" applyFill="true" applyBorder="true" applyAlignment="true">
      <alignment vertical="center"/>
    </xf>
    <xf numFmtId="201" fontId="0" fillId="0" borderId="3" xfId="0" applyNumberFormat="true" applyFont="true" applyFill="true" applyBorder="true" applyAlignment="true">
      <alignment vertical="center"/>
    </xf>
    <xf numFmtId="201" fontId="0" fillId="0" borderId="0" xfId="0" applyNumberFormat="true" applyFont="true" applyFill="true" applyBorder="true" applyAlignment="true">
      <alignment vertical="center"/>
    </xf>
    <xf numFmtId="201" fontId="0" fillId="0" borderId="5" xfId="0" applyNumberFormat="true" applyFont="true" applyFill="true" applyBorder="true" applyAlignment="true">
      <alignment vertical="center"/>
    </xf>
    <xf numFmtId="201" fontId="0" fillId="6" borderId="0" xfId="0" applyNumberFormat="true" applyFont="true" applyFill="true" applyBorder="true" applyAlignment="true">
      <alignment vertical="center"/>
    </xf>
    <xf numFmtId="201" fontId="0" fillId="6" borderId="5" xfId="0" applyNumberFormat="true" applyFont="true" applyFill="true" applyBorder="true" applyAlignment="true">
      <alignment vertical="center"/>
    </xf>
    <xf numFmtId="201" fontId="0" fillId="0" borderId="22" xfId="0" applyNumberFormat="true" applyFont="true" applyFill="true" applyBorder="true" applyAlignment="true">
      <alignment vertical="center"/>
    </xf>
    <xf numFmtId="201" fontId="0" fillId="0" borderId="9" xfId="0" applyNumberFormat="true" applyFont="true" applyFill="true" applyBorder="true" applyAlignment="true">
      <alignment vertical="center"/>
    </xf>
    <xf numFmtId="201" fontId="0" fillId="0" borderId="1" xfId="0" applyNumberFormat="true" applyFont="true" applyFill="true" applyBorder="true" applyAlignment="true">
      <alignment vertical="center"/>
    </xf>
    <xf numFmtId="201" fontId="0" fillId="0" borderId="11" xfId="0" applyNumberFormat="true" applyFont="true" applyFill="true" applyBorder="true" applyAlignment="true">
      <alignment vertical="center"/>
    </xf>
    <xf numFmtId="201" fontId="0" fillId="6" borderId="1" xfId="0" applyNumberFormat="true" applyFont="true" applyFill="true" applyBorder="true" applyAlignment="true">
      <alignment vertical="center"/>
    </xf>
    <xf numFmtId="201" fontId="0" fillId="6" borderId="11" xfId="0" applyNumberFormat="true" applyFont="true" applyFill="true" applyBorder="true" applyAlignment="true">
      <alignment vertical="center"/>
    </xf>
    <xf numFmtId="202" fontId="0" fillId="6" borderId="21" xfId="0" applyNumberFormat="true" applyFont="true" applyFill="true" applyBorder="true" applyAlignment="true">
      <alignment vertical="center"/>
    </xf>
    <xf numFmtId="202" fontId="0" fillId="6" borderId="7" xfId="0" applyNumberFormat="true" applyFont="true" applyFill="true" applyBorder="true" applyAlignment="true">
      <alignment vertical="center"/>
    </xf>
    <xf numFmtId="202" fontId="0" fillId="6" borderId="23" xfId="0" applyNumberFormat="true" applyFont="true" applyFill="true" applyBorder="true" applyAlignment="true">
      <alignment vertical="center"/>
    </xf>
    <xf numFmtId="202" fontId="0" fillId="6" borderId="13" xfId="0" applyNumberFormat="true" applyFont="true" applyFill="true" applyBorder="true" applyAlignment="true">
      <alignment vertical="center"/>
    </xf>
    <xf numFmtId="0" fontId="6" fillId="6" borderId="4" xfId="0" applyNumberFormat="true" applyFont="true" applyFill="true" applyBorder="true" applyAlignment="true">
      <alignment vertical="center"/>
    </xf>
    <xf numFmtId="0" fontId="6" fillId="6" borderId="10" xfId="0" applyNumberFormat="true" applyFont="true" applyFill="true" applyBorder="true" applyAlignment="true">
      <alignment vertical="center"/>
    </xf>
    <xf numFmtId="0" fontId="6" fillId="6" borderId="6" xfId="0" applyNumberFormat="true" applyFont="true" applyFill="true" applyBorder="true" applyAlignment="true">
      <alignment vertical="center"/>
    </xf>
    <xf numFmtId="0" fontId="6" fillId="6" borderId="12" xfId="0" applyNumberFormat="true" applyFont="true" applyFill="true" applyBorder="true" applyAlignment="true">
      <alignment vertical="center"/>
    </xf>
    <xf numFmtId="205" fontId="5" fillId="3" borderId="20" xfId="0" applyNumberFormat="true" applyFont="true" applyFill="true" applyBorder="true" applyAlignment="true">
      <alignment vertical="center"/>
    </xf>
    <xf numFmtId="205" fontId="5" fillId="3" borderId="0" xfId="0" applyNumberFormat="true" applyFont="true" applyFill="true" applyBorder="true" applyAlignment="true">
      <alignment vertical="center"/>
    </xf>
    <xf numFmtId="205" fontId="5" fillId="3" borderId="21" xfId="0" applyNumberFormat="true" applyFont="true" applyFill="true" applyBorder="true" applyAlignment="true">
      <alignment vertical="center"/>
    </xf>
    <xf numFmtId="205" fontId="5" fillId="3" borderId="22" xfId="0" applyNumberFormat="true" applyFont="true" applyFill="true" applyBorder="true" applyAlignment="true">
      <alignment vertical="center"/>
    </xf>
    <xf numFmtId="205" fontId="5" fillId="3" borderId="1" xfId="0" applyNumberFormat="true" applyFont="true" applyFill="true" applyBorder="true" applyAlignment="true">
      <alignment vertical="center"/>
    </xf>
    <xf numFmtId="205" fontId="5" fillId="3" borderId="23" xfId="0" applyNumberFormat="true" applyFont="true" applyFill="true" applyBorder="true" applyAlignment="true">
      <alignment vertical="center"/>
    </xf>
    <xf numFmtId="203" fontId="5" fillId="3" borderId="20" xfId="0" applyNumberFormat="true" applyFont="true" applyFill="true" applyBorder="true" applyAlignment="true">
      <alignment vertical="center"/>
    </xf>
    <xf numFmtId="203" fontId="5" fillId="3" borderId="0" xfId="0" applyNumberFormat="true" applyFont="true" applyFill="true" applyBorder="true" applyAlignment="true">
      <alignment vertical="center"/>
    </xf>
    <xf numFmtId="203" fontId="5" fillId="3" borderId="21" xfId="0" applyNumberFormat="true" applyFont="true" applyFill="true" applyBorder="true" applyAlignment="true">
      <alignment vertical="center"/>
    </xf>
    <xf numFmtId="203" fontId="5" fillId="3" borderId="22" xfId="0" applyNumberFormat="true" applyFont="true" applyFill="true" applyBorder="true" applyAlignment="true">
      <alignment vertical="center"/>
    </xf>
    <xf numFmtId="203" fontId="5" fillId="3" borderId="1" xfId="0" applyNumberFormat="true" applyFont="true" applyFill="true" applyBorder="true" applyAlignment="true">
      <alignment vertical="center"/>
    </xf>
    <xf numFmtId="203" fontId="5" fillId="3" borderId="23" xfId="0" applyNumberFormat="true" applyFont="true" applyFill="true" applyBorder="true" applyAlignment="true">
      <alignment vertical="center"/>
    </xf>
    <xf numFmtId="205" fontId="6" fillId="6" borderId="15" xfId="0" applyNumberFormat="true" applyFont="true" applyFill="true" applyBorder="true" applyAlignment="true">
      <alignment vertical="center"/>
    </xf>
    <xf numFmtId="205" fontId="6" fillId="6" borderId="18" xfId="0" applyNumberFormat="true" applyFont="true" applyFill="true" applyBorder="true" applyAlignment="true">
      <alignment vertical="center"/>
    </xf>
    <xf numFmtId="204" fontId="8" fillId="7" borderId="2" xfId="0" applyNumberFormat="true" applyFont="true" applyFill="true" applyBorder="true" applyAlignment="true">
      <alignment horizontal="center" vertical="center"/>
    </xf>
    <xf numFmtId="204" fontId="8" fillId="7" borderId="20" xfId="0" applyNumberFormat="true" applyFont="true" applyFill="true" applyBorder="true" applyAlignment="true">
      <alignment horizontal="center" vertical="center"/>
    </xf>
    <xf numFmtId="204" fontId="8" fillId="7" borderId="3" xfId="0" applyNumberFormat="true" applyFont="true" applyFill="true" applyBorder="true" applyAlignment="true">
      <alignment horizontal="center" vertical="center"/>
    </xf>
    <xf numFmtId="0" fontId="9" fillId="6" borderId="6" xfId="0" applyNumberFormat="true" applyFont="true" applyFill="true" applyBorder="true" applyAlignment="true">
      <alignment horizontal="center" vertical="center"/>
    </xf>
    <xf numFmtId="0" fontId="9" fillId="6" borderId="21" xfId="0" applyNumberFormat="true" applyFont="true" applyFill="true" applyBorder="true" applyAlignment="true">
      <alignment horizontal="center" vertical="center"/>
    </xf>
    <xf numFmtId="0" fontId="9" fillId="6" borderId="7" xfId="0" applyNumberFormat="true" applyFont="true" applyFill="true" applyBorder="true" applyAlignment="true">
      <alignment horizontal="center" vertical="center"/>
    </xf>
    <xf numFmtId="204" fontId="8" fillId="7" borderId="8" xfId="0" applyNumberFormat="true" applyFont="true" applyFill="true" applyBorder="true" applyAlignment="true">
      <alignment horizontal="center" vertical="center"/>
    </xf>
    <xf numFmtId="204" fontId="8" fillId="7" borderId="22" xfId="0" applyNumberFormat="true" applyFont="true" applyFill="true" applyBorder="true" applyAlignment="true">
      <alignment horizontal="center" vertical="center"/>
    </xf>
    <xf numFmtId="204" fontId="8" fillId="7" borderId="9" xfId="0" applyNumberFormat="true" applyFont="true" applyFill="true" applyBorder="true" applyAlignment="true">
      <alignment horizontal="center" vertical="center"/>
    </xf>
    <xf numFmtId="0" fontId="9" fillId="6" borderId="12" xfId="0" applyNumberFormat="true" applyFont="true" applyFill="true" applyBorder="true" applyAlignment="true">
      <alignment horizontal="center" vertical="center"/>
    </xf>
    <xf numFmtId="0" fontId="9" fillId="6" borderId="23" xfId="0" applyNumberFormat="true" applyFont="true" applyFill="true" applyBorder="true" applyAlignment="true">
      <alignment horizontal="center" vertical="center"/>
    </xf>
    <xf numFmtId="0" fontId="9" fillId="6" borderId="13" xfId="0" applyNumberFormat="true" applyFont="true" applyFill="true" applyBorder="true" applyAlignment="true">
      <alignment horizontal="center" vertical="center"/>
    </xf>
    <xf numFmtId="205" fontId="0" fillId="0" borderId="0" xfId="0" applyNumberFormat="true" applyFont="true" applyFill="true" applyBorder="true" applyAlignment="true">
      <alignment vertical="center"/>
    </xf>
    <xf numFmtId="205" fontId="0" fillId="0" borderId="5" xfId="0" applyNumberFormat="true" applyFont="true" applyFill="true" applyBorder="true" applyAlignment="true">
      <alignment vertical="center"/>
    </xf>
    <xf numFmtId="205" fontId="0" fillId="0" borderId="1" xfId="0" applyNumberFormat="true" applyFont="true" applyFill="true" applyBorder="true" applyAlignment="true">
      <alignment vertical="center"/>
    </xf>
    <xf numFmtId="205" fontId="0" fillId="0" borderId="11" xfId="0" applyNumberFormat="true" applyFont="true" applyFill="true" applyBorder="true" applyAlignment="true">
      <alignment vertical="center"/>
    </xf>
    <xf numFmtId="205" fontId="0" fillId="0" borderId="21" xfId="0" applyNumberFormat="true" applyFont="true" applyFill="true" applyBorder="true" applyAlignment="true">
      <alignment vertical="center"/>
    </xf>
    <xf numFmtId="205" fontId="0" fillId="0" borderId="7" xfId="0" applyNumberFormat="true" applyFont="true" applyFill="true" applyBorder="true" applyAlignment="true">
      <alignment vertical="center"/>
    </xf>
    <xf numFmtId="205" fontId="0" fillId="0" borderId="23" xfId="0" applyNumberFormat="true" applyFont="true" applyFill="true" applyBorder="true" applyAlignment="true">
      <alignment vertical="center"/>
    </xf>
    <xf numFmtId="205" fontId="0" fillId="0" borderId="13" xfId="0" applyNumberFormat="true" applyFont="true" applyFill="true" applyBorder="true" applyAlignment="true">
      <alignment vertical="center"/>
    </xf>
    <xf numFmtId="205" fontId="0" fillId="6" borderId="21" xfId="0" applyNumberFormat="true" applyFont="true" applyFill="true" applyBorder="true" applyAlignment="true">
      <alignment vertical="center"/>
    </xf>
    <xf numFmtId="205" fontId="0" fillId="6" borderId="7" xfId="0" applyNumberFormat="true" applyFont="true" applyFill="true" applyBorder="true" applyAlignment="true">
      <alignment vertical="center"/>
    </xf>
    <xf numFmtId="205" fontId="0" fillId="6" borderId="23" xfId="0" applyNumberFormat="true" applyFont="true" applyFill="true" applyBorder="true" applyAlignment="true">
      <alignment vertical="center"/>
    </xf>
    <xf numFmtId="205" fontId="0" fillId="6" borderId="13" xfId="0" applyNumberFormat="true" applyFont="true" applyFill="true" applyBorder="true" applyAlignment="true">
      <alignment vertical="center"/>
    </xf>
    <xf numFmtId="0" fontId="5" fillId="3" borderId="3" xfId="0" applyNumberFormat="true" applyFont="true" applyFill="true" applyBorder="true" applyAlignment="true">
      <alignment vertical="center" wrapText="true"/>
    </xf>
    <xf numFmtId="0" fontId="5" fillId="3" borderId="5" xfId="0" applyNumberFormat="true" applyFont="true" applyFill="true" applyBorder="true" applyAlignment="true">
      <alignment vertical="center" wrapText="true"/>
    </xf>
    <xf numFmtId="0" fontId="5" fillId="3" borderId="7" xfId="0" applyNumberFormat="true" applyFont="true" applyFill="true" applyBorder="true" applyAlignment="true">
      <alignment vertical="center" wrapText="true"/>
    </xf>
    <xf numFmtId="0" fontId="5" fillId="3" borderId="9" xfId="0" applyNumberFormat="true" applyFont="true" applyFill="true" applyBorder="true" applyAlignment="true">
      <alignment vertical="center" wrapText="true"/>
    </xf>
    <xf numFmtId="0" fontId="5" fillId="3" borderId="11" xfId="0" applyNumberFormat="true" applyFont="true" applyFill="true" applyBorder="true" applyAlignment="true">
      <alignment vertical="center" wrapText="true"/>
    </xf>
    <xf numFmtId="0" fontId="5" fillId="3" borderId="13" xfId="0" applyNumberFormat="true" applyFont="true" applyFill="true" applyBorder="true" applyAlignment="true">
      <alignment vertical="center" wrapText="true"/>
    </xf>
    <xf numFmtId="202" fontId="6" fillId="6" borderId="15" xfId="0" applyNumberFormat="true" applyFont="true" applyFill="true" applyBorder="true" applyAlignment="true">
      <alignment vertical="center"/>
    </xf>
    <xf numFmtId="202" fontId="6" fillId="6" borderId="18" xfId="0" applyNumberFormat="true" applyFont="true" applyFill="true" applyBorder="true" applyAlignment="true">
      <alignment vertical="center"/>
    </xf>
    <xf numFmtId="201" fontId="0" fillId="0" borderId="21" xfId="0" applyNumberFormat="true" applyFont="true" applyFill="true" applyBorder="true" applyAlignment="true">
      <alignment vertical="center"/>
    </xf>
    <xf numFmtId="201" fontId="0" fillId="0" borderId="7" xfId="0" applyNumberFormat="true" applyFont="true" applyFill="true" applyBorder="true" applyAlignment="true">
      <alignment vertical="center"/>
    </xf>
    <xf numFmtId="201" fontId="0" fillId="0" borderId="23" xfId="0" applyNumberFormat="true" applyFont="true" applyFill="true" applyBorder="true" applyAlignment="true">
      <alignment vertical="center"/>
    </xf>
    <xf numFmtId="201" fontId="0" fillId="0" borderId="13" xfId="0" applyNumberFormat="true" applyFont="true" applyFill="true" applyBorder="true" applyAlignment="true">
      <alignment vertical="center"/>
    </xf>
    <xf numFmtId="201" fontId="0" fillId="6" borderId="21" xfId="0" applyNumberFormat="true" applyFont="true" applyFill="true" applyBorder="true" applyAlignment="true">
      <alignment vertical="center"/>
    </xf>
    <xf numFmtId="201" fontId="0" fillId="6" borderId="7" xfId="0" applyNumberFormat="true" applyFont="true" applyFill="true" applyBorder="true" applyAlignment="true">
      <alignment vertical="center"/>
    </xf>
    <xf numFmtId="201" fontId="0" fillId="6" borderId="23" xfId="0" applyNumberFormat="true" applyFont="true" applyFill="true" applyBorder="true" applyAlignment="true">
      <alignment vertical="center"/>
    </xf>
    <xf numFmtId="201" fontId="0" fillId="6" borderId="13" xfId="0" applyNumberFormat="true" applyFont="true" applyFill="true" applyBorder="true" applyAlignment="true">
      <alignment vertical="center"/>
    </xf>
    <xf numFmtId="0" fontId="6" fillId="0" borderId="4" xfId="0" applyNumberFormat="true" applyFont="true" applyFill="true" applyBorder="true" applyAlignment="true">
      <alignment vertical="center"/>
    </xf>
    <xf numFmtId="0" fontId="6" fillId="0" borderId="10" xfId="0" applyNumberFormat="true" applyFont="true" applyFill="true" applyBorder="true" applyAlignment="true">
      <alignment vertical="center"/>
    </xf>
    <xf numFmtId="202" fontId="0" fillId="6" borderId="0" xfId="0" applyNumberFormat="true" applyFont="true" applyFill="true" applyBorder="true" applyAlignment="true">
      <alignment vertical="center"/>
    </xf>
    <xf numFmtId="202" fontId="0" fillId="6" borderId="5" xfId="0" applyNumberFormat="true" applyFont="true" applyFill="true" applyBorder="true" applyAlignment="true">
      <alignment vertical="center"/>
    </xf>
    <xf numFmtId="202" fontId="0" fillId="6" borderId="1" xfId="0" applyNumberFormat="true" applyFont="true" applyFill="true" applyBorder="true" applyAlignment="true">
      <alignment vertical="center"/>
    </xf>
    <xf numFmtId="202" fontId="0" fillId="6" borderId="11" xfId="0" applyNumberFormat="true" applyFont="true" applyFill="true" applyBorder="true" applyAlignment="true">
      <alignment vertical="center"/>
    </xf>
    <xf numFmtId="202" fontId="0" fillId="0" borderId="7" xfId="0" applyNumberFormat="true" applyFont="true" applyFill="true" applyBorder="true" applyAlignment="true">
      <alignment vertical="center"/>
    </xf>
    <xf numFmtId="202" fontId="0" fillId="0" borderId="13" xfId="0" applyNumberFormat="true" applyFont="true" applyFill="true" applyBorder="true" applyAlignment="true">
      <alignment vertical="center"/>
    </xf>
    <xf numFmtId="201" fontId="10" fillId="6" borderId="0" xfId="0" applyNumberFormat="true" applyFont="true" applyFill="true" applyBorder="true" applyAlignment="true">
      <alignment vertical="center"/>
    </xf>
    <xf numFmtId="201" fontId="10" fillId="6" borderId="5" xfId="0" applyNumberFormat="true" applyFont="true" applyFill="true" applyBorder="true" applyAlignment="true">
      <alignment vertical="center"/>
    </xf>
    <xf numFmtId="201" fontId="10" fillId="6" borderId="1" xfId="0" applyNumberFormat="true" applyFont="true" applyFill="true" applyBorder="true" applyAlignment="true">
      <alignment vertical="center"/>
    </xf>
    <xf numFmtId="201" fontId="10" fillId="6" borderId="11" xfId="0" applyNumberFormat="true" applyFont="true" applyFill="true" applyBorder="true" applyAlignment="true">
      <alignment vertical="center"/>
    </xf>
    <xf numFmtId="201" fontId="10" fillId="0" borderId="0" xfId="0" applyNumberFormat="true" applyFont="true" applyFill="true" applyBorder="true" applyAlignment="true">
      <alignment vertical="center"/>
    </xf>
    <xf numFmtId="201" fontId="10" fillId="0" borderId="5" xfId="0" applyNumberFormat="true" applyFont="true" applyFill="true" applyBorder="true" applyAlignment="true">
      <alignment vertical="center"/>
    </xf>
    <xf numFmtId="201" fontId="10" fillId="0" borderId="1" xfId="0" applyNumberFormat="true" applyFont="true" applyFill="true" applyBorder="true" applyAlignment="true">
      <alignment vertical="center"/>
    </xf>
    <xf numFmtId="201" fontId="10" fillId="0" borderId="11" xfId="0" applyNumberFormat="true" applyFont="true" applyFill="true" applyBorder="true" applyAlignment="true">
      <alignment vertical="center"/>
    </xf>
    <xf numFmtId="0" fontId="0" fillId="6" borderId="2" xfId="0" applyNumberFormat="true" applyFont="true" applyFill="true" applyBorder="true" applyAlignment="true">
      <alignment vertical="center"/>
    </xf>
    <xf numFmtId="0" fontId="0" fillId="6" borderId="8" xfId="0" applyNumberFormat="true" applyFont="true" applyFill="true" applyBorder="true" applyAlignment="true">
      <alignment vertical="center"/>
    </xf>
    <xf numFmtId="0" fontId="6" fillId="6" borderId="2" xfId="0" applyNumberFormat="true" applyFont="true" applyFill="true" applyBorder="true" applyAlignment="true">
      <alignment vertical="center"/>
    </xf>
    <xf numFmtId="0" fontId="6" fillId="6" borderId="8" xfId="0" applyNumberFormat="true" applyFont="true" applyFill="true" applyBorder="true" applyAlignment="true">
      <alignment vertical="center"/>
    </xf>
    <xf numFmtId="0" fontId="0" fillId="8" borderId="20" xfId="0" applyNumberFormat="true" applyFont="true" applyFill="true" applyBorder="true" applyAlignment="true">
      <alignment vertical="center"/>
    </xf>
    <xf numFmtId="0" fontId="0" fillId="8" borderId="0" xfId="0" applyNumberFormat="true" applyFont="true" applyFill="true" applyBorder="true" applyAlignment="true">
      <alignment vertical="center"/>
    </xf>
    <xf numFmtId="0" fontId="0" fillId="8" borderId="21" xfId="0" applyNumberFormat="true" applyFont="true" applyFill="true" applyBorder="true" applyAlignment="true">
      <alignment vertical="center"/>
    </xf>
    <xf numFmtId="0" fontId="0" fillId="8" borderId="22" xfId="0" applyNumberFormat="true" applyFont="true" applyFill="true" applyBorder="true" applyAlignment="true">
      <alignment vertical="center"/>
    </xf>
    <xf numFmtId="0" fontId="0" fillId="8" borderId="1" xfId="0" applyNumberFormat="true" applyFont="true" applyFill="true" applyBorder="true" applyAlignment="true">
      <alignment vertical="center"/>
    </xf>
    <xf numFmtId="0" fontId="0" fillId="8" borderId="23" xfId="0" applyNumberFormat="true" applyFont="true" applyFill="true" applyBorder="true" applyAlignment="true">
      <alignment vertical="center"/>
    </xf>
    <xf numFmtId="201" fontId="0" fillId="8" borderId="0" xfId="0" applyNumberFormat="true" applyFont="true" applyFill="true" applyBorder="true" applyAlignment="true">
      <alignment vertical="center"/>
    </xf>
    <xf numFmtId="201" fontId="0" fillId="8" borderId="1" xfId="0" applyNumberFormat="true" applyFont="true" applyFill="true" applyBorder="true" applyAlignment="true">
      <alignment vertical="center"/>
    </xf>
    <xf numFmtId="202" fontId="0" fillId="8" borderId="0" xfId="0" applyNumberFormat="true" applyFont="true" applyFill="true" applyBorder="true" applyAlignment="true">
      <alignment vertical="center"/>
    </xf>
    <xf numFmtId="202" fontId="0" fillId="8" borderId="1" xfId="0" applyNumberFormat="true" applyFont="true" applyFill="true" applyBorder="true" applyAlignment="true">
      <alignment vertical="center"/>
    </xf>
    <xf numFmtId="204" fontId="0" fillId="8" borderId="0" xfId="0" applyNumberFormat="true" applyFont="true" applyFill="true" applyBorder="true" applyAlignment="true">
      <alignment vertical="center"/>
    </xf>
    <xf numFmtId="204" fontId="0" fillId="8" borderId="1" xfId="0" applyNumberFormat="true" applyFont="true" applyFill="true" applyBorder="true" applyAlignment="true">
      <alignment vertical="center"/>
    </xf>
    <xf numFmtId="201" fontId="0" fillId="0" borderId="0" xfId="0" applyNumberFormat="true" applyFont="true" applyFill="true" applyBorder="true"/>
    <xf numFmtId="201" fontId="0" fillId="0" borderId="1" xfId="0" applyNumberFormat="true" applyFont="true" applyFill="true" applyBorder="true"/>
    <xf numFmtId="204" fontId="0" fillId="4" borderId="0" xfId="0" applyNumberFormat="true" applyFont="true" applyFill="true" applyBorder="true"/>
    <xf numFmtId="204" fontId="0" fillId="4" borderId="1" xfId="0" applyNumberFormat="true" applyFont="true" applyFill="true" applyBorder="true"/>
    <xf numFmtId="204" fontId="6" fillId="4" borderId="0" xfId="0" applyNumberFormat="true" applyFont="true" applyFill="true" applyBorder="true"/>
    <xf numFmtId="204" fontId="6" fillId="4" borderId="1" xfId="0" applyNumberFormat="true" applyFont="true" applyFill="true" applyBorder="true"/>
    <xf numFmtId="204" fontId="6" fillId="4" borderId="0" xfId="0" applyNumberFormat="true" applyFont="true" applyFill="true" applyBorder="true" applyAlignment="true">
      <alignment horizontal="center"/>
    </xf>
    <xf numFmtId="204" fontId="6" fillId="4" borderId="1" xfId="0" applyNumberFormat="true" applyFont="true" applyFill="true" applyBorder="true" applyAlignment="true">
      <alignment horizontal="center"/>
    </xf>
    <xf numFmtId="204" fontId="6" fillId="4" borderId="0" xfId="0" applyNumberFormat="true" applyFont="true" applyFill="true" applyBorder="true" applyAlignment="true">
      <alignment horizontal="center" vertical="center"/>
    </xf>
    <xf numFmtId="204" fontId="6" fillId="4" borderId="1" xfId="0" applyNumberFormat="true" applyFont="true" applyFill="true" applyBorder="true" applyAlignment="true">
      <alignment horizontal="center" vertical="center"/>
    </xf>
    <xf numFmtId="204" fontId="6" fillId="4" borderId="0" xfId="0" applyNumberFormat="true" applyFont="true" applyFill="true" applyBorder="true" applyAlignment="true">
      <alignment horizontal="center" vertical="center" wrapText="true"/>
    </xf>
    <xf numFmtId="204" fontId="6" fillId="4" borderId="1" xfId="0" applyNumberFormat="true" applyFont="true" applyFill="true" applyBorder="true" applyAlignment="true">
      <alignment horizontal="center" vertical="center" wrapText="true"/>
    </xf>
    <xf numFmtId="204" fontId="6" fillId="4" borderId="15" xfId="0" applyNumberFormat="true" applyFont="true" applyFill="true" applyBorder="true" applyAlignment="true">
      <alignment horizontal="center" vertical="center" wrapText="true"/>
    </xf>
    <xf numFmtId="204" fontId="6" fillId="4" borderId="16" xfId="0" applyNumberFormat="true" applyFont="true" applyFill="true" applyBorder="true" applyAlignment="true">
      <alignment horizontal="center" vertical="center" wrapText="true"/>
    </xf>
    <xf numFmtId="204" fontId="6" fillId="4" borderId="18" xfId="0" applyNumberFormat="true" applyFont="true" applyFill="true" applyBorder="true" applyAlignment="true">
      <alignment horizontal="center" vertical="center" wrapText="true"/>
    </xf>
    <xf numFmtId="204" fontId="6" fillId="4" borderId="19" xfId="0" applyNumberFormat="true" applyFont="true" applyFill="true" applyBorder="true" applyAlignment="true">
      <alignment horizontal="center" vertical="center" wrapText="true"/>
    </xf>
    <xf numFmtId="201" fontId="0" fillId="0" borderId="20" xfId="0" applyNumberFormat="true" applyFont="true" applyFill="true" applyBorder="true"/>
    <xf numFmtId="201" fontId="0" fillId="0" borderId="3" xfId="0" applyNumberFormat="true" applyFont="true" applyFill="true" applyBorder="true"/>
    <xf numFmtId="201" fontId="0" fillId="0" borderId="5" xfId="0" applyNumberFormat="true" applyFont="true" applyFill="true" applyBorder="true"/>
    <xf numFmtId="201" fontId="0" fillId="0" borderId="21" xfId="0" applyNumberFormat="true" applyFont="true" applyFill="true" applyBorder="true"/>
    <xf numFmtId="201" fontId="0" fillId="0" borderId="7" xfId="0" applyNumberFormat="true" applyFont="true" applyFill="true" applyBorder="true"/>
    <xf numFmtId="201" fontId="0" fillId="0" borderId="22" xfId="0" applyNumberFormat="true" applyFont="true" applyFill="true" applyBorder="true"/>
    <xf numFmtId="201" fontId="0" fillId="0" borderId="9" xfId="0" applyNumberFormat="true" applyFont="true" applyFill="true" applyBorder="true"/>
    <xf numFmtId="201" fontId="0" fillId="0" borderId="11" xfId="0" applyNumberFormat="true" applyFont="true" applyFill="true" applyBorder="true"/>
    <xf numFmtId="201" fontId="0" fillId="0" borderId="23" xfId="0" applyNumberFormat="true" applyFont="true" applyFill="true" applyBorder="true"/>
    <xf numFmtId="201" fontId="0" fillId="0" borderId="13" xfId="0" applyNumberFormat="true" applyFont="true" applyFill="true" applyBorder="true"/>
    <xf numFmtId="201" fontId="0" fillId="0" borderId="15" xfId="0" applyNumberFormat="true" applyFont="true" applyFill="true" applyBorder="true"/>
    <xf numFmtId="201" fontId="0" fillId="0" borderId="16" xfId="0" applyNumberFormat="true" applyFont="true" applyFill="true" applyBorder="true"/>
    <xf numFmtId="201" fontId="0" fillId="0" borderId="18" xfId="0" applyNumberFormat="true" applyFont="true" applyFill="true" applyBorder="true"/>
    <xf numFmtId="201" fontId="0" fillId="0" borderId="19" xfId="0" applyNumberFormat="true" applyFont="true" applyFill="true" applyBorder="true"/>
    <xf numFmtId="201" fontId="0" fillId="0" borderId="15" xfId="0" applyNumberFormat="true" applyFont="true" applyFill="true" applyBorder="true" applyAlignment="true">
      <alignment vertical="center"/>
    </xf>
    <xf numFmtId="201" fontId="0" fillId="0" borderId="16" xfId="0" applyNumberFormat="true" applyFont="true" applyFill="true" applyBorder="true" applyAlignment="true">
      <alignment vertical="center"/>
    </xf>
    <xf numFmtId="201" fontId="0" fillId="0" borderId="18" xfId="0" applyNumberFormat="true" applyFont="true" applyFill="true" applyBorder="true" applyAlignment="true">
      <alignment vertical="center"/>
    </xf>
    <xf numFmtId="201" fontId="0" fillId="0" borderId="19" xfId="0" applyNumberFormat="true" applyFont="true" applyFill="true" applyBorder="true" applyAlignment="true">
      <alignment vertical="center"/>
    </xf>
    <xf numFmtId="202" fontId="0" fillId="0" borderId="3" xfId="0" applyNumberFormat="true" applyFont="true" applyFill="true" applyBorder="true" applyAlignment="true">
      <alignment vertical="center"/>
    </xf>
    <xf numFmtId="202" fontId="0" fillId="0" borderId="5" xfId="0" applyNumberFormat="true" applyFont="true" applyFill="true" applyBorder="true" applyAlignment="true">
      <alignment vertical="center"/>
    </xf>
    <xf numFmtId="202" fontId="0" fillId="0" borderId="9" xfId="0" applyNumberFormat="true" applyFont="true" applyFill="true" applyBorder="true" applyAlignment="true">
      <alignment vertical="center"/>
    </xf>
    <xf numFmtId="202" fontId="0" fillId="0" borderId="11" xfId="0" applyNumberFormat="true" applyFont="true" applyFill="true" applyBorder="true" applyAlignment="true">
      <alignment vertical="center"/>
    </xf>
    <xf numFmtId="202" fontId="0" fillId="5" borderId="20" xfId="0" applyNumberFormat="true" applyFont="true" applyFill="true" applyBorder="true" applyAlignment="true">
      <alignment vertical="center"/>
    </xf>
    <xf numFmtId="202" fontId="0" fillId="5" borderId="3" xfId="0" applyNumberFormat="true" applyFont="true" applyFill="true" applyBorder="true" applyAlignment="true">
      <alignment vertical="center"/>
    </xf>
    <xf numFmtId="202" fontId="0" fillId="5" borderId="0" xfId="0" applyNumberFormat="true" applyFont="true" applyFill="true" applyBorder="true" applyAlignment="true">
      <alignment vertical="center"/>
    </xf>
    <xf numFmtId="202" fontId="0" fillId="5" borderId="5" xfId="0" applyNumberFormat="true" applyFont="true" applyFill="true" applyBorder="true" applyAlignment="true">
      <alignment vertical="center"/>
    </xf>
    <xf numFmtId="202" fontId="0" fillId="5" borderId="21" xfId="0" applyNumberFormat="true" applyFont="true" applyFill="true" applyBorder="true" applyAlignment="true">
      <alignment vertical="center"/>
    </xf>
    <xf numFmtId="202" fontId="0" fillId="5" borderId="7" xfId="0" applyNumberFormat="true" applyFont="true" applyFill="true" applyBorder="true" applyAlignment="true">
      <alignment vertical="center"/>
    </xf>
    <xf numFmtId="202" fontId="0" fillId="5" borderId="22" xfId="0" applyNumberFormat="true" applyFont="true" applyFill="true" applyBorder="true" applyAlignment="true">
      <alignment vertical="center"/>
    </xf>
    <xf numFmtId="202" fontId="0" fillId="5" borderId="9" xfId="0" applyNumberFormat="true" applyFont="true" applyFill="true" applyBorder="true" applyAlignment="true">
      <alignment vertical="center"/>
    </xf>
    <xf numFmtId="202" fontId="0" fillId="5" borderId="1" xfId="0" applyNumberFormat="true" applyFont="true" applyFill="true" applyBorder="true" applyAlignment="true">
      <alignment vertical="center"/>
    </xf>
    <xf numFmtId="202" fontId="0" fillId="5" borderId="11" xfId="0" applyNumberFormat="true" applyFont="true" applyFill="true" applyBorder="true" applyAlignment="true">
      <alignment vertical="center"/>
    </xf>
    <xf numFmtId="202" fontId="0" fillId="5" borderId="23" xfId="0" applyNumberFormat="true" applyFont="true" applyFill="true" applyBorder="true" applyAlignment="true">
      <alignment vertical="center"/>
    </xf>
    <xf numFmtId="202" fontId="0" fillId="5" borderId="13" xfId="0" applyNumberFormat="true" applyFont="true" applyFill="true" applyBorder="true" applyAlignment="true">
      <alignment vertical="center"/>
    </xf>
    <xf numFmtId="202" fontId="10" fillId="5" borderId="20" xfId="0" applyNumberFormat="true" applyFont="true" applyFill="true" applyBorder="true" applyAlignment="true">
      <alignment vertical="center"/>
    </xf>
    <xf numFmtId="202" fontId="10" fillId="5" borderId="3" xfId="0" applyNumberFormat="true" applyFont="true" applyFill="true" applyBorder="true" applyAlignment="true">
      <alignment vertical="center"/>
    </xf>
    <xf numFmtId="202" fontId="10" fillId="5" borderId="0" xfId="0" applyNumberFormat="true" applyFont="true" applyFill="true" applyBorder="true" applyAlignment="true">
      <alignment vertical="center"/>
    </xf>
    <xf numFmtId="202" fontId="10" fillId="5" borderId="5" xfId="0" applyNumberFormat="true" applyFont="true" applyFill="true" applyBorder="true" applyAlignment="true">
      <alignment vertical="center"/>
    </xf>
    <xf numFmtId="202" fontId="10" fillId="5" borderId="21" xfId="0" applyNumberFormat="true" applyFont="true" applyFill="true" applyBorder="true" applyAlignment="true">
      <alignment vertical="center"/>
    </xf>
    <xf numFmtId="202" fontId="10" fillId="5" borderId="7" xfId="0" applyNumberFormat="true" applyFont="true" applyFill="true" applyBorder="true" applyAlignment="true">
      <alignment vertical="center"/>
    </xf>
    <xf numFmtId="202" fontId="10" fillId="5" borderId="22" xfId="0" applyNumberFormat="true" applyFont="true" applyFill="true" applyBorder="true" applyAlignment="true">
      <alignment vertical="center"/>
    </xf>
    <xf numFmtId="202" fontId="10" fillId="5" borderId="9" xfId="0" applyNumberFormat="true" applyFont="true" applyFill="true" applyBorder="true" applyAlignment="true">
      <alignment vertical="center"/>
    </xf>
    <xf numFmtId="202" fontId="10" fillId="5" borderId="1" xfId="0" applyNumberFormat="true" applyFont="true" applyFill="true" applyBorder="true" applyAlignment="true">
      <alignment vertical="center"/>
    </xf>
    <xf numFmtId="202" fontId="10" fillId="5" borderId="11" xfId="0" applyNumberFormat="true" applyFont="true" applyFill="true" applyBorder="true" applyAlignment="true">
      <alignment vertical="center"/>
    </xf>
    <xf numFmtId="202" fontId="10" fillId="5" borderId="23" xfId="0" applyNumberFormat="true" applyFont="true" applyFill="true" applyBorder="true" applyAlignment="true">
      <alignment vertical="center"/>
    </xf>
    <xf numFmtId="202" fontId="10" fillId="5" borderId="13" xfId="0" applyNumberFormat="true" applyFont="true" applyFill="true" applyBorder="true" applyAlignment="true">
      <alignment vertical="center"/>
    </xf>
    <xf numFmtId="201" fontId="0" fillId="0" borderId="2" xfId="0" applyNumberFormat="true" applyFont="true" applyFill="true" applyBorder="true" applyAlignment="true">
      <alignment vertical="center"/>
    </xf>
    <xf numFmtId="201" fontId="0" fillId="0" borderId="4" xfId="0" applyNumberFormat="true" applyFont="true" applyFill="true" applyBorder="true" applyAlignment="true">
      <alignment vertical="center"/>
    </xf>
    <xf numFmtId="201" fontId="0" fillId="0" borderId="6" xfId="0" applyNumberFormat="true" applyFont="true" applyFill="true" applyBorder="true" applyAlignment="true">
      <alignment vertical="center"/>
    </xf>
    <xf numFmtId="201" fontId="0" fillId="0" borderId="8" xfId="0" applyNumberFormat="true" applyFont="true" applyFill="true" applyBorder="true" applyAlignment="true">
      <alignment vertical="center"/>
    </xf>
    <xf numFmtId="201" fontId="0" fillId="0" borderId="10" xfId="0" applyNumberFormat="true" applyFont="true" applyFill="true" applyBorder="true" applyAlignment="true">
      <alignment vertical="center"/>
    </xf>
    <xf numFmtId="201" fontId="0" fillId="0" borderId="12" xfId="0" applyNumberFormat="true" applyFont="true" applyFill="true" applyBorder="true" applyAlignment="true">
      <alignment vertical="center"/>
    </xf>
    <xf numFmtId="0" fontId="0" fillId="0" borderId="2" xfId="0" applyNumberFormat="true" applyFont="true" applyFill="true" applyBorder="true" applyAlignment="true">
      <alignment horizontal="center" vertical="center"/>
    </xf>
    <xf numFmtId="0" fontId="0" fillId="0" borderId="4" xfId="0" applyNumberFormat="true" applyFont="true" applyFill="true" applyBorder="true" applyAlignment="true">
      <alignment horizontal="center" vertical="center"/>
    </xf>
    <xf numFmtId="0" fontId="0" fillId="0" borderId="6" xfId="0" applyNumberFormat="true" applyFont="true" applyFill="true" applyBorder="true" applyAlignment="true">
      <alignment horizontal="center" vertical="center"/>
    </xf>
    <xf numFmtId="0" fontId="0" fillId="0" borderId="8" xfId="0" applyNumberFormat="true" applyFont="true" applyFill="true" applyBorder="true" applyAlignment="true">
      <alignment horizontal="center" vertical="center"/>
    </xf>
    <xf numFmtId="0" fontId="0" fillId="0" borderId="10" xfId="0" applyNumberFormat="true" applyFont="true" applyFill="true" applyBorder="true" applyAlignment="true">
      <alignment horizontal="center" vertical="center"/>
    </xf>
    <xf numFmtId="0" fontId="0" fillId="0" borderId="12" xfId="0" applyNumberFormat="true" applyFont="true" applyFill="true" applyBorder="true" applyAlignment="true">
      <alignment horizontal="center" vertical="center"/>
    </xf>
    <xf numFmtId="204" fontId="0" fillId="0" borderId="2" xfId="0" applyNumberFormat="true" applyFont="true" applyFill="true" applyBorder="true" applyAlignment="true">
      <alignment vertical="center"/>
    </xf>
    <xf numFmtId="204" fontId="0" fillId="0" borderId="4" xfId="0" applyNumberFormat="true" applyFont="true" applyFill="true" applyBorder="true" applyAlignment="true">
      <alignment vertical="center"/>
    </xf>
    <xf numFmtId="204" fontId="0" fillId="0" borderId="6" xfId="0" applyNumberFormat="true" applyFont="true" applyFill="true" applyBorder="true" applyAlignment="true">
      <alignment vertical="center"/>
    </xf>
    <xf numFmtId="204" fontId="0" fillId="0" borderId="8" xfId="0" applyNumberFormat="true" applyFont="true" applyFill="true" applyBorder="true" applyAlignment="true">
      <alignment vertical="center"/>
    </xf>
    <xf numFmtId="204" fontId="0" fillId="0" borderId="10" xfId="0" applyNumberFormat="true" applyFont="true" applyFill="true" applyBorder="true" applyAlignment="true">
      <alignment vertical="center"/>
    </xf>
    <xf numFmtId="204" fontId="0" fillId="0" borderId="12" xfId="0" applyNumberFormat="true" applyFont="true" applyFill="true" applyBorder="true" applyAlignment="true">
      <alignment vertical="center"/>
    </xf>
    <xf numFmtId="206" fontId="0" fillId="0" borderId="2" xfId="0" applyNumberFormat="true" applyFont="true" applyFill="true" applyBorder="true" applyAlignment="true">
      <alignment vertical="center"/>
    </xf>
    <xf numFmtId="206" fontId="0" fillId="0" borderId="4" xfId="0" applyNumberFormat="true" applyFont="true" applyFill="true" applyBorder="true" applyAlignment="true">
      <alignment vertical="center"/>
    </xf>
    <xf numFmtId="206" fontId="0" fillId="0" borderId="6" xfId="0" applyNumberFormat="true" applyFont="true" applyFill="true" applyBorder="true" applyAlignment="true">
      <alignment vertical="center"/>
    </xf>
    <xf numFmtId="206" fontId="0" fillId="0" borderId="8" xfId="0" applyNumberFormat="true" applyFont="true" applyFill="true" applyBorder="true" applyAlignment="true">
      <alignment vertical="center"/>
    </xf>
    <xf numFmtId="206" fontId="0" fillId="0" borderId="10" xfId="0" applyNumberFormat="true" applyFont="true" applyFill="true" applyBorder="true" applyAlignment="true">
      <alignment vertical="center"/>
    </xf>
    <xf numFmtId="206" fontId="0" fillId="0" borderId="12" xfId="0" applyNumberFormat="true" applyFont="true" applyFill="true" applyBorder="true" applyAlignment="true">
      <alignment vertical="center"/>
    </xf>
  </cellXfs>
  <cellStyles count="1">
    <cellStyle name="Normal" xfId="0"/>
  </cellStyles>
  <dxfs count="8">
    <dxf>
      <font>
        <b val="1"/>
        <color rgb="FF991B1B"/>
      </font>
      <fill>
        <patternFill patternType="solid">
          <bgColor rgb="FFFDECEC"/>
        </patternFill>
      </fill>
    </dxf>
    <dxf>
      <font>
        <b val="1"/>
        <color rgb="FF92400E"/>
      </font>
      <fill>
        <patternFill patternType="solid">
          <bgColor rgb="FFFFF2CC"/>
        </patternFill>
      </fill>
    </dxf>
    <dxf>
      <font>
        <b val="1"/>
        <color rgb="FF7F1D1D"/>
      </font>
      <fill>
        <patternFill patternType="solid">
          <bgColor rgb="FFFCA5A5"/>
        </patternFill>
      </fill>
    </dxf>
    <dxf>
      <font>
        <b val="1"/>
        <color rgb="FF92400E"/>
      </font>
      <fill>
        <patternFill patternType="solid">
          <bgColor rgb="FFFFF2CC"/>
        </patternFill>
      </fill>
    </dxf>
    <dxf>
      <font>
        <b val="1"/>
        <color rgb="FF991B1B"/>
      </font>
      <fill>
        <patternFill patternType="solid">
          <bgColor rgb="FFFDECEC"/>
        </patternFill>
      </fill>
    </dxf>
    <dxf>
      <font>
        <b val="1"/>
        <color rgb="FF92400E"/>
      </font>
      <fill>
        <patternFill patternType="solid">
          <bgColor rgb="FFFFF2CC"/>
        </patternFill>
      </fill>
    </dxf>
    <dxf>
      <font>
        <color rgb="FF991B1B"/>
      </font>
      <fill>
        <patternFill patternType="solid">
          <bgColor rgb="FFFDECEC"/>
        </patternFill>
      </fill>
    </dxf>
    <dxf>
      <font>
        <b val="1"/>
        <color rgb="FF92400E"/>
      </font>
      <fill>
        <patternFill patternType="solid">
          <bgColor rgb="FFFFF2CC"/>
        </patternFill>
      </fill>
    </dxf>
  </dxfs>
</styleSheet>
</file>

<file path=xl/_rels/workbook.xml.rels><?xml version="1.0" encoding="UTF-8"?>
<Relationships xmlns="http://schemas.openxmlformats.org/package/2006/relationships"><Relationship Id="R4d17fb8f05f64b41" Target="styles.xml" Type="http://schemas.openxmlformats.org/officeDocument/2006/relationships/styles"></Relationship><Relationship Id="R0556a4ea67094f39" Target="theme/theme1.xml" Type="http://schemas.openxmlformats.org/officeDocument/2006/relationships/theme"></Relationship><Relationship Id="Rf11f0cbab69b4dee" Target="sharedStrings.xml" Type="http://schemas.openxmlformats.org/officeDocument/2006/relationships/sharedStrings"></Relationship><Relationship Id="R1d2327e13d144e77" Target="worksheets/sheet1.xml" Type="http://schemas.openxmlformats.org/officeDocument/2006/relationships/worksheet"></Relationship><Relationship Id="Ra5c37dd734584960" Target="worksheets/sheet2.xml" Type="http://schemas.openxmlformats.org/officeDocument/2006/relationships/worksheet"></Relationship><Relationship Id="R0c6b08cfad824228" Target="worksheets/sheet3.xml" Type="http://schemas.openxmlformats.org/officeDocument/2006/relationships/worksheet"></Relationship><Relationship Id="R40357c3b3c62480a" Target="worksheets/sheet4.xml" Type="http://schemas.openxmlformats.org/officeDocument/2006/relationships/worksheet"></Relationship><Relationship Id="R428931b4334c49ef" Target="worksheets/sheet5.xml" Type="http://schemas.openxmlformats.org/officeDocument/2006/relationships/worksheet"></Relationship><Relationship Id="R5d782096d20a4070" Target="worksheets/sheet6.xml" Type="http://schemas.openxmlformats.org/officeDocument/2006/relationships/worksheet"></Relationship><Relationship Id="R078c653f9ad249aa" Target="worksheets/sheet7.xml" Type="http://schemas.openxmlformats.org/officeDocument/2006/relationships/worksheet"></Relationship><Relationship Id="Rfa2469f684b44f77" Target="worksheets/sheet8.xml" Type="http://schemas.openxmlformats.org/officeDocument/2006/relationships/worksheet"></Relationship><Relationship Id="Rcbaf1dd1e5cc47fc" Target="worksheets/sheet9.xml" Type="http://schemas.openxmlformats.org/officeDocument/2006/relationships/worksheet"></Relationship><Relationship Id="R0ca847e9d58a4b39" Target="worksheets/sheet10.xml" Type="http://schemas.openxmlformats.org/officeDocument/2006/relationships/worksheet"></Relationship><Relationship Id="R65175b2262a543b9" Target="persons/person.xml" Type="http://schemas.microsoft.com/office/2017/10/relationships/person"></Relationship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charts/chart1.xml" Id="R0471ff429a1b481c" /><Relationship Type="http://schemas.openxmlformats.org/officeDocument/2006/relationships/chart" Target="charts/chart2.xml" Id="R39cbea48b7eb49d3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chart" Target="charts/chart3.xml" Id="Rdfa84e7e58174327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收入、Bruttofortjeneste与nettoresultat趋势</a:t>
            </a:r>
          </a:p>
        </c:rich>
      </c:tx>
      <c:overlay val="0"/>
    </c:title>
    <c:autoTitleDeleted val="0"/>
    <c:view3D/>
    <c:plotArea>
      <c:layout/>
      <c:lineChart>
        <c:ser>
          <c:idx val="0"/>
          <c:order val="0"/>
          <c:tx>
            <c:v>nettoomsætning</c:v>
          </c:tx>
          <c:marker/>
          <c:cat>
            <c:strRef>
              <c:f>'Dashboard'!$A$34:$A$57</c:f>
              <c:strCache>
                <c:ptCount val="0"/>
              </c:strCache>
            </c:strRef>
          </c:cat>
          <c:val>
            <c:numRef>
              <c:f>'Dashboard'!$B$34:$B$57</c:f>
              <c:numCache>
                <c:formatCode>#,##0;[Red](#,##0);-</c:formatCode>
                <c:ptCount val="0"/>
              </c:numCache>
            </c:numRef>
          </c:val>
          <c:smooth val="0"/>
        </c:ser>
        <c:ser>
          <c:idx val="1"/>
          <c:order val="1"/>
          <c:tx>
            <c:v>Bruttofortjeneste</c:v>
          </c:tx>
          <c:marker/>
          <c:cat>
            <c:strRef>
              <c:f>'Dashboard'!$A$34:$A$57</c:f>
              <c:strCache>
                <c:ptCount val="0"/>
              </c:strCache>
            </c:strRef>
          </c:cat>
          <c:val>
            <c:numRef>
              <c:f>'Dashboard'!$C$34:$C$57</c:f>
              <c:numCache>
                <c:formatCode>#,##0;[Red](#,##0);-</c:formatCode>
                <c:ptCount val="0"/>
              </c:numCache>
            </c:numRef>
          </c:val>
          <c:smooth val="0"/>
        </c:ser>
        <c:ser>
          <c:idx val="2"/>
          <c:order val="2"/>
          <c:tx>
            <c:v>nettoresultat</c:v>
          </c:tx>
          <c:marker/>
          <c:cat>
            <c:strRef>
              <c:f>'Dashboard'!$A$34:$A$57</c:f>
              <c:strCache>
                <c:ptCount val="0"/>
              </c:strCache>
            </c:strRef>
          </c:cat>
          <c:val>
            <c:numRef>
              <c:f>'Dashboard'!$D$34:$D$57</c:f>
              <c:numCache>
                <c:formatCode>#,##0;[Red](#,##0);-</c:formatCode>
                <c:ptCount val="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txPr>
          <a:bodyPr xmlns:a="http://schemas.openxmlformats.org/drawingml/2006/main" anchorCtr="1"/>
          <a:lstStyle xmlns:a="http://schemas.openxmlformats.org/drawingml/2006/main"/>
          <a:p xmlns:a="http://schemas.openxmlformats.org/drawingml/2006/main">
            <a:pPr>
              <a:defRPr sz="600"/>
            </a:pPr>
          </a:p>
        </c:txPr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4763">
              <a:solidFill>
                <a:srgbClr val="E5E7EB"/>
              </a:solidFill>
              <a:prstDash val="solid"/>
            </a:ln>
          </c:spPr>
        </c:majorGridlines>
        <c:numFmt formatCode="#,##0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  <c:txPr>
        <a:bodyPr xmlns:a="http://schemas.openxmlformats.org/drawingml/2006/main" anchorCtr="1"/>
        <a:lstStyle xmlns:a="http://schemas.openxmlformats.org/drawingml/2006/main"/>
        <a:p xmlns:a="http://schemas.openxmlformats.org/drawingml/2006/main">
          <a:pPr>
            <a:defRPr sz="675"/>
          </a:pPr>
        </a:p>
      </c:txPr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2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Slutlikviditet趋势</a:t>
            </a:r>
          </a:p>
        </c:rich>
      </c:tx>
      <c:overlay val="0"/>
    </c:title>
    <c:autoTitleDeleted val="0"/>
    <c:view3D/>
    <c:plotArea>
      <c:layout/>
      <c:lineChart>
        <c:ser>
          <c:idx val="0"/>
          <c:order val="0"/>
          <c:tx>
            <c:v>Slutlikviditet</c:v>
          </c:tx>
          <c:marker/>
          <c:cat>
            <c:strRef>
              <c:f>'Dashboard'!$G$34:$G$57</c:f>
              <c:strCache>
                <c:ptCount val="0"/>
              </c:strCache>
            </c:strRef>
          </c:cat>
          <c:val>
            <c:numRef>
              <c:f>'Dashboard'!$H$34:$H$57</c:f>
              <c:numCache>
                <c:formatCode>#,##0;[Red](#,##0);-</c:formatCode>
                <c:ptCount val="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txPr>
          <a:bodyPr xmlns:a="http://schemas.openxmlformats.org/drawingml/2006/main" anchorCtr="1"/>
          <a:lstStyle xmlns:a="http://schemas.openxmlformats.org/drawingml/2006/main"/>
          <a:p xmlns:a="http://schemas.openxmlformats.org/drawingml/2006/main">
            <a:pPr>
              <a:defRPr sz="600"/>
            </a:pPr>
          </a:p>
        </c:txPr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4763">
              <a:solidFill>
                <a:srgbClr val="E5E7EB"/>
              </a:solidFill>
              <a:prstDash val="solid"/>
            </a:ln>
          </c:spPr>
        </c:majorGridlines>
        <c:numFmt formatCode="#,##0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3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三种场景收入趋势</a:t>
            </a:r>
          </a:p>
        </c:rich>
      </c:tx>
      <c:overlay val="0"/>
    </c:title>
    <c:autoTitleDeleted val="0"/>
    <c:view3D/>
    <c:plotArea>
      <c:layout/>
      <c:lineChart>
        <c:ser>
          <c:idx val="0"/>
          <c:order val="0"/>
          <c:tx>
            <c:v>Konservativ omsætning</c:v>
          </c:tx>
          <c:marker/>
          <c:cat>
            <c:strRef>
              <c:f>'Scenariesammenligning'!$A$17:$A$40</c:f>
              <c:strCache>
                <c:ptCount val="0"/>
              </c:strCache>
            </c:strRef>
          </c:cat>
          <c:val>
            <c:numRef>
              <c:f>'Scenariesammenligning'!$B$17:$B$40</c:f>
              <c:numCache>
                <c:formatCode>#,##0;[Red](#,##0);-</c:formatCode>
                <c:ptCount val="0"/>
              </c:numCache>
            </c:numRef>
          </c:val>
          <c:smooth val="0"/>
        </c:ser>
        <c:ser>
          <c:idx val="1"/>
          <c:order val="1"/>
          <c:tx>
            <c:v>Basisomsætning</c:v>
          </c:tx>
          <c:marker/>
          <c:cat>
            <c:strRef>
              <c:f>'Scenariesammenligning'!$A$17:$A$40</c:f>
              <c:strCache>
                <c:ptCount val="0"/>
              </c:strCache>
            </c:strRef>
          </c:cat>
          <c:val>
            <c:numRef>
              <c:f>'Scenariesammenligning'!$C$17:$C$40</c:f>
              <c:numCache>
                <c:formatCode>#,##0;[Red](#,##0);-</c:formatCode>
                <c:ptCount val="0"/>
              </c:numCache>
            </c:numRef>
          </c:val>
          <c:smooth val="0"/>
        </c:ser>
        <c:ser>
          <c:idx val="2"/>
          <c:order val="2"/>
          <c:tx>
            <c:v>Optimistisk omsætning</c:v>
          </c:tx>
          <c:marker/>
          <c:cat>
            <c:strRef>
              <c:f>'Scenariesammenligning'!$A$17:$A$40</c:f>
              <c:strCache>
                <c:ptCount val="0"/>
              </c:strCache>
            </c:strRef>
          </c:cat>
          <c:val>
            <c:numRef>
              <c:f>'Scenariesammenligning'!$D$17:$D$40</c:f>
              <c:numCache>
                <c:formatCode>#,##0;[Red](#,##0);-</c:formatCode>
                <c:ptCount val="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4763">
              <a:solidFill>
                <a:srgbClr val="E5E7EB"/>
              </a:solidFill>
              <a:prstDash val="solid"/>
            </a:ln>
          </c:spPr>
        </c:majorGridlines>
        <c:numFmt formatCode="#,##0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  <c:txPr>
        <a:bodyPr xmlns:a="http://schemas.openxmlformats.org/drawingml/2006/main" anchorCtr="1"/>
        <a:lstStyle xmlns:a="http://schemas.openxmlformats.org/drawingml/2006/main"/>
        <a:p xmlns:a="http://schemas.openxmlformats.org/drawingml/2006/main">
          <a:pPr>
            <a:defRPr sz="675"/>
          </a:pPr>
        </a:p>
      </c:txPr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3</xdr:col>
      <xdr:colOff>0</xdr:colOff>
      <xdr:row>3</xdr:row>
      <xdr:rowOff>0</xdr:rowOff>
    </xdr:from>
    <xdr:to>
      <xdr:col>25</xdr:col>
      <xdr:colOff>0</xdr:colOff>
      <xdr:row>17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0471ff429a1b481c"/>
        </a:graphicData>
      </a:graphic>
    </xdr:graphicFrame>
    <xdr:clientData/>
  </xdr:twoCellAnchor>
  <xdr:twoCellAnchor>
    <xdr:from>
      <xdr:col>3</xdr:col>
      <xdr:colOff>0</xdr:colOff>
      <xdr:row>18</xdr:row>
      <xdr:rowOff>0</xdr:rowOff>
    </xdr:from>
    <xdr:to>
      <xdr:col>25</xdr:col>
      <xdr:colOff>0</xdr:colOff>
      <xdr:row>31</xdr:row>
      <xdr:rowOff>0</xdr:rowOff>
    </xdr:to>
    <xdr:graphicFrame macro="">
      <xdr:nvGraphicFramePr>
        <xdr:cNvPr id="2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39cbea48b7eb49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>
  <xdr:twoCellAnchor>
    <xdr:from>
      <xdr:col>0</xdr:col>
      <xdr:colOff>0</xdr:colOff>
      <xdr:row>42</xdr:row>
      <xdr:rowOff>0</xdr:rowOff>
    </xdr:from>
    <xdr:to>
      <xdr:col>12</xdr:col>
      <xdr:colOff>0</xdr:colOff>
      <xdr:row>58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dfa84e7e5817432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1ff37b07733c4aaa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2.xml" Id="Rf3fca27e3c2d4611" /></Relationships>
</file>

<file path=xl/worksheets/sheet1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showGridLines="false" tabSelected="true" workbookViewId="0"/>
  </sheetViews>
  <sheetFormatPr defaultRowHeight="15"/>
  <cols>
    <col customWidth="true" max="2" min="1" width="18"/>
    <col customWidth="true" max="3" min="3" width="16"/>
    <col customWidth="true" max="25" min="4" width="12"/>
  </cols>
  <sheetData>
    <row r="1" ht="19.53125" customHeight="true">
      <c r="A1" s="4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" customHeight="true">
      <c r="A2" s="6" t="s">
        <v>1</v>
      </c>
    </row>
    <row r="3"/>
    <row r="4" ht="15" customHeight="true">
      <c r="A4" s="14" t="s">
        <v>2</v>
      </c>
      <c r="B4" s="14" t="s">
        <v>3</v>
      </c>
      <c r="C4" s="14" t="s">
        <v>4</v>
      </c>
    </row>
    <row r="5" ht="26.85546875" customHeight="true">
      <c r="A5" s="339" t="s">
        <v>5</v>
      </c>
      <c r="B5" s="341" t="str">
        <f>'Inputantagelser'!$B$5</f>
        <v>Eksempelvirksomhed</v>
      </c>
      <c r="C5" s="107" t="s">
        <v>6</v>
      </c>
    </row>
    <row r="6" ht="26.85546875" customHeight="true">
      <c r="A6" s="263" t="s">
        <v>7</v>
      </c>
      <c r="B6" s="342" t="str">
        <f>'Inputantagelser'!$B$8</f>
        <v>Basis</v>
      </c>
      <c r="C6" s="108" t="s">
        <v>8</v>
      </c>
    </row>
    <row r="7" ht="15" customHeight="true">
      <c r="A7" s="263" t="s">
        <v>9</v>
      </c>
      <c r="B7" s="342" t="str">
        <f>'Inputantagelser'!$B$9</f>
        <v>SaaS/Abonnement</v>
      </c>
      <c r="C7" s="108" t="s">
        <v>10</v>
      </c>
    </row>
    <row r="8" ht="15" customHeight="true">
      <c r="A8" s="263" t="s">
        <v>11</v>
      </c>
      <c r="B8" s="347" t="n">
        <f>SUM('Resultat og likviditet'!C7:N7)</f>
        <v>3492385.9575628545</v>
      </c>
      <c r="C8" s="108" t="s">
        <v>12</v>
      </c>
    </row>
    <row r="9" ht="15" customHeight="true">
      <c r="A9" s="263" t="s">
        <v>13</v>
      </c>
      <c r="B9" s="347" t="n">
        <f>SUM('Resultat og likviditet'!C18:N18)</f>
        <v>-3265008.775350408</v>
      </c>
      <c r="C9" s="108" t="s">
        <v>14</v>
      </c>
    </row>
    <row r="10" ht="26.85546875" customHeight="true">
      <c r="A10" s="263" t="s">
        <v>15</v>
      </c>
      <c r="B10" s="349" t="n">
        <f>IFERROR(SUM('Resultat og likviditet'!C9:N9)/SUM('Resultat og likviditet'!C7:N7),0)</f>
        <v>0.5939086294416244</v>
      </c>
      <c r="C10" s="108" t="s">
        <v>16</v>
      </c>
    </row>
    <row r="11" ht="26.85546875" customHeight="true">
      <c r="A11" s="263" t="s">
        <v>17</v>
      </c>
      <c r="B11" s="351" t="str">
        <f>IFERROR(INDEX('Resultat og likviditet'!$C$4:$Z$4,1,MATCH("Resultat",'Resultat og likviditet'!$C$30:$Z$30,0)),"Ikke nået")</f>
        <v>Ikke nået</v>
      </c>
      <c r="C11" s="108" t="s">
        <v>18</v>
      </c>
    </row>
    <row r="12" ht="26.85546875" customHeight="true">
      <c r="A12" s="263" t="s">
        <v>19</v>
      </c>
      <c r="B12" s="342" t="n">
        <f>IFERROR(MATCH("Utilstrækkelige midler",'Resultat og likviditet'!$C$28:$Z$28,0)-1,24)</f>
        <v>9</v>
      </c>
      <c r="C12" s="108" t="s">
        <v>20</v>
      </c>
    </row>
    <row r="13" ht="26.85546875" customHeight="true">
      <c r="A13" s="263" t="s">
        <v>21</v>
      </c>
      <c r="B13" s="347" t="n">
        <f>MIN('Resultat og likviditet'!C27:Z27)</f>
        <v>-3944772.2874381705</v>
      </c>
      <c r="C13" s="108" t="s">
        <v>22</v>
      </c>
    </row>
    <row r="14" ht="15" customHeight="true">
      <c r="A14" s="265" t="s">
        <v>23</v>
      </c>
      <c r="B14" s="343" t="str">
        <f>IF(B13&lt;'Inputantagelser'!$B$15,"Likviditet under advarsel","Ingen større advarsler")</f>
        <v>Likviditet under advarsel</v>
      </c>
      <c r="C14" s="109" t="s">
        <v>24</v>
      </c>
    </row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 ht="15" customHeight="true">
      <c r="A33" s="72" t="s">
        <v>25</v>
      </c>
      <c r="B33" s="73" t="s">
        <v>26</v>
      </c>
      <c r="C33" s="73" t="s">
        <v>27</v>
      </c>
      <c r="D33" s="73" t="s">
        <v>28</v>
      </c>
      <c r="E33" s="74" t="s">
        <v>29</v>
      </c>
      <c r="G33" s="72" t="s">
        <v>25</v>
      </c>
      <c r="H33" s="74" t="s">
        <v>29</v>
      </c>
    </row>
    <row r="34" ht="15" customHeight="true">
      <c r="A34" s="433" t="str">
        <f>TEXT('Resultat og likviditet'!C$4,"yyyy-mm")</f>
        <v>2026-05</v>
      </c>
      <c r="B34" s="247" t="n">
        <f>'Resultat og likviditet'!C$7</f>
        <v>177300</v>
      </c>
      <c r="C34" s="247" t="n">
        <f>'Resultat og likviditet'!C$9</f>
        <v>105300</v>
      </c>
      <c r="D34" s="247" t="n">
        <f>'Resultat og likviditet'!C$18</f>
        <v>-283228.22222222225</v>
      </c>
      <c r="E34" s="248" t="n">
        <f>'Resultat og likviditet'!C$27</f>
        <v>2300000</v>
      </c>
      <c r="G34" s="433" t="str">
        <f>TEXT('Resultat og likviditet'!C$4,"yyyy-mm")</f>
        <v>2026-05</v>
      </c>
      <c r="H34" s="248" t="n">
        <f>'Resultat og likviditet'!C$27</f>
        <v>2300000</v>
      </c>
    </row>
    <row r="35" ht="15" customHeight="true">
      <c r="A35" s="434" t="str">
        <f>TEXT('Resultat og likviditet'!D$4,"yyyy-mm")</f>
        <v>2026-06</v>
      </c>
      <c r="B35" s="249" t="n">
        <f>'Resultat og likviditet'!D$7</f>
        <v>195552.05</v>
      </c>
      <c r="C35" s="249" t="n">
        <f>'Resultat og likviditet'!D$9</f>
        <v>116140.04999999999</v>
      </c>
      <c r="D35" s="249" t="n">
        <f>'Resultat og likviditet'!D$18</f>
        <v>-277583.62322222226</v>
      </c>
      <c r="E35" s="250" t="n">
        <f>'Resultat og likviditet'!D$27</f>
        <v>1966494</v>
      </c>
      <c r="G35" s="434" t="str">
        <f>TEXT('Resultat og likviditet'!D$4,"yyyy-mm")</f>
        <v>2026-06</v>
      </c>
      <c r="H35" s="250" t="n">
        <f>'Resultat og likviditet'!D$27</f>
        <v>1966494</v>
      </c>
    </row>
    <row r="36" ht="15" customHeight="true">
      <c r="A36" s="434" t="str">
        <f>TEXT('Resultat og likviditet'!E$4,"yyyy-mm")</f>
        <v>2026-07</v>
      </c>
      <c r="B36" s="249" t="n">
        <f>'Resultat og likviditet'!E$7</f>
        <v>214480.992</v>
      </c>
      <c r="C36" s="249" t="n">
        <f>'Resultat og likviditet'!E$9</f>
        <v>127382.112</v>
      </c>
      <c r="D36" s="249" t="n">
        <f>'Resultat og likviditet'!E$18</f>
        <v>-271697.7284622222</v>
      </c>
      <c r="E36" s="250" t="n">
        <f>'Resultat og likviditet'!E$27</f>
        <v>1698632.599</v>
      </c>
      <c r="G36" s="434" t="str">
        <f>TEXT('Resultat og likviditet'!E$4,"yyyy-mm")</f>
        <v>2026-07</v>
      </c>
      <c r="H36" s="250" t="n">
        <f>'Resultat og likviditet'!E$27</f>
        <v>1698632.599</v>
      </c>
    </row>
    <row r="37">
      <c r="A37" s="434" t="str">
        <f>TEXT('Resultat og likviditet'!F$4,"yyyy-mm")</f>
        <v>2026-08</v>
      </c>
      <c r="B37" s="249" t="n">
        <f>'Resultat og likviditet'!F$7</f>
        <v>234108.42606500004</v>
      </c>
      <c r="C37" s="249" t="n">
        <f>'Resultat og likviditet'!F$9</f>
        <v>139039.01446500001</v>
      </c>
      <c r="D37" s="249" t="n">
        <f>'Resultat og likviditet'!F$18</f>
        <v>-265562.5794915222</v>
      </c>
      <c r="E37" s="250" t="n">
        <f>'Resultat og likviditet'!F$27</f>
        <v>1436657.09276</v>
      </c>
      <c r="G37" s="434" t="str">
        <f>TEXT('Resultat og likviditet'!F$4,"yyyy-mm")</f>
        <v>2026-08</v>
      </c>
      <c r="H37" s="250" t="n">
        <f>'Resultat og likviditet'!F$27</f>
        <v>1436657.09276</v>
      </c>
    </row>
    <row r="38">
      <c r="A38" s="434" t="str">
        <f>TEXT('Resultat og likviditet'!G$4,"yyyy-mm")</f>
        <v>2026-09</v>
      </c>
      <c r="B38" s="249" t="n">
        <f>'Resultat og likviditet'!G$7</f>
        <v>254456.61319500007</v>
      </c>
      <c r="C38" s="249" t="n">
        <f>'Resultat og likviditet'!G$9</f>
        <v>151123.97839500004</v>
      </c>
      <c r="D38" s="249" t="n">
        <f>'Resultat og likviditet'!G$18</f>
        <v>-259169.9719101222</v>
      </c>
      <c r="E38" s="250" t="n">
        <f>'Resultat og likviditet'!G$27</f>
        <v>1180816.7354907</v>
      </c>
      <c r="G38" s="434" t="str">
        <f>TEXT('Resultat og likviditet'!G$4,"yyyy-mm")</f>
        <v>2026-09</v>
      </c>
      <c r="H38" s="250" t="n">
        <f>'Resultat og likviditet'!G$27</f>
        <v>1180816.7354907</v>
      </c>
    </row>
    <row r="39" ht="15" customHeight="true">
      <c r="A39" s="434" t="str">
        <f>TEXT('Resultat og likviditet'!H$4,"yyyy-mm")</f>
        <v>2026-10</v>
      </c>
      <c r="B39" s="249" t="n">
        <f>'Resultat og likviditet'!H$7</f>
        <v>275548.49528238055</v>
      </c>
      <c r="C39" s="249" t="n">
        <f>'Resultat og likviditet'!H$9</f>
        <v>163650.6291778605</v>
      </c>
      <c r="D39" s="249" t="n">
        <f>'Resultat og likviditet'!H$18</f>
        <v>-252511.44791828547</v>
      </c>
      <c r="E39" s="250" t="n">
        <f>'Resultat og likviditet'!H$27</f>
        <v>931368.9858028</v>
      </c>
      <c r="G39" s="434" t="str">
        <f>TEXT('Resultat og likviditet'!H$4,"yyyy-mm")</f>
        <v>2026-10</v>
      </c>
      <c r="H39" s="250" t="n">
        <f>'Resultat og likviditet'!H$27</f>
        <v>931368.9858028</v>
      </c>
    </row>
    <row r="40" ht="15" customHeight="true">
      <c r="A40" s="434" t="str">
        <f>TEXT('Resultat og likviditet'!I$4,"yyyy-mm")</f>
        <v>2026-11</v>
      </c>
      <c r="B40" s="249" t="n">
        <f>'Resultat og likviditet'!I$7</f>
        <v>297407.7156692978</v>
      </c>
      <c r="C40" s="249" t="n">
        <f>'Resultat og likviditet'!I$9</f>
        <v>176633.00879851694</v>
      </c>
      <c r="D40" s="249" t="n">
        <f>'Resultat og likviditet'!I$18</f>
        <v>-294918.28864186886</v>
      </c>
      <c r="E40" s="250" t="n">
        <f>'Resultat og likviditet'!I$27</f>
        <v>688579.7601067368</v>
      </c>
      <c r="G40" s="434" t="str">
        <f>TEXT('Resultat og likviditet'!I$4,"yyyy-mm")</f>
        <v>2026-11</v>
      </c>
      <c r="H40" s="250" t="n">
        <f>'Resultat og likviditet'!I$27</f>
        <v>688579.7601067368</v>
      </c>
    </row>
    <row r="41">
      <c r="A41" s="434" t="str">
        <f>TEXT('Resultat og likviditet'!J$4,"yyyy-mm")</f>
        <v>2026-12</v>
      </c>
      <c r="B41" s="249" t="n">
        <f>'Resultat og likviditet'!J$7</f>
        <v>320058.640323107</v>
      </c>
      <c r="C41" s="249" t="n">
        <f>'Resultat og likviditet'!J$9</f>
        <v>190085.58841524628</v>
      </c>
      <c r="D41" s="249" t="n">
        <f>'Resultat og likviditet'!J$18</f>
        <v>-287701.50622668664</v>
      </c>
      <c r="E41" s="250" t="n">
        <f>'Resultat og likviditet'!J$27</f>
        <v>403383.6936870901</v>
      </c>
      <c r="G41" s="434" t="str">
        <f>TEXT('Resultat og likviditet'!J$4,"yyyy-mm")</f>
        <v>2026-12</v>
      </c>
      <c r="H41" s="250" t="n">
        <f>'Resultat og likviditet'!J$27</f>
        <v>403383.6936870901</v>
      </c>
    </row>
    <row r="42">
      <c r="A42" s="434" t="str">
        <f>TEXT('Resultat og likviditet'!K$4,"yyyy-mm")</f>
        <v>2027-01</v>
      </c>
      <c r="B42" s="249" t="n">
        <f>'Resultat og likviditet'!K$7</f>
        <v>343526.37964836776</v>
      </c>
      <c r="C42" s="249" t="n">
        <f>'Resultat og likviditet'!K$9</f>
        <v>204023.2813140052</v>
      </c>
      <c r="D42" s="249" t="n">
        <f>'Resultat og likviditet'!K$18</f>
        <v>-280191.83569497144</v>
      </c>
      <c r="E42" s="250" t="n">
        <f>'Resultat og likviditet'!K$27</f>
        <v>125404.40968262573</v>
      </c>
      <c r="G42" s="434" t="str">
        <f>TEXT('Resultat og likviditet'!K$4,"yyyy-mm")</f>
        <v>2027-01</v>
      </c>
      <c r="H42" s="250" t="n">
        <f>'Resultat og likviditet'!K$27</f>
        <v>125404.40968262573</v>
      </c>
    </row>
    <row r="43">
      <c r="A43" s="434" t="str">
        <f>TEXT('Resultat og likviditet'!L$4,"yyyy-mm")</f>
        <v>2027-02</v>
      </c>
      <c r="B43" s="249" t="n">
        <f>'Resultat og likviditet'!L$7</f>
        <v>367836.8109545421</v>
      </c>
      <c r="C43" s="249" t="n">
        <f>'Resultat og likviditet'!L$9</f>
        <v>218461.45625218996</v>
      </c>
      <c r="D43" s="249" t="n">
        <f>'Resultat og likviditet'!L$18</f>
        <v>-272379.72655678616</v>
      </c>
      <c r="E43" s="250" t="n">
        <f>'Resultat og likviditet'!L$27</f>
        <v>-145065.2037901234</v>
      </c>
      <c r="G43" s="434" t="str">
        <f>TEXT('Resultat og likviditet'!L$4,"yyyy-mm")</f>
        <v>2027-02</v>
      </c>
      <c r="H43" s="250" t="n">
        <f>'Resultat og likviditet'!L$27</f>
        <v>-145065.2037901234</v>
      </c>
    </row>
    <row r="44">
      <c r="A44" s="434" t="str">
        <f>TEXT('Resultat og likviditet'!M$4,"yyyy-mm")</f>
        <v>2027-03</v>
      </c>
      <c r="B44" s="249" t="n">
        <f>'Resultat og likviditet'!M$7</f>
        <v>393016.60159906873</v>
      </c>
      <c r="C44" s="249" t="n">
        <f>'Resultat og likviditet'!M$9</f>
        <v>233415.9512035078</v>
      </c>
      <c r="D44" s="249" t="n">
        <f>'Resultat og likviditet'!M$18</f>
        <v>-264255.33416903176</v>
      </c>
      <c r="E44" s="250" t="n">
        <f>'Resultat og likviditet'!M$27</f>
        <v>-407722.7081246873</v>
      </c>
      <c r="G44" s="434" t="str">
        <f>TEXT('Resultat og likviditet'!M$4,"yyyy-mm")</f>
        <v>2027-03</v>
      </c>
      <c r="H44" s="250" t="n">
        <f>'Resultat og likviditet'!M$27</f>
        <v>-407722.7081246873</v>
      </c>
    </row>
    <row r="45">
      <c r="A45" s="434" t="str">
        <f>TEXT('Resultat og likviditet'!N$4,"yyyy-mm")</f>
        <v>2027-04</v>
      </c>
      <c r="B45" s="249" t="n">
        <f>'Resultat og likviditet'!N$7</f>
        <v>419093.23282609024</v>
      </c>
      <c r="C45" s="249" t="n">
        <f>'Resultat og likviditet'!N$9</f>
        <v>248903.08751600282</v>
      </c>
      <c r="D45" s="249" t="n">
        <f>'Resultat og likviditet'!N$18</f>
        <v>-255808.51083446658</v>
      </c>
      <c r="E45" s="250" t="n">
        <f>'Resultat og likviditet'!N$27</f>
        <v>-662255.8200714968</v>
      </c>
      <c r="G45" s="434" t="str">
        <f>TEXT('Resultat og likviditet'!N$4,"yyyy-mm")</f>
        <v>2027-04</v>
      </c>
      <c r="H45" s="250" t="n">
        <f>'Resultat og likviditet'!N$27</f>
        <v>-662255.8200714968</v>
      </c>
    </row>
    <row r="46">
      <c r="A46" s="434" t="str">
        <f>TEXT('Resultat og likviditet'!O$4,"yyyy-mm")</f>
        <v>2027-05</v>
      </c>
      <c r="B46" s="249" t="n">
        <f>'Resultat og likviditet'!O$7</f>
        <v>446095.0243217128</v>
      </c>
      <c r="C46" s="249" t="n">
        <f>'Resultat og likviditet'!O$9</f>
        <v>264939.6844956365</v>
      </c>
      <c r="D46" s="249" t="n">
        <f>'Resultat og likviditet'!O$18</f>
        <v>-313407.996632935</v>
      </c>
      <c r="E46" s="250" t="n">
        <f>'Resultat og likviditet'!O$27</f>
        <v>-908342.1086837412</v>
      </c>
      <c r="G46" s="434" t="str">
        <f>TEXT('Resultat og likviditet'!O$4,"yyyy-mm")</f>
        <v>2027-05</v>
      </c>
      <c r="H46" s="250" t="n">
        <f>'Resultat og likviditet'!O$27</f>
        <v>-908342.1086837412</v>
      </c>
    </row>
    <row r="47">
      <c r="A47" s="434" t="str">
        <f>TEXT('Resultat og likviditet'!P$4,"yyyy-mm")</f>
        <v>2027-06</v>
      </c>
      <c r="B47" s="249" t="n">
        <f>'Resultat og likviditet'!P$7</f>
        <v>474051.15950731246</v>
      </c>
      <c r="C47" s="249" t="n">
        <f>'Resultat og likviditet'!P$9</f>
        <v>281543.07442820084</v>
      </c>
      <c r="D47" s="249" t="n">
        <f>'Resultat og likviditet'!P$18</f>
        <v>-304284.60997675825</v>
      </c>
      <c r="E47" s="250" t="n">
        <f>'Resultat og likviditet'!P$27</f>
        <v>-1212027.883094454</v>
      </c>
      <c r="G47" s="434" t="str">
        <f>TEXT('Resultat og likviditet'!P$4,"yyyy-mm")</f>
        <v>2027-06</v>
      </c>
      <c r="H47" s="250" t="n">
        <f>'Resultat og likviditet'!P$27</f>
        <v>-1212027.883094454</v>
      </c>
    </row>
    <row r="48">
      <c r="A48" s="434" t="str">
        <f>TEXT('Resultat og likviditet'!Q$4,"yyyy-mm")</f>
        <v>2027-07</v>
      </c>
      <c r="B48" s="249" t="n">
        <f>'Resultat og likviditet'!Q$7</f>
        <v>502991.7115930396</v>
      </c>
      <c r="C48" s="249" t="n">
        <f>'Resultat og likviditet'!Q$9</f>
        <v>298731.1180527189</v>
      </c>
      <c r="D48" s="249" t="n">
        <f>'Resultat og likviditet'!Q$18</f>
        <v>-294806.4378820115</v>
      </c>
      <c r="E48" s="250" t="n">
        <f>'Resultat og likviditet'!Q$27</f>
        <v>-1506590.27084899</v>
      </c>
      <c r="G48" s="434" t="str">
        <f>TEXT('Resultat og likviditet'!Q$4,"yyyy-mm")</f>
        <v>2027-07</v>
      </c>
      <c r="H48" s="250" t="n">
        <f>'Resultat og likviditet'!Q$27</f>
        <v>-1506590.27084899</v>
      </c>
    </row>
    <row r="49">
      <c r="A49" s="434" t="str">
        <f>TEXT('Resultat og likviditet'!R$4,"yyyy-mm")</f>
        <v>2027-08</v>
      </c>
      <c r="B49" s="249" t="n">
        <f>'Resultat og likviditet'!R$7</f>
        <v>532947.6704143437</v>
      </c>
      <c r="C49" s="249" t="n">
        <f>'Resultat og likviditet'!R$9</f>
        <v>316522.22049988946</v>
      </c>
      <c r="D49" s="249" t="n">
        <f>'Resultat og likviditet'!R$18</f>
        <v>-284962.0259471482</v>
      </c>
      <c r="E49" s="250" t="n">
        <f>'Resultat og likviditet'!R$27</f>
        <v>-1791674.4865087792</v>
      </c>
      <c r="G49" s="434" t="str">
        <f>TEXT('Resultat og likviditet'!R$4,"yyyy-mm")</f>
        <v>2027-08</v>
      </c>
      <c r="H49" s="250" t="n">
        <f>'Resultat og likviditet'!R$27</f>
        <v>-1791674.4865087792</v>
      </c>
    </row>
    <row r="50">
      <c r="A50" s="434" t="str">
        <f>TEXT('Resultat og likviditet'!S$4,"yyyy-mm")</f>
        <v>2027-09</v>
      </c>
      <c r="B50" s="249" t="n">
        <f>'Resultat og likviditet'!S$7</f>
        <v>563950.970075022</v>
      </c>
      <c r="C50" s="249" t="n">
        <f>'Resultat og likviditet'!S$9</f>
        <v>334935.34770953085</v>
      </c>
      <c r="D50" s="249" t="n">
        <f>'Resultat og likviditet'!S$18</f>
        <v>-274739.56803019275</v>
      </c>
      <c r="E50" s="250" t="n">
        <f>'Resultat og likviditet'!S$27</f>
        <v>-2066914.2902337052</v>
      </c>
      <c r="G50" s="434" t="str">
        <f>TEXT('Resultat og likviditet'!S$4,"yyyy-mm")</f>
        <v>2027-09</v>
      </c>
      <c r="H50" s="250" t="n">
        <f>'Resultat og likviditet'!S$27</f>
        <v>-2066914.2902337052</v>
      </c>
    </row>
    <row r="51">
      <c r="A51" s="434" t="str">
        <f>TEXT('Resultat og likviditet'!T$4,"yyyy-mm")</f>
        <v>2027-10</v>
      </c>
      <c r="B51" s="249" t="n">
        <f>'Resultat og likviditet'!T$7</f>
        <v>596034.517421003</v>
      </c>
      <c r="C51" s="249" t="n">
        <f>'Resultat og likviditet'!T$9</f>
        <v>353990.04334140784</v>
      </c>
      <c r="D51" s="249" t="n">
        <f>'Resultat og likviditet'!T$18</f>
        <v>-264126.89561544155</v>
      </c>
      <c r="E51" s="250" t="n">
        <f>'Resultat og likviditet'!T$27</f>
        <v>-2331931.6360416757</v>
      </c>
      <c r="G51" s="434" t="str">
        <f>TEXT('Resultat og likviditet'!T$4,"yyyy-mm")</f>
        <v>2027-10</v>
      </c>
      <c r="H51" s="250" t="n">
        <f>'Resultat og likviditet'!T$27</f>
        <v>-2331931.6360416757</v>
      </c>
    </row>
    <row r="52">
      <c r="A52" s="434" t="str">
        <f>TEXT('Resultat og likviditet'!U$4,"yyyy-mm")</f>
        <v>2027-11</v>
      </c>
      <c r="B52" s="249" t="n">
        <f>'Resultat og likviditet'!U$7</f>
        <v>629232.2213698007</v>
      </c>
      <c r="C52" s="249" t="n">
        <f>'Resultat og likviditet'!U$9</f>
        <v>373706.4461942471</v>
      </c>
      <c r="D52" s="249" t="n">
        <f>'Resultat og likviditet'!U$18</f>
        <v>-305143.46686035785</v>
      </c>
      <c r="E52" s="250" t="n">
        <f>'Resultat og likviditet'!U$27</f>
        <v>-2586336.309434895</v>
      </c>
      <c r="G52" s="434" t="str">
        <f>TEXT('Resultat og likviditet'!U$4,"yyyy-mm")</f>
        <v>2027-11</v>
      </c>
      <c r="H52" s="250" t="n">
        <f>'Resultat og likviditet'!U$27</f>
        <v>-2586336.309434895</v>
      </c>
    </row>
    <row r="53">
      <c r="A53" s="434" t="str">
        <f>TEXT('Resultat og likviditet'!V$4,"yyyy-mm")</f>
        <v>2027-12</v>
      </c>
      <c r="B53" s="249" t="n">
        <f>'Resultat og likviditet'!V$7</f>
        <v>663579.0231213243</v>
      </c>
      <c r="C53" s="249" t="n">
        <f>'Resultat og likviditet'!V$9</f>
        <v>394105.30814819766</v>
      </c>
      <c r="D53" s="249" t="n">
        <f>'Resultat og likviditet'!V$18</f>
        <v>-293712.35531305266</v>
      </c>
      <c r="E53" s="250" t="n">
        <f>'Resultat og likviditet'!V$27</f>
        <v>-2881757.5540730306</v>
      </c>
      <c r="G53" s="434" t="str">
        <f>TEXT('Resultat og likviditet'!V$4,"yyyy-mm")</f>
        <v>2027-12</v>
      </c>
      <c r="H53" s="250" t="n">
        <f>'Resultat og likviditet'!V$27</f>
        <v>-2881757.5540730306</v>
      </c>
    </row>
    <row r="54">
      <c r="A54" s="434" t="str">
        <f>TEXT('Resultat og likviditet'!W$4,"yyyy-mm")</f>
        <v>2028-01</v>
      </c>
      <c r="B54" s="249" t="n">
        <f>'Resultat og likviditet'!W$7</f>
        <v>699110.9272764977</v>
      </c>
      <c r="C54" s="249" t="n">
        <f>'Resultat og likviditet'!W$9</f>
        <v>415208.01264644787</v>
      </c>
      <c r="D54" s="249" t="n">
        <f>'Resultat og likviditet'!W$18</f>
        <v>-281852.238290464</v>
      </c>
      <c r="E54" s="250" t="n">
        <f>'Resultat og likviditet'!W$27</f>
        <v>-3165747.687163861</v>
      </c>
      <c r="G54" s="434" t="str">
        <f>TEXT('Resultat og likviditet'!W$4,"yyyy-mm")</f>
        <v>2028-01</v>
      </c>
      <c r="H54" s="250" t="n">
        <f>'Resultat og likviditet'!W$27</f>
        <v>-3165747.687163861</v>
      </c>
    </row>
    <row r="55">
      <c r="A55" s="434" t="str">
        <f>TEXT('Resultat og likviditet'!X$4,"yyyy-mm")</f>
        <v>2028-02</v>
      </c>
      <c r="B55" s="249" t="n">
        <f>'Resultat og likviditet'!X$7</f>
        <v>735865.0338909415</v>
      </c>
      <c r="C55" s="249" t="n">
        <f>'Resultat og likviditet'!X$9</f>
        <v>437036.5937321835</v>
      </c>
      <c r="D55" s="249" t="n">
        <f>'Resultat og likviditet'!X$18</f>
        <v>-269549.38490704464</v>
      </c>
      <c r="E55" s="250" t="n">
        <f>'Resultat og likviditet'!X$27</f>
        <v>-3437877.7032321026</v>
      </c>
      <c r="G55" s="434" t="str">
        <f>TEXT('Resultat og likviditet'!X$4,"yyyy-mm")</f>
        <v>2028-02</v>
      </c>
      <c r="H55" s="250" t="n">
        <f>'Resultat og likviditet'!X$27</f>
        <v>-3437877.7032321026</v>
      </c>
    </row>
    <row r="56">
      <c r="A56" s="434" t="str">
        <f>TEXT('Resultat og likviditet'!Y$4,"yyyy-mm")</f>
        <v>2028-03</v>
      </c>
      <c r="B56" s="249" t="n">
        <f>'Resultat og likviditet'!Y$7</f>
        <v>773879.5714917803</v>
      </c>
      <c r="C56" s="249" t="n">
        <f>'Resultat og likviditet'!Y$9</f>
        <v>459613.7556575548</v>
      </c>
      <c r="D56" s="249" t="n">
        <f>'Resultat og likviditet'!Y$18</f>
        <v>-256789.64374346778</v>
      </c>
      <c r="E56" s="250" t="n">
        <f>'Resultat og likviditet'!Y$27</f>
        <v>-3697704.865916925</v>
      </c>
      <c r="G56" s="434" t="str">
        <f>TEXT('Resultat og likviditet'!Y$4,"yyyy-mm")</f>
        <v>2028-03</v>
      </c>
      <c r="H56" s="250" t="n">
        <f>'Resultat og likviditet'!Y$27</f>
        <v>-3697704.865916925</v>
      </c>
    </row>
    <row r="57">
      <c r="A57" s="435" t="str">
        <f>TEXT('Resultat og likviditet'!Z$4,"yyyy-mm")</f>
        <v>2028-04</v>
      </c>
      <c r="B57" s="313" t="n">
        <f>'Resultat og likviditet'!Z$7</f>
        <v>813193.9310864855</v>
      </c>
      <c r="C57" s="313" t="n">
        <f>'Resultat og likviditet'!Z$9</f>
        <v>482962.8930818213</v>
      </c>
      <c r="D57" s="313" t="n">
        <f>'Resultat og likviditet'!Z$18</f>
        <v>-243558.43014454245</v>
      </c>
      <c r="E57" s="314" t="n">
        <f>'Resultat og likviditet'!Z$27</f>
        <v>-3944772.2874381705</v>
      </c>
      <c r="G57" s="435" t="str">
        <f>TEXT('Resultat og likviditet'!Z$4,"yyyy-mm")</f>
        <v>2028-04</v>
      </c>
      <c r="H57" s="314" t="n">
        <f>'Resultat og likviditet'!Z$27</f>
        <v>-3944772.2874381705</v>
      </c>
    </row>
  </sheetData>
  <conditionalFormatting sqref="B9:B9">
    <cfRule type="cellIs" dxfId="4" priority="1" operator="lessThan">
      <formula>0</formula>
    </cfRule>
  </conditionalFormatting>
  <conditionalFormatting sqref="B13:B13">
    <cfRule type="expression" dxfId="5" priority="2">
      <formula>B13&lt;'Inputantagelser'!$B$15</formula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pageMargins left="0.7" right="0.7" top="0.75" bottom="0.75" header="0.3" footer="0.3"/>
  <drawing r:id="R1ff37b07733c4aaa"/>
</worksheet>
</file>

<file path=xl/worksheets/sheet10.xml><?xml version="1.0" encoding="utf-8"?>
<worksheet xmlns:x="http://schemas.openxmlformats.org/spreadsheetml/2006/main" xmlns="http://schemas.openxmlformats.org/spreadsheetml/2006/main">
  <sheetViews>
    <sheetView showGridLines="false" workbookViewId="0"/>
  </sheetViews>
  <sheetFormatPr defaultRowHeight="15"/>
  <cols>
    <col customWidth="true" max="1" min="1" width="6"/>
    <col customWidth="true" max="2" min="2" width="32"/>
    <col customWidth="true" max="3" min="3" width="74"/>
  </cols>
  <sheetData>
    <row r="1" ht="19.53125" customHeight="true">
      <c r="A1" s="4" t="s">
        <v>251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" customHeight="true">
      <c r="A2" s="6" t="s">
        <v>252</v>
      </c>
    </row>
    <row r="3"/>
    <row r="4" ht="15" customHeight="true">
      <c r="A4" s="72" t="s">
        <v>253</v>
      </c>
      <c r="B4" s="73" t="s">
        <v>254</v>
      </c>
      <c r="C4" s="74" t="s">
        <v>4</v>
      </c>
    </row>
    <row r="5" ht="26.85546875" customHeight="true">
      <c r="A5" s="421" t="n">
        <v>1</v>
      </c>
      <c r="B5" s="83" t="s">
        <v>255</v>
      </c>
      <c r="C5" s="107" t="s">
        <v>256</v>
      </c>
    </row>
    <row r="6" ht="26.85546875" customHeight="true">
      <c r="A6" s="422" t="n">
        <v>2</v>
      </c>
      <c r="B6" s="84" t="s">
        <v>257</v>
      </c>
      <c r="C6" s="108" t="s">
        <v>258</v>
      </c>
    </row>
    <row r="7" ht="26.85546875" customHeight="true">
      <c r="A7" s="422" t="n">
        <v>3</v>
      </c>
      <c r="B7" s="84" t="s">
        <v>259</v>
      </c>
      <c r="C7" s="108" t="s">
        <v>260</v>
      </c>
    </row>
    <row r="8" ht="26.85546875" customHeight="true">
      <c r="A8" s="422" t="n">
        <v>4</v>
      </c>
      <c r="B8" s="84" t="s">
        <v>261</v>
      </c>
      <c r="C8" s="108" t="s">
        <v>262</v>
      </c>
    </row>
    <row r="9" ht="26.85546875" customHeight="true">
      <c r="A9" s="422" t="n">
        <v>5</v>
      </c>
      <c r="B9" s="84" t="s">
        <v>263</v>
      </c>
      <c r="C9" s="108" t="s">
        <v>264</v>
      </c>
    </row>
    <row r="10" ht="26.85546875" customHeight="true">
      <c r="A10" s="422" t="n">
        <v>6</v>
      </c>
      <c r="B10" s="84" t="s">
        <v>265</v>
      </c>
      <c r="C10" s="108" t="s">
        <v>266</v>
      </c>
    </row>
    <row r="11" ht="26.85546875" customHeight="true">
      <c r="A11" s="422" t="n">
        <v>7</v>
      </c>
      <c r="B11" s="84" t="s">
        <v>267</v>
      </c>
      <c r="C11" s="108" t="s">
        <v>268</v>
      </c>
    </row>
    <row r="12" ht="26.85546875" customHeight="true">
      <c r="A12" s="422" t="n">
        <v>8</v>
      </c>
      <c r="B12" s="84" t="s">
        <v>269</v>
      </c>
      <c r="C12" s="108" t="s">
        <v>270</v>
      </c>
    </row>
    <row r="13" ht="53.7109375" customHeight="true">
      <c r="A13" s="422" t="n">
        <v>9</v>
      </c>
      <c r="B13" s="84" t="s">
        <v>271</v>
      </c>
      <c r="C13" s="108" t="str">
        <v>用户提供的本地Opgave方向：http://localhost:2020/zh/excel-templates/finance/startup-operating-cost-profit-forecast/。由于该链接为 localhost，本环境无法直接访问页面；Skabelonstruktur基于通用创业财务Detail / e-handel / produktion模型原则构建。</v>
      </c>
    </row>
    <row r="14" ht="26.85546875" customHeight="true">
      <c r="A14" s="423" t="n">
        <v>10</v>
      </c>
      <c r="B14" s="85" t="s">
        <v>272</v>
      </c>
      <c r="C14" s="109" t="s">
        <v>273</v>
      </c>
    </row>
  </sheetData>
  <ignoredErrors>
    <ignoredError sqref="A1:XFD1048576" evalError="1" twoDigitTextYear="1" numberStoredAsText="1" formula="1" formulaRange="1" unlockedFormula="1" emptyCellReference="1" listDataValidation="1" calculatedColumn="1"/>
  </ignoredErrors>
  <pageMargins left="0.7" right="0.7" top="0.75" bottom="0.75" header="0.3" footer="0.3"/>
</worksheet>
</file>

<file path=xl/worksheets/sheet2.xml><?xml version="1.0" encoding="utf-8"?>
<worksheet xmlns:x="http://schemas.openxmlformats.org/spreadsheetml/2006/main" xmlns="http://schemas.openxmlformats.org/spreadsheetml/2006/main" xmlns:r="http://schemas.openxmlformats.org/officeDocument/2006/relationships">
  <sheetViews>
    <sheetView showGridLines="false" workbookViewId="0"/>
  </sheetViews>
  <sheetFormatPr defaultRowHeight="15"/>
  <cols>
    <col customWidth="true" max="1" min="1" width="22"/>
    <col customWidth="true" max="2" min="2" width="18"/>
    <col customWidth="true" max="3" min="3" width="4"/>
    <col customWidth="true" max="4" min="4" width="20"/>
    <col customWidth="true" max="7" min="5" width="14"/>
    <col customWidth="true" max="8" min="8" width="34"/>
    <col customWidth="true" max="9" min="9" width="12"/>
  </cols>
  <sheetData>
    <row r="1" ht="19.53125" customHeight="true">
      <c r="A1" s="4" t="s">
        <v>30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" customHeight="true">
      <c r="A2" s="6" t="s">
        <v>31</v>
      </c>
    </row>
    <row r="3"/>
    <row r="4" ht="15" customHeight="true">
      <c r="A4" s="14" t="s">
        <v>32</v>
      </c>
      <c r="B4" s="14" t="s">
        <v>33</v>
      </c>
      <c r="D4" s="14" t="s">
        <v>34</v>
      </c>
      <c r="E4" s="14"/>
      <c r="F4" s="14"/>
      <c r="G4" s="14"/>
      <c r="H4" s="14"/>
    </row>
    <row r="5" ht="15" customHeight="true">
      <c r="A5" s="28" t="s">
        <v>5</v>
      </c>
      <c r="B5" s="46" t="s">
        <v>35</v>
      </c>
      <c r="D5" s="72" t="s">
        <v>36</v>
      </c>
      <c r="E5" s="73" t="s">
        <v>37</v>
      </c>
      <c r="F5" s="73" t="s">
        <v>38</v>
      </c>
      <c r="G5" s="73" t="s">
        <v>39</v>
      </c>
      <c r="H5" s="74" t="s">
        <v>4</v>
      </c>
    </row>
    <row r="6" ht="15" customHeight="true">
      <c r="A6" s="30" t="s">
        <v>40</v>
      </c>
      <c r="B6" s="52" t="n">
        <v>46143</v>
      </c>
      <c r="D6" s="28" t="s">
        <v>41</v>
      </c>
      <c r="E6" s="101" t="n">
        <v>0.04</v>
      </c>
      <c r="F6" s="101" t="n">
        <v>0.08</v>
      </c>
      <c r="G6" s="101" t="n">
        <v>0.12</v>
      </c>
      <c r="H6" s="107" t="s">
        <v>42</v>
      </c>
    </row>
    <row r="7" ht="15" customHeight="true">
      <c r="A7" s="30" t="s">
        <v>43</v>
      </c>
      <c r="B7" s="47" t="n">
        <v>24</v>
      </c>
      <c r="D7" s="30" t="s">
        <v>44</v>
      </c>
      <c r="E7" s="102" t="n">
        <v>0.08</v>
      </c>
      <c r="F7" s="102" t="n">
        <v>0.05</v>
      </c>
      <c r="G7" s="102" t="n">
        <v>0.03</v>
      </c>
      <c r="H7" s="108" t="s">
        <v>45</v>
      </c>
    </row>
    <row r="8" ht="15" customHeight="true">
      <c r="A8" s="30" t="s">
        <v>7</v>
      </c>
      <c r="B8" s="47" t="s">
        <v>38</v>
      </c>
      <c r="D8" s="30" t="s">
        <v>46</v>
      </c>
      <c r="E8" s="102" t="n">
        <v>0.45</v>
      </c>
      <c r="F8" s="102" t="n">
        <v>0.6</v>
      </c>
      <c r="G8" s="102" t="n">
        <v>0.7</v>
      </c>
      <c r="H8" s="108" t="s">
        <v>47</v>
      </c>
    </row>
    <row r="9" ht="15" customHeight="true">
      <c r="A9" s="30" t="s">
        <v>9</v>
      </c>
      <c r="B9" s="47" t="str">
        <v>SaaS/Abonnement</v>
      </c>
      <c r="D9" s="30" t="s">
        <v>48</v>
      </c>
      <c r="E9" s="102" t="n">
        <v>0.18</v>
      </c>
      <c r="F9" s="102" t="n">
        <v>0.15</v>
      </c>
      <c r="G9" s="102" t="n">
        <v>0.12</v>
      </c>
      <c r="H9" s="108" t="s">
        <v>49</v>
      </c>
    </row>
    <row r="10" ht="15" customHeight="true">
      <c r="A10" s="30" t="s">
        <v>50</v>
      </c>
      <c r="B10" s="47" t="s">
        <v>51</v>
      </c>
      <c r="D10" s="30" t="s">
        <v>52</v>
      </c>
      <c r="E10" s="102" t="n">
        <v>0.015</v>
      </c>
      <c r="F10" s="102" t="n">
        <v>0.01</v>
      </c>
      <c r="G10" s="102" t="n">
        <v>0.007</v>
      </c>
      <c r="H10" s="108" t="s">
        <v>53</v>
      </c>
    </row>
    <row r="11" ht="15" customHeight="true">
      <c r="A11" s="30" t="s">
        <v>54</v>
      </c>
      <c r="B11" s="54" t="n">
        <v>3000000</v>
      </c>
      <c r="D11" s="30" t="s">
        <v>55</v>
      </c>
      <c r="E11" s="102" t="n">
        <v>0.7</v>
      </c>
      <c r="F11" s="102" t="n">
        <v>1</v>
      </c>
      <c r="G11" s="102" t="n">
        <v>1.3</v>
      </c>
      <c r="H11" s="108" t="s">
        <v>56</v>
      </c>
    </row>
    <row r="12" ht="15" customHeight="true">
      <c r="A12" s="30" t="s">
        <v>57</v>
      </c>
      <c r="B12" s="56" t="n">
        <v>0.25</v>
      </c>
      <c r="D12" s="30" t="s">
        <v>58</v>
      </c>
      <c r="E12" s="102" t="n">
        <v>0</v>
      </c>
      <c r="F12" s="102" t="n">
        <v>0.01</v>
      </c>
      <c r="G12" s="102" t="n">
        <v>0.02</v>
      </c>
      <c r="H12" s="108" t="s">
        <v>59</v>
      </c>
    </row>
    <row r="13" ht="15" customHeight="true">
      <c r="A13" s="30" t="s">
        <v>60</v>
      </c>
      <c r="B13" s="58" t="n">
        <v>1</v>
      </c>
      <c r="D13" s="32" t="s">
        <v>61</v>
      </c>
      <c r="E13" s="103" t="n">
        <v>0.03</v>
      </c>
      <c r="F13" s="103" t="n">
        <v>0.015</v>
      </c>
      <c r="G13" s="103" t="n">
        <v>0.005</v>
      </c>
      <c r="H13" s="109" t="s">
        <v>62</v>
      </c>
    </row>
    <row r="14" ht="15" customHeight="true">
      <c r="A14" s="30" t="s">
        <v>63</v>
      </c>
      <c r="B14" s="58" t="n">
        <v>1</v>
      </c>
    </row>
    <row r="15" ht="15" customHeight="true">
      <c r="A15" s="30" t="s">
        <v>64</v>
      </c>
      <c r="B15" s="54" t="n">
        <v>100000</v>
      </c>
    </row>
    <row r="16" ht="15" customHeight="true">
      <c r="A16" s="32" t="s">
        <v>65</v>
      </c>
      <c r="B16" s="60" t="n">
        <v>0.05</v>
      </c>
    </row>
    <row r="17"/>
    <row r="18"/>
    <row r="19" ht="15" customHeight="true">
      <c r="A19" s="14" t="s">
        <v>66</v>
      </c>
      <c r="B19" s="14" t="s">
        <v>67</v>
      </c>
    </row>
    <row r="20" ht="15" customHeight="true">
      <c r="A20" s="28" t="s">
        <v>41</v>
      </c>
      <c r="B20" s="125" t="n">
        <f>INDEX($E$6:$G$13,MATCH(A20,$D$6:$D$13,0),MATCH($B$8,$E$5:$G$5,0))</f>
        <v>0.08</v>
      </c>
    </row>
    <row r="21" ht="15" customHeight="true">
      <c r="A21" s="30" t="s">
        <v>44</v>
      </c>
      <c r="B21" s="126" t="n">
        <f>INDEX($E$6:$G$13,MATCH(A21,$D$6:$D$13,0),MATCH($B$8,$E$5:$G$5,0))</f>
        <v>0.05</v>
      </c>
    </row>
    <row r="22" ht="15" customHeight="true">
      <c r="A22" s="30" t="s">
        <v>46</v>
      </c>
      <c r="B22" s="126" t="n">
        <f>INDEX($E$6:$G$13,MATCH(A22,$D$6:$D$13,0),MATCH($B$8,$E$5:$G$5,0))</f>
        <v>0.6</v>
      </c>
    </row>
    <row r="23" ht="15" customHeight="true">
      <c r="A23" s="30" t="s">
        <v>48</v>
      </c>
      <c r="B23" s="126" t="n">
        <f>INDEX($E$6:$G$13,MATCH(A23,$D$6:$D$13,0),MATCH($B$8,$E$5:$G$5,0))</f>
        <v>0.15</v>
      </c>
    </row>
    <row r="24" ht="15" customHeight="true">
      <c r="A24" s="30" t="s">
        <v>52</v>
      </c>
      <c r="B24" s="126" t="n">
        <f>INDEX($E$6:$G$13,MATCH(A24,$D$6:$D$13,0),MATCH($B$8,$E$5:$G$5,0))</f>
        <v>0.01</v>
      </c>
    </row>
    <row r="25" ht="15" customHeight="true">
      <c r="A25" s="30" t="s">
        <v>55</v>
      </c>
      <c r="B25" s="126" t="n">
        <f>INDEX($E$6:$G$13,MATCH(A25,$D$6:$D$13,0),MATCH($B$8,$E$5:$G$5,0))</f>
        <v>1</v>
      </c>
    </row>
    <row r="26" ht="15" customHeight="true">
      <c r="A26" s="30" t="s">
        <v>58</v>
      </c>
      <c r="B26" s="126" t="n">
        <f>INDEX($E$6:$G$13,MATCH(A26,$D$6:$D$13,0),MATCH($B$8,$E$5:$G$5,0))</f>
        <v>0.01</v>
      </c>
    </row>
    <row r="27" ht="15" customHeight="true">
      <c r="A27" s="32" t="s">
        <v>61</v>
      </c>
      <c r="B27" s="127" t="n">
        <f>INDEX($E$6:$G$13,MATCH(A27,$D$6:$D$13,0),MATCH($B$8,$E$5:$G$5,0))</f>
        <v>0.015</v>
      </c>
    </row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4">
    <dataValidation allowBlank="false" sqref="B8" type="list">
      <formula1>"Konservativ,Basis,Optimistisk"</formula1>
    </dataValidation>
    <dataValidation allowBlank="false" sqref="B9" type="list">
      <formula1>"SaaS/Abonnement,E-handelsdetail,Professionelle tjenester,Produktion / hardware,Foodservice / fysisk butik,平台/撮合,Andet"</formula1>
    </dataValidation>
    <dataValidation allowBlank="false" operator="between" sqref="B7" type="whole">
      <formula1>12</formula1>
      <formula2>36</formula2>
    </dataValidation>
    <dataValidation allowBlank="false" operator="between" sqref="B13:B14" type="whole">
      <formula1>0</formula1>
      <formula2>6</formula2>
    </dataValidation>
  </dataValidations>
  <pageMargins left="0.7" right="0.7" top="0.75" bottom="0.75" header="0.3" footer="0.3"/>
</worksheet>
</file>

<file path=xl/worksheets/sheet3.xml><?xml version="1.0" encoding="utf-8"?>
<worksheet xmlns:x="http://schemas.openxmlformats.org/spreadsheetml/2006/main" xmlns="http://schemas.openxmlformats.org/spreadsheetml/2006/main" xmlns:r="http://schemas.openxmlformats.org/officeDocument/2006/relationships">
  <sheetViews>
    <sheetView showGridLines="false" workbookViewId="0"/>
  </sheetViews>
  <sheetFormatPr defaultRowHeight="15"/>
  <cols>
    <col customWidth="true" max="1" min="1" width="18"/>
    <col customWidth="true" max="2" min="2" width="14"/>
    <col customWidth="true" max="3" min="3" width="10"/>
    <col customWidth="true" max="4" min="4" width="14"/>
    <col customWidth="true" max="5" min="5" width="12"/>
    <col customWidth="true" max="6" min="6" width="14"/>
    <col customWidth="true" max="7" min="7" width="16"/>
    <col customWidth="true" max="10" min="8" width="14"/>
    <col customWidth="true" max="11" min="11" width="32"/>
    <col customWidth="true" max="12" min="12" width="14"/>
  </cols>
  <sheetData>
    <row r="1" ht="19.53125" customHeight="true">
      <c r="A1" s="4" t="s">
        <v>68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" customHeight="true">
      <c r="A2" s="6" t="s">
        <v>69</v>
      </c>
    </row>
    <row r="3"/>
    <row r="4" ht="24.4140625" customHeight="true">
      <c r="A4" s="72" t="s">
        <v>70</v>
      </c>
      <c r="B4" s="73" t="s">
        <v>71</v>
      </c>
      <c r="C4" s="73" t="s">
        <v>72</v>
      </c>
      <c r="D4" s="73" t="s">
        <v>73</v>
      </c>
      <c r="E4" s="73" t="s">
        <v>74</v>
      </c>
      <c r="F4" s="73" t="s">
        <v>75</v>
      </c>
      <c r="G4" s="73" t="s">
        <v>76</v>
      </c>
      <c r="H4" s="73" t="s">
        <v>77</v>
      </c>
      <c r="I4" s="73" t="s">
        <v>78</v>
      </c>
      <c r="J4" s="73" t="s">
        <v>79</v>
      </c>
      <c r="K4" s="73" t="s">
        <v>4</v>
      </c>
      <c r="L4" s="74" t="s">
        <v>80</v>
      </c>
    </row>
    <row r="5" ht="15" customHeight="true">
      <c r="A5" s="143" t="str">
        <v>核心produkt / tjenesteA</v>
      </c>
      <c r="B5" s="144" t="s">
        <v>81</v>
      </c>
      <c r="C5" s="144" t="s">
        <v>82</v>
      </c>
      <c r="D5" s="155" t="n">
        <v>120000</v>
      </c>
      <c r="E5" s="155" t="n">
        <v>500</v>
      </c>
      <c r="F5" s="155" t="n">
        <v>200</v>
      </c>
      <c r="G5" s="155" t="n">
        <v>20</v>
      </c>
      <c r="H5" s="101"/>
      <c r="I5" s="101"/>
      <c r="J5" s="101"/>
      <c r="K5" s="167" t="s">
        <v>83</v>
      </c>
      <c r="L5" s="161" t="n">
        <f>IF(C5="Ja",E5*G5,0)</f>
        <v>10000</v>
      </c>
    </row>
    <row r="6" ht="15" customHeight="true">
      <c r="A6" s="145" t="str">
        <v>核心produkt / tjenesteB</v>
      </c>
      <c r="B6" s="146" t="s">
        <v>81</v>
      </c>
      <c r="C6" s="146" t="s">
        <v>82</v>
      </c>
      <c r="D6" s="156" t="n">
        <v>60000</v>
      </c>
      <c r="E6" s="156" t="n">
        <v>300</v>
      </c>
      <c r="F6" s="156" t="n">
        <v>100</v>
      </c>
      <c r="G6" s="156" t="n">
        <v>10</v>
      </c>
      <c r="H6" s="102"/>
      <c r="I6" s="102"/>
      <c r="J6" s="102"/>
      <c r="K6" s="168" t="s">
        <v>84</v>
      </c>
      <c r="L6" s="162" t="n">
        <f>IF(C6="Ja",E6*G6,0)</f>
        <v>3000</v>
      </c>
    </row>
    <row r="7" ht="15" customHeight="true">
      <c r="A7" s="145" t="s">
        <v>85</v>
      </c>
      <c r="B7" s="146" t="s">
        <v>86</v>
      </c>
      <c r="C7" s="146" t="s">
        <v>87</v>
      </c>
      <c r="D7" s="156" t="n">
        <v>30000</v>
      </c>
      <c r="E7" s="156" t="n">
        <v>99</v>
      </c>
      <c r="F7" s="156" t="n">
        <v>300</v>
      </c>
      <c r="G7" s="156" t="n">
        <v>50</v>
      </c>
      <c r="H7" s="102"/>
      <c r="I7" s="102"/>
      <c r="J7" s="102"/>
      <c r="K7" s="168" t="str">
        <v>适合 SaaS/会员制</v>
      </c>
      <c r="L7" s="162" t="n">
        <f>IF(C7="Ja",E7*G7,0)</f>
        <v>0</v>
      </c>
    </row>
    <row r="8" ht="15" customHeight="true">
      <c r="A8" s="145" t="s">
        <v>88</v>
      </c>
      <c r="B8" s="146" t="s">
        <v>89</v>
      </c>
      <c r="C8" s="146" t="s">
        <v>87</v>
      </c>
      <c r="D8" s="156" t="n">
        <v>50000</v>
      </c>
      <c r="E8" s="156" t="n">
        <v>10000</v>
      </c>
      <c r="F8" s="156" t="n">
        <v>5</v>
      </c>
      <c r="G8" s="156" t="n">
        <v>1</v>
      </c>
      <c r="H8" s="102"/>
      <c r="I8" s="102"/>
      <c r="J8" s="102"/>
      <c r="K8" s="168" t="s">
        <v>90</v>
      </c>
      <c r="L8" s="162" t="n">
        <f>IF(C8="Ja",E8*G8,0)</f>
        <v>0</v>
      </c>
    </row>
    <row r="9" ht="15" customHeight="true">
      <c r="A9" s="145" t="s">
        <v>91</v>
      </c>
      <c r="B9" s="146" t="s">
        <v>91</v>
      </c>
      <c r="C9" s="146" t="s">
        <v>87</v>
      </c>
      <c r="D9" s="156" t="n">
        <v>20000</v>
      </c>
      <c r="E9" s="156" t="n">
        <v>200</v>
      </c>
      <c r="F9" s="156" t="n">
        <v>100</v>
      </c>
      <c r="G9" s="156" t="n">
        <v>5</v>
      </c>
      <c r="H9" s="102"/>
      <c r="I9" s="102"/>
      <c r="J9" s="102"/>
      <c r="K9" s="168" t="s">
        <v>92</v>
      </c>
      <c r="L9" s="162" t="n">
        <f>IF(C9="Ja",E9*G9,0)</f>
        <v>0</v>
      </c>
    </row>
    <row r="10" ht="15" customHeight="true">
      <c r="A10" s="145" t="s">
        <v>93</v>
      </c>
      <c r="B10" s="146" t="s">
        <v>94</v>
      </c>
      <c r="C10" s="146" t="s">
        <v>87</v>
      </c>
      <c r="D10" s="156" t="n">
        <v>10000</v>
      </c>
      <c r="E10" s="156" t="n">
        <v>100</v>
      </c>
      <c r="F10" s="156" t="n">
        <v>100</v>
      </c>
      <c r="G10" s="156" t="n">
        <v>0</v>
      </c>
      <c r="H10" s="102"/>
      <c r="I10" s="102"/>
      <c r="J10" s="102"/>
      <c r="K10" s="168" t="s">
        <v>95</v>
      </c>
      <c r="L10" s="162" t="n">
        <f>IF(C10="Ja",E10*G10,0)</f>
        <v>0</v>
      </c>
    </row>
    <row r="11" ht="15" customHeight="true">
      <c r="A11" s="145" t="s">
        <v>96</v>
      </c>
      <c r="B11" s="146" t="s">
        <v>94</v>
      </c>
      <c r="C11" s="146" t="s">
        <v>87</v>
      </c>
      <c r="D11" s="156" t="n">
        <v>0</v>
      </c>
      <c r="E11" s="156" t="n">
        <v>0</v>
      </c>
      <c r="F11" s="156" t="n">
        <v>0</v>
      </c>
      <c r="G11" s="156" t="n">
        <v>0</v>
      </c>
      <c r="H11" s="102"/>
      <c r="I11" s="102"/>
      <c r="J11" s="102"/>
      <c r="K11" s="168" t="s">
        <v>97</v>
      </c>
      <c r="L11" s="162" t="n">
        <f>IF(C11="Ja",E11*G11,0)</f>
        <v>0</v>
      </c>
    </row>
    <row r="12" ht="15" customHeight="true">
      <c r="A12" s="147" t="s">
        <v>98</v>
      </c>
      <c r="B12" s="148" t="s">
        <v>94</v>
      </c>
      <c r="C12" s="148" t="s">
        <v>87</v>
      </c>
      <c r="D12" s="157" t="n">
        <v>0</v>
      </c>
      <c r="E12" s="157" t="n">
        <v>0</v>
      </c>
      <c r="F12" s="157" t="n">
        <v>0</v>
      </c>
      <c r="G12" s="157" t="n">
        <v>0</v>
      </c>
      <c r="H12" s="103"/>
      <c r="I12" s="103"/>
      <c r="J12" s="103"/>
      <c r="K12" s="169" t="s">
        <v>99</v>
      </c>
      <c r="L12" s="163" t="n">
        <f>IF(C12="Ja",E12*G12,0)</f>
        <v>0</v>
      </c>
    </row>
    <row r="13"/>
    <row r="14" ht="15" customHeight="true">
      <c r="A14" s="191" t="s">
        <v>100</v>
      </c>
      <c r="B14" s="192"/>
      <c r="C14" s="192"/>
      <c r="D14" s="197" t="n">
        <f>SUMIFS(D5:D12,C5:C12,"Ja")</f>
        <v>180000</v>
      </c>
      <c r="E14" s="197"/>
      <c r="F14" s="197"/>
      <c r="G14" s="197"/>
      <c r="H14" s="197"/>
      <c r="I14" s="197"/>
      <c r="J14" s="197"/>
      <c r="K14" s="197"/>
      <c r="L14" s="198" t="n">
        <f>SUM(L5:L12)</f>
        <v>13000</v>
      </c>
    </row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2">
    <dataValidation allowBlank="false" sqref="B5:B12" type="list">
      <formula1>"produkt / tjeneste,Abonnement,Vare / tjeneste,Kanal/distribution,Andet"</formula1>
    </dataValidation>
    <dataValidation allowBlank="false" sqref="C5:C12" type="list">
      <formula1>"Ja,Nej"</formula1>
    </dataValidation>
  </dataValidations>
  <pageMargins left="0.7" right="0.7" top="0.75" bottom="0.75" header="0.3" footer="0.3"/>
</worksheet>
</file>

<file path=xl/worksheets/sheet4.xml><?xml version="1.0" encoding="utf-8"?>
<worksheet xmlns:x="http://schemas.openxmlformats.org/spreadsheetml/2006/main" xmlns="http://schemas.openxmlformats.org/spreadsheetml/2006/main">
  <sheetViews>
    <sheetView showGridLines="false" workbookViewId="0"/>
  </sheetViews>
  <sheetFormatPr defaultRowHeight="15"/>
  <cols>
    <col customWidth="true" max="1" min="1" width="20"/>
    <col customWidth="true" max="2" min="2" width="14"/>
    <col customWidth="true" max="26" min="3" width="12"/>
  </cols>
  <sheetData>
    <row r="1" ht="19.53125" customHeight="true">
      <c r="A1" s="4" t="s">
        <v>101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" customHeight="true">
      <c r="A2" s="6" t="str">
        <v>收入线根据“Omsætningsopsætning”和“Inputantagelser”的Aktuelt scenarieAutomatisk beregning，C:Z 为 24 个月Detail / e-handel / produktion。</v>
      </c>
    </row>
    <row r="3"/>
    <row r="4" ht="15" customHeight="true">
      <c r="A4" s="201" t="s">
        <v>25</v>
      </c>
      <c r="B4" s="202"/>
      <c r="C4" s="223" t="n">
        <f>EDATE('Inputantagelser'!$B$6,0)</f>
        <v>46143</v>
      </c>
      <c r="D4" s="224" t="n">
        <f>EDATE('Inputantagelser'!$B$6,1)</f>
        <v>46174</v>
      </c>
      <c r="E4" s="224" t="n">
        <f>EDATE('Inputantagelser'!$B$6,2)</f>
        <v>46204</v>
      </c>
      <c r="F4" s="224" t="n">
        <f>EDATE('Inputantagelser'!$B$6,3)</f>
        <v>46235</v>
      </c>
      <c r="G4" s="224" t="n">
        <f>EDATE('Inputantagelser'!$B$6,4)</f>
        <v>46266</v>
      </c>
      <c r="H4" s="224" t="n">
        <f>EDATE('Inputantagelser'!$B$6,5)</f>
        <v>46296</v>
      </c>
      <c r="I4" s="224" t="n">
        <f>EDATE('Inputantagelser'!$B$6,6)</f>
        <v>46327</v>
      </c>
      <c r="J4" s="224" t="n">
        <f>EDATE('Inputantagelser'!$B$6,7)</f>
        <v>46357</v>
      </c>
      <c r="K4" s="224" t="n">
        <f>EDATE('Inputantagelser'!$B$6,8)</f>
        <v>46388</v>
      </c>
      <c r="L4" s="224" t="n">
        <f>EDATE('Inputantagelser'!$B$6,9)</f>
        <v>46419</v>
      </c>
      <c r="M4" s="224" t="n">
        <f>EDATE('Inputantagelser'!$B$6,10)</f>
        <v>46447</v>
      </c>
      <c r="N4" s="224" t="n">
        <f>EDATE('Inputantagelser'!$B$6,11)</f>
        <v>46478</v>
      </c>
      <c r="O4" s="224" t="n">
        <f>EDATE('Inputantagelser'!$B$6,12)</f>
        <v>46508</v>
      </c>
      <c r="P4" s="224" t="n">
        <f>EDATE('Inputantagelser'!$B$6,13)</f>
        <v>46539</v>
      </c>
      <c r="Q4" s="224" t="n">
        <f>EDATE('Inputantagelser'!$B$6,14)</f>
        <v>46569</v>
      </c>
      <c r="R4" s="224" t="n">
        <f>EDATE('Inputantagelser'!$B$6,15)</f>
        <v>46600</v>
      </c>
      <c r="S4" s="224" t="n">
        <f>EDATE('Inputantagelser'!$B$6,16)</f>
        <v>46631</v>
      </c>
      <c r="T4" s="224" t="n">
        <f>EDATE('Inputantagelser'!$B$6,17)</f>
        <v>46661</v>
      </c>
      <c r="U4" s="224" t="n">
        <f>EDATE('Inputantagelser'!$B$6,18)</f>
        <v>46692</v>
      </c>
      <c r="V4" s="224" t="n">
        <f>EDATE('Inputantagelser'!$B$6,19)</f>
        <v>46722</v>
      </c>
      <c r="W4" s="224" t="n">
        <f>EDATE('Inputantagelser'!$B$6,20)</f>
        <v>46753</v>
      </c>
      <c r="X4" s="224" t="n">
        <f>EDATE('Inputantagelser'!$B$6,21)</f>
        <v>46784</v>
      </c>
      <c r="Y4" s="224" t="n">
        <f>EDATE('Inputantagelser'!$B$6,22)</f>
        <v>46813</v>
      </c>
      <c r="Z4" s="225" t="n">
        <f>EDATE('Inputantagelser'!$B$6,23)</f>
        <v>46844</v>
      </c>
    </row>
    <row r="5" ht="15" customHeight="true">
      <c r="A5" s="203" t="s">
        <v>102</v>
      </c>
      <c r="B5" s="204"/>
      <c r="C5" s="226" t="n">
        <v>1</v>
      </c>
      <c r="D5" s="227" t="n">
        <v>2</v>
      </c>
      <c r="E5" s="227" t="n">
        <v>3</v>
      </c>
      <c r="F5" s="227" t="n">
        <v>4</v>
      </c>
      <c r="G5" s="227" t="n">
        <v>5</v>
      </c>
      <c r="H5" s="227" t="n">
        <v>6</v>
      </c>
      <c r="I5" s="227" t="n">
        <v>7</v>
      </c>
      <c r="J5" s="227" t="n">
        <v>8</v>
      </c>
      <c r="K5" s="227" t="n">
        <v>9</v>
      </c>
      <c r="L5" s="227" t="n">
        <v>10</v>
      </c>
      <c r="M5" s="227" t="n">
        <v>11</v>
      </c>
      <c r="N5" s="227" t="n">
        <v>12</v>
      </c>
      <c r="O5" s="227" t="n">
        <v>13</v>
      </c>
      <c r="P5" s="227" t="n">
        <v>14</v>
      </c>
      <c r="Q5" s="227" t="n">
        <v>15</v>
      </c>
      <c r="R5" s="227" t="n">
        <v>16</v>
      </c>
      <c r="S5" s="227" t="n">
        <v>17</v>
      </c>
      <c r="T5" s="227" t="n">
        <v>18</v>
      </c>
      <c r="U5" s="227" t="n">
        <v>19</v>
      </c>
      <c r="V5" s="227" t="n">
        <v>20</v>
      </c>
      <c r="W5" s="227" t="n">
        <v>21</v>
      </c>
      <c r="X5" s="227" t="n">
        <v>22</v>
      </c>
      <c r="Y5" s="227" t="n">
        <v>23</v>
      </c>
      <c r="Z5" s="228" t="n">
        <v>24</v>
      </c>
    </row>
    <row r="6" ht="15" customHeight="true">
      <c r="A6" s="72" t="s">
        <v>103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4"/>
    </row>
    <row r="7" ht="15" customHeight="true">
      <c r="A7" s="28" t="str">
        <f>'Omsætningsopsætning'!$A$5</f>
        <v>核心produkt / tjenesteA</v>
      </c>
      <c r="B7" s="83" t="str">
        <f>'Omsætningsopsætning'!$B$5</f>
        <v>produkt / tjeneste</v>
      </c>
      <c r="C7" s="247" t="n">
        <f>IF('Omsætningsopsætning'!$C$5="Ja",'Omsætningsopsætning'!$D$5,0)</f>
        <v>120000</v>
      </c>
      <c r="D7" s="247" t="n">
        <f>IF('Omsætningsopsætning'!$C$5="Ja",C7*(1+IF('Omsætningsopsætning'!$H$5="",'Inputantagelser'!$B$20,'Omsætningsopsætning'!$H$5)-IF('Omsætningsopsætning'!$J$5="",'Inputantagelser'!$B$21,'Omsætningsopsætning'!$J$5))+'Omsætningsopsætning'!$E$5*(1+'Inputantagelser'!$B$26)^(D$5-1)*'Omsætningsopsætning'!$G$5,0)</f>
        <v>133700</v>
      </c>
      <c r="E7" s="247" t="n">
        <f>IF('Omsætningsopsætning'!$C$5="Ja",D7*(1+IF('Omsætningsopsætning'!$H$5="",'Inputantagelser'!$B$20,'Omsætningsopsætning'!$H$5)-IF('Omsætningsopsætning'!$J$5="",'Inputantagelser'!$B$21,'Omsætningsopsætning'!$J$5))+'Omsætningsopsætning'!$E$5*(1+'Inputantagelser'!$B$26)^(E$5-1)*'Omsætningsopsætning'!$G$5,0)</f>
        <v>147912</v>
      </c>
      <c r="F7" s="247" t="n">
        <f>IF('Omsætningsopsætning'!$C$5="Ja",E7*(1+IF('Omsætningsopsætning'!$H$5="",'Inputantagelser'!$B$20,'Omsætningsopsætning'!$H$5)-IF('Omsætningsopsætning'!$J$5="",'Inputantagelser'!$B$21,'Omsætningsopsætning'!$J$5))+'Omsætningsopsætning'!$E$5*(1+'Inputantagelser'!$B$26)^(F$5-1)*'Omsætningsopsætning'!$G$5,0)</f>
        <v>162652.37000000002</v>
      </c>
      <c r="G7" s="247" t="n">
        <f>IF('Omsætningsopsætning'!$C$5="Ja",F7*(1+IF('Omsætningsopsætning'!$H$5="",'Inputantagelser'!$B$20,'Omsætningsopsætning'!$H$5)-IF('Omsætningsopsætning'!$J$5="",'Inputantagelser'!$B$21,'Omsætningsopsætning'!$J$5))+'Omsætningsopsætning'!$E$5*(1+'Inputantagelser'!$B$26)^(G$5-1)*'Omsætningsopsætning'!$G$5,0)</f>
        <v>177937.98120000004</v>
      </c>
      <c r="H7" s="247" t="n">
        <f>IF('Omsætningsopsætning'!$C$5="Ja",G7*(1+IF('Omsætningsopsætning'!$H$5="",'Inputantagelser'!$B$20,'Omsætningsopsætning'!$H$5)-IF('Omsætningsopsætning'!$J$5="",'Inputantagelser'!$B$21,'Omsætningsopsætning'!$J$5))+'Omsætningsopsætning'!$E$5*(1+'Inputantagelser'!$B$26)^(H$5-1)*'Omsætningsopsætning'!$G$5,0)</f>
        <v>193786.22113700004</v>
      </c>
      <c r="I7" s="247" t="n">
        <f>IF('Omsætningsopsætning'!$C$5="Ja",H7*(1+IF('Omsætningsopsætning'!$H$5="",'Inputantagelser'!$B$20,'Omsætningsopsætning'!$H$5)-IF('Omsætningsopsætning'!$J$5="",'Inputantagelser'!$B$21,'Omsætningsopsætning'!$J$5))+'Omsætningsopsætning'!$E$5*(1+'Inputantagelser'!$B$26)^(I$5-1)*'Omsætningsopsætning'!$G$5,0)</f>
        <v>210215.00927712006</v>
      </c>
      <c r="J7" s="247" t="n">
        <f>IF('Omsætningsopsætning'!$C$5="Ja",I7*(1+IF('Omsætningsopsætning'!$H$5="",'Inputantagelser'!$B$20,'Omsætningsopsætning'!$H$5)-IF('Omsætningsopsætning'!$J$5="",'Inputantagelser'!$B$21,'Omsætningsopsætning'!$J$5))+'Omsætningsopsætning'!$E$5*(1+'Inputantagelser'!$B$26)^(J$5-1)*'Omsætningsopsætning'!$G$5,0)</f>
        <v>227242.81307650375</v>
      </c>
      <c r="K7" s="247" t="n">
        <f>IF('Omsætningsopsætning'!$C$5="Ja",J7*(1+IF('Omsætningsopsætning'!$H$5="",'Inputantagelser'!$B$20,'Omsætningsopsætning'!$H$5)-IF('Omsætningsopsætning'!$J$5="",'Inputantagelser'!$B$21,'Omsætningsopsætning'!$J$5))+'Omsætningsopsætning'!$E$5*(1+'Inputantagelser'!$B$26)^(K$5-1)*'Omsætningsopsætning'!$G$5,0)</f>
        <v>244888.66452507966</v>
      </c>
      <c r="L7" s="247" t="n">
        <f>IF('Omsætningsopsætning'!$C$5="Ja",K7*(1+IF('Omsætningsopsætning'!$H$5="",'Inputantagelser'!$B$20,'Omsætningsopsætning'!$H$5)-IF('Omsætningsopsætning'!$J$5="",'Inputantagelser'!$B$21,'Omsætningsopsætning'!$J$5))+'Omsætningsopsætning'!$E$5*(1+'Inputantagelser'!$B$26)^(L$5-1)*'Omsætningsopsætning'!$G$5,0)</f>
        <v>263172.17718767567</v>
      </c>
      <c r="M7" s="247" t="n">
        <f>IF('Omsætningsopsætning'!$C$5="Ja",L7*(1+IF('Omsætningsopsætning'!$H$5="",'Inputantagelser'!$B$20,'Omsætningsopsætning'!$H$5)-IF('Omsætningsopsætning'!$J$5="",'Inputantagelser'!$B$21,'Omsætningsopsætning'!$J$5))+'Omsætningsopsætning'!$E$5*(1+'Inputantagelser'!$B$26)^(M$5-1)*'Omsætningsopsætning'!$G$5,0)</f>
        <v>282113.56375741796</v>
      </c>
      <c r="N7" s="247" t="n">
        <f>IF('Omsætningsopsætning'!$C$5="Ja",M7*(1+IF('Omsætningsopsætning'!$H$5="",'Inputantagelser'!$B$20,'Omsætningsopsætning'!$H$5)-IF('Omsætningsopsætning'!$J$5="",'Inputantagelser'!$B$21,'Omsætningsopsætning'!$J$5))+'Omsætningsopsætning'!$E$5*(1+'Inputantagelser'!$B$26)^(N$5-1)*'Omsætningsopsætning'!$G$5,0)</f>
        <v>301733.6541367937</v>
      </c>
      <c r="O7" s="247" t="n">
        <f>IF('Omsætningsopsætning'!$C$5="Ja",N7*(1+IF('Omsætningsopsætning'!$H$5="",'Inputantagelser'!$B$20,'Omsætningsopsætning'!$H$5)-IF('Omsætningsopsætning'!$J$5="",'Inputantagelser'!$B$21,'Omsætningsopsætning'!$J$5))+'Omsætningsopsætning'!$E$5*(1+'Inputantagelser'!$B$26)^(O$5-1)*'Omsætningsopsætning'!$G$5,0)</f>
        <v>322053.9140622172</v>
      </c>
      <c r="P7" s="247" t="n">
        <f>IF('Omsætningsopsætning'!$C$5="Ja",O7*(1+IF('Omsætningsopsætning'!$H$5="",'Inputantagelser'!$B$20,'Omsætningsopsætning'!$H$5)-IF('Omsætningsopsætning'!$J$5="",'Inputantagelser'!$B$21,'Omsætningsopsætning'!$J$5))+'Omsætningsopsætning'!$E$5*(1+'Inputantagelser'!$B$26)^(P$5-1)*'Omsætningsopsætning'!$G$5,0)</f>
        <v>343096.4642884166</v>
      </c>
      <c r="Q7" s="247" t="n">
        <f>IF('Omsætningsopsætning'!$C$5="Ja",P7*(1+IF('Omsætningsopsætning'!$H$5="",'Inputantagelser'!$B$20,'Omsætningsopsætning'!$H$5)-IF('Omsætningsopsætning'!$J$5="",'Inputantagelser'!$B$21,'Omsætningsopsætning'!$J$5))+'Omsætningsopsætning'!$E$5*(1+'Inputantagelser'!$B$26)^(Q$5-1)*'Omsætningsopsætning'!$G$5,0)</f>
        <v>364884.10034944536</v>
      </c>
      <c r="R7" s="247" t="n">
        <f>IF('Omsætningsopsætning'!$C$5="Ja",Q7*(1+IF('Omsætningsopsætning'!$H$5="",'Inputantagelser'!$B$20,'Omsætningsopsætning'!$H$5)-IF('Omsætningsopsætning'!$J$5="",'Inputantagelser'!$B$21,'Omsætningsopsætning'!$J$5))+'Omsætningsopsætning'!$E$5*(1+'Inputantagelser'!$B$26)^(R$5-1)*'Omsætningsopsætning'!$G$5,0)</f>
        <v>387440.3129136287</v>
      </c>
      <c r="S7" s="247" t="n">
        <f>IF('Omsætningsopsætning'!$C$5="Ja",R7*(1+IF('Omsætningsopsætning'!$H$5="",'Inputantagelser'!$B$20,'Omsætningsopsætning'!$H$5)-IF('Omsætningsopsætning'!$J$5="",'Inputantagelser'!$B$21,'Omsætningsopsætning'!$J$5))+'Omsætningsopsætning'!$E$5*(1+'Inputantagelser'!$B$26)^(S$5-1)*'Omsætningsopsætning'!$G$5,0)</f>
        <v>410789.30875027453</v>
      </c>
      <c r="T7" s="247" t="n">
        <f>IF('Omsætningsopsætning'!$C$5="Ja",S7*(1+IF('Omsætningsopsætning'!$H$5="",'Inputantagelser'!$B$20,'Omsætningsopsætning'!$H$5)-IF('Omsætningsopsætning'!$J$5="",'Inputantagelser'!$B$21,'Omsætningsopsætning'!$J$5))+'Omsætningsopsætning'!$E$5*(1+'Inputantagelser'!$B$26)^(T$5-1)*'Omsætningsopsætning'!$G$5,0)</f>
        <v>434956.0323265121</v>
      </c>
      <c r="U7" s="247" t="n">
        <f>IF('Omsætningsopsætning'!$C$5="Ja",T7*(1+IF('Omsætningsopsætning'!$H$5="",'Inputantagelser'!$B$20,'Omsætningsopsætning'!$H$5)-IF('Omsætningsopsætning'!$J$5="",'Inputantagelser'!$B$21,'Omsætningsopsætning'!$J$5))+'Omsætningsopsætning'!$E$5*(1+'Inputantagelser'!$B$26)^(U$5-1)*'Omsætningsopsætning'!$G$5,0)</f>
        <v>459966.1880531741</v>
      </c>
      <c r="V7" s="247" t="n">
        <f>IF('Omsætningsopsætning'!$C$5="Ja",U7*(1+IF('Omsætningsopsætning'!$H$5="",'Inputantagelser'!$B$20,'Omsætningsopsætning'!$H$5)-IF('Omsætningsopsætning'!$J$5="",'Inputantagelser'!$B$21,'Omsætningsopsætning'!$J$5))+'Omsætningsopsætning'!$E$5*(1+'Inputantagelser'!$B$26)^(V$5-1)*'Omsætningsopsætning'!$G$5,0)</f>
        <v>485846.26319920464</v>
      </c>
      <c r="W7" s="247" t="n">
        <f>IF('Omsætningsopsætning'!$C$5="Ja",V7*(1+IF('Omsætningsopsætning'!$H$5="",'Inputantagelser'!$B$20,'Omsætningsopsætning'!$H$5)-IF('Omsætningsopsætning'!$J$5="",'Inputantagelser'!$B$21,'Omsætningsopsætning'!$J$5))+'Omsætningsopsætning'!$E$5*(1+'Inputantagelser'!$B$26)^(W$5-1)*'Omsætningsopsætning'!$G$5,0)</f>
        <v>512623.55149466044</v>
      </c>
      <c r="X7" s="247" t="n">
        <f>IF('Omsætningsopsætning'!$C$5="Ja",W7*(1+IF('Omsætningsopsætning'!$H$5="",'Inputantagelser'!$B$20,'Omsætningsopsætning'!$H$5)-IF('Omsætningsopsætning'!$J$5="",'Inputantagelser'!$B$21,'Omsætningsopsætning'!$J$5))+'Omsætningsopsætning'!$E$5*(1+'Inputantagelser'!$B$26)^(X$5-1)*'Omsætningsopsætning'!$G$5,0)</f>
        <v>540326.1774429746</v>
      </c>
      <c r="Y7" s="247" t="n">
        <f>IF('Omsætningsopsætning'!$C$5="Ja",X7*(1+IF('Omsætningsopsætning'!$H$5="",'Inputantagelser'!$B$20,'Omsætningsopsætning'!$H$5)-IF('Omsætningsopsætning'!$J$5="",'Inputantagelser'!$B$21,'Omsætningsopsætning'!$J$5))+'Omsætningsopsætning'!$E$5*(1+'Inputantagelser'!$B$26)^(Y$5-1)*'Omsætningsopsætning'!$G$5,0)</f>
        <v>568983.1213637731</v>
      </c>
      <c r="Z7" s="248" t="n">
        <f>IF('Omsætningsopsætning'!$C$5="Ja",Y7*(1+IF('Omsætningsopsætning'!$H$5="",'Inputantagelser'!$B$20,'Omsætningsopsætning'!$H$5)-IF('Omsætningsopsætning'!$J$5="",'Inputantagelser'!$B$21,'Omsætningsopsætning'!$J$5))+'Omsætningsopsætning'!$E$5*(1+'Inputantagelser'!$B$26)^(Z$5-1)*'Omsætningsopsætning'!$G$5,0)</f>
        <v>598624.2451881706</v>
      </c>
    </row>
    <row r="8" ht="15" customHeight="true">
      <c r="A8" s="30" t="str">
        <f>'Omsætningsopsætning'!$A$6</f>
        <v>核心produkt / tjenesteB</v>
      </c>
      <c r="B8" s="84" t="str">
        <f>'Omsætningsopsætning'!$B$6</f>
        <v>produkt / tjeneste</v>
      </c>
      <c r="C8" s="249" t="n">
        <f>IF('Omsætningsopsætning'!$C$6="Ja",'Omsætningsopsætning'!$D$6,0)</f>
        <v>60000</v>
      </c>
      <c r="D8" s="249" t="n">
        <f>IF('Omsætningsopsætning'!$C$6="Ja",C8*(1+IF('Omsætningsopsætning'!$H$6="",'Inputantagelser'!$B$20,'Omsætningsopsætning'!$H$6)-IF('Omsætningsopsætning'!$J$6="",'Inputantagelser'!$B$21,'Omsætningsopsætning'!$J$6))+'Omsætningsopsætning'!$E$6*(1+'Inputantagelser'!$B$26)^(D$5-1)*'Omsætningsopsætning'!$G$6,0)</f>
        <v>64830</v>
      </c>
      <c r="E8" s="249" t="n">
        <f>IF('Omsætningsopsætning'!$C$6="Ja",D8*(1+IF('Omsætningsopsætning'!$H$6="",'Inputantagelser'!$B$20,'Omsætningsopsætning'!$H$6)-IF('Omsætningsopsætning'!$J$6="",'Inputantagelser'!$B$21,'Omsætningsopsætning'!$J$6))+'Omsætningsopsætning'!$E$6*(1+'Inputantagelser'!$B$26)^(E$5-1)*'Omsætningsopsætning'!$G$6,0)</f>
        <v>69835.20000000001</v>
      </c>
      <c r="F8" s="249" t="n">
        <f>IF('Omsætningsopsætning'!$C$6="Ja",E8*(1+IF('Omsætningsopsætning'!$H$6="",'Inputantagelser'!$B$20,'Omsætningsopsætning'!$H$6)-IF('Omsætningsopsætning'!$J$6="",'Inputantagelser'!$B$21,'Omsætningsopsætning'!$J$6))+'Omsætningsopsætning'!$E$6*(1+'Inputantagelser'!$B$26)^(F$5-1)*'Omsætningsopsætning'!$G$6,0)</f>
        <v>75021.15900000001</v>
      </c>
      <c r="G8" s="249" t="n">
        <f>IF('Omsætningsopsætning'!$C$6="Ja",F8*(1+IF('Omsætningsopsætning'!$H$6="",'Inputantagelser'!$B$20,'Omsætningsopsætning'!$H$6)-IF('Omsætningsopsætning'!$J$6="",'Inputantagelser'!$B$21,'Omsætningsopsætning'!$J$6))+'Omsætningsopsætning'!$E$6*(1+'Inputantagelser'!$B$26)^(G$5-1)*'Omsætningsopsætning'!$G$6,0)</f>
        <v>80393.60580000002</v>
      </c>
      <c r="H8" s="249" t="n">
        <f>IF('Omsætningsopsætning'!$C$6="Ja",G8*(1+IF('Omsætningsopsætning'!$H$6="",'Inputantagelser'!$B$20,'Omsætningsopsætning'!$H$6)-IF('Omsætningsopsætning'!$J$6="",'Inputantagelser'!$B$21,'Omsætningsopsætning'!$J$6))+'Omsætningsopsætning'!$E$6*(1+'Inputantagelser'!$B$26)^(H$5-1)*'Omsætningsopsætning'!$G$6,0)</f>
        <v>85958.44412430002</v>
      </c>
      <c r="I8" s="249" t="n">
        <f>IF('Omsætningsopsætning'!$C$6="Ja",H8*(1+IF('Omsætningsopsætning'!$H$6="",'Inputantagelser'!$B$20,'Omsætningsopsætning'!$H$6)-IF('Omsætningsopsætning'!$J$6="",'Inputantagelser'!$B$21,'Omsætningsopsætning'!$J$6))+'Omsætningsopsætning'!$E$6*(1+'Inputantagelser'!$B$26)^(I$5-1)*'Omsætningsopsætning'!$G$6,0)</f>
        <v>91721.75789983202</v>
      </c>
      <c r="J8" s="249" t="n">
        <f>IF('Omsætningsopsætning'!$C$6="Ja",I8*(1+IF('Omsætningsopsætning'!$H$6="",'Inputantagelser'!$B$20,'Omsætningsopsætning'!$H$6)-IF('Omsætningsopsætning'!$J$6="",'Inputantagelser'!$B$21,'Omsætningsopsætning'!$J$6))+'Omsætningsopsætning'!$E$6*(1+'Inputantagelser'!$B$26)^(J$5-1)*'Omsætningsopsætning'!$G$6,0)</f>
        <v>97689.81669314802</v>
      </c>
      <c r="K8" s="249" t="n">
        <f>IF('Omsætningsopsætning'!$C$6="Ja",J8*(1+IF('Omsætningsopsætning'!$H$6="",'Inputantagelser'!$B$20,'Omsætningsopsætning'!$H$6)-IF('Omsætningsopsætning'!$J$6="",'Inputantagelser'!$B$21,'Omsætningsopsætning'!$J$6))+'Omsætningsopsætning'!$E$6*(1+'Inputantagelser'!$B$26)^(K$5-1)*'Omsætningsopsætning'!$G$6,0)</f>
        <v>103869.0813108267</v>
      </c>
      <c r="L8" s="249" t="n">
        <f>IF('Omsætningsopsætning'!$C$6="Ja",K8*(1+IF('Omsætningsopsætning'!$H$6="",'Inputantagelser'!$B$20,'Omsætningsopsætning'!$H$6)-IF('Omsætningsopsætning'!$J$6="",'Inputantagelser'!$B$21,'Omsætningsopsætning'!$J$6))+'Omsætningsopsætning'!$E$6*(1+'Inputantagelser'!$B$26)^(L$5-1)*'Omsætningsopsætning'!$G$6,0)</f>
        <v>110266.20956820459</v>
      </c>
      <c r="M8" s="249" t="n">
        <f>IF('Omsætningsopsætning'!$C$6="Ja",L8*(1+IF('Omsætningsopsætning'!$H$6="",'Inputantagelser'!$B$20,'Omsætningsopsætning'!$H$6)-IF('Omsætningsopsætning'!$J$6="",'Inputantagelser'!$B$21,'Omsætningsopsætning'!$J$6))+'Omsætningsopsætning'!$E$6*(1+'Inputantagelser'!$B$26)^(M$5-1)*'Omsætningsopsætning'!$G$6,0)</f>
        <v>116888.06223148433</v>
      </c>
      <c r="N8" s="249" t="n">
        <f>IF('Omsætningsopsætning'!$C$6="Ja",M8*(1+IF('Omsætningsopsætning'!$H$6="",'Inputantagelser'!$B$20,'Omsætningsopsætning'!$H$6)-IF('Omsætningsopsætning'!$J$6="",'Inputantagelser'!$B$21,'Omsætningsopsætning'!$J$6))+'Omsætningsopsætning'!$E$6*(1+'Inputantagelser'!$B$26)^(N$5-1)*'Omsætningsopsætning'!$G$6,0)</f>
        <v>123741.7091384248</v>
      </c>
      <c r="O8" s="249" t="n">
        <f>IF('Omsætningsopsætning'!$C$6="Ja",N8*(1+IF('Omsætningsopsætning'!$H$6="",'Inputantagelser'!$B$20,'Omsætningsopsætning'!$H$6)-IF('Omsætningsopsætning'!$J$6="",'Inputantagelser'!$B$21,'Omsætningsopsætning'!$J$6))+'Omsætningsopsætning'!$E$6*(1+'Inputantagelser'!$B$26)^(O$5-1)*'Omsætningsopsætning'!$G$6,0)</f>
        <v>130834.43550297346</v>
      </c>
      <c r="P8" s="249" t="n">
        <f>IF('Omsætningsopsætning'!$C$6="Ja",O8*(1+IF('Omsætningsopsætning'!$H$6="",'Inputantagelser'!$B$20,'Omsætningsopsætning'!$H$6)-IF('Omsætningsopsætning'!$J$6="",'Inputantagelser'!$B$21,'Omsætningsopsætning'!$J$6))+'Omsætningsopsætning'!$E$6*(1+'Inputantagelser'!$B$26)^(P$5-1)*'Omsætningsopsætning'!$G$6,0)</f>
        <v>138173.74840936254</v>
      </c>
      <c r="Q8" s="249" t="n">
        <f>IF('Omsætningsopsætning'!$C$6="Ja",P8*(1+IF('Omsætningsopsætning'!$H$6="",'Inputantagelser'!$B$20,'Omsætningsopsætning'!$H$6)-IF('Omsætningsopsætning'!$J$6="",'Inputantagelser'!$B$21,'Omsætningsopsætning'!$J$6))+'Omsætningsopsætning'!$E$6*(1+'Inputantagelser'!$B$26)^(Q$5-1)*'Omsætningsopsætning'!$G$6,0)</f>
        <v>145767.3835013563</v>
      </c>
      <c r="R8" s="249" t="n">
        <f>IF('Omsætningsopsætning'!$C$6="Ja",Q8*(1+IF('Omsætningsopsætning'!$H$6="",'Inputantagelser'!$B$20,'Omsætningsopsætning'!$H$6)-IF('Omsætningsopsætning'!$J$6="",'Inputantagelser'!$B$21,'Omsætningsopsætning'!$J$6))+'Omsætningsopsætning'!$E$6*(1+'Inputantagelser'!$B$26)^(R$5-1)*'Omsætningsopsætning'!$G$6,0)</f>
        <v>153623.31187250698</v>
      </c>
      <c r="S8" s="249" t="n">
        <f>IF('Omsætningsopsætning'!$C$6="Ja",R8*(1+IF('Omsætningsopsætning'!$H$6="",'Inputantagelser'!$B$20,'Omsætningsopsætning'!$H$6)-IF('Omsætningsopsætning'!$J$6="",'Inputantagelser'!$B$21,'Omsætningsopsætning'!$J$6))+'Omsætningsopsætning'!$E$6*(1+'Inputantagelser'!$B$26)^(S$5-1)*'Omsætningsopsætning'!$G$6,0)</f>
        <v>161749.74716345328</v>
      </c>
      <c r="T8" s="249" t="n">
        <f>IF('Omsætningsopsætning'!$C$6="Ja",S8*(1+IF('Omsætningsopsætning'!$H$6="",'Inputantagelser'!$B$20,'Omsætningsopsætning'!$H$6)-IF('Omsætningsopsætning'!$J$6="",'Inputantagelser'!$B$21,'Omsætningsopsætning'!$J$6))+'Omsætningsopsætning'!$E$6*(1+'Inputantagelser'!$B$26)^(T$5-1)*'Omsætningsopsætning'!$G$6,0)</f>
        <v>170155.15287247568</v>
      </c>
      <c r="U8" s="249" t="n">
        <f>IF('Omsætningsopsætning'!$C$6="Ja",T8*(1+IF('Omsætningsopsætning'!$H$6="",'Inputantagelser'!$B$20,'Omsætningsopsætning'!$H$6)-IF('Omsætningsopsætning'!$J$6="",'Inputantagelser'!$B$21,'Omsætningsopsætning'!$J$6))+'Omsætningsopsætning'!$E$6*(1+'Inputantagelser'!$B$26)^(U$5-1)*'Omsætningsopsætning'!$G$6,0)</f>
        <v>178848.24988570993</v>
      </c>
      <c r="V8" s="249" t="n">
        <f>IF('Omsætningsopsætning'!$C$6="Ja",U8*(1+IF('Omsætningsopsætning'!$H$6="",'Inputantagelser'!$B$20,'Omsætningsopsætning'!$H$6)-IF('Omsætningsopsætning'!$J$6="",'Inputantagelser'!$B$21,'Omsætningsopsætning'!$J$6))+'Omsætningsopsætning'!$E$6*(1+'Inputantagelser'!$B$26)^(V$5-1)*'Omsætningsopsætning'!$G$6,0)</f>
        <v>187838.02423361182</v>
      </c>
      <c r="W8" s="249" t="n">
        <f>IF('Omsætningsopsætning'!$C$6="Ja",V8*(1+IF('Omsætningsopsætning'!$H$6="",'Inputantagelser'!$B$20,'Omsætningsopsætning'!$H$6)-IF('Omsætningsopsætning'!$J$6="",'Inputantagelser'!$B$21,'Omsætningsopsætning'!$J$6))+'Omsætningsopsætning'!$E$6*(1+'Inputantagelser'!$B$26)^(W$5-1)*'Omsætningsopsætning'!$G$6,0)</f>
        <v>197133.7350804641</v>
      </c>
      <c r="X8" s="249" t="n">
        <f>IF('Omsætningsopsætning'!$C$6="Ja",W8*(1+IF('Omsætningsopsætning'!$H$6="",'Inputantagelser'!$B$20,'Omsætningsopsætning'!$H$6)-IF('Omsætningsopsætning'!$J$6="",'Inputantagelser'!$B$21,'Omsætningsopsætning'!$J$6))+'Omsætningsopsætning'!$E$6*(1+'Inputantagelser'!$B$26)^(X$5-1)*'Omsætningsopsætning'!$G$6,0)</f>
        <v>206744.92295392035</v>
      </c>
      <c r="Y8" s="249" t="n">
        <f>IF('Omsætningsopsætning'!$C$6="Ja",X8*(1+IF('Omsætningsopsætning'!$H$6="",'Inputantagelser'!$B$20,'Omsætningsopsætning'!$H$6)-IF('Omsætningsopsætning'!$J$6="",'Inputantagelser'!$B$21,'Omsætningsopsætning'!$J$6))+'Omsætningsopsætning'!$E$6*(1+'Inputantagelser'!$B$26)^(Y$5-1)*'Omsætningsopsætning'!$G$6,0)</f>
        <v>216681.41822179075</v>
      </c>
      <c r="Z8" s="250" t="n">
        <f>IF('Omsætningsopsætning'!$C$6="Ja",Y8*(1+IF('Omsætningsopsætning'!$H$6="",'Inputantagelser'!$B$20,'Omsætningsopsætning'!$H$6)-IF('Omsætningsopsætning'!$J$6="",'Inputantagelser'!$B$21,'Omsætningsopsætning'!$J$6))+'Omsætningsopsætning'!$E$6*(1+'Inputantagelser'!$B$26)^(Z$5-1)*'Omsætningsopsætning'!$G$6,0)</f>
        <v>226953.34982348979</v>
      </c>
    </row>
    <row r="9" ht="15" customHeight="true">
      <c r="A9" s="30" t="str">
        <f>'Omsætningsopsætning'!$A$7</f>
        <v>Abonnement/medlemskab</v>
      </c>
      <c r="B9" s="84" t="str">
        <f>'Omsætningsopsætning'!$B$7</f>
        <v>Abonnement</v>
      </c>
      <c r="C9" s="249" t="n">
        <f>IF('Omsætningsopsætning'!$C$7="Ja",'Omsætningsopsætning'!$D$7,0)</f>
        <v>0</v>
      </c>
      <c r="D9" s="249" t="n">
        <f>IF('Omsætningsopsætning'!$C$7="Ja",C9*(1+IF('Omsætningsopsætning'!$H$7="",'Inputantagelser'!$B$20,'Omsætningsopsætning'!$H$7)-IF('Omsætningsopsætning'!$J$7="",'Inputantagelser'!$B$21,'Omsætningsopsætning'!$J$7))+'Omsætningsopsætning'!$E$7*(1+'Inputantagelser'!$B$26)^(D$5-1)*'Omsætningsopsætning'!$G$7,0)</f>
        <v>0</v>
      </c>
      <c r="E9" s="249" t="n">
        <f>IF('Omsætningsopsætning'!$C$7="Ja",D9*(1+IF('Omsætningsopsætning'!$H$7="",'Inputantagelser'!$B$20,'Omsætningsopsætning'!$H$7)-IF('Omsætningsopsætning'!$J$7="",'Inputantagelser'!$B$21,'Omsætningsopsætning'!$J$7))+'Omsætningsopsætning'!$E$7*(1+'Inputantagelser'!$B$26)^(E$5-1)*'Omsætningsopsætning'!$G$7,0)</f>
        <v>0</v>
      </c>
      <c r="F9" s="249" t="n">
        <f>IF('Omsætningsopsætning'!$C$7="Ja",E9*(1+IF('Omsætningsopsætning'!$H$7="",'Inputantagelser'!$B$20,'Omsætningsopsætning'!$H$7)-IF('Omsætningsopsætning'!$J$7="",'Inputantagelser'!$B$21,'Omsætningsopsætning'!$J$7))+'Omsætningsopsætning'!$E$7*(1+'Inputantagelser'!$B$26)^(F$5-1)*'Omsætningsopsætning'!$G$7,0)</f>
        <v>0</v>
      </c>
      <c r="G9" s="249" t="n">
        <f>IF('Omsætningsopsætning'!$C$7="Ja",F9*(1+IF('Omsætningsopsætning'!$H$7="",'Inputantagelser'!$B$20,'Omsætningsopsætning'!$H$7)-IF('Omsætningsopsætning'!$J$7="",'Inputantagelser'!$B$21,'Omsætningsopsætning'!$J$7))+'Omsætningsopsætning'!$E$7*(1+'Inputantagelser'!$B$26)^(G$5-1)*'Omsætningsopsætning'!$G$7,0)</f>
        <v>0</v>
      </c>
      <c r="H9" s="249" t="n">
        <f>IF('Omsætningsopsætning'!$C$7="Ja",G9*(1+IF('Omsætningsopsætning'!$H$7="",'Inputantagelser'!$B$20,'Omsætningsopsætning'!$H$7)-IF('Omsætningsopsætning'!$J$7="",'Inputantagelser'!$B$21,'Omsætningsopsætning'!$J$7))+'Omsætningsopsætning'!$E$7*(1+'Inputantagelser'!$B$26)^(H$5-1)*'Omsætningsopsætning'!$G$7,0)</f>
        <v>0</v>
      </c>
      <c r="I9" s="249" t="n">
        <f>IF('Omsætningsopsætning'!$C$7="Ja",H9*(1+IF('Omsætningsopsætning'!$H$7="",'Inputantagelser'!$B$20,'Omsætningsopsætning'!$H$7)-IF('Omsætningsopsætning'!$J$7="",'Inputantagelser'!$B$21,'Omsætningsopsætning'!$J$7))+'Omsætningsopsætning'!$E$7*(1+'Inputantagelser'!$B$26)^(I$5-1)*'Omsætningsopsætning'!$G$7,0)</f>
        <v>0</v>
      </c>
      <c r="J9" s="249" t="n">
        <f>IF('Omsætningsopsætning'!$C$7="Ja",I9*(1+IF('Omsætningsopsætning'!$H$7="",'Inputantagelser'!$B$20,'Omsætningsopsætning'!$H$7)-IF('Omsætningsopsætning'!$J$7="",'Inputantagelser'!$B$21,'Omsætningsopsætning'!$J$7))+'Omsætningsopsætning'!$E$7*(1+'Inputantagelser'!$B$26)^(J$5-1)*'Omsætningsopsætning'!$G$7,0)</f>
        <v>0</v>
      </c>
      <c r="K9" s="249" t="n">
        <f>IF('Omsætningsopsætning'!$C$7="Ja",J9*(1+IF('Omsætningsopsætning'!$H$7="",'Inputantagelser'!$B$20,'Omsætningsopsætning'!$H$7)-IF('Omsætningsopsætning'!$J$7="",'Inputantagelser'!$B$21,'Omsætningsopsætning'!$J$7))+'Omsætningsopsætning'!$E$7*(1+'Inputantagelser'!$B$26)^(K$5-1)*'Omsætningsopsætning'!$G$7,0)</f>
        <v>0</v>
      </c>
      <c r="L9" s="249" t="n">
        <f>IF('Omsætningsopsætning'!$C$7="Ja",K9*(1+IF('Omsætningsopsætning'!$H$7="",'Inputantagelser'!$B$20,'Omsætningsopsætning'!$H$7)-IF('Omsætningsopsætning'!$J$7="",'Inputantagelser'!$B$21,'Omsætningsopsætning'!$J$7))+'Omsætningsopsætning'!$E$7*(1+'Inputantagelser'!$B$26)^(L$5-1)*'Omsætningsopsætning'!$G$7,0)</f>
        <v>0</v>
      </c>
      <c r="M9" s="249" t="n">
        <f>IF('Omsætningsopsætning'!$C$7="Ja",L9*(1+IF('Omsætningsopsætning'!$H$7="",'Inputantagelser'!$B$20,'Omsætningsopsætning'!$H$7)-IF('Omsætningsopsætning'!$J$7="",'Inputantagelser'!$B$21,'Omsætningsopsætning'!$J$7))+'Omsætningsopsætning'!$E$7*(1+'Inputantagelser'!$B$26)^(M$5-1)*'Omsætningsopsætning'!$G$7,0)</f>
        <v>0</v>
      </c>
      <c r="N9" s="249" t="n">
        <f>IF('Omsætningsopsætning'!$C$7="Ja",M9*(1+IF('Omsætningsopsætning'!$H$7="",'Inputantagelser'!$B$20,'Omsætningsopsætning'!$H$7)-IF('Omsætningsopsætning'!$J$7="",'Inputantagelser'!$B$21,'Omsætningsopsætning'!$J$7))+'Omsætningsopsætning'!$E$7*(1+'Inputantagelser'!$B$26)^(N$5-1)*'Omsætningsopsætning'!$G$7,0)</f>
        <v>0</v>
      </c>
      <c r="O9" s="249" t="n">
        <f>IF('Omsætningsopsætning'!$C$7="Ja",N9*(1+IF('Omsætningsopsætning'!$H$7="",'Inputantagelser'!$B$20,'Omsætningsopsætning'!$H$7)-IF('Omsætningsopsætning'!$J$7="",'Inputantagelser'!$B$21,'Omsætningsopsætning'!$J$7))+'Omsætningsopsætning'!$E$7*(1+'Inputantagelser'!$B$26)^(O$5-1)*'Omsætningsopsætning'!$G$7,0)</f>
        <v>0</v>
      </c>
      <c r="P9" s="249" t="n">
        <f>IF('Omsætningsopsætning'!$C$7="Ja",O9*(1+IF('Omsætningsopsætning'!$H$7="",'Inputantagelser'!$B$20,'Omsætningsopsætning'!$H$7)-IF('Omsætningsopsætning'!$J$7="",'Inputantagelser'!$B$21,'Omsætningsopsætning'!$J$7))+'Omsætningsopsætning'!$E$7*(1+'Inputantagelser'!$B$26)^(P$5-1)*'Omsætningsopsætning'!$G$7,0)</f>
        <v>0</v>
      </c>
      <c r="Q9" s="249" t="n">
        <f>IF('Omsætningsopsætning'!$C$7="Ja",P9*(1+IF('Omsætningsopsætning'!$H$7="",'Inputantagelser'!$B$20,'Omsætningsopsætning'!$H$7)-IF('Omsætningsopsætning'!$J$7="",'Inputantagelser'!$B$21,'Omsætningsopsætning'!$J$7))+'Omsætningsopsætning'!$E$7*(1+'Inputantagelser'!$B$26)^(Q$5-1)*'Omsætningsopsætning'!$G$7,0)</f>
        <v>0</v>
      </c>
      <c r="R9" s="249" t="n">
        <f>IF('Omsætningsopsætning'!$C$7="Ja",Q9*(1+IF('Omsætningsopsætning'!$H$7="",'Inputantagelser'!$B$20,'Omsætningsopsætning'!$H$7)-IF('Omsætningsopsætning'!$J$7="",'Inputantagelser'!$B$21,'Omsætningsopsætning'!$J$7))+'Omsætningsopsætning'!$E$7*(1+'Inputantagelser'!$B$26)^(R$5-1)*'Omsætningsopsætning'!$G$7,0)</f>
        <v>0</v>
      </c>
      <c r="S9" s="249" t="n">
        <f>IF('Omsætningsopsætning'!$C$7="Ja",R9*(1+IF('Omsætningsopsætning'!$H$7="",'Inputantagelser'!$B$20,'Omsætningsopsætning'!$H$7)-IF('Omsætningsopsætning'!$J$7="",'Inputantagelser'!$B$21,'Omsætningsopsætning'!$J$7))+'Omsætningsopsætning'!$E$7*(1+'Inputantagelser'!$B$26)^(S$5-1)*'Omsætningsopsætning'!$G$7,0)</f>
        <v>0</v>
      </c>
      <c r="T9" s="249" t="n">
        <f>IF('Omsætningsopsætning'!$C$7="Ja",S9*(1+IF('Omsætningsopsætning'!$H$7="",'Inputantagelser'!$B$20,'Omsætningsopsætning'!$H$7)-IF('Omsætningsopsætning'!$J$7="",'Inputantagelser'!$B$21,'Omsætningsopsætning'!$J$7))+'Omsætningsopsætning'!$E$7*(1+'Inputantagelser'!$B$26)^(T$5-1)*'Omsætningsopsætning'!$G$7,0)</f>
        <v>0</v>
      </c>
      <c r="U9" s="249" t="n">
        <f>IF('Omsætningsopsætning'!$C$7="Ja",T9*(1+IF('Omsætningsopsætning'!$H$7="",'Inputantagelser'!$B$20,'Omsætningsopsætning'!$H$7)-IF('Omsætningsopsætning'!$J$7="",'Inputantagelser'!$B$21,'Omsætningsopsætning'!$J$7))+'Omsætningsopsætning'!$E$7*(1+'Inputantagelser'!$B$26)^(U$5-1)*'Omsætningsopsætning'!$G$7,0)</f>
        <v>0</v>
      </c>
      <c r="V9" s="249" t="n">
        <f>IF('Omsætningsopsætning'!$C$7="Ja",U9*(1+IF('Omsætningsopsætning'!$H$7="",'Inputantagelser'!$B$20,'Omsætningsopsætning'!$H$7)-IF('Omsætningsopsætning'!$J$7="",'Inputantagelser'!$B$21,'Omsætningsopsætning'!$J$7))+'Omsætningsopsætning'!$E$7*(1+'Inputantagelser'!$B$26)^(V$5-1)*'Omsætningsopsætning'!$G$7,0)</f>
        <v>0</v>
      </c>
      <c r="W9" s="249" t="n">
        <f>IF('Omsætningsopsætning'!$C$7="Ja",V9*(1+IF('Omsætningsopsætning'!$H$7="",'Inputantagelser'!$B$20,'Omsætningsopsætning'!$H$7)-IF('Omsætningsopsætning'!$J$7="",'Inputantagelser'!$B$21,'Omsætningsopsætning'!$J$7))+'Omsætningsopsætning'!$E$7*(1+'Inputantagelser'!$B$26)^(W$5-1)*'Omsætningsopsætning'!$G$7,0)</f>
        <v>0</v>
      </c>
      <c r="X9" s="249" t="n">
        <f>IF('Omsætningsopsætning'!$C$7="Ja",W9*(1+IF('Omsætningsopsætning'!$H$7="",'Inputantagelser'!$B$20,'Omsætningsopsætning'!$H$7)-IF('Omsætningsopsætning'!$J$7="",'Inputantagelser'!$B$21,'Omsætningsopsætning'!$J$7))+'Omsætningsopsætning'!$E$7*(1+'Inputantagelser'!$B$26)^(X$5-1)*'Omsætningsopsætning'!$G$7,0)</f>
        <v>0</v>
      </c>
      <c r="Y9" s="249" t="n">
        <f>IF('Omsætningsopsætning'!$C$7="Ja",X9*(1+IF('Omsætningsopsætning'!$H$7="",'Inputantagelser'!$B$20,'Omsætningsopsætning'!$H$7)-IF('Omsætningsopsætning'!$J$7="",'Inputantagelser'!$B$21,'Omsætningsopsætning'!$J$7))+'Omsætningsopsætning'!$E$7*(1+'Inputantagelser'!$B$26)^(Y$5-1)*'Omsætningsopsætning'!$G$7,0)</f>
        <v>0</v>
      </c>
      <c r="Z9" s="250" t="n">
        <f>IF('Omsætningsopsætning'!$C$7="Ja",Y9*(1+IF('Omsætningsopsætning'!$H$7="",'Inputantagelser'!$B$20,'Omsætningsopsætning'!$H$7)-IF('Omsætningsopsætning'!$J$7="",'Inputantagelser'!$B$21,'Omsætningsopsætning'!$J$7))+'Omsætningsopsætning'!$E$7*(1+'Inputantagelser'!$B$26)^(Z$5-1)*'Omsætningsopsætning'!$G$7,0)</f>
        <v>0</v>
      </c>
    </row>
    <row r="10" ht="15" customHeight="true">
      <c r="A10" s="30" t="str">
        <f>'Omsætningsopsætning'!$A$8</f>
        <v>Vareydelse</v>
      </c>
      <c r="B10" s="84" t="str">
        <f>'Omsætningsopsætning'!$B$8</f>
        <v>Vare / tjeneste</v>
      </c>
      <c r="C10" s="249" t="n">
        <f>IF('Omsætningsopsætning'!$C$8="Ja",'Omsætningsopsætning'!$D$8,0)</f>
        <v>0</v>
      </c>
      <c r="D10" s="249" t="n">
        <f>IF('Omsætningsopsætning'!$C$8="Ja",C10*(1+IF('Omsætningsopsætning'!$H$8="",'Inputantagelser'!$B$20,'Omsætningsopsætning'!$H$8)-IF('Omsætningsopsætning'!$J$8="",'Inputantagelser'!$B$21,'Omsætningsopsætning'!$J$8))+'Omsætningsopsætning'!$E$8*(1+'Inputantagelser'!$B$26)^(D$5-1)*'Omsætningsopsætning'!$G$8,0)</f>
        <v>0</v>
      </c>
      <c r="E10" s="249" t="n">
        <f>IF('Omsætningsopsætning'!$C$8="Ja",D10*(1+IF('Omsætningsopsætning'!$H$8="",'Inputantagelser'!$B$20,'Omsætningsopsætning'!$H$8)-IF('Omsætningsopsætning'!$J$8="",'Inputantagelser'!$B$21,'Omsætningsopsætning'!$J$8))+'Omsætningsopsætning'!$E$8*(1+'Inputantagelser'!$B$26)^(E$5-1)*'Omsætningsopsætning'!$G$8,0)</f>
        <v>0</v>
      </c>
      <c r="F10" s="249" t="n">
        <f>IF('Omsætningsopsætning'!$C$8="Ja",E10*(1+IF('Omsætningsopsætning'!$H$8="",'Inputantagelser'!$B$20,'Omsætningsopsætning'!$H$8)-IF('Omsætningsopsætning'!$J$8="",'Inputantagelser'!$B$21,'Omsætningsopsætning'!$J$8))+'Omsætningsopsætning'!$E$8*(1+'Inputantagelser'!$B$26)^(F$5-1)*'Omsætningsopsætning'!$G$8,0)</f>
        <v>0</v>
      </c>
      <c r="G10" s="249" t="n">
        <f>IF('Omsætningsopsætning'!$C$8="Ja",F10*(1+IF('Omsætningsopsætning'!$H$8="",'Inputantagelser'!$B$20,'Omsætningsopsætning'!$H$8)-IF('Omsætningsopsætning'!$J$8="",'Inputantagelser'!$B$21,'Omsætningsopsætning'!$J$8))+'Omsætningsopsætning'!$E$8*(1+'Inputantagelser'!$B$26)^(G$5-1)*'Omsætningsopsætning'!$G$8,0)</f>
        <v>0</v>
      </c>
      <c r="H10" s="249" t="n">
        <f>IF('Omsætningsopsætning'!$C$8="Ja",G10*(1+IF('Omsætningsopsætning'!$H$8="",'Inputantagelser'!$B$20,'Omsætningsopsætning'!$H$8)-IF('Omsætningsopsætning'!$J$8="",'Inputantagelser'!$B$21,'Omsætningsopsætning'!$J$8))+'Omsætningsopsætning'!$E$8*(1+'Inputantagelser'!$B$26)^(H$5-1)*'Omsætningsopsætning'!$G$8,0)</f>
        <v>0</v>
      </c>
      <c r="I10" s="249" t="n">
        <f>IF('Omsætningsopsætning'!$C$8="Ja",H10*(1+IF('Omsætningsopsætning'!$H$8="",'Inputantagelser'!$B$20,'Omsætningsopsætning'!$H$8)-IF('Omsætningsopsætning'!$J$8="",'Inputantagelser'!$B$21,'Omsætningsopsætning'!$J$8))+'Omsætningsopsætning'!$E$8*(1+'Inputantagelser'!$B$26)^(I$5-1)*'Omsætningsopsætning'!$G$8,0)</f>
        <v>0</v>
      </c>
      <c r="J10" s="249" t="n">
        <f>IF('Omsætningsopsætning'!$C$8="Ja",I10*(1+IF('Omsætningsopsætning'!$H$8="",'Inputantagelser'!$B$20,'Omsætningsopsætning'!$H$8)-IF('Omsætningsopsætning'!$J$8="",'Inputantagelser'!$B$21,'Omsætningsopsætning'!$J$8))+'Omsætningsopsætning'!$E$8*(1+'Inputantagelser'!$B$26)^(J$5-1)*'Omsætningsopsætning'!$G$8,0)</f>
        <v>0</v>
      </c>
      <c r="K10" s="249" t="n">
        <f>IF('Omsætningsopsætning'!$C$8="Ja",J10*(1+IF('Omsætningsopsætning'!$H$8="",'Inputantagelser'!$B$20,'Omsætningsopsætning'!$H$8)-IF('Omsætningsopsætning'!$J$8="",'Inputantagelser'!$B$21,'Omsætningsopsætning'!$J$8))+'Omsætningsopsætning'!$E$8*(1+'Inputantagelser'!$B$26)^(K$5-1)*'Omsætningsopsætning'!$G$8,0)</f>
        <v>0</v>
      </c>
      <c r="L10" s="249" t="n">
        <f>IF('Omsætningsopsætning'!$C$8="Ja",K10*(1+IF('Omsætningsopsætning'!$H$8="",'Inputantagelser'!$B$20,'Omsætningsopsætning'!$H$8)-IF('Omsætningsopsætning'!$J$8="",'Inputantagelser'!$B$21,'Omsætningsopsætning'!$J$8))+'Omsætningsopsætning'!$E$8*(1+'Inputantagelser'!$B$26)^(L$5-1)*'Omsætningsopsætning'!$G$8,0)</f>
        <v>0</v>
      </c>
      <c r="M10" s="249" t="n">
        <f>IF('Omsætningsopsætning'!$C$8="Ja",L10*(1+IF('Omsætningsopsætning'!$H$8="",'Inputantagelser'!$B$20,'Omsætningsopsætning'!$H$8)-IF('Omsætningsopsætning'!$J$8="",'Inputantagelser'!$B$21,'Omsætningsopsætning'!$J$8))+'Omsætningsopsætning'!$E$8*(1+'Inputantagelser'!$B$26)^(M$5-1)*'Omsætningsopsætning'!$G$8,0)</f>
        <v>0</v>
      </c>
      <c r="N10" s="249" t="n">
        <f>IF('Omsætningsopsætning'!$C$8="Ja",M10*(1+IF('Omsætningsopsætning'!$H$8="",'Inputantagelser'!$B$20,'Omsætningsopsætning'!$H$8)-IF('Omsætningsopsætning'!$J$8="",'Inputantagelser'!$B$21,'Omsætningsopsætning'!$J$8))+'Omsætningsopsætning'!$E$8*(1+'Inputantagelser'!$B$26)^(N$5-1)*'Omsætningsopsætning'!$G$8,0)</f>
        <v>0</v>
      </c>
      <c r="O10" s="249" t="n">
        <f>IF('Omsætningsopsætning'!$C$8="Ja",N10*(1+IF('Omsætningsopsætning'!$H$8="",'Inputantagelser'!$B$20,'Omsætningsopsætning'!$H$8)-IF('Omsætningsopsætning'!$J$8="",'Inputantagelser'!$B$21,'Omsætningsopsætning'!$J$8))+'Omsætningsopsætning'!$E$8*(1+'Inputantagelser'!$B$26)^(O$5-1)*'Omsætningsopsætning'!$G$8,0)</f>
        <v>0</v>
      </c>
      <c r="P10" s="249" t="n">
        <f>IF('Omsætningsopsætning'!$C$8="Ja",O10*(1+IF('Omsætningsopsætning'!$H$8="",'Inputantagelser'!$B$20,'Omsætningsopsætning'!$H$8)-IF('Omsætningsopsætning'!$J$8="",'Inputantagelser'!$B$21,'Omsætningsopsætning'!$J$8))+'Omsætningsopsætning'!$E$8*(1+'Inputantagelser'!$B$26)^(P$5-1)*'Omsætningsopsætning'!$G$8,0)</f>
        <v>0</v>
      </c>
      <c r="Q10" s="249" t="n">
        <f>IF('Omsætningsopsætning'!$C$8="Ja",P10*(1+IF('Omsætningsopsætning'!$H$8="",'Inputantagelser'!$B$20,'Omsætningsopsætning'!$H$8)-IF('Omsætningsopsætning'!$J$8="",'Inputantagelser'!$B$21,'Omsætningsopsætning'!$J$8))+'Omsætningsopsætning'!$E$8*(1+'Inputantagelser'!$B$26)^(Q$5-1)*'Omsætningsopsætning'!$G$8,0)</f>
        <v>0</v>
      </c>
      <c r="R10" s="249" t="n">
        <f>IF('Omsætningsopsætning'!$C$8="Ja",Q10*(1+IF('Omsætningsopsætning'!$H$8="",'Inputantagelser'!$B$20,'Omsætningsopsætning'!$H$8)-IF('Omsætningsopsætning'!$J$8="",'Inputantagelser'!$B$21,'Omsætningsopsætning'!$J$8))+'Omsætningsopsætning'!$E$8*(1+'Inputantagelser'!$B$26)^(R$5-1)*'Omsætningsopsætning'!$G$8,0)</f>
        <v>0</v>
      </c>
      <c r="S10" s="249" t="n">
        <f>IF('Omsætningsopsætning'!$C$8="Ja",R10*(1+IF('Omsætningsopsætning'!$H$8="",'Inputantagelser'!$B$20,'Omsætningsopsætning'!$H$8)-IF('Omsætningsopsætning'!$J$8="",'Inputantagelser'!$B$21,'Omsætningsopsætning'!$J$8))+'Omsætningsopsætning'!$E$8*(1+'Inputantagelser'!$B$26)^(S$5-1)*'Omsætningsopsætning'!$G$8,0)</f>
        <v>0</v>
      </c>
      <c r="T10" s="249" t="n">
        <f>IF('Omsætningsopsætning'!$C$8="Ja",S10*(1+IF('Omsætningsopsætning'!$H$8="",'Inputantagelser'!$B$20,'Omsætningsopsætning'!$H$8)-IF('Omsætningsopsætning'!$J$8="",'Inputantagelser'!$B$21,'Omsætningsopsætning'!$J$8))+'Omsætningsopsætning'!$E$8*(1+'Inputantagelser'!$B$26)^(T$5-1)*'Omsætningsopsætning'!$G$8,0)</f>
        <v>0</v>
      </c>
      <c r="U10" s="249" t="n">
        <f>IF('Omsætningsopsætning'!$C$8="Ja",T10*(1+IF('Omsætningsopsætning'!$H$8="",'Inputantagelser'!$B$20,'Omsætningsopsætning'!$H$8)-IF('Omsætningsopsætning'!$J$8="",'Inputantagelser'!$B$21,'Omsætningsopsætning'!$J$8))+'Omsætningsopsætning'!$E$8*(1+'Inputantagelser'!$B$26)^(U$5-1)*'Omsætningsopsætning'!$G$8,0)</f>
        <v>0</v>
      </c>
      <c r="V10" s="249" t="n">
        <f>IF('Omsætningsopsætning'!$C$8="Ja",U10*(1+IF('Omsætningsopsætning'!$H$8="",'Inputantagelser'!$B$20,'Omsætningsopsætning'!$H$8)-IF('Omsætningsopsætning'!$J$8="",'Inputantagelser'!$B$21,'Omsætningsopsætning'!$J$8))+'Omsætningsopsætning'!$E$8*(1+'Inputantagelser'!$B$26)^(V$5-1)*'Omsætningsopsætning'!$G$8,0)</f>
        <v>0</v>
      </c>
      <c r="W10" s="249" t="n">
        <f>IF('Omsætningsopsætning'!$C$8="Ja",V10*(1+IF('Omsætningsopsætning'!$H$8="",'Inputantagelser'!$B$20,'Omsætningsopsætning'!$H$8)-IF('Omsætningsopsætning'!$J$8="",'Inputantagelser'!$B$21,'Omsætningsopsætning'!$J$8))+'Omsætningsopsætning'!$E$8*(1+'Inputantagelser'!$B$26)^(W$5-1)*'Omsætningsopsætning'!$G$8,0)</f>
        <v>0</v>
      </c>
      <c r="X10" s="249" t="n">
        <f>IF('Omsætningsopsætning'!$C$8="Ja",W10*(1+IF('Omsætningsopsætning'!$H$8="",'Inputantagelser'!$B$20,'Omsætningsopsætning'!$H$8)-IF('Omsætningsopsætning'!$J$8="",'Inputantagelser'!$B$21,'Omsætningsopsætning'!$J$8))+'Omsætningsopsætning'!$E$8*(1+'Inputantagelser'!$B$26)^(X$5-1)*'Omsætningsopsætning'!$G$8,0)</f>
        <v>0</v>
      </c>
      <c r="Y10" s="249" t="n">
        <f>IF('Omsætningsopsætning'!$C$8="Ja",X10*(1+IF('Omsætningsopsætning'!$H$8="",'Inputantagelser'!$B$20,'Omsætningsopsætning'!$H$8)-IF('Omsætningsopsætning'!$J$8="",'Inputantagelser'!$B$21,'Omsætningsopsætning'!$J$8))+'Omsætningsopsætning'!$E$8*(1+'Inputantagelser'!$B$26)^(Y$5-1)*'Omsætningsopsætning'!$G$8,0)</f>
        <v>0</v>
      </c>
      <c r="Z10" s="250" t="n">
        <f>IF('Omsætningsopsætning'!$C$8="Ja",Y10*(1+IF('Omsætningsopsætning'!$H$8="",'Inputantagelser'!$B$20,'Omsætningsopsætning'!$H$8)-IF('Omsætningsopsætning'!$J$8="",'Inputantagelser'!$B$21,'Omsætningsopsætning'!$J$8))+'Omsætningsopsætning'!$E$8*(1+'Inputantagelser'!$B$26)^(Z$5-1)*'Omsætningsopsætning'!$G$8,0)</f>
        <v>0</v>
      </c>
    </row>
    <row r="11" ht="15" customHeight="true">
      <c r="A11" s="30" t="str">
        <f>'Omsætningsopsætning'!$A$9</f>
        <v>Kanal/distribution</v>
      </c>
      <c r="B11" s="84" t="str">
        <f>'Omsætningsopsætning'!$B$9</f>
        <v>Kanal/distribution</v>
      </c>
      <c r="C11" s="249" t="n">
        <f>IF('Omsætningsopsætning'!$C$9="Ja",'Omsætningsopsætning'!$D$9,0)</f>
        <v>0</v>
      </c>
      <c r="D11" s="249" t="n">
        <f>IF('Omsætningsopsætning'!$C$9="Ja",C11*(1+IF('Omsætningsopsætning'!$H$9="",'Inputantagelser'!$B$20,'Omsætningsopsætning'!$H$9)-IF('Omsætningsopsætning'!$J$9="",'Inputantagelser'!$B$21,'Omsætningsopsætning'!$J$9))+'Omsætningsopsætning'!$E$9*(1+'Inputantagelser'!$B$26)^(D$5-1)*'Omsætningsopsætning'!$G$9,0)</f>
        <v>0</v>
      </c>
      <c r="E11" s="249" t="n">
        <f>IF('Omsætningsopsætning'!$C$9="Ja",D11*(1+IF('Omsætningsopsætning'!$H$9="",'Inputantagelser'!$B$20,'Omsætningsopsætning'!$H$9)-IF('Omsætningsopsætning'!$J$9="",'Inputantagelser'!$B$21,'Omsætningsopsætning'!$J$9))+'Omsætningsopsætning'!$E$9*(1+'Inputantagelser'!$B$26)^(E$5-1)*'Omsætningsopsætning'!$G$9,0)</f>
        <v>0</v>
      </c>
      <c r="F11" s="249" t="n">
        <f>IF('Omsætningsopsætning'!$C$9="Ja",E11*(1+IF('Omsætningsopsætning'!$H$9="",'Inputantagelser'!$B$20,'Omsætningsopsætning'!$H$9)-IF('Omsætningsopsætning'!$J$9="",'Inputantagelser'!$B$21,'Omsætningsopsætning'!$J$9))+'Omsætningsopsætning'!$E$9*(1+'Inputantagelser'!$B$26)^(F$5-1)*'Omsætningsopsætning'!$G$9,0)</f>
        <v>0</v>
      </c>
      <c r="G11" s="249" t="n">
        <f>IF('Omsætningsopsætning'!$C$9="Ja",F11*(1+IF('Omsætningsopsætning'!$H$9="",'Inputantagelser'!$B$20,'Omsætningsopsætning'!$H$9)-IF('Omsætningsopsætning'!$J$9="",'Inputantagelser'!$B$21,'Omsætningsopsætning'!$J$9))+'Omsætningsopsætning'!$E$9*(1+'Inputantagelser'!$B$26)^(G$5-1)*'Omsætningsopsætning'!$G$9,0)</f>
        <v>0</v>
      </c>
      <c r="H11" s="249" t="n">
        <f>IF('Omsætningsopsætning'!$C$9="Ja",G11*(1+IF('Omsætningsopsætning'!$H$9="",'Inputantagelser'!$B$20,'Omsætningsopsætning'!$H$9)-IF('Omsætningsopsætning'!$J$9="",'Inputantagelser'!$B$21,'Omsætningsopsætning'!$J$9))+'Omsætningsopsætning'!$E$9*(1+'Inputantagelser'!$B$26)^(H$5-1)*'Omsætningsopsætning'!$G$9,0)</f>
        <v>0</v>
      </c>
      <c r="I11" s="249" t="n">
        <f>IF('Omsætningsopsætning'!$C$9="Ja",H11*(1+IF('Omsætningsopsætning'!$H$9="",'Inputantagelser'!$B$20,'Omsætningsopsætning'!$H$9)-IF('Omsætningsopsætning'!$J$9="",'Inputantagelser'!$B$21,'Omsætningsopsætning'!$J$9))+'Omsætningsopsætning'!$E$9*(1+'Inputantagelser'!$B$26)^(I$5-1)*'Omsætningsopsætning'!$G$9,0)</f>
        <v>0</v>
      </c>
      <c r="J11" s="249" t="n">
        <f>IF('Omsætningsopsætning'!$C$9="Ja",I11*(1+IF('Omsætningsopsætning'!$H$9="",'Inputantagelser'!$B$20,'Omsætningsopsætning'!$H$9)-IF('Omsætningsopsætning'!$J$9="",'Inputantagelser'!$B$21,'Omsætningsopsætning'!$J$9))+'Omsætningsopsætning'!$E$9*(1+'Inputantagelser'!$B$26)^(J$5-1)*'Omsætningsopsætning'!$G$9,0)</f>
        <v>0</v>
      </c>
      <c r="K11" s="249" t="n">
        <f>IF('Omsætningsopsætning'!$C$9="Ja",J11*(1+IF('Omsætningsopsætning'!$H$9="",'Inputantagelser'!$B$20,'Omsætningsopsætning'!$H$9)-IF('Omsætningsopsætning'!$J$9="",'Inputantagelser'!$B$21,'Omsætningsopsætning'!$J$9))+'Omsætningsopsætning'!$E$9*(1+'Inputantagelser'!$B$26)^(K$5-1)*'Omsætningsopsætning'!$G$9,0)</f>
        <v>0</v>
      </c>
      <c r="L11" s="249" t="n">
        <f>IF('Omsætningsopsætning'!$C$9="Ja",K11*(1+IF('Omsætningsopsætning'!$H$9="",'Inputantagelser'!$B$20,'Omsætningsopsætning'!$H$9)-IF('Omsætningsopsætning'!$J$9="",'Inputantagelser'!$B$21,'Omsætningsopsætning'!$J$9))+'Omsætningsopsætning'!$E$9*(1+'Inputantagelser'!$B$26)^(L$5-1)*'Omsætningsopsætning'!$G$9,0)</f>
        <v>0</v>
      </c>
      <c r="M11" s="249" t="n">
        <f>IF('Omsætningsopsætning'!$C$9="Ja",L11*(1+IF('Omsætningsopsætning'!$H$9="",'Inputantagelser'!$B$20,'Omsætningsopsætning'!$H$9)-IF('Omsætningsopsætning'!$J$9="",'Inputantagelser'!$B$21,'Omsætningsopsætning'!$J$9))+'Omsætningsopsætning'!$E$9*(1+'Inputantagelser'!$B$26)^(M$5-1)*'Omsætningsopsætning'!$G$9,0)</f>
        <v>0</v>
      </c>
      <c r="N11" s="249" t="n">
        <f>IF('Omsætningsopsætning'!$C$9="Ja",M11*(1+IF('Omsætningsopsætning'!$H$9="",'Inputantagelser'!$B$20,'Omsætningsopsætning'!$H$9)-IF('Omsætningsopsætning'!$J$9="",'Inputantagelser'!$B$21,'Omsætningsopsætning'!$J$9))+'Omsætningsopsætning'!$E$9*(1+'Inputantagelser'!$B$26)^(N$5-1)*'Omsætningsopsætning'!$G$9,0)</f>
        <v>0</v>
      </c>
      <c r="O11" s="249" t="n">
        <f>IF('Omsætningsopsætning'!$C$9="Ja",N11*(1+IF('Omsætningsopsætning'!$H$9="",'Inputantagelser'!$B$20,'Omsætningsopsætning'!$H$9)-IF('Omsætningsopsætning'!$J$9="",'Inputantagelser'!$B$21,'Omsætningsopsætning'!$J$9))+'Omsætningsopsætning'!$E$9*(1+'Inputantagelser'!$B$26)^(O$5-1)*'Omsætningsopsætning'!$G$9,0)</f>
        <v>0</v>
      </c>
      <c r="P11" s="249" t="n">
        <f>IF('Omsætningsopsætning'!$C$9="Ja",O11*(1+IF('Omsætningsopsætning'!$H$9="",'Inputantagelser'!$B$20,'Omsætningsopsætning'!$H$9)-IF('Omsætningsopsætning'!$J$9="",'Inputantagelser'!$B$21,'Omsætningsopsætning'!$J$9))+'Omsætningsopsætning'!$E$9*(1+'Inputantagelser'!$B$26)^(P$5-1)*'Omsætningsopsætning'!$G$9,0)</f>
        <v>0</v>
      </c>
      <c r="Q11" s="249" t="n">
        <f>IF('Omsætningsopsætning'!$C$9="Ja",P11*(1+IF('Omsætningsopsætning'!$H$9="",'Inputantagelser'!$B$20,'Omsætningsopsætning'!$H$9)-IF('Omsætningsopsætning'!$J$9="",'Inputantagelser'!$B$21,'Omsætningsopsætning'!$J$9))+'Omsætningsopsætning'!$E$9*(1+'Inputantagelser'!$B$26)^(Q$5-1)*'Omsætningsopsætning'!$G$9,0)</f>
        <v>0</v>
      </c>
      <c r="R11" s="249" t="n">
        <f>IF('Omsætningsopsætning'!$C$9="Ja",Q11*(1+IF('Omsætningsopsætning'!$H$9="",'Inputantagelser'!$B$20,'Omsætningsopsætning'!$H$9)-IF('Omsætningsopsætning'!$J$9="",'Inputantagelser'!$B$21,'Omsætningsopsætning'!$J$9))+'Omsætningsopsætning'!$E$9*(1+'Inputantagelser'!$B$26)^(R$5-1)*'Omsætningsopsætning'!$G$9,0)</f>
        <v>0</v>
      </c>
      <c r="S11" s="249" t="n">
        <f>IF('Omsætningsopsætning'!$C$9="Ja",R11*(1+IF('Omsætningsopsætning'!$H$9="",'Inputantagelser'!$B$20,'Omsætningsopsætning'!$H$9)-IF('Omsætningsopsætning'!$J$9="",'Inputantagelser'!$B$21,'Omsætningsopsætning'!$J$9))+'Omsætningsopsætning'!$E$9*(1+'Inputantagelser'!$B$26)^(S$5-1)*'Omsætningsopsætning'!$G$9,0)</f>
        <v>0</v>
      </c>
      <c r="T11" s="249" t="n">
        <f>IF('Omsætningsopsætning'!$C$9="Ja",S11*(1+IF('Omsætningsopsætning'!$H$9="",'Inputantagelser'!$B$20,'Omsætningsopsætning'!$H$9)-IF('Omsætningsopsætning'!$J$9="",'Inputantagelser'!$B$21,'Omsætningsopsætning'!$J$9))+'Omsætningsopsætning'!$E$9*(1+'Inputantagelser'!$B$26)^(T$5-1)*'Omsætningsopsætning'!$G$9,0)</f>
        <v>0</v>
      </c>
      <c r="U11" s="249" t="n">
        <f>IF('Omsætningsopsætning'!$C$9="Ja",T11*(1+IF('Omsætningsopsætning'!$H$9="",'Inputantagelser'!$B$20,'Omsætningsopsætning'!$H$9)-IF('Omsætningsopsætning'!$J$9="",'Inputantagelser'!$B$21,'Omsætningsopsætning'!$J$9))+'Omsætningsopsætning'!$E$9*(1+'Inputantagelser'!$B$26)^(U$5-1)*'Omsætningsopsætning'!$G$9,0)</f>
        <v>0</v>
      </c>
      <c r="V11" s="249" t="n">
        <f>IF('Omsætningsopsætning'!$C$9="Ja",U11*(1+IF('Omsætningsopsætning'!$H$9="",'Inputantagelser'!$B$20,'Omsætningsopsætning'!$H$9)-IF('Omsætningsopsætning'!$J$9="",'Inputantagelser'!$B$21,'Omsætningsopsætning'!$J$9))+'Omsætningsopsætning'!$E$9*(1+'Inputantagelser'!$B$26)^(V$5-1)*'Omsætningsopsætning'!$G$9,0)</f>
        <v>0</v>
      </c>
      <c r="W11" s="249" t="n">
        <f>IF('Omsætningsopsætning'!$C$9="Ja",V11*(1+IF('Omsætningsopsætning'!$H$9="",'Inputantagelser'!$B$20,'Omsætningsopsætning'!$H$9)-IF('Omsætningsopsætning'!$J$9="",'Inputantagelser'!$B$21,'Omsætningsopsætning'!$J$9))+'Omsætningsopsætning'!$E$9*(1+'Inputantagelser'!$B$26)^(W$5-1)*'Omsætningsopsætning'!$G$9,0)</f>
        <v>0</v>
      </c>
      <c r="X11" s="249" t="n">
        <f>IF('Omsætningsopsætning'!$C$9="Ja",W11*(1+IF('Omsætningsopsætning'!$H$9="",'Inputantagelser'!$B$20,'Omsætningsopsætning'!$H$9)-IF('Omsætningsopsætning'!$J$9="",'Inputantagelser'!$B$21,'Omsætningsopsætning'!$J$9))+'Omsætningsopsætning'!$E$9*(1+'Inputantagelser'!$B$26)^(X$5-1)*'Omsætningsopsætning'!$G$9,0)</f>
        <v>0</v>
      </c>
      <c r="Y11" s="249" t="n">
        <f>IF('Omsætningsopsætning'!$C$9="Ja",X11*(1+IF('Omsætningsopsætning'!$H$9="",'Inputantagelser'!$B$20,'Omsætningsopsætning'!$H$9)-IF('Omsætningsopsætning'!$J$9="",'Inputantagelser'!$B$21,'Omsætningsopsætning'!$J$9))+'Omsætningsopsætning'!$E$9*(1+'Inputantagelser'!$B$26)^(Y$5-1)*'Omsætningsopsætning'!$G$9,0)</f>
        <v>0</v>
      </c>
      <c r="Z11" s="250" t="n">
        <f>IF('Omsætningsopsætning'!$C$9="Ja",Y11*(1+IF('Omsætningsopsætning'!$H$9="",'Inputantagelser'!$B$20,'Omsætningsopsætning'!$H$9)-IF('Omsætningsopsætning'!$J$9="",'Inputantagelser'!$B$21,'Omsætningsopsætning'!$J$9))+'Omsætningsopsætning'!$E$9*(1+'Inputantagelser'!$B$26)^(Z$5-1)*'Omsætningsopsætning'!$G$9,0)</f>
        <v>0</v>
      </c>
    </row>
    <row r="12" ht="15" customHeight="true">
      <c r="A12" s="30" t="str">
        <f>'Omsætningsopsætning'!$A$10</f>
        <v>Anden omsætning</v>
      </c>
      <c r="B12" s="84" t="str">
        <f>'Omsætningsopsætning'!$B$10</f>
        <v>Andet</v>
      </c>
      <c r="C12" s="249" t="n">
        <f>IF('Omsætningsopsætning'!$C$10="Ja",'Omsætningsopsætning'!$D$10,0)</f>
        <v>0</v>
      </c>
      <c r="D12" s="249" t="n">
        <f>IF('Omsætningsopsætning'!$C$10="Ja",C12*(1+IF('Omsætningsopsætning'!$H$10="",'Inputantagelser'!$B$20,'Omsætningsopsætning'!$H$10)-IF('Omsætningsopsætning'!$J$10="",'Inputantagelser'!$B$21,'Omsætningsopsætning'!$J$10))+'Omsætningsopsætning'!$E$10*(1+'Inputantagelser'!$B$26)^(D$5-1)*'Omsætningsopsætning'!$G$10,0)</f>
        <v>0</v>
      </c>
      <c r="E12" s="249" t="n">
        <f>IF('Omsætningsopsætning'!$C$10="Ja",D12*(1+IF('Omsætningsopsætning'!$H$10="",'Inputantagelser'!$B$20,'Omsætningsopsætning'!$H$10)-IF('Omsætningsopsætning'!$J$10="",'Inputantagelser'!$B$21,'Omsætningsopsætning'!$J$10))+'Omsætningsopsætning'!$E$10*(1+'Inputantagelser'!$B$26)^(E$5-1)*'Omsætningsopsætning'!$G$10,0)</f>
        <v>0</v>
      </c>
      <c r="F12" s="249" t="n">
        <f>IF('Omsætningsopsætning'!$C$10="Ja",E12*(1+IF('Omsætningsopsætning'!$H$10="",'Inputantagelser'!$B$20,'Omsætningsopsætning'!$H$10)-IF('Omsætningsopsætning'!$J$10="",'Inputantagelser'!$B$21,'Omsætningsopsætning'!$J$10))+'Omsætningsopsætning'!$E$10*(1+'Inputantagelser'!$B$26)^(F$5-1)*'Omsætningsopsætning'!$G$10,0)</f>
        <v>0</v>
      </c>
      <c r="G12" s="249" t="n">
        <f>IF('Omsætningsopsætning'!$C$10="Ja",F12*(1+IF('Omsætningsopsætning'!$H$10="",'Inputantagelser'!$B$20,'Omsætningsopsætning'!$H$10)-IF('Omsætningsopsætning'!$J$10="",'Inputantagelser'!$B$21,'Omsætningsopsætning'!$J$10))+'Omsætningsopsætning'!$E$10*(1+'Inputantagelser'!$B$26)^(G$5-1)*'Omsætningsopsætning'!$G$10,0)</f>
        <v>0</v>
      </c>
      <c r="H12" s="249" t="n">
        <f>IF('Omsætningsopsætning'!$C$10="Ja",G12*(1+IF('Omsætningsopsætning'!$H$10="",'Inputantagelser'!$B$20,'Omsætningsopsætning'!$H$10)-IF('Omsætningsopsætning'!$J$10="",'Inputantagelser'!$B$21,'Omsætningsopsætning'!$J$10))+'Omsætningsopsætning'!$E$10*(1+'Inputantagelser'!$B$26)^(H$5-1)*'Omsætningsopsætning'!$G$10,0)</f>
        <v>0</v>
      </c>
      <c r="I12" s="249" t="n">
        <f>IF('Omsætningsopsætning'!$C$10="Ja",H12*(1+IF('Omsætningsopsætning'!$H$10="",'Inputantagelser'!$B$20,'Omsætningsopsætning'!$H$10)-IF('Omsætningsopsætning'!$J$10="",'Inputantagelser'!$B$21,'Omsætningsopsætning'!$J$10))+'Omsætningsopsætning'!$E$10*(1+'Inputantagelser'!$B$26)^(I$5-1)*'Omsætningsopsætning'!$G$10,0)</f>
        <v>0</v>
      </c>
      <c r="J12" s="249" t="n">
        <f>IF('Omsætningsopsætning'!$C$10="Ja",I12*(1+IF('Omsætningsopsætning'!$H$10="",'Inputantagelser'!$B$20,'Omsætningsopsætning'!$H$10)-IF('Omsætningsopsætning'!$J$10="",'Inputantagelser'!$B$21,'Omsætningsopsætning'!$J$10))+'Omsætningsopsætning'!$E$10*(1+'Inputantagelser'!$B$26)^(J$5-1)*'Omsætningsopsætning'!$G$10,0)</f>
        <v>0</v>
      </c>
      <c r="K12" s="249" t="n">
        <f>IF('Omsætningsopsætning'!$C$10="Ja",J12*(1+IF('Omsætningsopsætning'!$H$10="",'Inputantagelser'!$B$20,'Omsætningsopsætning'!$H$10)-IF('Omsætningsopsætning'!$J$10="",'Inputantagelser'!$B$21,'Omsætningsopsætning'!$J$10))+'Omsætningsopsætning'!$E$10*(1+'Inputantagelser'!$B$26)^(K$5-1)*'Omsætningsopsætning'!$G$10,0)</f>
        <v>0</v>
      </c>
      <c r="L12" s="249" t="n">
        <f>IF('Omsætningsopsætning'!$C$10="Ja",K12*(1+IF('Omsætningsopsætning'!$H$10="",'Inputantagelser'!$B$20,'Omsætningsopsætning'!$H$10)-IF('Omsætningsopsætning'!$J$10="",'Inputantagelser'!$B$21,'Omsætningsopsætning'!$J$10))+'Omsætningsopsætning'!$E$10*(1+'Inputantagelser'!$B$26)^(L$5-1)*'Omsætningsopsætning'!$G$10,0)</f>
        <v>0</v>
      </c>
      <c r="M12" s="249" t="n">
        <f>IF('Omsætningsopsætning'!$C$10="Ja",L12*(1+IF('Omsætningsopsætning'!$H$10="",'Inputantagelser'!$B$20,'Omsætningsopsætning'!$H$10)-IF('Omsætningsopsætning'!$J$10="",'Inputantagelser'!$B$21,'Omsætningsopsætning'!$J$10))+'Omsætningsopsætning'!$E$10*(1+'Inputantagelser'!$B$26)^(M$5-1)*'Omsætningsopsætning'!$G$10,0)</f>
        <v>0</v>
      </c>
      <c r="N12" s="249" t="n">
        <f>IF('Omsætningsopsætning'!$C$10="Ja",M12*(1+IF('Omsætningsopsætning'!$H$10="",'Inputantagelser'!$B$20,'Omsætningsopsætning'!$H$10)-IF('Omsætningsopsætning'!$J$10="",'Inputantagelser'!$B$21,'Omsætningsopsætning'!$J$10))+'Omsætningsopsætning'!$E$10*(1+'Inputantagelser'!$B$26)^(N$5-1)*'Omsætningsopsætning'!$G$10,0)</f>
        <v>0</v>
      </c>
      <c r="O12" s="249" t="n">
        <f>IF('Omsætningsopsætning'!$C$10="Ja",N12*(1+IF('Omsætningsopsætning'!$H$10="",'Inputantagelser'!$B$20,'Omsætningsopsætning'!$H$10)-IF('Omsætningsopsætning'!$J$10="",'Inputantagelser'!$B$21,'Omsætningsopsætning'!$J$10))+'Omsætningsopsætning'!$E$10*(1+'Inputantagelser'!$B$26)^(O$5-1)*'Omsætningsopsætning'!$G$10,0)</f>
        <v>0</v>
      </c>
      <c r="P12" s="249" t="n">
        <f>IF('Omsætningsopsætning'!$C$10="Ja",O12*(1+IF('Omsætningsopsætning'!$H$10="",'Inputantagelser'!$B$20,'Omsætningsopsætning'!$H$10)-IF('Omsætningsopsætning'!$J$10="",'Inputantagelser'!$B$21,'Omsætningsopsætning'!$J$10))+'Omsætningsopsætning'!$E$10*(1+'Inputantagelser'!$B$26)^(P$5-1)*'Omsætningsopsætning'!$G$10,0)</f>
        <v>0</v>
      </c>
      <c r="Q12" s="249" t="n">
        <f>IF('Omsætningsopsætning'!$C$10="Ja",P12*(1+IF('Omsætningsopsætning'!$H$10="",'Inputantagelser'!$B$20,'Omsætningsopsætning'!$H$10)-IF('Omsætningsopsætning'!$J$10="",'Inputantagelser'!$B$21,'Omsætningsopsætning'!$J$10))+'Omsætningsopsætning'!$E$10*(1+'Inputantagelser'!$B$26)^(Q$5-1)*'Omsætningsopsætning'!$G$10,0)</f>
        <v>0</v>
      </c>
      <c r="R12" s="249" t="n">
        <f>IF('Omsætningsopsætning'!$C$10="Ja",Q12*(1+IF('Omsætningsopsætning'!$H$10="",'Inputantagelser'!$B$20,'Omsætningsopsætning'!$H$10)-IF('Omsætningsopsætning'!$J$10="",'Inputantagelser'!$B$21,'Omsætningsopsætning'!$J$10))+'Omsætningsopsætning'!$E$10*(1+'Inputantagelser'!$B$26)^(R$5-1)*'Omsætningsopsætning'!$G$10,0)</f>
        <v>0</v>
      </c>
      <c r="S12" s="249" t="n">
        <f>IF('Omsætningsopsætning'!$C$10="Ja",R12*(1+IF('Omsætningsopsætning'!$H$10="",'Inputantagelser'!$B$20,'Omsætningsopsætning'!$H$10)-IF('Omsætningsopsætning'!$J$10="",'Inputantagelser'!$B$21,'Omsætningsopsætning'!$J$10))+'Omsætningsopsætning'!$E$10*(1+'Inputantagelser'!$B$26)^(S$5-1)*'Omsætningsopsætning'!$G$10,0)</f>
        <v>0</v>
      </c>
      <c r="T12" s="249" t="n">
        <f>IF('Omsætningsopsætning'!$C$10="Ja",S12*(1+IF('Omsætningsopsætning'!$H$10="",'Inputantagelser'!$B$20,'Omsætningsopsætning'!$H$10)-IF('Omsætningsopsætning'!$J$10="",'Inputantagelser'!$B$21,'Omsætningsopsætning'!$J$10))+'Omsætningsopsætning'!$E$10*(1+'Inputantagelser'!$B$26)^(T$5-1)*'Omsætningsopsætning'!$G$10,0)</f>
        <v>0</v>
      </c>
      <c r="U12" s="249" t="n">
        <f>IF('Omsætningsopsætning'!$C$10="Ja",T12*(1+IF('Omsætningsopsætning'!$H$10="",'Inputantagelser'!$B$20,'Omsætningsopsætning'!$H$10)-IF('Omsætningsopsætning'!$J$10="",'Inputantagelser'!$B$21,'Omsætningsopsætning'!$J$10))+'Omsætningsopsætning'!$E$10*(1+'Inputantagelser'!$B$26)^(U$5-1)*'Omsætningsopsætning'!$G$10,0)</f>
        <v>0</v>
      </c>
      <c r="V12" s="249" t="n">
        <f>IF('Omsætningsopsætning'!$C$10="Ja",U12*(1+IF('Omsætningsopsætning'!$H$10="",'Inputantagelser'!$B$20,'Omsætningsopsætning'!$H$10)-IF('Omsætningsopsætning'!$J$10="",'Inputantagelser'!$B$21,'Omsætningsopsætning'!$J$10))+'Omsætningsopsætning'!$E$10*(1+'Inputantagelser'!$B$26)^(V$5-1)*'Omsætningsopsætning'!$G$10,0)</f>
        <v>0</v>
      </c>
      <c r="W12" s="249" t="n">
        <f>IF('Omsætningsopsætning'!$C$10="Ja",V12*(1+IF('Omsætningsopsætning'!$H$10="",'Inputantagelser'!$B$20,'Omsætningsopsætning'!$H$10)-IF('Omsætningsopsætning'!$J$10="",'Inputantagelser'!$B$21,'Omsætningsopsætning'!$J$10))+'Omsætningsopsætning'!$E$10*(1+'Inputantagelser'!$B$26)^(W$5-1)*'Omsætningsopsætning'!$G$10,0)</f>
        <v>0</v>
      </c>
      <c r="X12" s="249" t="n">
        <f>IF('Omsætningsopsætning'!$C$10="Ja",W12*(1+IF('Omsætningsopsætning'!$H$10="",'Inputantagelser'!$B$20,'Omsætningsopsætning'!$H$10)-IF('Omsætningsopsætning'!$J$10="",'Inputantagelser'!$B$21,'Omsætningsopsætning'!$J$10))+'Omsætningsopsætning'!$E$10*(1+'Inputantagelser'!$B$26)^(X$5-1)*'Omsætningsopsætning'!$G$10,0)</f>
        <v>0</v>
      </c>
      <c r="Y12" s="249" t="n">
        <f>IF('Omsætningsopsætning'!$C$10="Ja",X12*(1+IF('Omsætningsopsætning'!$H$10="",'Inputantagelser'!$B$20,'Omsætningsopsætning'!$H$10)-IF('Omsætningsopsætning'!$J$10="",'Inputantagelser'!$B$21,'Omsætningsopsætning'!$J$10))+'Omsætningsopsætning'!$E$10*(1+'Inputantagelser'!$B$26)^(Y$5-1)*'Omsætningsopsætning'!$G$10,0)</f>
        <v>0</v>
      </c>
      <c r="Z12" s="250" t="n">
        <f>IF('Omsætningsopsætning'!$C$10="Ja",Y12*(1+IF('Omsætningsopsætning'!$H$10="",'Inputantagelser'!$B$20,'Omsætningsopsætning'!$H$10)-IF('Omsætningsopsætning'!$J$10="",'Inputantagelser'!$B$21,'Omsætningsopsætning'!$J$10))+'Omsætningsopsætning'!$E$10*(1+'Inputantagelser'!$B$26)^(Z$5-1)*'Omsætningsopsætning'!$G$10,0)</f>
        <v>0</v>
      </c>
    </row>
    <row r="13" ht="15" customHeight="true">
      <c r="A13" s="30" t="str">
        <f>'Omsætningsopsætning'!$A$11</f>
        <v>Reserveret omsætningslinje 1</v>
      </c>
      <c r="B13" s="84" t="str">
        <f>'Omsætningsopsætning'!$B$11</f>
        <v>Andet</v>
      </c>
      <c r="C13" s="249" t="n">
        <f>IF('Omsætningsopsætning'!$C$11="Ja",'Omsætningsopsætning'!$D$11,0)</f>
        <v>0</v>
      </c>
      <c r="D13" s="249" t="n">
        <f>IF('Omsætningsopsætning'!$C$11="Ja",C13*(1+IF('Omsætningsopsætning'!$H$11="",'Inputantagelser'!$B$20,'Omsætningsopsætning'!$H$11)-IF('Omsætningsopsætning'!$J$11="",'Inputantagelser'!$B$21,'Omsætningsopsætning'!$J$11))+'Omsætningsopsætning'!$E$11*(1+'Inputantagelser'!$B$26)^(D$5-1)*'Omsætningsopsætning'!$G$11,0)</f>
        <v>0</v>
      </c>
      <c r="E13" s="249" t="n">
        <f>IF('Omsætningsopsætning'!$C$11="Ja",D13*(1+IF('Omsætningsopsætning'!$H$11="",'Inputantagelser'!$B$20,'Omsætningsopsætning'!$H$11)-IF('Omsætningsopsætning'!$J$11="",'Inputantagelser'!$B$21,'Omsætningsopsætning'!$J$11))+'Omsætningsopsætning'!$E$11*(1+'Inputantagelser'!$B$26)^(E$5-1)*'Omsætningsopsætning'!$G$11,0)</f>
        <v>0</v>
      </c>
      <c r="F13" s="249" t="n">
        <f>IF('Omsætningsopsætning'!$C$11="Ja",E13*(1+IF('Omsætningsopsætning'!$H$11="",'Inputantagelser'!$B$20,'Omsætningsopsætning'!$H$11)-IF('Omsætningsopsætning'!$J$11="",'Inputantagelser'!$B$21,'Omsætningsopsætning'!$J$11))+'Omsætningsopsætning'!$E$11*(1+'Inputantagelser'!$B$26)^(F$5-1)*'Omsætningsopsætning'!$G$11,0)</f>
        <v>0</v>
      </c>
      <c r="G13" s="249" t="n">
        <f>IF('Omsætningsopsætning'!$C$11="Ja",F13*(1+IF('Omsætningsopsætning'!$H$11="",'Inputantagelser'!$B$20,'Omsætningsopsætning'!$H$11)-IF('Omsætningsopsætning'!$J$11="",'Inputantagelser'!$B$21,'Omsætningsopsætning'!$J$11))+'Omsætningsopsætning'!$E$11*(1+'Inputantagelser'!$B$26)^(G$5-1)*'Omsætningsopsætning'!$G$11,0)</f>
        <v>0</v>
      </c>
      <c r="H13" s="249" t="n">
        <f>IF('Omsætningsopsætning'!$C$11="Ja",G13*(1+IF('Omsætningsopsætning'!$H$11="",'Inputantagelser'!$B$20,'Omsætningsopsætning'!$H$11)-IF('Omsætningsopsætning'!$J$11="",'Inputantagelser'!$B$21,'Omsætningsopsætning'!$J$11))+'Omsætningsopsætning'!$E$11*(1+'Inputantagelser'!$B$26)^(H$5-1)*'Omsætningsopsætning'!$G$11,0)</f>
        <v>0</v>
      </c>
      <c r="I13" s="249" t="n">
        <f>IF('Omsætningsopsætning'!$C$11="Ja",H13*(1+IF('Omsætningsopsætning'!$H$11="",'Inputantagelser'!$B$20,'Omsætningsopsætning'!$H$11)-IF('Omsætningsopsætning'!$J$11="",'Inputantagelser'!$B$21,'Omsætningsopsætning'!$J$11))+'Omsætningsopsætning'!$E$11*(1+'Inputantagelser'!$B$26)^(I$5-1)*'Omsætningsopsætning'!$G$11,0)</f>
        <v>0</v>
      </c>
      <c r="J13" s="249" t="n">
        <f>IF('Omsætningsopsætning'!$C$11="Ja",I13*(1+IF('Omsætningsopsætning'!$H$11="",'Inputantagelser'!$B$20,'Omsætningsopsætning'!$H$11)-IF('Omsætningsopsætning'!$J$11="",'Inputantagelser'!$B$21,'Omsætningsopsætning'!$J$11))+'Omsætningsopsætning'!$E$11*(1+'Inputantagelser'!$B$26)^(J$5-1)*'Omsætningsopsætning'!$G$11,0)</f>
        <v>0</v>
      </c>
      <c r="K13" s="249" t="n">
        <f>IF('Omsætningsopsætning'!$C$11="Ja",J13*(1+IF('Omsætningsopsætning'!$H$11="",'Inputantagelser'!$B$20,'Omsætningsopsætning'!$H$11)-IF('Omsætningsopsætning'!$J$11="",'Inputantagelser'!$B$21,'Omsætningsopsætning'!$J$11))+'Omsætningsopsætning'!$E$11*(1+'Inputantagelser'!$B$26)^(K$5-1)*'Omsætningsopsætning'!$G$11,0)</f>
        <v>0</v>
      </c>
      <c r="L13" s="249" t="n">
        <f>IF('Omsætningsopsætning'!$C$11="Ja",K13*(1+IF('Omsætningsopsætning'!$H$11="",'Inputantagelser'!$B$20,'Omsætningsopsætning'!$H$11)-IF('Omsætningsopsætning'!$J$11="",'Inputantagelser'!$B$21,'Omsætningsopsætning'!$J$11))+'Omsætningsopsætning'!$E$11*(1+'Inputantagelser'!$B$26)^(L$5-1)*'Omsætningsopsætning'!$G$11,0)</f>
        <v>0</v>
      </c>
      <c r="M13" s="249" t="n">
        <f>IF('Omsætningsopsætning'!$C$11="Ja",L13*(1+IF('Omsætningsopsætning'!$H$11="",'Inputantagelser'!$B$20,'Omsætningsopsætning'!$H$11)-IF('Omsætningsopsætning'!$J$11="",'Inputantagelser'!$B$21,'Omsætningsopsætning'!$J$11))+'Omsætningsopsætning'!$E$11*(1+'Inputantagelser'!$B$26)^(M$5-1)*'Omsætningsopsætning'!$G$11,0)</f>
        <v>0</v>
      </c>
      <c r="N13" s="249" t="n">
        <f>IF('Omsætningsopsætning'!$C$11="Ja",M13*(1+IF('Omsætningsopsætning'!$H$11="",'Inputantagelser'!$B$20,'Omsætningsopsætning'!$H$11)-IF('Omsætningsopsætning'!$J$11="",'Inputantagelser'!$B$21,'Omsætningsopsætning'!$J$11))+'Omsætningsopsætning'!$E$11*(1+'Inputantagelser'!$B$26)^(N$5-1)*'Omsætningsopsætning'!$G$11,0)</f>
        <v>0</v>
      </c>
      <c r="O13" s="249" t="n">
        <f>IF('Omsætningsopsætning'!$C$11="Ja",N13*(1+IF('Omsætningsopsætning'!$H$11="",'Inputantagelser'!$B$20,'Omsætningsopsætning'!$H$11)-IF('Omsætningsopsætning'!$J$11="",'Inputantagelser'!$B$21,'Omsætningsopsætning'!$J$11))+'Omsætningsopsætning'!$E$11*(1+'Inputantagelser'!$B$26)^(O$5-1)*'Omsætningsopsætning'!$G$11,0)</f>
        <v>0</v>
      </c>
      <c r="P13" s="249" t="n">
        <f>IF('Omsætningsopsætning'!$C$11="Ja",O13*(1+IF('Omsætningsopsætning'!$H$11="",'Inputantagelser'!$B$20,'Omsætningsopsætning'!$H$11)-IF('Omsætningsopsætning'!$J$11="",'Inputantagelser'!$B$21,'Omsætningsopsætning'!$J$11))+'Omsætningsopsætning'!$E$11*(1+'Inputantagelser'!$B$26)^(P$5-1)*'Omsætningsopsætning'!$G$11,0)</f>
        <v>0</v>
      </c>
      <c r="Q13" s="249" t="n">
        <f>IF('Omsætningsopsætning'!$C$11="Ja",P13*(1+IF('Omsætningsopsætning'!$H$11="",'Inputantagelser'!$B$20,'Omsætningsopsætning'!$H$11)-IF('Omsætningsopsætning'!$J$11="",'Inputantagelser'!$B$21,'Omsætningsopsætning'!$J$11))+'Omsætningsopsætning'!$E$11*(1+'Inputantagelser'!$B$26)^(Q$5-1)*'Omsætningsopsætning'!$G$11,0)</f>
        <v>0</v>
      </c>
      <c r="R13" s="249" t="n">
        <f>IF('Omsætningsopsætning'!$C$11="Ja",Q13*(1+IF('Omsætningsopsætning'!$H$11="",'Inputantagelser'!$B$20,'Omsætningsopsætning'!$H$11)-IF('Omsætningsopsætning'!$J$11="",'Inputantagelser'!$B$21,'Omsætningsopsætning'!$J$11))+'Omsætningsopsætning'!$E$11*(1+'Inputantagelser'!$B$26)^(R$5-1)*'Omsætningsopsætning'!$G$11,0)</f>
        <v>0</v>
      </c>
      <c r="S13" s="249" t="n">
        <f>IF('Omsætningsopsætning'!$C$11="Ja",R13*(1+IF('Omsætningsopsætning'!$H$11="",'Inputantagelser'!$B$20,'Omsætningsopsætning'!$H$11)-IF('Omsætningsopsætning'!$J$11="",'Inputantagelser'!$B$21,'Omsætningsopsætning'!$J$11))+'Omsætningsopsætning'!$E$11*(1+'Inputantagelser'!$B$26)^(S$5-1)*'Omsætningsopsætning'!$G$11,0)</f>
        <v>0</v>
      </c>
      <c r="T13" s="249" t="n">
        <f>IF('Omsætningsopsætning'!$C$11="Ja",S13*(1+IF('Omsætningsopsætning'!$H$11="",'Inputantagelser'!$B$20,'Omsætningsopsætning'!$H$11)-IF('Omsætningsopsætning'!$J$11="",'Inputantagelser'!$B$21,'Omsætningsopsætning'!$J$11))+'Omsætningsopsætning'!$E$11*(1+'Inputantagelser'!$B$26)^(T$5-1)*'Omsætningsopsætning'!$G$11,0)</f>
        <v>0</v>
      </c>
      <c r="U13" s="249" t="n">
        <f>IF('Omsætningsopsætning'!$C$11="Ja",T13*(1+IF('Omsætningsopsætning'!$H$11="",'Inputantagelser'!$B$20,'Omsætningsopsætning'!$H$11)-IF('Omsætningsopsætning'!$J$11="",'Inputantagelser'!$B$21,'Omsætningsopsætning'!$J$11))+'Omsætningsopsætning'!$E$11*(1+'Inputantagelser'!$B$26)^(U$5-1)*'Omsætningsopsætning'!$G$11,0)</f>
        <v>0</v>
      </c>
      <c r="V13" s="249" t="n">
        <f>IF('Omsætningsopsætning'!$C$11="Ja",U13*(1+IF('Omsætningsopsætning'!$H$11="",'Inputantagelser'!$B$20,'Omsætningsopsætning'!$H$11)-IF('Omsætningsopsætning'!$J$11="",'Inputantagelser'!$B$21,'Omsætningsopsætning'!$J$11))+'Omsætningsopsætning'!$E$11*(1+'Inputantagelser'!$B$26)^(V$5-1)*'Omsætningsopsætning'!$G$11,0)</f>
        <v>0</v>
      </c>
      <c r="W13" s="249" t="n">
        <f>IF('Omsætningsopsætning'!$C$11="Ja",V13*(1+IF('Omsætningsopsætning'!$H$11="",'Inputantagelser'!$B$20,'Omsætningsopsætning'!$H$11)-IF('Omsætningsopsætning'!$J$11="",'Inputantagelser'!$B$21,'Omsætningsopsætning'!$J$11))+'Omsætningsopsætning'!$E$11*(1+'Inputantagelser'!$B$26)^(W$5-1)*'Omsætningsopsætning'!$G$11,0)</f>
        <v>0</v>
      </c>
      <c r="X13" s="249" t="n">
        <f>IF('Omsætningsopsætning'!$C$11="Ja",W13*(1+IF('Omsætningsopsætning'!$H$11="",'Inputantagelser'!$B$20,'Omsætningsopsætning'!$H$11)-IF('Omsætningsopsætning'!$J$11="",'Inputantagelser'!$B$21,'Omsætningsopsætning'!$J$11))+'Omsætningsopsætning'!$E$11*(1+'Inputantagelser'!$B$26)^(X$5-1)*'Omsætningsopsætning'!$G$11,0)</f>
        <v>0</v>
      </c>
      <c r="Y13" s="249" t="n">
        <f>IF('Omsætningsopsætning'!$C$11="Ja",X13*(1+IF('Omsætningsopsætning'!$H$11="",'Inputantagelser'!$B$20,'Omsætningsopsætning'!$H$11)-IF('Omsætningsopsætning'!$J$11="",'Inputantagelser'!$B$21,'Omsætningsopsætning'!$J$11))+'Omsætningsopsætning'!$E$11*(1+'Inputantagelser'!$B$26)^(Y$5-1)*'Omsætningsopsætning'!$G$11,0)</f>
        <v>0</v>
      </c>
      <c r="Z13" s="250" t="n">
        <f>IF('Omsætningsopsætning'!$C$11="Ja",Y13*(1+IF('Omsætningsopsætning'!$H$11="",'Inputantagelser'!$B$20,'Omsætningsopsætning'!$H$11)-IF('Omsætningsopsætning'!$J$11="",'Inputantagelser'!$B$21,'Omsætningsopsætning'!$J$11))+'Omsætningsopsætning'!$E$11*(1+'Inputantagelser'!$B$26)^(Z$5-1)*'Omsætningsopsætning'!$G$11,0)</f>
        <v>0</v>
      </c>
    </row>
    <row r="14" ht="15" customHeight="true">
      <c r="A14" s="30" t="str">
        <f>'Omsætningsopsætning'!$A$12</f>
        <v>Reserveret omsætningslinje 2</v>
      </c>
      <c r="B14" s="84" t="str">
        <f>'Omsætningsopsætning'!$B$12</f>
        <v>Andet</v>
      </c>
      <c r="C14" s="249" t="n">
        <f>IF('Omsætningsopsætning'!$C$12="Ja",'Omsætningsopsætning'!$D$12,0)</f>
        <v>0</v>
      </c>
      <c r="D14" s="249" t="n">
        <f>IF('Omsætningsopsætning'!$C$12="Ja",C14*(1+IF('Omsætningsopsætning'!$H$12="",'Inputantagelser'!$B$20,'Omsætningsopsætning'!$H$12)-IF('Omsætningsopsætning'!$J$12="",'Inputantagelser'!$B$21,'Omsætningsopsætning'!$J$12))+'Omsætningsopsætning'!$E$12*(1+'Inputantagelser'!$B$26)^(D$5-1)*'Omsætningsopsætning'!$G$12,0)</f>
        <v>0</v>
      </c>
      <c r="E14" s="249" t="n">
        <f>IF('Omsætningsopsætning'!$C$12="Ja",D14*(1+IF('Omsætningsopsætning'!$H$12="",'Inputantagelser'!$B$20,'Omsætningsopsætning'!$H$12)-IF('Omsætningsopsætning'!$J$12="",'Inputantagelser'!$B$21,'Omsætningsopsætning'!$J$12))+'Omsætningsopsætning'!$E$12*(1+'Inputantagelser'!$B$26)^(E$5-1)*'Omsætningsopsætning'!$G$12,0)</f>
        <v>0</v>
      </c>
      <c r="F14" s="249" t="n">
        <f>IF('Omsætningsopsætning'!$C$12="Ja",E14*(1+IF('Omsætningsopsætning'!$H$12="",'Inputantagelser'!$B$20,'Omsætningsopsætning'!$H$12)-IF('Omsætningsopsætning'!$J$12="",'Inputantagelser'!$B$21,'Omsætningsopsætning'!$J$12))+'Omsætningsopsætning'!$E$12*(1+'Inputantagelser'!$B$26)^(F$5-1)*'Omsætningsopsætning'!$G$12,0)</f>
        <v>0</v>
      </c>
      <c r="G14" s="249" t="n">
        <f>IF('Omsætningsopsætning'!$C$12="Ja",F14*(1+IF('Omsætningsopsætning'!$H$12="",'Inputantagelser'!$B$20,'Omsætningsopsætning'!$H$12)-IF('Omsætningsopsætning'!$J$12="",'Inputantagelser'!$B$21,'Omsætningsopsætning'!$J$12))+'Omsætningsopsætning'!$E$12*(1+'Inputantagelser'!$B$26)^(G$5-1)*'Omsætningsopsætning'!$G$12,0)</f>
        <v>0</v>
      </c>
      <c r="H14" s="249" t="n">
        <f>IF('Omsætningsopsætning'!$C$12="Ja",G14*(1+IF('Omsætningsopsætning'!$H$12="",'Inputantagelser'!$B$20,'Omsætningsopsætning'!$H$12)-IF('Omsætningsopsætning'!$J$12="",'Inputantagelser'!$B$21,'Omsætningsopsætning'!$J$12))+'Omsætningsopsætning'!$E$12*(1+'Inputantagelser'!$B$26)^(H$5-1)*'Omsætningsopsætning'!$G$12,0)</f>
        <v>0</v>
      </c>
      <c r="I14" s="249" t="n">
        <f>IF('Omsætningsopsætning'!$C$12="Ja",H14*(1+IF('Omsætningsopsætning'!$H$12="",'Inputantagelser'!$B$20,'Omsætningsopsætning'!$H$12)-IF('Omsætningsopsætning'!$J$12="",'Inputantagelser'!$B$21,'Omsætningsopsætning'!$J$12))+'Omsætningsopsætning'!$E$12*(1+'Inputantagelser'!$B$26)^(I$5-1)*'Omsætningsopsætning'!$G$12,0)</f>
        <v>0</v>
      </c>
      <c r="J14" s="249" t="n">
        <f>IF('Omsætningsopsætning'!$C$12="Ja",I14*(1+IF('Omsætningsopsætning'!$H$12="",'Inputantagelser'!$B$20,'Omsætningsopsætning'!$H$12)-IF('Omsætningsopsætning'!$J$12="",'Inputantagelser'!$B$21,'Omsætningsopsætning'!$J$12))+'Omsætningsopsætning'!$E$12*(1+'Inputantagelser'!$B$26)^(J$5-1)*'Omsætningsopsætning'!$G$12,0)</f>
        <v>0</v>
      </c>
      <c r="K14" s="249" t="n">
        <f>IF('Omsætningsopsætning'!$C$12="Ja",J14*(1+IF('Omsætningsopsætning'!$H$12="",'Inputantagelser'!$B$20,'Omsætningsopsætning'!$H$12)-IF('Omsætningsopsætning'!$J$12="",'Inputantagelser'!$B$21,'Omsætningsopsætning'!$J$12))+'Omsætningsopsætning'!$E$12*(1+'Inputantagelser'!$B$26)^(K$5-1)*'Omsætningsopsætning'!$G$12,0)</f>
        <v>0</v>
      </c>
      <c r="L14" s="249" t="n">
        <f>IF('Omsætningsopsætning'!$C$12="Ja",K14*(1+IF('Omsætningsopsætning'!$H$12="",'Inputantagelser'!$B$20,'Omsætningsopsætning'!$H$12)-IF('Omsætningsopsætning'!$J$12="",'Inputantagelser'!$B$21,'Omsætningsopsætning'!$J$12))+'Omsætningsopsætning'!$E$12*(1+'Inputantagelser'!$B$26)^(L$5-1)*'Omsætningsopsætning'!$G$12,0)</f>
        <v>0</v>
      </c>
      <c r="M14" s="249" t="n">
        <f>IF('Omsætningsopsætning'!$C$12="Ja",L14*(1+IF('Omsætningsopsætning'!$H$12="",'Inputantagelser'!$B$20,'Omsætningsopsætning'!$H$12)-IF('Omsætningsopsætning'!$J$12="",'Inputantagelser'!$B$21,'Omsætningsopsætning'!$J$12))+'Omsætningsopsætning'!$E$12*(1+'Inputantagelser'!$B$26)^(M$5-1)*'Omsætningsopsætning'!$G$12,0)</f>
        <v>0</v>
      </c>
      <c r="N14" s="249" t="n">
        <f>IF('Omsætningsopsætning'!$C$12="Ja",M14*(1+IF('Omsætningsopsætning'!$H$12="",'Inputantagelser'!$B$20,'Omsætningsopsætning'!$H$12)-IF('Omsætningsopsætning'!$J$12="",'Inputantagelser'!$B$21,'Omsætningsopsætning'!$J$12))+'Omsætningsopsætning'!$E$12*(1+'Inputantagelser'!$B$26)^(N$5-1)*'Omsætningsopsætning'!$G$12,0)</f>
        <v>0</v>
      </c>
      <c r="O14" s="249" t="n">
        <f>IF('Omsætningsopsætning'!$C$12="Ja",N14*(1+IF('Omsætningsopsætning'!$H$12="",'Inputantagelser'!$B$20,'Omsætningsopsætning'!$H$12)-IF('Omsætningsopsætning'!$J$12="",'Inputantagelser'!$B$21,'Omsætningsopsætning'!$J$12))+'Omsætningsopsætning'!$E$12*(1+'Inputantagelser'!$B$26)^(O$5-1)*'Omsætningsopsætning'!$G$12,0)</f>
        <v>0</v>
      </c>
      <c r="P14" s="249" t="n">
        <f>IF('Omsætningsopsætning'!$C$12="Ja",O14*(1+IF('Omsætningsopsætning'!$H$12="",'Inputantagelser'!$B$20,'Omsætningsopsætning'!$H$12)-IF('Omsætningsopsætning'!$J$12="",'Inputantagelser'!$B$21,'Omsætningsopsætning'!$J$12))+'Omsætningsopsætning'!$E$12*(1+'Inputantagelser'!$B$26)^(P$5-1)*'Omsætningsopsætning'!$G$12,0)</f>
        <v>0</v>
      </c>
      <c r="Q14" s="249" t="n">
        <f>IF('Omsætningsopsætning'!$C$12="Ja",P14*(1+IF('Omsætningsopsætning'!$H$12="",'Inputantagelser'!$B$20,'Omsætningsopsætning'!$H$12)-IF('Omsætningsopsætning'!$J$12="",'Inputantagelser'!$B$21,'Omsætningsopsætning'!$J$12))+'Omsætningsopsætning'!$E$12*(1+'Inputantagelser'!$B$26)^(Q$5-1)*'Omsætningsopsætning'!$G$12,0)</f>
        <v>0</v>
      </c>
      <c r="R14" s="249" t="n">
        <f>IF('Omsætningsopsætning'!$C$12="Ja",Q14*(1+IF('Omsætningsopsætning'!$H$12="",'Inputantagelser'!$B$20,'Omsætningsopsætning'!$H$12)-IF('Omsætningsopsætning'!$J$12="",'Inputantagelser'!$B$21,'Omsætningsopsætning'!$J$12))+'Omsætningsopsætning'!$E$12*(1+'Inputantagelser'!$B$26)^(R$5-1)*'Omsætningsopsætning'!$G$12,0)</f>
        <v>0</v>
      </c>
      <c r="S14" s="249" t="n">
        <f>IF('Omsætningsopsætning'!$C$12="Ja",R14*(1+IF('Omsætningsopsætning'!$H$12="",'Inputantagelser'!$B$20,'Omsætningsopsætning'!$H$12)-IF('Omsætningsopsætning'!$J$12="",'Inputantagelser'!$B$21,'Omsætningsopsætning'!$J$12))+'Omsætningsopsætning'!$E$12*(1+'Inputantagelser'!$B$26)^(S$5-1)*'Omsætningsopsætning'!$G$12,0)</f>
        <v>0</v>
      </c>
      <c r="T14" s="249" t="n">
        <f>IF('Omsætningsopsætning'!$C$12="Ja",S14*(1+IF('Omsætningsopsætning'!$H$12="",'Inputantagelser'!$B$20,'Omsætningsopsætning'!$H$12)-IF('Omsætningsopsætning'!$J$12="",'Inputantagelser'!$B$21,'Omsætningsopsætning'!$J$12))+'Omsætningsopsætning'!$E$12*(1+'Inputantagelser'!$B$26)^(T$5-1)*'Omsætningsopsætning'!$G$12,0)</f>
        <v>0</v>
      </c>
      <c r="U14" s="249" t="n">
        <f>IF('Omsætningsopsætning'!$C$12="Ja",T14*(1+IF('Omsætningsopsætning'!$H$12="",'Inputantagelser'!$B$20,'Omsætningsopsætning'!$H$12)-IF('Omsætningsopsætning'!$J$12="",'Inputantagelser'!$B$21,'Omsætningsopsætning'!$J$12))+'Omsætningsopsætning'!$E$12*(1+'Inputantagelser'!$B$26)^(U$5-1)*'Omsætningsopsætning'!$G$12,0)</f>
        <v>0</v>
      </c>
      <c r="V14" s="249" t="n">
        <f>IF('Omsætningsopsætning'!$C$12="Ja",U14*(1+IF('Omsætningsopsætning'!$H$12="",'Inputantagelser'!$B$20,'Omsætningsopsætning'!$H$12)-IF('Omsætningsopsætning'!$J$12="",'Inputantagelser'!$B$21,'Omsætningsopsætning'!$J$12))+'Omsætningsopsætning'!$E$12*(1+'Inputantagelser'!$B$26)^(V$5-1)*'Omsætningsopsætning'!$G$12,0)</f>
        <v>0</v>
      </c>
      <c r="W14" s="249" t="n">
        <f>IF('Omsætningsopsætning'!$C$12="Ja",V14*(1+IF('Omsætningsopsætning'!$H$12="",'Inputantagelser'!$B$20,'Omsætningsopsætning'!$H$12)-IF('Omsætningsopsætning'!$J$12="",'Inputantagelser'!$B$21,'Omsætningsopsætning'!$J$12))+'Omsætningsopsætning'!$E$12*(1+'Inputantagelser'!$B$26)^(W$5-1)*'Omsætningsopsætning'!$G$12,0)</f>
        <v>0</v>
      </c>
      <c r="X14" s="249" t="n">
        <f>IF('Omsætningsopsætning'!$C$12="Ja",W14*(1+IF('Omsætningsopsætning'!$H$12="",'Inputantagelser'!$B$20,'Omsætningsopsætning'!$H$12)-IF('Omsætningsopsætning'!$J$12="",'Inputantagelser'!$B$21,'Omsætningsopsætning'!$J$12))+'Omsætningsopsætning'!$E$12*(1+'Inputantagelser'!$B$26)^(X$5-1)*'Omsætningsopsætning'!$G$12,0)</f>
        <v>0</v>
      </c>
      <c r="Y14" s="249" t="n">
        <f>IF('Omsætningsopsætning'!$C$12="Ja",X14*(1+IF('Omsætningsopsætning'!$H$12="",'Inputantagelser'!$B$20,'Omsætningsopsætning'!$H$12)-IF('Omsætningsopsætning'!$J$12="",'Inputantagelser'!$B$21,'Omsætningsopsætning'!$J$12))+'Omsætningsopsætning'!$E$12*(1+'Inputantagelser'!$B$26)^(Y$5-1)*'Omsætningsopsætning'!$G$12,0)</f>
        <v>0</v>
      </c>
      <c r="Z14" s="250" t="n">
        <f>IF('Omsætningsopsætning'!$C$12="Ja",Y14*(1+IF('Omsætningsopsætning'!$H$12="",'Inputantagelser'!$B$20,'Omsætningsopsætning'!$H$12)-IF('Omsætningsopsætning'!$J$12="",'Inputantagelser'!$B$21,'Omsætningsopsætning'!$J$12))+'Omsætningsopsætning'!$E$12*(1+'Inputantagelser'!$B$26)^(Z$5-1)*'Omsætningsopsætning'!$G$12,0)</f>
        <v>0</v>
      </c>
    </row>
    <row r="15" ht="15" customHeight="true">
      <c r="A15" s="263" t="s">
        <v>104</v>
      </c>
      <c r="B15" s="236"/>
      <c r="C15" s="251" t="n">
        <f>SUM(C7:C14)</f>
        <v>180000</v>
      </c>
      <c r="D15" s="251" t="n">
        <f>SUM(D7:D14)</f>
        <v>198530</v>
      </c>
      <c r="E15" s="251" t="n">
        <f>SUM(E7:E14)</f>
        <v>217747.2</v>
      </c>
      <c r="F15" s="251" t="n">
        <f>SUM(F7:F14)</f>
        <v>237673.52900000004</v>
      </c>
      <c r="G15" s="251" t="n">
        <f>SUM(G7:G14)</f>
        <v>258331.58700000006</v>
      </c>
      <c r="H15" s="251" t="n">
        <f>SUM(H7:H14)</f>
        <v>279744.66526130005</v>
      </c>
      <c r="I15" s="251" t="n">
        <f>SUM(I7:I14)</f>
        <v>301936.7671769521</v>
      </c>
      <c r="J15" s="251" t="n">
        <f>SUM(J7:J14)</f>
        <v>324932.6297696518</v>
      </c>
      <c r="K15" s="251" t="n">
        <f>SUM(K7:K14)</f>
        <v>348757.74583590636</v>
      </c>
      <c r="L15" s="251" t="n">
        <f>SUM(L7:L14)</f>
        <v>373438.38675588026</v>
      </c>
      <c r="M15" s="251" t="n">
        <f>SUM(M7:M14)</f>
        <v>399001.6259889023</v>
      </c>
      <c r="N15" s="251" t="n">
        <f>SUM(N7:N14)</f>
        <v>425475.3632752185</v>
      </c>
      <c r="O15" s="251" t="n">
        <f>SUM(O7:O14)</f>
        <v>452888.34956519067</v>
      </c>
      <c r="P15" s="251" t="n">
        <f>SUM(P7:P14)</f>
        <v>481270.2126977792</v>
      </c>
      <c r="Q15" s="251" t="n">
        <f>SUM(Q7:Q14)</f>
        <v>510651.48385080165</v>
      </c>
      <c r="R15" s="251" t="n">
        <f>SUM(R7:R14)</f>
        <v>541063.6247861357</v>
      </c>
      <c r="S15" s="251" t="n">
        <f>SUM(S7:S14)</f>
        <v>572539.0559137278</v>
      </c>
      <c r="T15" s="251" t="n">
        <f>SUM(T7:T14)</f>
        <v>605111.1851989878</v>
      </c>
      <c r="U15" s="251" t="n">
        <f>SUM(U7:U14)</f>
        <v>638814.437938884</v>
      </c>
      <c r="V15" s="251" t="n">
        <f>SUM(V7:V14)</f>
        <v>673684.2874328165</v>
      </c>
      <c r="W15" s="251" t="n">
        <f>SUM(W7:W14)</f>
        <v>709757.2865751246</v>
      </c>
      <c r="X15" s="251" t="n">
        <f>SUM(X7:X14)</f>
        <v>747071.100396895</v>
      </c>
      <c r="Y15" s="251" t="n">
        <f>SUM(Y7:Y14)</f>
        <v>785664.5395855638</v>
      </c>
      <c r="Z15" s="252" t="n">
        <f>SUM(Z7:Z14)</f>
        <v>825577.5950116604</v>
      </c>
    </row>
    <row r="16" ht="15" customHeight="true">
      <c r="A16" s="263" t="s">
        <v>105</v>
      </c>
      <c r="B16" s="236"/>
      <c r="C16" s="251" t="n">
        <f>C15*'Inputantagelser'!$B$27</f>
        <v>2700</v>
      </c>
      <c r="D16" s="251" t="n">
        <f>D15*'Inputantagelser'!$B$27</f>
        <v>2977.95</v>
      </c>
      <c r="E16" s="251" t="n">
        <f>E15*'Inputantagelser'!$B$27</f>
        <v>3266.208</v>
      </c>
      <c r="F16" s="251" t="n">
        <f>F15*'Inputantagelser'!$B$27</f>
        <v>3565.1029350000003</v>
      </c>
      <c r="G16" s="251" t="n">
        <f>G15*'Inputantagelser'!$B$27</f>
        <v>3874.9738050000005</v>
      </c>
      <c r="H16" s="251" t="n">
        <f>H15*'Inputantagelser'!$B$27</f>
        <v>4196.169978919501</v>
      </c>
      <c r="I16" s="251" t="n">
        <f>I15*'Inputantagelser'!$B$27</f>
        <v>4529.0515076542815</v>
      </c>
      <c r="J16" s="251" t="n">
        <f>J15*'Inputantagelser'!$B$27</f>
        <v>4873.989446544777</v>
      </c>
      <c r="K16" s="251" t="n">
        <f>K15*'Inputantagelser'!$B$27</f>
        <v>5231.366187538595</v>
      </c>
      <c r="L16" s="251" t="n">
        <f>L15*'Inputantagelser'!$B$27</f>
        <v>5601.575801338204</v>
      </c>
      <c r="M16" s="251" t="n">
        <f>M15*'Inputantagelser'!$B$27</f>
        <v>5985.024389833534</v>
      </c>
      <c r="N16" s="251" t="n">
        <f>N15*'Inputantagelser'!$B$27</f>
        <v>6382.130449128277</v>
      </c>
      <c r="O16" s="251" t="n">
        <f>O15*'Inputantagelser'!$B$27</f>
        <v>6793.32524347786</v>
      </c>
      <c r="P16" s="251" t="n">
        <f>P15*'Inputantagelser'!$B$27</f>
        <v>7219.053190466688</v>
      </c>
      <c r="Q16" s="251" t="n">
        <f>Q15*'Inputantagelser'!$B$27</f>
        <v>7659.772257762024</v>
      </c>
      <c r="R16" s="251" t="n">
        <f>R15*'Inputantagelser'!$B$27</f>
        <v>8115.954371792036</v>
      </c>
      <c r="S16" s="251" t="n">
        <f>S15*'Inputantagelser'!$B$27</f>
        <v>8588.085838705918</v>
      </c>
      <c r="T16" s="251" t="n">
        <f>T15*'Inputantagelser'!$B$27</f>
        <v>9076.667777984818</v>
      </c>
      <c r="U16" s="251" t="n">
        <f>U15*'Inputantagelser'!$B$27</f>
        <v>9582.21656908326</v>
      </c>
      <c r="V16" s="251" t="n">
        <f>V15*'Inputantagelser'!$B$27</f>
        <v>10105.264311492247</v>
      </c>
      <c r="W16" s="251" t="n">
        <f>W15*'Inputantagelser'!$B$27</f>
        <v>10646.359298626869</v>
      </c>
      <c r="X16" s="251" t="n">
        <f>X15*'Inputantagelser'!$B$27</f>
        <v>11206.066505953424</v>
      </c>
      <c r="Y16" s="251" t="n">
        <f>Y15*'Inputantagelser'!$B$27</f>
        <v>11784.968093783456</v>
      </c>
      <c r="Z16" s="252" t="n">
        <f>Z15*'Inputantagelser'!$B$27</f>
        <v>12383.663925174906</v>
      </c>
    </row>
    <row r="17" ht="15" customHeight="true">
      <c r="A17" s="263" t="s">
        <v>26</v>
      </c>
      <c r="B17" s="236"/>
      <c r="C17" s="251" t="n">
        <f>C15-C16</f>
        <v>177300</v>
      </c>
      <c r="D17" s="251" t="n">
        <f>D15-D16</f>
        <v>195552.05</v>
      </c>
      <c r="E17" s="251" t="n">
        <f>E15-E16</f>
        <v>214480.992</v>
      </c>
      <c r="F17" s="251" t="n">
        <f>F15-F16</f>
        <v>234108.42606500004</v>
      </c>
      <c r="G17" s="251" t="n">
        <f>G15-G16</f>
        <v>254456.61319500007</v>
      </c>
      <c r="H17" s="251" t="n">
        <f>H15-H16</f>
        <v>275548.49528238055</v>
      </c>
      <c r="I17" s="251" t="n">
        <f>I15-I16</f>
        <v>297407.7156692978</v>
      </c>
      <c r="J17" s="251" t="n">
        <f>J15-J16</f>
        <v>320058.640323107</v>
      </c>
      <c r="K17" s="251" t="n">
        <f>K15-K16</f>
        <v>343526.37964836776</v>
      </c>
      <c r="L17" s="251" t="n">
        <f>L15-L16</f>
        <v>367836.8109545421</v>
      </c>
      <c r="M17" s="251" t="n">
        <f>M15-M16</f>
        <v>393016.60159906873</v>
      </c>
      <c r="N17" s="251" t="n">
        <f>N15-N16</f>
        <v>419093.23282609024</v>
      </c>
      <c r="O17" s="251" t="n">
        <f>O15-O16</f>
        <v>446095.0243217128</v>
      </c>
      <c r="P17" s="251" t="n">
        <f>P15-P16</f>
        <v>474051.15950731246</v>
      </c>
      <c r="Q17" s="251" t="n">
        <f>Q15-Q16</f>
        <v>502991.7115930396</v>
      </c>
      <c r="R17" s="251" t="n">
        <f>R15-R16</f>
        <v>532947.6704143437</v>
      </c>
      <c r="S17" s="251" t="n">
        <f>S15-S16</f>
        <v>563950.970075022</v>
      </c>
      <c r="T17" s="251" t="n">
        <f>T15-T16</f>
        <v>596034.517421003</v>
      </c>
      <c r="U17" s="251" t="n">
        <f>U15-U16</f>
        <v>629232.2213698007</v>
      </c>
      <c r="V17" s="251" t="n">
        <f>V15-V16</f>
        <v>663579.0231213243</v>
      </c>
      <c r="W17" s="251" t="n">
        <f>W15-W16</f>
        <v>699110.9272764977</v>
      </c>
      <c r="X17" s="251" t="n">
        <f>X15-X16</f>
        <v>735865.0338909415</v>
      </c>
      <c r="Y17" s="251" t="n">
        <f>Y15-Y16</f>
        <v>773879.5714917803</v>
      </c>
      <c r="Z17" s="252" t="n">
        <f>Z15-Z16</f>
        <v>813193.9310864855</v>
      </c>
    </row>
    <row r="18" ht="15" customHeight="true">
      <c r="A18" s="30"/>
      <c r="B18" s="84"/>
      <c r="C18" s="249"/>
      <c r="D18" s="249"/>
      <c r="E18" s="249"/>
      <c r="F18" s="249"/>
      <c r="G18" s="249"/>
      <c r="H18" s="249"/>
      <c r="I18" s="249"/>
      <c r="J18" s="249"/>
      <c r="K18" s="249"/>
      <c r="L18" s="249"/>
      <c r="M18" s="249"/>
      <c r="N18" s="249"/>
      <c r="O18" s="249"/>
      <c r="P18" s="249"/>
      <c r="Q18" s="249"/>
      <c r="R18" s="249"/>
      <c r="S18" s="249"/>
      <c r="T18" s="249"/>
      <c r="U18" s="249"/>
      <c r="V18" s="249"/>
      <c r="W18" s="249"/>
      <c r="X18" s="249"/>
      <c r="Y18" s="249"/>
      <c r="Z18" s="250"/>
    </row>
    <row r="19" ht="15" customHeight="true">
      <c r="A19" s="30"/>
      <c r="B19" s="84"/>
      <c r="C19" s="249"/>
      <c r="D19" s="249"/>
      <c r="E19" s="249"/>
      <c r="F19" s="249"/>
      <c r="G19" s="249"/>
      <c r="H19" s="249"/>
      <c r="I19" s="249"/>
      <c r="J19" s="249"/>
      <c r="K19" s="249"/>
      <c r="L19" s="249"/>
      <c r="M19" s="249"/>
      <c r="N19" s="249"/>
      <c r="O19" s="249"/>
      <c r="P19" s="249"/>
      <c r="Q19" s="249"/>
      <c r="R19" s="249"/>
      <c r="S19" s="249"/>
      <c r="T19" s="249"/>
      <c r="U19" s="249"/>
      <c r="V19" s="249"/>
      <c r="W19" s="249"/>
      <c r="X19" s="249"/>
      <c r="Y19" s="249"/>
      <c r="Z19" s="250"/>
    </row>
    <row r="20" ht="15" customHeight="true">
      <c r="A20" s="30" t="str">
        <v>Direkte omkostning - 核心produkt / tjenesteA</v>
      </c>
      <c r="B20" s="84"/>
      <c r="C20" s="249" t="n">
        <f>C7*(1-IF('Omsætningsopsætning'!$I$5="",'Inputantagelser'!$B$22,'Omsætningsopsætning'!$I$5))</f>
        <v>48000</v>
      </c>
      <c r="D20" s="249" t="n">
        <f>D7*(1-IF('Omsætningsopsætning'!$I$5="",'Inputantagelser'!$B$22,'Omsætningsopsætning'!$I$5))</f>
        <v>53480</v>
      </c>
      <c r="E20" s="249" t="n">
        <f>E7*(1-IF('Omsætningsopsætning'!$I$5="",'Inputantagelser'!$B$22,'Omsætningsopsætning'!$I$5))</f>
        <v>59164.8</v>
      </c>
      <c r="F20" s="249" t="n">
        <f>F7*(1-IF('Omsætningsopsætning'!$I$5="",'Inputantagelser'!$B$22,'Omsætningsopsætning'!$I$5))</f>
        <v>65060.94800000001</v>
      </c>
      <c r="G20" s="249" t="n">
        <f>G7*(1-IF('Omsætningsopsætning'!$I$5="",'Inputantagelser'!$B$22,'Omsætningsopsætning'!$I$5))</f>
        <v>71175.19248000001</v>
      </c>
      <c r="H20" s="249" t="n">
        <f>H7*(1-IF('Omsætningsopsætning'!$I$5="",'Inputantagelser'!$B$22,'Omsætningsopsætning'!$I$5))</f>
        <v>77514.48845480003</v>
      </c>
      <c r="I20" s="249" t="n">
        <f>I7*(1-IF('Omsætningsopsætning'!$I$5="",'Inputantagelser'!$B$22,'Omsætningsopsætning'!$I$5))</f>
        <v>84086.00371084803</v>
      </c>
      <c r="J20" s="249" t="n">
        <f>J7*(1-IF('Omsætningsopsætning'!$I$5="",'Inputantagelser'!$B$22,'Omsætningsopsætning'!$I$5))</f>
        <v>90897.12523060151</v>
      </c>
      <c r="K20" s="249" t="n">
        <f>K7*(1-IF('Omsætningsopsætning'!$I$5="",'Inputantagelser'!$B$22,'Omsætningsopsætning'!$I$5))</f>
        <v>97955.46581003186</v>
      </c>
      <c r="L20" s="249" t="n">
        <f>L7*(1-IF('Omsætningsopsætning'!$I$5="",'Inputantagelser'!$B$22,'Omsætningsopsætning'!$I$5))</f>
        <v>105268.87087507028</v>
      </c>
      <c r="M20" s="249" t="n">
        <f>M7*(1-IF('Omsætningsopsætning'!$I$5="",'Inputantagelser'!$B$22,'Omsætningsopsætning'!$I$5))</f>
        <v>112845.42550296719</v>
      </c>
      <c r="N20" s="249" t="n">
        <f>N7*(1-IF('Omsætningsopsætning'!$I$5="",'Inputantagelser'!$B$22,'Omsætningsopsætning'!$I$5))</f>
        <v>120693.46165471748</v>
      </c>
      <c r="O20" s="249" t="n">
        <f>O7*(1-IF('Omsætningsopsætning'!$I$5="",'Inputantagelser'!$B$22,'Omsætningsopsætning'!$I$5))</f>
        <v>128821.56562488689</v>
      </c>
      <c r="P20" s="249" t="n">
        <f>P7*(1-IF('Omsætningsopsætning'!$I$5="",'Inputantagelser'!$B$22,'Omsætningsopsætning'!$I$5))</f>
        <v>137238.58571536664</v>
      </c>
      <c r="Q20" s="249" t="n">
        <f>Q7*(1-IF('Omsætningsopsætning'!$I$5="",'Inputantagelser'!$B$22,'Omsætningsopsætning'!$I$5))</f>
        <v>145953.64013977814</v>
      </c>
      <c r="R20" s="249" t="n">
        <f>R7*(1-IF('Omsætningsopsætning'!$I$5="",'Inputantagelser'!$B$22,'Omsætningsopsætning'!$I$5))</f>
        <v>154976.1251654515</v>
      </c>
      <c r="S20" s="249" t="n">
        <f>S7*(1-IF('Omsætningsopsætning'!$I$5="",'Inputantagelser'!$B$22,'Omsætningsopsætning'!$I$5))</f>
        <v>164315.72350010983</v>
      </c>
      <c r="T20" s="249" t="n">
        <f>T7*(1-IF('Omsætningsopsætning'!$I$5="",'Inputantagelser'!$B$22,'Omsætningsopsætning'!$I$5))</f>
        <v>173982.41293060486</v>
      </c>
      <c r="U20" s="249" t="n">
        <f>U7*(1-IF('Omsætningsopsætning'!$I$5="",'Inputantagelser'!$B$22,'Omsætningsopsætning'!$I$5))</f>
        <v>183986.47522126965</v>
      </c>
      <c r="V20" s="249" t="n">
        <f>V7*(1-IF('Omsætningsopsætning'!$I$5="",'Inputantagelser'!$B$22,'Omsætningsopsætning'!$I$5))</f>
        <v>194338.50527968188</v>
      </c>
      <c r="W20" s="249" t="n">
        <f>W7*(1-IF('Omsætningsopsætning'!$I$5="",'Inputantagelser'!$B$22,'Omsætningsopsætning'!$I$5))</f>
        <v>205049.4205978642</v>
      </c>
      <c r="X20" s="249" t="n">
        <f>X7*(1-IF('Omsætningsopsætning'!$I$5="",'Inputantagelser'!$B$22,'Omsætningsopsætning'!$I$5))</f>
        <v>216130.47097718986</v>
      </c>
      <c r="Y20" s="249" t="n">
        <f>Y7*(1-IF('Omsætningsopsætning'!$I$5="",'Inputantagelser'!$B$22,'Omsætningsopsætning'!$I$5))</f>
        <v>227593.24854550927</v>
      </c>
      <c r="Z20" s="250" t="n">
        <f>Z7*(1-IF('Omsætningsopsætning'!$I$5="",'Inputantagelser'!$B$22,'Omsætningsopsætning'!$I$5))</f>
        <v>239449.69807526824</v>
      </c>
    </row>
    <row r="21" ht="15" customHeight="true">
      <c r="A21" s="30" t="str">
        <v>Direkte omkostning - 核心produkt / tjenesteB</v>
      </c>
      <c r="B21" s="84"/>
      <c r="C21" s="249" t="n">
        <f>C8*(1-IF('Omsætningsopsætning'!$I$6="",'Inputantagelser'!$B$22,'Omsætningsopsætning'!$I$6))</f>
        <v>24000</v>
      </c>
      <c r="D21" s="249" t="n">
        <f>D8*(1-IF('Omsætningsopsætning'!$I$6="",'Inputantagelser'!$B$22,'Omsætningsopsætning'!$I$6))</f>
        <v>25932</v>
      </c>
      <c r="E21" s="249" t="n">
        <f>E8*(1-IF('Omsætningsopsætning'!$I$6="",'Inputantagelser'!$B$22,'Omsætningsopsætning'!$I$6))</f>
        <v>27934.080000000005</v>
      </c>
      <c r="F21" s="249" t="n">
        <f>F8*(1-IF('Omsætningsopsætning'!$I$6="",'Inputantagelser'!$B$22,'Omsætningsopsætning'!$I$6))</f>
        <v>30008.463600000006</v>
      </c>
      <c r="G21" s="249" t="n">
        <f>G8*(1-IF('Omsætningsopsætning'!$I$6="",'Inputantagelser'!$B$22,'Omsætningsopsætning'!$I$6))</f>
        <v>32157.44232000001</v>
      </c>
      <c r="H21" s="249" t="n">
        <f>H8*(1-IF('Omsætningsopsætning'!$I$6="",'Inputantagelser'!$B$22,'Omsætningsopsætning'!$I$6))</f>
        <v>34383.37764972001</v>
      </c>
      <c r="I21" s="249" t="n">
        <f>I8*(1-IF('Omsætningsopsætning'!$I$6="",'Inputantagelser'!$B$22,'Omsætningsopsætning'!$I$6))</f>
        <v>36688.70315993281</v>
      </c>
      <c r="J21" s="249" t="n">
        <f>J8*(1-IF('Omsætningsopsætning'!$I$6="",'Inputantagelser'!$B$22,'Omsætningsopsætning'!$I$6))</f>
        <v>39075.92667725921</v>
      </c>
      <c r="K21" s="249" t="n">
        <f>K8*(1-IF('Omsætningsopsætning'!$I$6="",'Inputantagelser'!$B$22,'Omsætningsopsætning'!$I$6))</f>
        <v>41547.632524330686</v>
      </c>
      <c r="L21" s="249" t="n">
        <f>L8*(1-IF('Omsætningsopsætning'!$I$6="",'Inputantagelser'!$B$22,'Omsætningsopsætning'!$I$6))</f>
        <v>44106.48382728184</v>
      </c>
      <c r="M21" s="249" t="n">
        <f>M8*(1-IF('Omsætningsopsætning'!$I$6="",'Inputantagelser'!$B$22,'Omsætningsopsætning'!$I$6))</f>
        <v>46755.22489259374</v>
      </c>
      <c r="N21" s="249" t="n">
        <f>N8*(1-IF('Omsætningsopsætning'!$I$6="",'Inputantagelser'!$B$22,'Omsætningsopsætning'!$I$6))</f>
        <v>49496.683655369925</v>
      </c>
      <c r="O21" s="249" t="n">
        <f>O8*(1-IF('Omsætningsopsætning'!$I$6="",'Inputantagelser'!$B$22,'Omsætningsopsætning'!$I$6))</f>
        <v>52333.774201189386</v>
      </c>
      <c r="P21" s="249" t="n">
        <f>P8*(1-IF('Omsætningsopsætning'!$I$6="",'Inputantagelser'!$B$22,'Omsætningsopsætning'!$I$6))</f>
        <v>55269.49936374502</v>
      </c>
      <c r="Q21" s="249" t="n">
        <f>Q8*(1-IF('Omsætningsopsætning'!$I$6="",'Inputantagelser'!$B$22,'Omsætningsopsætning'!$I$6))</f>
        <v>58306.95340054252</v>
      </c>
      <c r="R21" s="249" t="n">
        <f>R8*(1-IF('Omsætningsopsætning'!$I$6="",'Inputantagelser'!$B$22,'Omsætningsopsætning'!$I$6))</f>
        <v>61449.32474900279</v>
      </c>
      <c r="S21" s="249" t="n">
        <f>S8*(1-IF('Omsætningsopsætning'!$I$6="",'Inputantagelser'!$B$22,'Omsætningsopsætning'!$I$6))</f>
        <v>64699.898865381314</v>
      </c>
      <c r="T21" s="249" t="n">
        <f>T8*(1-IF('Omsætningsopsætning'!$I$6="",'Inputantagelser'!$B$22,'Omsætningsopsætning'!$I$6))</f>
        <v>68062.06114899028</v>
      </c>
      <c r="U21" s="249" t="n">
        <f>U8*(1-IF('Omsætningsopsætning'!$I$6="",'Inputantagelser'!$B$22,'Omsætningsopsætning'!$I$6))</f>
        <v>71539.29995428397</v>
      </c>
      <c r="V21" s="249" t="n">
        <f>V8*(1-IF('Omsætningsopsætning'!$I$6="",'Inputantagelser'!$B$22,'Omsætningsopsætning'!$I$6))</f>
        <v>75135.20969344473</v>
      </c>
      <c r="W21" s="249" t="n">
        <f>W8*(1-IF('Omsætningsopsætning'!$I$6="",'Inputantagelser'!$B$22,'Omsætningsopsætning'!$I$6))</f>
        <v>78853.49403218564</v>
      </c>
      <c r="X21" s="249" t="n">
        <f>X8*(1-IF('Omsætningsopsætning'!$I$6="",'Inputantagelser'!$B$22,'Omsætningsopsætning'!$I$6))</f>
        <v>82697.96918156814</v>
      </c>
      <c r="Y21" s="249" t="n">
        <f>Y8*(1-IF('Omsætningsopsætning'!$I$6="",'Inputantagelser'!$B$22,'Omsætningsopsætning'!$I$6))</f>
        <v>86672.56728871631</v>
      </c>
      <c r="Z21" s="250" t="n">
        <f>Z8*(1-IF('Omsætningsopsætning'!$I$6="",'Inputantagelser'!$B$22,'Omsætningsopsætning'!$I$6))</f>
        <v>90781.33992939592</v>
      </c>
    </row>
    <row r="22" ht="15" customHeight="true">
      <c r="A22" s="30" t="s">
        <v>106</v>
      </c>
      <c r="B22" s="84"/>
      <c r="C22" s="249" t="n">
        <f>C9*(1-IF('Omsætningsopsætning'!$I$7="",'Inputantagelser'!$B$22,'Omsætningsopsætning'!$I$7))</f>
        <v>0</v>
      </c>
      <c r="D22" s="249" t="n">
        <f>D9*(1-IF('Omsætningsopsætning'!$I$7="",'Inputantagelser'!$B$22,'Omsætningsopsætning'!$I$7))</f>
        <v>0</v>
      </c>
      <c r="E22" s="249" t="n">
        <f>E9*(1-IF('Omsætningsopsætning'!$I$7="",'Inputantagelser'!$B$22,'Omsætningsopsætning'!$I$7))</f>
        <v>0</v>
      </c>
      <c r="F22" s="249" t="n">
        <f>F9*(1-IF('Omsætningsopsætning'!$I$7="",'Inputantagelser'!$B$22,'Omsætningsopsætning'!$I$7))</f>
        <v>0</v>
      </c>
      <c r="G22" s="249" t="n">
        <f>G9*(1-IF('Omsætningsopsætning'!$I$7="",'Inputantagelser'!$B$22,'Omsætningsopsætning'!$I$7))</f>
        <v>0</v>
      </c>
      <c r="H22" s="249" t="n">
        <f>H9*(1-IF('Omsætningsopsætning'!$I$7="",'Inputantagelser'!$B$22,'Omsætningsopsætning'!$I$7))</f>
        <v>0</v>
      </c>
      <c r="I22" s="249" t="n">
        <f>I9*(1-IF('Omsætningsopsætning'!$I$7="",'Inputantagelser'!$B$22,'Omsætningsopsætning'!$I$7))</f>
        <v>0</v>
      </c>
      <c r="J22" s="249" t="n">
        <f>J9*(1-IF('Omsætningsopsætning'!$I$7="",'Inputantagelser'!$B$22,'Omsætningsopsætning'!$I$7))</f>
        <v>0</v>
      </c>
      <c r="K22" s="249" t="n">
        <f>K9*(1-IF('Omsætningsopsætning'!$I$7="",'Inputantagelser'!$B$22,'Omsætningsopsætning'!$I$7))</f>
        <v>0</v>
      </c>
      <c r="L22" s="249" t="n">
        <f>L9*(1-IF('Omsætningsopsætning'!$I$7="",'Inputantagelser'!$B$22,'Omsætningsopsætning'!$I$7))</f>
        <v>0</v>
      </c>
      <c r="M22" s="249" t="n">
        <f>M9*(1-IF('Omsætningsopsætning'!$I$7="",'Inputantagelser'!$B$22,'Omsætningsopsætning'!$I$7))</f>
        <v>0</v>
      </c>
      <c r="N22" s="249" t="n">
        <f>N9*(1-IF('Omsætningsopsætning'!$I$7="",'Inputantagelser'!$B$22,'Omsætningsopsætning'!$I$7))</f>
        <v>0</v>
      </c>
      <c r="O22" s="249" t="n">
        <f>O9*(1-IF('Omsætningsopsætning'!$I$7="",'Inputantagelser'!$B$22,'Omsætningsopsætning'!$I$7))</f>
        <v>0</v>
      </c>
      <c r="P22" s="249" t="n">
        <f>P9*(1-IF('Omsætningsopsætning'!$I$7="",'Inputantagelser'!$B$22,'Omsætningsopsætning'!$I$7))</f>
        <v>0</v>
      </c>
      <c r="Q22" s="249" t="n">
        <f>Q9*(1-IF('Omsætningsopsætning'!$I$7="",'Inputantagelser'!$B$22,'Omsætningsopsætning'!$I$7))</f>
        <v>0</v>
      </c>
      <c r="R22" s="249" t="n">
        <f>R9*(1-IF('Omsætningsopsætning'!$I$7="",'Inputantagelser'!$B$22,'Omsætningsopsætning'!$I$7))</f>
        <v>0</v>
      </c>
      <c r="S22" s="249" t="n">
        <f>S9*(1-IF('Omsætningsopsætning'!$I$7="",'Inputantagelser'!$B$22,'Omsætningsopsætning'!$I$7))</f>
        <v>0</v>
      </c>
      <c r="T22" s="249" t="n">
        <f>T9*(1-IF('Omsætningsopsætning'!$I$7="",'Inputantagelser'!$B$22,'Omsætningsopsætning'!$I$7))</f>
        <v>0</v>
      </c>
      <c r="U22" s="249" t="n">
        <f>U9*(1-IF('Omsætningsopsætning'!$I$7="",'Inputantagelser'!$B$22,'Omsætningsopsætning'!$I$7))</f>
        <v>0</v>
      </c>
      <c r="V22" s="249" t="n">
        <f>V9*(1-IF('Omsætningsopsætning'!$I$7="",'Inputantagelser'!$B$22,'Omsætningsopsætning'!$I$7))</f>
        <v>0</v>
      </c>
      <c r="W22" s="249" t="n">
        <f>W9*(1-IF('Omsætningsopsætning'!$I$7="",'Inputantagelser'!$B$22,'Omsætningsopsætning'!$I$7))</f>
        <v>0</v>
      </c>
      <c r="X22" s="249" t="n">
        <f>X9*(1-IF('Omsætningsopsætning'!$I$7="",'Inputantagelser'!$B$22,'Omsætningsopsætning'!$I$7))</f>
        <v>0</v>
      </c>
      <c r="Y22" s="249" t="n">
        <f>Y9*(1-IF('Omsætningsopsætning'!$I$7="",'Inputantagelser'!$B$22,'Omsætningsopsætning'!$I$7))</f>
        <v>0</v>
      </c>
      <c r="Z22" s="250" t="n">
        <f>Z9*(1-IF('Omsætningsopsætning'!$I$7="",'Inputantagelser'!$B$22,'Omsætningsopsætning'!$I$7))</f>
        <v>0</v>
      </c>
    </row>
    <row r="23" ht="15" customHeight="true">
      <c r="A23" s="30" t="s">
        <v>107</v>
      </c>
      <c r="B23" s="84"/>
      <c r="C23" s="249" t="n">
        <f>C10*(1-IF('Omsætningsopsætning'!$I$8="",'Inputantagelser'!$B$22,'Omsætningsopsætning'!$I$8))</f>
        <v>0</v>
      </c>
      <c r="D23" s="249" t="n">
        <f>D10*(1-IF('Omsætningsopsætning'!$I$8="",'Inputantagelser'!$B$22,'Omsætningsopsætning'!$I$8))</f>
        <v>0</v>
      </c>
      <c r="E23" s="249" t="n">
        <f>E10*(1-IF('Omsætningsopsætning'!$I$8="",'Inputantagelser'!$B$22,'Omsætningsopsætning'!$I$8))</f>
        <v>0</v>
      </c>
      <c r="F23" s="249" t="n">
        <f>F10*(1-IF('Omsætningsopsætning'!$I$8="",'Inputantagelser'!$B$22,'Omsætningsopsætning'!$I$8))</f>
        <v>0</v>
      </c>
      <c r="G23" s="249" t="n">
        <f>G10*(1-IF('Omsætningsopsætning'!$I$8="",'Inputantagelser'!$B$22,'Omsætningsopsætning'!$I$8))</f>
        <v>0</v>
      </c>
      <c r="H23" s="249" t="n">
        <f>H10*(1-IF('Omsætningsopsætning'!$I$8="",'Inputantagelser'!$B$22,'Omsætningsopsætning'!$I$8))</f>
        <v>0</v>
      </c>
      <c r="I23" s="249" t="n">
        <f>I10*(1-IF('Omsætningsopsætning'!$I$8="",'Inputantagelser'!$B$22,'Omsætningsopsætning'!$I$8))</f>
        <v>0</v>
      </c>
      <c r="J23" s="249" t="n">
        <f>J10*(1-IF('Omsætningsopsætning'!$I$8="",'Inputantagelser'!$B$22,'Omsætningsopsætning'!$I$8))</f>
        <v>0</v>
      </c>
      <c r="K23" s="249" t="n">
        <f>K10*(1-IF('Omsætningsopsætning'!$I$8="",'Inputantagelser'!$B$22,'Omsætningsopsætning'!$I$8))</f>
        <v>0</v>
      </c>
      <c r="L23" s="249" t="n">
        <f>L10*(1-IF('Omsætningsopsætning'!$I$8="",'Inputantagelser'!$B$22,'Omsætningsopsætning'!$I$8))</f>
        <v>0</v>
      </c>
      <c r="M23" s="249" t="n">
        <f>M10*(1-IF('Omsætningsopsætning'!$I$8="",'Inputantagelser'!$B$22,'Omsætningsopsætning'!$I$8))</f>
        <v>0</v>
      </c>
      <c r="N23" s="249" t="n">
        <f>N10*(1-IF('Omsætningsopsætning'!$I$8="",'Inputantagelser'!$B$22,'Omsætningsopsætning'!$I$8))</f>
        <v>0</v>
      </c>
      <c r="O23" s="249" t="n">
        <f>O10*(1-IF('Omsætningsopsætning'!$I$8="",'Inputantagelser'!$B$22,'Omsætningsopsætning'!$I$8))</f>
        <v>0</v>
      </c>
      <c r="P23" s="249" t="n">
        <f>P10*(1-IF('Omsætningsopsætning'!$I$8="",'Inputantagelser'!$B$22,'Omsætningsopsætning'!$I$8))</f>
        <v>0</v>
      </c>
      <c r="Q23" s="249" t="n">
        <f>Q10*(1-IF('Omsætningsopsætning'!$I$8="",'Inputantagelser'!$B$22,'Omsætningsopsætning'!$I$8))</f>
        <v>0</v>
      </c>
      <c r="R23" s="249" t="n">
        <f>R10*(1-IF('Omsætningsopsætning'!$I$8="",'Inputantagelser'!$B$22,'Omsætningsopsætning'!$I$8))</f>
        <v>0</v>
      </c>
      <c r="S23" s="249" t="n">
        <f>S10*(1-IF('Omsætningsopsætning'!$I$8="",'Inputantagelser'!$B$22,'Omsætningsopsætning'!$I$8))</f>
        <v>0</v>
      </c>
      <c r="T23" s="249" t="n">
        <f>T10*(1-IF('Omsætningsopsætning'!$I$8="",'Inputantagelser'!$B$22,'Omsætningsopsætning'!$I$8))</f>
        <v>0</v>
      </c>
      <c r="U23" s="249" t="n">
        <f>U10*(1-IF('Omsætningsopsætning'!$I$8="",'Inputantagelser'!$B$22,'Omsætningsopsætning'!$I$8))</f>
        <v>0</v>
      </c>
      <c r="V23" s="249" t="n">
        <f>V10*(1-IF('Omsætningsopsætning'!$I$8="",'Inputantagelser'!$B$22,'Omsætningsopsætning'!$I$8))</f>
        <v>0</v>
      </c>
      <c r="W23" s="249" t="n">
        <f>W10*(1-IF('Omsætningsopsætning'!$I$8="",'Inputantagelser'!$B$22,'Omsætningsopsætning'!$I$8))</f>
        <v>0</v>
      </c>
      <c r="X23" s="249" t="n">
        <f>X10*(1-IF('Omsætningsopsætning'!$I$8="",'Inputantagelser'!$B$22,'Omsætningsopsætning'!$I$8))</f>
        <v>0</v>
      </c>
      <c r="Y23" s="249" t="n">
        <f>Y10*(1-IF('Omsætningsopsætning'!$I$8="",'Inputantagelser'!$B$22,'Omsætningsopsætning'!$I$8))</f>
        <v>0</v>
      </c>
      <c r="Z23" s="250" t="n">
        <f>Z10*(1-IF('Omsætningsopsætning'!$I$8="",'Inputantagelser'!$B$22,'Omsætningsopsætning'!$I$8))</f>
        <v>0</v>
      </c>
    </row>
    <row r="24" ht="15" customHeight="true">
      <c r="A24" s="30" t="s">
        <v>108</v>
      </c>
      <c r="B24" s="84"/>
      <c r="C24" s="249" t="n">
        <f>C11*(1-IF('Omsætningsopsætning'!$I$9="",'Inputantagelser'!$B$22,'Omsætningsopsætning'!$I$9))</f>
        <v>0</v>
      </c>
      <c r="D24" s="249" t="n">
        <f>D11*(1-IF('Omsætningsopsætning'!$I$9="",'Inputantagelser'!$B$22,'Omsætningsopsætning'!$I$9))</f>
        <v>0</v>
      </c>
      <c r="E24" s="249" t="n">
        <f>E11*(1-IF('Omsætningsopsætning'!$I$9="",'Inputantagelser'!$B$22,'Omsætningsopsætning'!$I$9))</f>
        <v>0</v>
      </c>
      <c r="F24" s="249" t="n">
        <f>F11*(1-IF('Omsætningsopsætning'!$I$9="",'Inputantagelser'!$B$22,'Omsætningsopsætning'!$I$9))</f>
        <v>0</v>
      </c>
      <c r="G24" s="249" t="n">
        <f>G11*(1-IF('Omsætningsopsætning'!$I$9="",'Inputantagelser'!$B$22,'Omsætningsopsætning'!$I$9))</f>
        <v>0</v>
      </c>
      <c r="H24" s="249" t="n">
        <f>H11*(1-IF('Omsætningsopsætning'!$I$9="",'Inputantagelser'!$B$22,'Omsætningsopsætning'!$I$9))</f>
        <v>0</v>
      </c>
      <c r="I24" s="249" t="n">
        <f>I11*(1-IF('Omsætningsopsætning'!$I$9="",'Inputantagelser'!$B$22,'Omsætningsopsætning'!$I$9))</f>
        <v>0</v>
      </c>
      <c r="J24" s="249" t="n">
        <f>J11*(1-IF('Omsætningsopsætning'!$I$9="",'Inputantagelser'!$B$22,'Omsætningsopsætning'!$I$9))</f>
        <v>0</v>
      </c>
      <c r="K24" s="249" t="n">
        <f>K11*(1-IF('Omsætningsopsætning'!$I$9="",'Inputantagelser'!$B$22,'Omsætningsopsætning'!$I$9))</f>
        <v>0</v>
      </c>
      <c r="L24" s="249" t="n">
        <f>L11*(1-IF('Omsætningsopsætning'!$I$9="",'Inputantagelser'!$B$22,'Omsætningsopsætning'!$I$9))</f>
        <v>0</v>
      </c>
      <c r="M24" s="249" t="n">
        <f>M11*(1-IF('Omsætningsopsætning'!$I$9="",'Inputantagelser'!$B$22,'Omsætningsopsætning'!$I$9))</f>
        <v>0</v>
      </c>
      <c r="N24" s="249" t="n">
        <f>N11*(1-IF('Omsætningsopsætning'!$I$9="",'Inputantagelser'!$B$22,'Omsætningsopsætning'!$I$9))</f>
        <v>0</v>
      </c>
      <c r="O24" s="249" t="n">
        <f>O11*(1-IF('Omsætningsopsætning'!$I$9="",'Inputantagelser'!$B$22,'Omsætningsopsætning'!$I$9))</f>
        <v>0</v>
      </c>
      <c r="P24" s="249" t="n">
        <f>P11*(1-IF('Omsætningsopsætning'!$I$9="",'Inputantagelser'!$B$22,'Omsætningsopsætning'!$I$9))</f>
        <v>0</v>
      </c>
      <c r="Q24" s="249" t="n">
        <f>Q11*(1-IF('Omsætningsopsætning'!$I$9="",'Inputantagelser'!$B$22,'Omsætningsopsætning'!$I$9))</f>
        <v>0</v>
      </c>
      <c r="R24" s="249" t="n">
        <f>R11*(1-IF('Omsætningsopsætning'!$I$9="",'Inputantagelser'!$B$22,'Omsætningsopsætning'!$I$9))</f>
        <v>0</v>
      </c>
      <c r="S24" s="249" t="n">
        <f>S11*(1-IF('Omsætningsopsætning'!$I$9="",'Inputantagelser'!$B$22,'Omsætningsopsætning'!$I$9))</f>
        <v>0</v>
      </c>
      <c r="T24" s="249" t="n">
        <f>T11*(1-IF('Omsætningsopsætning'!$I$9="",'Inputantagelser'!$B$22,'Omsætningsopsætning'!$I$9))</f>
        <v>0</v>
      </c>
      <c r="U24" s="249" t="n">
        <f>U11*(1-IF('Omsætningsopsætning'!$I$9="",'Inputantagelser'!$B$22,'Omsætningsopsætning'!$I$9))</f>
        <v>0</v>
      </c>
      <c r="V24" s="249" t="n">
        <f>V11*(1-IF('Omsætningsopsætning'!$I$9="",'Inputantagelser'!$B$22,'Omsætningsopsætning'!$I$9))</f>
        <v>0</v>
      </c>
      <c r="W24" s="249" t="n">
        <f>W11*(1-IF('Omsætningsopsætning'!$I$9="",'Inputantagelser'!$B$22,'Omsætningsopsætning'!$I$9))</f>
        <v>0</v>
      </c>
      <c r="X24" s="249" t="n">
        <f>X11*(1-IF('Omsætningsopsætning'!$I$9="",'Inputantagelser'!$B$22,'Omsætningsopsætning'!$I$9))</f>
        <v>0</v>
      </c>
      <c r="Y24" s="249" t="n">
        <f>Y11*(1-IF('Omsætningsopsætning'!$I$9="",'Inputantagelser'!$B$22,'Omsætningsopsætning'!$I$9))</f>
        <v>0</v>
      </c>
      <c r="Z24" s="250" t="n">
        <f>Z11*(1-IF('Omsætningsopsætning'!$I$9="",'Inputantagelser'!$B$22,'Omsætningsopsætning'!$I$9))</f>
        <v>0</v>
      </c>
    </row>
    <row r="25" ht="15" customHeight="true">
      <c r="A25" s="30" t="s">
        <v>109</v>
      </c>
      <c r="B25" s="84"/>
      <c r="C25" s="249" t="n">
        <f>C12*(1-IF('Omsætningsopsætning'!$I$10="",'Inputantagelser'!$B$22,'Omsætningsopsætning'!$I$10))</f>
        <v>0</v>
      </c>
      <c r="D25" s="249" t="n">
        <f>D12*(1-IF('Omsætningsopsætning'!$I$10="",'Inputantagelser'!$B$22,'Omsætningsopsætning'!$I$10))</f>
        <v>0</v>
      </c>
      <c r="E25" s="249" t="n">
        <f>E12*(1-IF('Omsætningsopsætning'!$I$10="",'Inputantagelser'!$B$22,'Omsætningsopsætning'!$I$10))</f>
        <v>0</v>
      </c>
      <c r="F25" s="249" t="n">
        <f>F12*(1-IF('Omsætningsopsætning'!$I$10="",'Inputantagelser'!$B$22,'Omsætningsopsætning'!$I$10))</f>
        <v>0</v>
      </c>
      <c r="G25" s="249" t="n">
        <f>G12*(1-IF('Omsætningsopsætning'!$I$10="",'Inputantagelser'!$B$22,'Omsætningsopsætning'!$I$10))</f>
        <v>0</v>
      </c>
      <c r="H25" s="249" t="n">
        <f>H12*(1-IF('Omsætningsopsætning'!$I$10="",'Inputantagelser'!$B$22,'Omsætningsopsætning'!$I$10))</f>
        <v>0</v>
      </c>
      <c r="I25" s="249" t="n">
        <f>I12*(1-IF('Omsætningsopsætning'!$I$10="",'Inputantagelser'!$B$22,'Omsætningsopsætning'!$I$10))</f>
        <v>0</v>
      </c>
      <c r="J25" s="249" t="n">
        <f>J12*(1-IF('Omsætningsopsætning'!$I$10="",'Inputantagelser'!$B$22,'Omsætningsopsætning'!$I$10))</f>
        <v>0</v>
      </c>
      <c r="K25" s="249" t="n">
        <f>K12*(1-IF('Omsætningsopsætning'!$I$10="",'Inputantagelser'!$B$22,'Omsætningsopsætning'!$I$10))</f>
        <v>0</v>
      </c>
      <c r="L25" s="249" t="n">
        <f>L12*(1-IF('Omsætningsopsætning'!$I$10="",'Inputantagelser'!$B$22,'Omsætningsopsætning'!$I$10))</f>
        <v>0</v>
      </c>
      <c r="M25" s="249" t="n">
        <f>M12*(1-IF('Omsætningsopsætning'!$I$10="",'Inputantagelser'!$B$22,'Omsætningsopsætning'!$I$10))</f>
        <v>0</v>
      </c>
      <c r="N25" s="249" t="n">
        <f>N12*(1-IF('Omsætningsopsætning'!$I$10="",'Inputantagelser'!$B$22,'Omsætningsopsætning'!$I$10))</f>
        <v>0</v>
      </c>
      <c r="O25" s="249" t="n">
        <f>O12*(1-IF('Omsætningsopsætning'!$I$10="",'Inputantagelser'!$B$22,'Omsætningsopsætning'!$I$10))</f>
        <v>0</v>
      </c>
      <c r="P25" s="249" t="n">
        <f>P12*(1-IF('Omsætningsopsætning'!$I$10="",'Inputantagelser'!$B$22,'Omsætningsopsætning'!$I$10))</f>
        <v>0</v>
      </c>
      <c r="Q25" s="249" t="n">
        <f>Q12*(1-IF('Omsætningsopsætning'!$I$10="",'Inputantagelser'!$B$22,'Omsætningsopsætning'!$I$10))</f>
        <v>0</v>
      </c>
      <c r="R25" s="249" t="n">
        <f>R12*(1-IF('Omsætningsopsætning'!$I$10="",'Inputantagelser'!$B$22,'Omsætningsopsætning'!$I$10))</f>
        <v>0</v>
      </c>
      <c r="S25" s="249" t="n">
        <f>S12*(1-IF('Omsætningsopsætning'!$I$10="",'Inputantagelser'!$B$22,'Omsætningsopsætning'!$I$10))</f>
        <v>0</v>
      </c>
      <c r="T25" s="249" t="n">
        <f>T12*(1-IF('Omsætningsopsætning'!$I$10="",'Inputantagelser'!$B$22,'Omsætningsopsætning'!$I$10))</f>
        <v>0</v>
      </c>
      <c r="U25" s="249" t="n">
        <f>U12*(1-IF('Omsætningsopsætning'!$I$10="",'Inputantagelser'!$B$22,'Omsætningsopsætning'!$I$10))</f>
        <v>0</v>
      </c>
      <c r="V25" s="249" t="n">
        <f>V12*(1-IF('Omsætningsopsætning'!$I$10="",'Inputantagelser'!$B$22,'Omsætningsopsætning'!$I$10))</f>
        <v>0</v>
      </c>
      <c r="W25" s="249" t="n">
        <f>W12*(1-IF('Omsætningsopsætning'!$I$10="",'Inputantagelser'!$B$22,'Omsætningsopsætning'!$I$10))</f>
        <v>0</v>
      </c>
      <c r="X25" s="249" t="n">
        <f>X12*(1-IF('Omsætningsopsætning'!$I$10="",'Inputantagelser'!$B$22,'Omsætningsopsætning'!$I$10))</f>
        <v>0</v>
      </c>
      <c r="Y25" s="249" t="n">
        <f>Y12*(1-IF('Omsætningsopsætning'!$I$10="",'Inputantagelser'!$B$22,'Omsætningsopsætning'!$I$10))</f>
        <v>0</v>
      </c>
      <c r="Z25" s="250" t="n">
        <f>Z12*(1-IF('Omsætningsopsætning'!$I$10="",'Inputantagelser'!$B$22,'Omsætningsopsætning'!$I$10))</f>
        <v>0</v>
      </c>
    </row>
    <row r="26" ht="15" customHeight="true">
      <c r="A26" s="30" t="s">
        <v>110</v>
      </c>
      <c r="B26" s="84"/>
      <c r="C26" s="249" t="n">
        <f>C13*(1-IF('Omsætningsopsætning'!$I$11="",'Inputantagelser'!$B$22,'Omsætningsopsætning'!$I$11))</f>
        <v>0</v>
      </c>
      <c r="D26" s="249" t="n">
        <f>D13*(1-IF('Omsætningsopsætning'!$I$11="",'Inputantagelser'!$B$22,'Omsætningsopsætning'!$I$11))</f>
        <v>0</v>
      </c>
      <c r="E26" s="249" t="n">
        <f>E13*(1-IF('Omsætningsopsætning'!$I$11="",'Inputantagelser'!$B$22,'Omsætningsopsætning'!$I$11))</f>
        <v>0</v>
      </c>
      <c r="F26" s="249" t="n">
        <f>F13*(1-IF('Omsætningsopsætning'!$I$11="",'Inputantagelser'!$B$22,'Omsætningsopsætning'!$I$11))</f>
        <v>0</v>
      </c>
      <c r="G26" s="249" t="n">
        <f>G13*(1-IF('Omsætningsopsætning'!$I$11="",'Inputantagelser'!$B$22,'Omsætningsopsætning'!$I$11))</f>
        <v>0</v>
      </c>
      <c r="H26" s="249" t="n">
        <f>H13*(1-IF('Omsætningsopsætning'!$I$11="",'Inputantagelser'!$B$22,'Omsætningsopsætning'!$I$11))</f>
        <v>0</v>
      </c>
      <c r="I26" s="249" t="n">
        <f>I13*(1-IF('Omsætningsopsætning'!$I$11="",'Inputantagelser'!$B$22,'Omsætningsopsætning'!$I$11))</f>
        <v>0</v>
      </c>
      <c r="J26" s="249" t="n">
        <f>J13*(1-IF('Omsætningsopsætning'!$I$11="",'Inputantagelser'!$B$22,'Omsætningsopsætning'!$I$11))</f>
        <v>0</v>
      </c>
      <c r="K26" s="249" t="n">
        <f>K13*(1-IF('Omsætningsopsætning'!$I$11="",'Inputantagelser'!$B$22,'Omsætningsopsætning'!$I$11))</f>
        <v>0</v>
      </c>
      <c r="L26" s="249" t="n">
        <f>L13*(1-IF('Omsætningsopsætning'!$I$11="",'Inputantagelser'!$B$22,'Omsætningsopsætning'!$I$11))</f>
        <v>0</v>
      </c>
      <c r="M26" s="249" t="n">
        <f>M13*(1-IF('Omsætningsopsætning'!$I$11="",'Inputantagelser'!$B$22,'Omsætningsopsætning'!$I$11))</f>
        <v>0</v>
      </c>
      <c r="N26" s="249" t="n">
        <f>N13*(1-IF('Omsætningsopsætning'!$I$11="",'Inputantagelser'!$B$22,'Omsætningsopsætning'!$I$11))</f>
        <v>0</v>
      </c>
      <c r="O26" s="249" t="n">
        <f>O13*(1-IF('Omsætningsopsætning'!$I$11="",'Inputantagelser'!$B$22,'Omsætningsopsætning'!$I$11))</f>
        <v>0</v>
      </c>
      <c r="P26" s="249" t="n">
        <f>P13*(1-IF('Omsætningsopsætning'!$I$11="",'Inputantagelser'!$B$22,'Omsætningsopsætning'!$I$11))</f>
        <v>0</v>
      </c>
      <c r="Q26" s="249" t="n">
        <f>Q13*(1-IF('Omsætningsopsætning'!$I$11="",'Inputantagelser'!$B$22,'Omsætningsopsætning'!$I$11))</f>
        <v>0</v>
      </c>
      <c r="R26" s="249" t="n">
        <f>R13*(1-IF('Omsætningsopsætning'!$I$11="",'Inputantagelser'!$B$22,'Omsætningsopsætning'!$I$11))</f>
        <v>0</v>
      </c>
      <c r="S26" s="249" t="n">
        <f>S13*(1-IF('Omsætningsopsætning'!$I$11="",'Inputantagelser'!$B$22,'Omsætningsopsætning'!$I$11))</f>
        <v>0</v>
      </c>
      <c r="T26" s="249" t="n">
        <f>T13*(1-IF('Omsætningsopsætning'!$I$11="",'Inputantagelser'!$B$22,'Omsætningsopsætning'!$I$11))</f>
        <v>0</v>
      </c>
      <c r="U26" s="249" t="n">
        <f>U13*(1-IF('Omsætningsopsætning'!$I$11="",'Inputantagelser'!$B$22,'Omsætningsopsætning'!$I$11))</f>
        <v>0</v>
      </c>
      <c r="V26" s="249" t="n">
        <f>V13*(1-IF('Omsætningsopsætning'!$I$11="",'Inputantagelser'!$B$22,'Omsætningsopsætning'!$I$11))</f>
        <v>0</v>
      </c>
      <c r="W26" s="249" t="n">
        <f>W13*(1-IF('Omsætningsopsætning'!$I$11="",'Inputantagelser'!$B$22,'Omsætningsopsætning'!$I$11))</f>
        <v>0</v>
      </c>
      <c r="X26" s="249" t="n">
        <f>X13*(1-IF('Omsætningsopsætning'!$I$11="",'Inputantagelser'!$B$22,'Omsætningsopsætning'!$I$11))</f>
        <v>0</v>
      </c>
      <c r="Y26" s="249" t="n">
        <f>Y13*(1-IF('Omsætningsopsætning'!$I$11="",'Inputantagelser'!$B$22,'Omsætningsopsætning'!$I$11))</f>
        <v>0</v>
      </c>
      <c r="Z26" s="250" t="n">
        <f>Z13*(1-IF('Omsætningsopsætning'!$I$11="",'Inputantagelser'!$B$22,'Omsætningsopsætning'!$I$11))</f>
        <v>0</v>
      </c>
    </row>
    <row r="27" ht="15" customHeight="true">
      <c r="A27" s="30" t="s">
        <v>111</v>
      </c>
      <c r="B27" s="84"/>
      <c r="C27" s="249" t="n">
        <f>C14*(1-IF('Omsætningsopsætning'!$I$12="",'Inputantagelser'!$B$22,'Omsætningsopsætning'!$I$12))</f>
        <v>0</v>
      </c>
      <c r="D27" s="249" t="n">
        <f>D14*(1-IF('Omsætningsopsætning'!$I$12="",'Inputantagelser'!$B$22,'Omsætningsopsætning'!$I$12))</f>
        <v>0</v>
      </c>
      <c r="E27" s="249" t="n">
        <f>E14*(1-IF('Omsætningsopsætning'!$I$12="",'Inputantagelser'!$B$22,'Omsætningsopsætning'!$I$12))</f>
        <v>0</v>
      </c>
      <c r="F27" s="249" t="n">
        <f>F14*(1-IF('Omsætningsopsætning'!$I$12="",'Inputantagelser'!$B$22,'Omsætningsopsætning'!$I$12))</f>
        <v>0</v>
      </c>
      <c r="G27" s="249" t="n">
        <f>G14*(1-IF('Omsætningsopsætning'!$I$12="",'Inputantagelser'!$B$22,'Omsætningsopsætning'!$I$12))</f>
        <v>0</v>
      </c>
      <c r="H27" s="249" t="n">
        <f>H14*(1-IF('Omsætningsopsætning'!$I$12="",'Inputantagelser'!$B$22,'Omsætningsopsætning'!$I$12))</f>
        <v>0</v>
      </c>
      <c r="I27" s="249" t="n">
        <f>I14*(1-IF('Omsætningsopsætning'!$I$12="",'Inputantagelser'!$B$22,'Omsætningsopsætning'!$I$12))</f>
        <v>0</v>
      </c>
      <c r="J27" s="249" t="n">
        <f>J14*(1-IF('Omsætningsopsætning'!$I$12="",'Inputantagelser'!$B$22,'Omsætningsopsætning'!$I$12))</f>
        <v>0</v>
      </c>
      <c r="K27" s="249" t="n">
        <f>K14*(1-IF('Omsætningsopsætning'!$I$12="",'Inputantagelser'!$B$22,'Omsætningsopsætning'!$I$12))</f>
        <v>0</v>
      </c>
      <c r="L27" s="249" t="n">
        <f>L14*(1-IF('Omsætningsopsætning'!$I$12="",'Inputantagelser'!$B$22,'Omsætningsopsætning'!$I$12))</f>
        <v>0</v>
      </c>
      <c r="M27" s="249" t="n">
        <f>M14*(1-IF('Omsætningsopsætning'!$I$12="",'Inputantagelser'!$B$22,'Omsætningsopsætning'!$I$12))</f>
        <v>0</v>
      </c>
      <c r="N27" s="249" t="n">
        <f>N14*(1-IF('Omsætningsopsætning'!$I$12="",'Inputantagelser'!$B$22,'Omsætningsopsætning'!$I$12))</f>
        <v>0</v>
      </c>
      <c r="O27" s="249" t="n">
        <f>O14*(1-IF('Omsætningsopsætning'!$I$12="",'Inputantagelser'!$B$22,'Omsætningsopsætning'!$I$12))</f>
        <v>0</v>
      </c>
      <c r="P27" s="249" t="n">
        <f>P14*(1-IF('Omsætningsopsætning'!$I$12="",'Inputantagelser'!$B$22,'Omsætningsopsætning'!$I$12))</f>
        <v>0</v>
      </c>
      <c r="Q27" s="249" t="n">
        <f>Q14*(1-IF('Omsætningsopsætning'!$I$12="",'Inputantagelser'!$B$22,'Omsætningsopsætning'!$I$12))</f>
        <v>0</v>
      </c>
      <c r="R27" s="249" t="n">
        <f>R14*(1-IF('Omsætningsopsætning'!$I$12="",'Inputantagelser'!$B$22,'Omsætningsopsætning'!$I$12))</f>
        <v>0</v>
      </c>
      <c r="S27" s="249" t="n">
        <f>S14*(1-IF('Omsætningsopsætning'!$I$12="",'Inputantagelser'!$B$22,'Omsætningsopsætning'!$I$12))</f>
        <v>0</v>
      </c>
      <c r="T27" s="249" t="n">
        <f>T14*(1-IF('Omsætningsopsætning'!$I$12="",'Inputantagelser'!$B$22,'Omsætningsopsætning'!$I$12))</f>
        <v>0</v>
      </c>
      <c r="U27" s="249" t="n">
        <f>U14*(1-IF('Omsætningsopsætning'!$I$12="",'Inputantagelser'!$B$22,'Omsætningsopsætning'!$I$12))</f>
        <v>0</v>
      </c>
      <c r="V27" s="249" t="n">
        <f>V14*(1-IF('Omsætningsopsætning'!$I$12="",'Inputantagelser'!$B$22,'Omsætningsopsætning'!$I$12))</f>
        <v>0</v>
      </c>
      <c r="W27" s="249" t="n">
        <f>W14*(1-IF('Omsætningsopsætning'!$I$12="",'Inputantagelser'!$B$22,'Omsætningsopsætning'!$I$12))</f>
        <v>0</v>
      </c>
      <c r="X27" s="249" t="n">
        <f>X14*(1-IF('Omsætningsopsætning'!$I$12="",'Inputantagelser'!$B$22,'Omsætningsopsætning'!$I$12))</f>
        <v>0</v>
      </c>
      <c r="Y27" s="249" t="n">
        <f>Y14*(1-IF('Omsætningsopsætning'!$I$12="",'Inputantagelser'!$B$22,'Omsætningsopsætning'!$I$12))</f>
        <v>0</v>
      </c>
      <c r="Z27" s="250" t="n">
        <f>Z14*(1-IF('Omsætningsopsætning'!$I$12="",'Inputantagelser'!$B$22,'Omsætningsopsætning'!$I$12))</f>
        <v>0</v>
      </c>
    </row>
    <row r="28" ht="15" customHeight="true">
      <c r="A28" s="30"/>
      <c r="B28" s="84"/>
      <c r="C28" s="249"/>
      <c r="D28" s="249"/>
      <c r="E28" s="249"/>
      <c r="F28" s="249"/>
      <c r="G28" s="249"/>
      <c r="H28" s="249"/>
      <c r="I28" s="249"/>
      <c r="J28" s="249"/>
      <c r="K28" s="249"/>
      <c r="L28" s="249"/>
      <c r="M28" s="249"/>
      <c r="N28" s="249"/>
      <c r="O28" s="249"/>
      <c r="P28" s="249"/>
      <c r="Q28" s="249"/>
      <c r="R28" s="249"/>
      <c r="S28" s="249"/>
      <c r="T28" s="249"/>
      <c r="U28" s="249"/>
      <c r="V28" s="249"/>
      <c r="W28" s="249"/>
      <c r="X28" s="249"/>
      <c r="Y28" s="249"/>
      <c r="Z28" s="250"/>
    </row>
    <row r="29" ht="15" customHeight="true">
      <c r="A29" s="263" t="s">
        <v>112</v>
      </c>
      <c r="B29" s="236"/>
      <c r="C29" s="251" t="n">
        <f>SUM(C20:C27)</f>
        <v>72000</v>
      </c>
      <c r="D29" s="251" t="n">
        <f>SUM(D20:D27)</f>
        <v>79412</v>
      </c>
      <c r="E29" s="251" t="n">
        <f>SUM(E20:E27)</f>
        <v>87098.88</v>
      </c>
      <c r="F29" s="251" t="n">
        <f>SUM(F20:F27)</f>
        <v>95069.41160000002</v>
      </c>
      <c r="G29" s="251" t="n">
        <f>SUM(G20:G27)</f>
        <v>103332.63480000003</v>
      </c>
      <c r="H29" s="251" t="n">
        <f>SUM(H20:H27)</f>
        <v>111897.86610452004</v>
      </c>
      <c r="I29" s="251" t="n">
        <f>SUM(I20:I27)</f>
        <v>120774.70687078085</v>
      </c>
      <c r="J29" s="251" t="n">
        <f>SUM(J20:J27)</f>
        <v>129973.05190786072</v>
      </c>
      <c r="K29" s="251" t="n">
        <f>SUM(K20:K27)</f>
        <v>139503.09833436256</v>
      </c>
      <c r="L29" s="251" t="n">
        <f>SUM(L20:L27)</f>
        <v>149375.3547023521</v>
      </c>
      <c r="M29" s="251" t="n">
        <f>SUM(M20:M27)</f>
        <v>159600.65039556092</v>
      </c>
      <c r="N29" s="251" t="n">
        <f>SUM(N20:N27)</f>
        <v>170190.14531008742</v>
      </c>
      <c r="O29" s="251" t="n">
        <f>SUM(O20:O27)</f>
        <v>181155.3398260763</v>
      </c>
      <c r="P29" s="251" t="n">
        <f>SUM(P20:P27)</f>
        <v>192508.08507911165</v>
      </c>
      <c r="Q29" s="251" t="n">
        <f>SUM(Q20:Q27)</f>
        <v>204260.59354032067</v>
      </c>
      <c r="R29" s="251" t="n">
        <f>SUM(R20:R27)</f>
        <v>216425.44991445428</v>
      </c>
      <c r="S29" s="251" t="n">
        <f>SUM(S20:S27)</f>
        <v>229015.62236549114</v>
      </c>
      <c r="T29" s="251" t="n">
        <f>SUM(T20:T27)</f>
        <v>242044.47407959512</v>
      </c>
      <c r="U29" s="251" t="n">
        <f>SUM(U20:U27)</f>
        <v>255525.77517555363</v>
      </c>
      <c r="V29" s="251" t="n">
        <f>SUM(V20:V27)</f>
        <v>269473.7149731266</v>
      </c>
      <c r="W29" s="251" t="n">
        <f>SUM(W20:W27)</f>
        <v>283902.91463004984</v>
      </c>
      <c r="X29" s="251" t="n">
        <f>SUM(X20:X27)</f>
        <v>298828.440158758</v>
      </c>
      <c r="Y29" s="251" t="n">
        <f>SUM(Y20:Y27)</f>
        <v>314265.81583422556</v>
      </c>
      <c r="Z29" s="252" t="n">
        <f>SUM(Z20:Z27)</f>
        <v>330231.0380046642</v>
      </c>
    </row>
    <row r="30" ht="15" customHeight="true">
      <c r="A30" s="263" t="s">
        <v>27</v>
      </c>
      <c r="B30" s="236"/>
      <c r="C30" s="251" t="n">
        <f>C17-C29</f>
        <v>105300</v>
      </c>
      <c r="D30" s="251" t="n">
        <f>D17-D29</f>
        <v>116140.04999999999</v>
      </c>
      <c r="E30" s="251" t="n">
        <f>E17-E29</f>
        <v>127382.112</v>
      </c>
      <c r="F30" s="251" t="n">
        <f>F17-F29</f>
        <v>139039.01446500001</v>
      </c>
      <c r="G30" s="251" t="n">
        <f>G17-G29</f>
        <v>151123.97839500004</v>
      </c>
      <c r="H30" s="251" t="n">
        <f>H17-H29</f>
        <v>163650.6291778605</v>
      </c>
      <c r="I30" s="251" t="n">
        <f>I17-I29</f>
        <v>176633.00879851694</v>
      </c>
      <c r="J30" s="251" t="n">
        <f>J17-J29</f>
        <v>190085.58841524628</v>
      </c>
      <c r="K30" s="251" t="n">
        <f>K17-K29</f>
        <v>204023.2813140052</v>
      </c>
      <c r="L30" s="251" t="n">
        <f>L17-L29</f>
        <v>218461.45625218996</v>
      </c>
      <c r="M30" s="251" t="n">
        <f>M17-M29</f>
        <v>233415.9512035078</v>
      </c>
      <c r="N30" s="251" t="n">
        <f>N17-N29</f>
        <v>248903.08751600282</v>
      </c>
      <c r="O30" s="251" t="n">
        <f>O17-O29</f>
        <v>264939.6844956365</v>
      </c>
      <c r="P30" s="251" t="n">
        <f>P17-P29</f>
        <v>281543.07442820084</v>
      </c>
      <c r="Q30" s="251" t="n">
        <f>Q17-Q29</f>
        <v>298731.1180527189</v>
      </c>
      <c r="R30" s="251" t="n">
        <f>R17-R29</f>
        <v>316522.22049988946</v>
      </c>
      <c r="S30" s="251" t="n">
        <f>S17-S29</f>
        <v>334935.34770953085</v>
      </c>
      <c r="T30" s="251" t="n">
        <f>T17-T29</f>
        <v>353990.04334140784</v>
      </c>
      <c r="U30" s="251" t="n">
        <f>U17-U29</f>
        <v>373706.4461942471</v>
      </c>
      <c r="V30" s="251" t="n">
        <f>V17-V29</f>
        <v>394105.30814819766</v>
      </c>
      <c r="W30" s="251" t="n">
        <f>W17-W29</f>
        <v>415208.01264644787</v>
      </c>
      <c r="X30" s="251" t="n">
        <f>X17-X29</f>
        <v>437036.5937321835</v>
      </c>
      <c r="Y30" s="251" t="n">
        <f>Y17-Y29</f>
        <v>459613.7556575548</v>
      </c>
      <c r="Z30" s="252" t="n">
        <f>Z17-Z29</f>
        <v>482962.8930818213</v>
      </c>
    </row>
    <row r="31" ht="15" customHeight="true">
      <c r="A31" s="265" t="s">
        <v>113</v>
      </c>
      <c r="B31" s="242"/>
      <c r="C31" s="259" t="n">
        <f>IFERROR(C30/C17,0)</f>
        <v>0.5939086294416244</v>
      </c>
      <c r="D31" s="259" t="n">
        <f>IFERROR(D30/D17,0)</f>
        <v>0.5939086294416244</v>
      </c>
      <c r="E31" s="259" t="n">
        <f>IFERROR(E30/E17,0)</f>
        <v>0.5939086294416244</v>
      </c>
      <c r="F31" s="259" t="n">
        <f>IFERROR(F30/F17,0)</f>
        <v>0.5939086294416244</v>
      </c>
      <c r="G31" s="259" t="n">
        <f>IFERROR(G30/G17,0)</f>
        <v>0.5939086294416244</v>
      </c>
      <c r="H31" s="259" t="n">
        <f>IFERROR(H30/H17,0)</f>
        <v>0.5939086294416243</v>
      </c>
      <c r="I31" s="259" t="n">
        <f>IFERROR(I30/I17,0)</f>
        <v>0.5939086294416243</v>
      </c>
      <c r="J31" s="259" t="n">
        <f>IFERROR(J30/J17,0)</f>
        <v>0.5939086294416244</v>
      </c>
      <c r="K31" s="259" t="n">
        <f>IFERROR(K30/K17,0)</f>
        <v>0.5939086294416244</v>
      </c>
      <c r="L31" s="259" t="n">
        <f>IFERROR(L30/L17,0)</f>
        <v>0.5939086294416244</v>
      </c>
      <c r="M31" s="259" t="n">
        <f>IFERROR(M30/M17,0)</f>
        <v>0.5939086294416244</v>
      </c>
      <c r="N31" s="259" t="n">
        <f>IFERROR(N30/N17,0)</f>
        <v>0.5939086294416244</v>
      </c>
      <c r="O31" s="259" t="n">
        <f>IFERROR(O30/O17,0)</f>
        <v>0.5939086294416243</v>
      </c>
      <c r="P31" s="259" t="n">
        <f>IFERROR(P30/P17,0)</f>
        <v>0.5939086294416245</v>
      </c>
      <c r="Q31" s="259" t="n">
        <f>IFERROR(Q30/Q17,0)</f>
        <v>0.5939086294416243</v>
      </c>
      <c r="R31" s="259" t="n">
        <f>IFERROR(R30/R17,0)</f>
        <v>0.5939086294416245</v>
      </c>
      <c r="S31" s="259" t="n">
        <f>IFERROR(S30/S17,0)</f>
        <v>0.5939086294416245</v>
      </c>
      <c r="T31" s="259" t="n">
        <f>IFERROR(T30/T17,0)</f>
        <v>0.5939086294416244</v>
      </c>
      <c r="U31" s="259" t="n">
        <f>IFERROR(U30/U17,0)</f>
        <v>0.5939086294416244</v>
      </c>
      <c r="V31" s="259" t="n">
        <f>IFERROR(V30/V17,0)</f>
        <v>0.5939086294416244</v>
      </c>
      <c r="W31" s="259" t="n">
        <f>IFERROR(W30/W17,0)</f>
        <v>0.5939086294416244</v>
      </c>
      <c r="X31" s="259" t="n">
        <f>IFERROR(X30/X17,0)</f>
        <v>0.5939086294416243</v>
      </c>
      <c r="Y31" s="259" t="n">
        <f>IFERROR(Y30/Y17,0)</f>
        <v>0.5939086294416243</v>
      </c>
      <c r="Z31" s="260" t="n">
        <f>IFERROR(Z30/Z17,0)</f>
        <v>0.5939086294416244</v>
      </c>
    </row>
  </sheetData>
  <ignoredErrors>
    <ignoredError sqref="A1:XFD1048576" evalError="1" twoDigitTextYear="1" numberStoredAsText="1" formula="1" formulaRange="1" unlockedFormula="1" emptyCellReference="1" listDataValidation="1" calculatedColumn="1"/>
  </ignoredErrors>
  <pageMargins left="0.7" right="0.7" top="0.75" bottom="0.75" header="0.3" footer="0.3"/>
</worksheet>
</file>

<file path=xl/worksheets/sheet5.xml><?xml version="1.0" encoding="utf-8"?>
<worksheet xmlns:x="http://schemas.openxmlformats.org/spreadsheetml/2006/main" xmlns="http://schemas.openxmlformats.org/spreadsheetml/2006/main">
  <sheetViews>
    <sheetView showGridLines="false" workbookViewId="0"/>
  </sheetViews>
  <sheetFormatPr defaultRowHeight="15"/>
  <cols>
    <col customWidth="true" max="1" min="1" width="18"/>
    <col customWidth="true" max="2" min="2" width="14"/>
    <col customWidth="true" max="26" min="3" width="12"/>
  </cols>
  <sheetData>
    <row r="1" ht="19.53125" customHeight="true">
      <c r="A1" s="4" t="s">
        <v>114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" customHeight="true">
      <c r="A2" s="6" t="s">
        <v>115</v>
      </c>
    </row>
    <row r="3"/>
    <row r="4" ht="24.4140625" customHeight="true">
      <c r="A4" s="72" t="s">
        <v>116</v>
      </c>
      <c r="B4" s="73" t="s">
        <v>117</v>
      </c>
      <c r="C4" s="73" t="s">
        <v>72</v>
      </c>
      <c r="D4" s="73" t="s">
        <v>118</v>
      </c>
      <c r="E4" s="73" t="s">
        <v>119</v>
      </c>
      <c r="F4" s="73" t="s">
        <v>120</v>
      </c>
      <c r="G4" s="73" t="s">
        <v>121</v>
      </c>
      <c r="H4" s="73" t="s">
        <v>122</v>
      </c>
      <c r="I4" s="73" t="s">
        <v>4</v>
      </c>
      <c r="J4" s="74" t="s">
        <v>123</v>
      </c>
    </row>
    <row r="5" ht="15" customHeight="true">
      <c r="A5" s="143" t="s">
        <v>124</v>
      </c>
      <c r="B5" s="144" t="s">
        <v>125</v>
      </c>
      <c r="C5" s="144" t="s">
        <v>82</v>
      </c>
      <c r="D5" s="267" t="n">
        <v>2</v>
      </c>
      <c r="E5" s="155" t="n">
        <v>30000</v>
      </c>
      <c r="F5" s="273" t="n">
        <v>0</v>
      </c>
      <c r="G5" s="101" t="n">
        <v>0.25</v>
      </c>
      <c r="H5" s="101" t="n">
        <v>0.05</v>
      </c>
      <c r="I5" s="144" t="s">
        <v>126</v>
      </c>
      <c r="J5" s="161" t="n">
        <f>IF(C5="Ja",D5*E5*(1+G5),0)</f>
        <v>75000</v>
      </c>
    </row>
    <row r="6" ht="15" customHeight="true">
      <c r="A6" s="145" t="s">
        <v>127</v>
      </c>
      <c r="B6" s="146" t="s">
        <v>128</v>
      </c>
      <c r="C6" s="146" t="s">
        <v>82</v>
      </c>
      <c r="D6" s="268" t="n">
        <v>3</v>
      </c>
      <c r="E6" s="156" t="n">
        <v>18000</v>
      </c>
      <c r="F6" s="274" t="n">
        <v>1</v>
      </c>
      <c r="G6" s="102" t="n">
        <v>0.25</v>
      </c>
      <c r="H6" s="102" t="n">
        <v>0.06</v>
      </c>
      <c r="I6" s="146" t="s">
        <v>129</v>
      </c>
      <c r="J6" s="162" t="n">
        <f>IF(C6="Ja",D6*E6*(1+G6),0)</f>
        <v>67500</v>
      </c>
    </row>
    <row r="7" ht="15" customHeight="true">
      <c r="A7" s="145" t="s">
        <v>130</v>
      </c>
      <c r="B7" s="146" t="s">
        <v>130</v>
      </c>
      <c r="C7" s="146" t="s">
        <v>82</v>
      </c>
      <c r="D7" s="268" t="n">
        <v>2</v>
      </c>
      <c r="E7" s="156" t="n">
        <v>12000</v>
      </c>
      <c r="F7" s="274" t="n">
        <v>1</v>
      </c>
      <c r="G7" s="102" t="n">
        <v>0.22</v>
      </c>
      <c r="H7" s="102" t="n">
        <v>0.05</v>
      </c>
      <c r="I7" s="146" t="s">
        <v>131</v>
      </c>
      <c r="J7" s="162" t="n">
        <f>IF(C7="Ja",D7*E7*(1+G7),0)</f>
        <v>29280</v>
      </c>
    </row>
    <row r="8" ht="15" customHeight="true">
      <c r="A8" s="145" t="s">
        <v>132</v>
      </c>
      <c r="B8" s="146" t="s">
        <v>132</v>
      </c>
      <c r="C8" s="146" t="s">
        <v>82</v>
      </c>
      <c r="D8" s="268" t="n">
        <v>1</v>
      </c>
      <c r="E8" s="156" t="n">
        <v>12000</v>
      </c>
      <c r="F8" s="274" t="n">
        <v>0</v>
      </c>
      <c r="G8" s="102" t="n">
        <v>0.22</v>
      </c>
      <c r="H8" s="102" t="n">
        <v>0.05</v>
      </c>
      <c r="I8" s="146" t="s">
        <v>133</v>
      </c>
      <c r="J8" s="162" t="n">
        <f>IF(C8="Ja",D8*E8*(1+G8),0)</f>
        <v>14640</v>
      </c>
    </row>
    <row r="9" ht="15" customHeight="true">
      <c r="A9" s="145" t="s">
        <v>134</v>
      </c>
      <c r="B9" s="146" t="s">
        <v>134</v>
      </c>
      <c r="C9" s="146" t="s">
        <v>82</v>
      </c>
      <c r="D9" s="268" t="n">
        <v>2</v>
      </c>
      <c r="E9" s="156" t="n">
        <v>10000</v>
      </c>
      <c r="F9" s="274" t="n">
        <v>1</v>
      </c>
      <c r="G9" s="102" t="n">
        <v>0.22</v>
      </c>
      <c r="H9" s="102" t="n">
        <v>0.05</v>
      </c>
      <c r="I9" s="146" t="s">
        <v>135</v>
      </c>
      <c r="J9" s="162" t="n">
        <f>IF(C9="Ja",D9*E9*(1+G9),0)</f>
        <v>24400</v>
      </c>
    </row>
    <row r="10" ht="15" customHeight="true">
      <c r="A10" s="145" t="s">
        <v>136</v>
      </c>
      <c r="B10" s="146" t="s">
        <v>136</v>
      </c>
      <c r="C10" s="146" t="s">
        <v>87</v>
      </c>
      <c r="D10" s="268" t="n">
        <v>1</v>
      </c>
      <c r="E10" s="156" t="n">
        <v>9000</v>
      </c>
      <c r="F10" s="274" t="n">
        <v>1</v>
      </c>
      <c r="G10" s="102" t="n">
        <v>0.22</v>
      </c>
      <c r="H10" s="102" t="n">
        <v>0.05</v>
      </c>
      <c r="I10" s="146" t="s">
        <v>136</v>
      </c>
      <c r="J10" s="162" t="n">
        <f>IF(C10="Ja",D10*E10*(1+G10),0)</f>
        <v>0</v>
      </c>
    </row>
    <row r="11" ht="15" customHeight="true">
      <c r="A11" s="145" t="s">
        <v>137</v>
      </c>
      <c r="B11" s="146" t="s">
        <v>138</v>
      </c>
      <c r="C11" s="146" t="s">
        <v>82</v>
      </c>
      <c r="D11" s="268" t="n">
        <v>1</v>
      </c>
      <c r="E11" s="156" t="n">
        <v>9000</v>
      </c>
      <c r="F11" s="274" t="n">
        <v>0</v>
      </c>
      <c r="G11" s="102" t="n">
        <v>0.22</v>
      </c>
      <c r="H11" s="102" t="n">
        <v>0.04</v>
      </c>
      <c r="I11" s="146" t="s">
        <v>139</v>
      </c>
      <c r="J11" s="162" t="n">
        <f>IF(C11="Ja",D11*E11*(1+G11),0)</f>
        <v>10980</v>
      </c>
    </row>
    <row r="12" ht="15" customHeight="true">
      <c r="A12" s="147" t="s">
        <v>140</v>
      </c>
      <c r="B12" s="148" t="s">
        <v>140</v>
      </c>
      <c r="C12" s="148" t="s">
        <v>87</v>
      </c>
      <c r="D12" s="269" t="n">
        <v>2</v>
      </c>
      <c r="E12" s="157" t="n">
        <v>10000</v>
      </c>
      <c r="F12" s="275" t="n">
        <v>1</v>
      </c>
      <c r="G12" s="103" t="n">
        <v>0.22</v>
      </c>
      <c r="H12" s="103" t="n">
        <v>0.05</v>
      </c>
      <c r="I12" s="148" t="s">
        <v>141</v>
      </c>
      <c r="J12" s="163" t="n">
        <f>IF(C12="Ja",D12*E12*(1+G12),0)</f>
        <v>0</v>
      </c>
    </row>
    <row r="13" ht="15" customHeight="true">
      <c r="A13" s="191" t="s">
        <v>142</v>
      </c>
      <c r="B13" s="192"/>
      <c r="C13" s="192"/>
      <c r="D13" s="279" t="n">
        <f>SUMIFS(D5:D12,C5:C12,"Ja")</f>
        <v>11</v>
      </c>
      <c r="E13" s="192"/>
      <c r="F13" s="192"/>
      <c r="G13" s="192"/>
      <c r="H13" s="192"/>
      <c r="I13" s="192"/>
      <c r="J13" s="198" t="n">
        <f>SUM(J5:J12)</f>
        <v>221800</v>
      </c>
    </row>
    <row r="14"/>
    <row r="15"/>
    <row r="16" ht="15" customHeight="true">
      <c r="A16" s="14" t="s">
        <v>143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ht="15" customHeight="true">
      <c r="A17" s="201" t="s">
        <v>25</v>
      </c>
      <c r="B17" s="202"/>
      <c r="C17" s="281" t="n">
        <f>EDATE('Inputantagelser'!$B$6,0)</f>
        <v>46143</v>
      </c>
      <c r="D17" s="282" t="n">
        <f>EDATE('Inputantagelser'!$B$6,1)</f>
        <v>46174</v>
      </c>
      <c r="E17" s="282" t="n">
        <f>EDATE('Inputantagelser'!$B$6,2)</f>
        <v>46204</v>
      </c>
      <c r="F17" s="282" t="n">
        <f>EDATE('Inputantagelser'!$B$6,3)</f>
        <v>46235</v>
      </c>
      <c r="G17" s="282" t="n">
        <f>EDATE('Inputantagelser'!$B$6,4)</f>
        <v>46266</v>
      </c>
      <c r="H17" s="282" t="n">
        <f>EDATE('Inputantagelser'!$B$6,5)</f>
        <v>46296</v>
      </c>
      <c r="I17" s="282" t="n">
        <f>EDATE('Inputantagelser'!$B$6,6)</f>
        <v>46327</v>
      </c>
      <c r="J17" s="282" t="n">
        <f>EDATE('Inputantagelser'!$B$6,7)</f>
        <v>46357</v>
      </c>
      <c r="K17" s="282" t="n">
        <f>EDATE('Inputantagelser'!$B$6,8)</f>
        <v>46388</v>
      </c>
      <c r="L17" s="282" t="n">
        <f>EDATE('Inputantagelser'!$B$6,9)</f>
        <v>46419</v>
      </c>
      <c r="M17" s="282" t="n">
        <f>EDATE('Inputantagelser'!$B$6,10)</f>
        <v>46447</v>
      </c>
      <c r="N17" s="282" t="n">
        <f>EDATE('Inputantagelser'!$B$6,11)</f>
        <v>46478</v>
      </c>
      <c r="O17" s="282" t="n">
        <f>EDATE('Inputantagelser'!$B$6,12)</f>
        <v>46508</v>
      </c>
      <c r="P17" s="282" t="n">
        <f>EDATE('Inputantagelser'!$B$6,13)</f>
        <v>46539</v>
      </c>
      <c r="Q17" s="282" t="n">
        <f>EDATE('Inputantagelser'!$B$6,14)</f>
        <v>46569</v>
      </c>
      <c r="R17" s="282" t="n">
        <f>EDATE('Inputantagelser'!$B$6,15)</f>
        <v>46600</v>
      </c>
      <c r="S17" s="282" t="n">
        <f>EDATE('Inputantagelser'!$B$6,16)</f>
        <v>46631</v>
      </c>
      <c r="T17" s="282" t="n">
        <f>EDATE('Inputantagelser'!$B$6,17)</f>
        <v>46661</v>
      </c>
      <c r="U17" s="282" t="n">
        <f>EDATE('Inputantagelser'!$B$6,18)</f>
        <v>46692</v>
      </c>
      <c r="V17" s="282" t="n">
        <f>EDATE('Inputantagelser'!$B$6,19)</f>
        <v>46722</v>
      </c>
      <c r="W17" s="282" t="n">
        <f>EDATE('Inputantagelser'!$B$6,20)</f>
        <v>46753</v>
      </c>
      <c r="X17" s="282" t="n">
        <f>EDATE('Inputantagelser'!$B$6,21)</f>
        <v>46784</v>
      </c>
      <c r="Y17" s="282" t="n">
        <f>EDATE('Inputantagelser'!$B$6,22)</f>
        <v>46813</v>
      </c>
      <c r="Z17" s="283" t="n">
        <f>EDATE('Inputantagelser'!$B$6,23)</f>
        <v>46844</v>
      </c>
    </row>
    <row r="18" ht="15" customHeight="true">
      <c r="A18" s="203" t="s">
        <v>102</v>
      </c>
      <c r="B18" s="204"/>
      <c r="C18" s="284" t="n">
        <v>1</v>
      </c>
      <c r="D18" s="285" t="n">
        <v>2</v>
      </c>
      <c r="E18" s="285" t="n">
        <v>3</v>
      </c>
      <c r="F18" s="285" t="n">
        <v>4</v>
      </c>
      <c r="G18" s="285" t="n">
        <v>5</v>
      </c>
      <c r="H18" s="285" t="n">
        <v>6</v>
      </c>
      <c r="I18" s="285" t="n">
        <v>7</v>
      </c>
      <c r="J18" s="285" t="n">
        <v>8</v>
      </c>
      <c r="K18" s="285" t="n">
        <v>9</v>
      </c>
      <c r="L18" s="285" t="n">
        <v>10</v>
      </c>
      <c r="M18" s="285" t="n">
        <v>11</v>
      </c>
      <c r="N18" s="285" t="n">
        <v>12</v>
      </c>
      <c r="O18" s="285" t="n">
        <v>13</v>
      </c>
      <c r="P18" s="285" t="n">
        <v>14</v>
      </c>
      <c r="Q18" s="285" t="n">
        <v>15</v>
      </c>
      <c r="R18" s="285" t="n">
        <v>16</v>
      </c>
      <c r="S18" s="285" t="n">
        <v>17</v>
      </c>
      <c r="T18" s="285" t="n">
        <v>18</v>
      </c>
      <c r="U18" s="285" t="n">
        <v>19</v>
      </c>
      <c r="V18" s="285" t="n">
        <v>20</v>
      </c>
      <c r="W18" s="285" t="n">
        <v>21</v>
      </c>
      <c r="X18" s="285" t="n">
        <v>22</v>
      </c>
      <c r="Y18" s="285" t="n">
        <v>23</v>
      </c>
      <c r="Z18" s="286" t="n">
        <v>24</v>
      </c>
    </row>
    <row r="19" ht="15" customHeight="true">
      <c r="A19" s="30"/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31"/>
    </row>
    <row r="20" ht="15" customHeight="true">
      <c r="A20" s="30" t="str">
        <f>$A$5</f>
        <v>Stifter / ledelse</v>
      </c>
      <c r="B20" s="84" t="s">
        <v>144</v>
      </c>
      <c r="C20" s="293" t="n">
        <f>IF($C$5="Ja",$D$5,0)</f>
        <v>2</v>
      </c>
      <c r="D20" s="293" t="n">
        <f>IF($C$5="Ja",C20+IF(MOD(D$18-1,6)=0,ROUND($F$5*'Inputantagelser'!$B$25,0),0),0)</f>
        <v>2</v>
      </c>
      <c r="E20" s="293" t="n">
        <f>IF($C$5="Ja",D20+IF(MOD(E$18-1,6)=0,ROUND($F$5*'Inputantagelser'!$B$25,0),0),0)</f>
        <v>2</v>
      </c>
      <c r="F20" s="293" t="n">
        <f>IF($C$5="Ja",E20+IF(MOD(F$18-1,6)=0,ROUND($F$5*'Inputantagelser'!$B$25,0),0),0)</f>
        <v>2</v>
      </c>
      <c r="G20" s="293" t="n">
        <f>IF($C$5="Ja",F20+IF(MOD(G$18-1,6)=0,ROUND($F$5*'Inputantagelser'!$B$25,0),0),0)</f>
        <v>2</v>
      </c>
      <c r="H20" s="293" t="n">
        <f>IF($C$5="Ja",G20+IF(MOD(H$18-1,6)=0,ROUND($F$5*'Inputantagelser'!$B$25,0),0),0)</f>
        <v>2</v>
      </c>
      <c r="I20" s="293" t="n">
        <f>IF($C$5="Ja",H20+IF(MOD(I$18-1,6)=0,ROUND($F$5*'Inputantagelser'!$B$25,0),0),0)</f>
        <v>2</v>
      </c>
      <c r="J20" s="293" t="n">
        <f>IF($C$5="Ja",I20+IF(MOD(J$18-1,6)=0,ROUND($F$5*'Inputantagelser'!$B$25,0),0),0)</f>
        <v>2</v>
      </c>
      <c r="K20" s="293" t="n">
        <f>IF($C$5="Ja",J20+IF(MOD(K$18-1,6)=0,ROUND($F$5*'Inputantagelser'!$B$25,0),0),0)</f>
        <v>2</v>
      </c>
      <c r="L20" s="293" t="n">
        <f>IF($C$5="Ja",K20+IF(MOD(L$18-1,6)=0,ROUND($F$5*'Inputantagelser'!$B$25,0),0),0)</f>
        <v>2</v>
      </c>
      <c r="M20" s="293" t="n">
        <f>IF($C$5="Ja",L20+IF(MOD(M$18-1,6)=0,ROUND($F$5*'Inputantagelser'!$B$25,0),0),0)</f>
        <v>2</v>
      </c>
      <c r="N20" s="293" t="n">
        <f>IF($C$5="Ja",M20+IF(MOD(N$18-1,6)=0,ROUND($F$5*'Inputantagelser'!$B$25,0),0),0)</f>
        <v>2</v>
      </c>
      <c r="O20" s="293" t="n">
        <f>IF($C$5="Ja",N20+IF(MOD(O$18-1,6)=0,ROUND($F$5*'Inputantagelser'!$B$25,0),0),0)</f>
        <v>2</v>
      </c>
      <c r="P20" s="293" t="n">
        <f>IF($C$5="Ja",O20+IF(MOD(P$18-1,6)=0,ROUND($F$5*'Inputantagelser'!$B$25,0),0),0)</f>
        <v>2</v>
      </c>
      <c r="Q20" s="293" t="n">
        <f>IF($C$5="Ja",P20+IF(MOD(Q$18-1,6)=0,ROUND($F$5*'Inputantagelser'!$B$25,0),0),0)</f>
        <v>2</v>
      </c>
      <c r="R20" s="293" t="n">
        <f>IF($C$5="Ja",Q20+IF(MOD(R$18-1,6)=0,ROUND($F$5*'Inputantagelser'!$B$25,0),0),0)</f>
        <v>2</v>
      </c>
      <c r="S20" s="293" t="n">
        <f>IF($C$5="Ja",R20+IF(MOD(S$18-1,6)=0,ROUND($F$5*'Inputantagelser'!$B$25,0),0),0)</f>
        <v>2</v>
      </c>
      <c r="T20" s="293" t="n">
        <f>IF($C$5="Ja",S20+IF(MOD(T$18-1,6)=0,ROUND($F$5*'Inputantagelser'!$B$25,0),0),0)</f>
        <v>2</v>
      </c>
      <c r="U20" s="293" t="n">
        <f>IF($C$5="Ja",T20+IF(MOD(U$18-1,6)=0,ROUND($F$5*'Inputantagelser'!$B$25,0),0),0)</f>
        <v>2</v>
      </c>
      <c r="V20" s="293" t="n">
        <f>IF($C$5="Ja",U20+IF(MOD(V$18-1,6)=0,ROUND($F$5*'Inputantagelser'!$B$25,0),0),0)</f>
        <v>2</v>
      </c>
      <c r="W20" s="293" t="n">
        <f>IF($C$5="Ja",V20+IF(MOD(W$18-1,6)=0,ROUND($F$5*'Inputantagelser'!$B$25,0),0),0)</f>
        <v>2</v>
      </c>
      <c r="X20" s="293" t="n">
        <f>IF($C$5="Ja",W20+IF(MOD(X$18-1,6)=0,ROUND($F$5*'Inputantagelser'!$B$25,0),0),0)</f>
        <v>2</v>
      </c>
      <c r="Y20" s="293" t="n">
        <f>IF($C$5="Ja",X20+IF(MOD(Y$18-1,6)=0,ROUND($F$5*'Inputantagelser'!$B$25,0),0),0)</f>
        <v>2</v>
      </c>
      <c r="Z20" s="294" t="n">
        <f>IF($C$5="Ja",Y20+IF(MOD(Z$18-1,6)=0,ROUND($F$5*'Inputantagelser'!$B$25,0),0),0)</f>
        <v>2</v>
      </c>
    </row>
    <row r="21" ht="15" customHeight="true">
      <c r="A21" s="30" t="str">
        <f>$A$6</f>
        <v>Produkt / forskning og udvikling</v>
      </c>
      <c r="B21" s="84" t="s">
        <v>144</v>
      </c>
      <c r="C21" s="293" t="n">
        <f>IF($C$6="Ja",$D$6,0)</f>
        <v>3</v>
      </c>
      <c r="D21" s="293" t="n">
        <f>IF($C$6="Ja",C21+IF(MOD(D$18-1,6)=0,ROUND($F$6*'Inputantagelser'!$B$25,0),0),0)</f>
        <v>3</v>
      </c>
      <c r="E21" s="293" t="n">
        <f>IF($C$6="Ja",D21+IF(MOD(E$18-1,6)=0,ROUND($F$6*'Inputantagelser'!$B$25,0),0),0)</f>
        <v>3</v>
      </c>
      <c r="F21" s="293" t="n">
        <f>IF($C$6="Ja",E21+IF(MOD(F$18-1,6)=0,ROUND($F$6*'Inputantagelser'!$B$25,0),0),0)</f>
        <v>3</v>
      </c>
      <c r="G21" s="293" t="n">
        <f>IF($C$6="Ja",F21+IF(MOD(G$18-1,6)=0,ROUND($F$6*'Inputantagelser'!$B$25,0),0),0)</f>
        <v>3</v>
      </c>
      <c r="H21" s="293" t="n">
        <f>IF($C$6="Ja",G21+IF(MOD(H$18-1,6)=0,ROUND($F$6*'Inputantagelser'!$B$25,0),0),0)</f>
        <v>3</v>
      </c>
      <c r="I21" s="293" t="n">
        <f>IF($C$6="Ja",H21+IF(MOD(I$18-1,6)=0,ROUND($F$6*'Inputantagelser'!$B$25,0),0),0)</f>
        <v>4</v>
      </c>
      <c r="J21" s="293" t="n">
        <f>IF($C$6="Ja",I21+IF(MOD(J$18-1,6)=0,ROUND($F$6*'Inputantagelser'!$B$25,0),0),0)</f>
        <v>4</v>
      </c>
      <c r="K21" s="293" t="n">
        <f>IF($C$6="Ja",J21+IF(MOD(K$18-1,6)=0,ROUND($F$6*'Inputantagelser'!$B$25,0),0),0)</f>
        <v>4</v>
      </c>
      <c r="L21" s="293" t="n">
        <f>IF($C$6="Ja",K21+IF(MOD(L$18-1,6)=0,ROUND($F$6*'Inputantagelser'!$B$25,0),0),0)</f>
        <v>4</v>
      </c>
      <c r="M21" s="293" t="n">
        <f>IF($C$6="Ja",L21+IF(MOD(M$18-1,6)=0,ROUND($F$6*'Inputantagelser'!$B$25,0),0),0)</f>
        <v>4</v>
      </c>
      <c r="N21" s="293" t="n">
        <f>IF($C$6="Ja",M21+IF(MOD(N$18-1,6)=0,ROUND($F$6*'Inputantagelser'!$B$25,0),0),0)</f>
        <v>4</v>
      </c>
      <c r="O21" s="293" t="n">
        <f>IF($C$6="Ja",N21+IF(MOD(O$18-1,6)=0,ROUND($F$6*'Inputantagelser'!$B$25,0),0),0)</f>
        <v>5</v>
      </c>
      <c r="P21" s="293" t="n">
        <f>IF($C$6="Ja",O21+IF(MOD(P$18-1,6)=0,ROUND($F$6*'Inputantagelser'!$B$25,0),0),0)</f>
        <v>5</v>
      </c>
      <c r="Q21" s="293" t="n">
        <f>IF($C$6="Ja",P21+IF(MOD(Q$18-1,6)=0,ROUND($F$6*'Inputantagelser'!$B$25,0),0),0)</f>
        <v>5</v>
      </c>
      <c r="R21" s="293" t="n">
        <f>IF($C$6="Ja",Q21+IF(MOD(R$18-1,6)=0,ROUND($F$6*'Inputantagelser'!$B$25,0),0),0)</f>
        <v>5</v>
      </c>
      <c r="S21" s="293" t="n">
        <f>IF($C$6="Ja",R21+IF(MOD(S$18-1,6)=0,ROUND($F$6*'Inputantagelser'!$B$25,0),0),0)</f>
        <v>5</v>
      </c>
      <c r="T21" s="293" t="n">
        <f>IF($C$6="Ja",S21+IF(MOD(T$18-1,6)=0,ROUND($F$6*'Inputantagelser'!$B$25,0),0),0)</f>
        <v>5</v>
      </c>
      <c r="U21" s="293" t="n">
        <f>IF($C$6="Ja",T21+IF(MOD(U$18-1,6)=0,ROUND($F$6*'Inputantagelser'!$B$25,0),0),0)</f>
        <v>6</v>
      </c>
      <c r="V21" s="293" t="n">
        <f>IF($C$6="Ja",U21+IF(MOD(V$18-1,6)=0,ROUND($F$6*'Inputantagelser'!$B$25,0),0),0)</f>
        <v>6</v>
      </c>
      <c r="W21" s="293" t="n">
        <f>IF($C$6="Ja",V21+IF(MOD(W$18-1,6)=0,ROUND($F$6*'Inputantagelser'!$B$25,0),0),0)</f>
        <v>6</v>
      </c>
      <c r="X21" s="293" t="n">
        <f>IF($C$6="Ja",W21+IF(MOD(X$18-1,6)=0,ROUND($F$6*'Inputantagelser'!$B$25,0),0),0)</f>
        <v>6</v>
      </c>
      <c r="Y21" s="293" t="n">
        <f>IF($C$6="Ja",X21+IF(MOD(Y$18-1,6)=0,ROUND($F$6*'Inputantagelser'!$B$25,0),0),0)</f>
        <v>6</v>
      </c>
      <c r="Z21" s="294" t="n">
        <f>IF($C$6="Ja",Y21+IF(MOD(Z$18-1,6)=0,ROUND($F$6*'Inputantagelser'!$B$25,0),0),0)</f>
        <v>6</v>
      </c>
    </row>
    <row r="22" ht="15" customHeight="true">
      <c r="A22" s="30" t="str">
        <f>$A$7</f>
        <v>Salg</v>
      </c>
      <c r="B22" s="84" t="s">
        <v>144</v>
      </c>
      <c r="C22" s="293" t="n">
        <f>IF($C$7="Ja",$D$7,0)</f>
        <v>2</v>
      </c>
      <c r="D22" s="293" t="n">
        <f>IF($C$7="Ja",C22+IF(MOD(D$18-1,6)=0,ROUND($F$7*'Inputantagelser'!$B$25,0),0),0)</f>
        <v>2</v>
      </c>
      <c r="E22" s="293" t="n">
        <f>IF($C$7="Ja",D22+IF(MOD(E$18-1,6)=0,ROUND($F$7*'Inputantagelser'!$B$25,0),0),0)</f>
        <v>2</v>
      </c>
      <c r="F22" s="293" t="n">
        <f>IF($C$7="Ja",E22+IF(MOD(F$18-1,6)=0,ROUND($F$7*'Inputantagelser'!$B$25,0),0),0)</f>
        <v>2</v>
      </c>
      <c r="G22" s="293" t="n">
        <f>IF($C$7="Ja",F22+IF(MOD(G$18-1,6)=0,ROUND($F$7*'Inputantagelser'!$B$25,0),0),0)</f>
        <v>2</v>
      </c>
      <c r="H22" s="293" t="n">
        <f>IF($C$7="Ja",G22+IF(MOD(H$18-1,6)=0,ROUND($F$7*'Inputantagelser'!$B$25,0),0),0)</f>
        <v>2</v>
      </c>
      <c r="I22" s="293" t="n">
        <f>IF($C$7="Ja",H22+IF(MOD(I$18-1,6)=0,ROUND($F$7*'Inputantagelser'!$B$25,0),0),0)</f>
        <v>3</v>
      </c>
      <c r="J22" s="293" t="n">
        <f>IF($C$7="Ja",I22+IF(MOD(J$18-1,6)=0,ROUND($F$7*'Inputantagelser'!$B$25,0),0),0)</f>
        <v>3</v>
      </c>
      <c r="K22" s="293" t="n">
        <f>IF($C$7="Ja",J22+IF(MOD(K$18-1,6)=0,ROUND($F$7*'Inputantagelser'!$B$25,0),0),0)</f>
        <v>3</v>
      </c>
      <c r="L22" s="293" t="n">
        <f>IF($C$7="Ja",K22+IF(MOD(L$18-1,6)=0,ROUND($F$7*'Inputantagelser'!$B$25,0),0),0)</f>
        <v>3</v>
      </c>
      <c r="M22" s="293" t="n">
        <f>IF($C$7="Ja",L22+IF(MOD(M$18-1,6)=0,ROUND($F$7*'Inputantagelser'!$B$25,0),0),0)</f>
        <v>3</v>
      </c>
      <c r="N22" s="293" t="n">
        <f>IF($C$7="Ja",M22+IF(MOD(N$18-1,6)=0,ROUND($F$7*'Inputantagelser'!$B$25,0),0),0)</f>
        <v>3</v>
      </c>
      <c r="O22" s="293" t="n">
        <f>IF($C$7="Ja",N22+IF(MOD(O$18-1,6)=0,ROUND($F$7*'Inputantagelser'!$B$25,0),0),0)</f>
        <v>4</v>
      </c>
      <c r="P22" s="293" t="n">
        <f>IF($C$7="Ja",O22+IF(MOD(P$18-1,6)=0,ROUND($F$7*'Inputantagelser'!$B$25,0),0),0)</f>
        <v>4</v>
      </c>
      <c r="Q22" s="293" t="n">
        <f>IF($C$7="Ja",P22+IF(MOD(Q$18-1,6)=0,ROUND($F$7*'Inputantagelser'!$B$25,0),0),0)</f>
        <v>4</v>
      </c>
      <c r="R22" s="293" t="n">
        <f>IF($C$7="Ja",Q22+IF(MOD(R$18-1,6)=0,ROUND($F$7*'Inputantagelser'!$B$25,0),0),0)</f>
        <v>4</v>
      </c>
      <c r="S22" s="293" t="n">
        <f>IF($C$7="Ja",R22+IF(MOD(S$18-1,6)=0,ROUND($F$7*'Inputantagelser'!$B$25,0),0),0)</f>
        <v>4</v>
      </c>
      <c r="T22" s="293" t="n">
        <f>IF($C$7="Ja",S22+IF(MOD(T$18-1,6)=0,ROUND($F$7*'Inputantagelser'!$B$25,0),0),0)</f>
        <v>4</v>
      </c>
      <c r="U22" s="293" t="n">
        <f>IF($C$7="Ja",T22+IF(MOD(U$18-1,6)=0,ROUND($F$7*'Inputantagelser'!$B$25,0),0),0)</f>
        <v>5</v>
      </c>
      <c r="V22" s="293" t="n">
        <f>IF($C$7="Ja",U22+IF(MOD(V$18-1,6)=0,ROUND($F$7*'Inputantagelser'!$B$25,0),0),0)</f>
        <v>5</v>
      </c>
      <c r="W22" s="293" t="n">
        <f>IF($C$7="Ja",V22+IF(MOD(W$18-1,6)=0,ROUND($F$7*'Inputantagelser'!$B$25,0),0),0)</f>
        <v>5</v>
      </c>
      <c r="X22" s="293" t="n">
        <f>IF($C$7="Ja",W22+IF(MOD(X$18-1,6)=0,ROUND($F$7*'Inputantagelser'!$B$25,0),0),0)</f>
        <v>5</v>
      </c>
      <c r="Y22" s="293" t="n">
        <f>IF($C$7="Ja",X22+IF(MOD(Y$18-1,6)=0,ROUND($F$7*'Inputantagelser'!$B$25,0),0),0)</f>
        <v>5</v>
      </c>
      <c r="Z22" s="294" t="n">
        <f>IF($C$7="Ja",Y22+IF(MOD(Z$18-1,6)=0,ROUND($F$7*'Inputantagelser'!$B$25,0),0),0)</f>
        <v>5</v>
      </c>
    </row>
    <row r="23" ht="15" customHeight="true">
      <c r="A23" s="30" t="str">
        <f>$A$8</f>
        <v>Marketing</v>
      </c>
      <c r="B23" s="84" t="s">
        <v>144</v>
      </c>
      <c r="C23" s="293" t="n">
        <f>IF($C$8="Ja",$D$8,0)</f>
        <v>1</v>
      </c>
      <c r="D23" s="293" t="n">
        <f>IF($C$8="Ja",C23+IF(MOD(D$18-1,6)=0,ROUND($F$8*'Inputantagelser'!$B$25,0),0),0)</f>
        <v>1</v>
      </c>
      <c r="E23" s="293" t="n">
        <f>IF($C$8="Ja",D23+IF(MOD(E$18-1,6)=0,ROUND($F$8*'Inputantagelser'!$B$25,0),0),0)</f>
        <v>1</v>
      </c>
      <c r="F23" s="293" t="n">
        <f>IF($C$8="Ja",E23+IF(MOD(F$18-1,6)=0,ROUND($F$8*'Inputantagelser'!$B$25,0),0),0)</f>
        <v>1</v>
      </c>
      <c r="G23" s="293" t="n">
        <f>IF($C$8="Ja",F23+IF(MOD(G$18-1,6)=0,ROUND($F$8*'Inputantagelser'!$B$25,0),0),0)</f>
        <v>1</v>
      </c>
      <c r="H23" s="293" t="n">
        <f>IF($C$8="Ja",G23+IF(MOD(H$18-1,6)=0,ROUND($F$8*'Inputantagelser'!$B$25,0),0),0)</f>
        <v>1</v>
      </c>
      <c r="I23" s="293" t="n">
        <f>IF($C$8="Ja",H23+IF(MOD(I$18-1,6)=0,ROUND($F$8*'Inputantagelser'!$B$25,0),0),0)</f>
        <v>1</v>
      </c>
      <c r="J23" s="293" t="n">
        <f>IF($C$8="Ja",I23+IF(MOD(J$18-1,6)=0,ROUND($F$8*'Inputantagelser'!$B$25,0),0),0)</f>
        <v>1</v>
      </c>
      <c r="K23" s="293" t="n">
        <f>IF($C$8="Ja",J23+IF(MOD(K$18-1,6)=0,ROUND($F$8*'Inputantagelser'!$B$25,0),0),0)</f>
        <v>1</v>
      </c>
      <c r="L23" s="293" t="n">
        <f>IF($C$8="Ja",K23+IF(MOD(L$18-1,6)=0,ROUND($F$8*'Inputantagelser'!$B$25,0),0),0)</f>
        <v>1</v>
      </c>
      <c r="M23" s="293" t="n">
        <f>IF($C$8="Ja",L23+IF(MOD(M$18-1,6)=0,ROUND($F$8*'Inputantagelser'!$B$25,0),0),0)</f>
        <v>1</v>
      </c>
      <c r="N23" s="293" t="n">
        <f>IF($C$8="Ja",M23+IF(MOD(N$18-1,6)=0,ROUND($F$8*'Inputantagelser'!$B$25,0),0),0)</f>
        <v>1</v>
      </c>
      <c r="O23" s="293" t="n">
        <f>IF($C$8="Ja",N23+IF(MOD(O$18-1,6)=0,ROUND($F$8*'Inputantagelser'!$B$25,0),0),0)</f>
        <v>1</v>
      </c>
      <c r="P23" s="293" t="n">
        <f>IF($C$8="Ja",O23+IF(MOD(P$18-1,6)=0,ROUND($F$8*'Inputantagelser'!$B$25,0),0),0)</f>
        <v>1</v>
      </c>
      <c r="Q23" s="293" t="n">
        <f>IF($C$8="Ja",P23+IF(MOD(Q$18-1,6)=0,ROUND($F$8*'Inputantagelser'!$B$25,0),0),0)</f>
        <v>1</v>
      </c>
      <c r="R23" s="293" t="n">
        <f>IF($C$8="Ja",Q23+IF(MOD(R$18-1,6)=0,ROUND($F$8*'Inputantagelser'!$B$25,0),0),0)</f>
        <v>1</v>
      </c>
      <c r="S23" s="293" t="n">
        <f>IF($C$8="Ja",R23+IF(MOD(S$18-1,6)=0,ROUND($F$8*'Inputantagelser'!$B$25,0),0),0)</f>
        <v>1</v>
      </c>
      <c r="T23" s="293" t="n">
        <f>IF($C$8="Ja",S23+IF(MOD(T$18-1,6)=0,ROUND($F$8*'Inputantagelser'!$B$25,0),0),0)</f>
        <v>1</v>
      </c>
      <c r="U23" s="293" t="n">
        <f>IF($C$8="Ja",T23+IF(MOD(U$18-1,6)=0,ROUND($F$8*'Inputantagelser'!$B$25,0),0),0)</f>
        <v>1</v>
      </c>
      <c r="V23" s="293" t="n">
        <f>IF($C$8="Ja",U23+IF(MOD(V$18-1,6)=0,ROUND($F$8*'Inputantagelser'!$B$25,0),0),0)</f>
        <v>1</v>
      </c>
      <c r="W23" s="293" t="n">
        <f>IF($C$8="Ja",V23+IF(MOD(W$18-1,6)=0,ROUND($F$8*'Inputantagelser'!$B$25,0),0),0)</f>
        <v>1</v>
      </c>
      <c r="X23" s="293" t="n">
        <f>IF($C$8="Ja",W23+IF(MOD(X$18-1,6)=0,ROUND($F$8*'Inputantagelser'!$B$25,0),0),0)</f>
        <v>1</v>
      </c>
      <c r="Y23" s="293" t="n">
        <f>IF($C$8="Ja",X23+IF(MOD(Y$18-1,6)=0,ROUND($F$8*'Inputantagelser'!$B$25,0),0),0)</f>
        <v>1</v>
      </c>
      <c r="Z23" s="294" t="n">
        <f>IF($C$8="Ja",Y23+IF(MOD(Z$18-1,6)=0,ROUND($F$8*'Inputantagelser'!$B$25,0),0),0)</f>
        <v>1</v>
      </c>
    </row>
    <row r="24" ht="15" customHeight="true">
      <c r="A24" s="30" t="str">
        <f>$A$9</f>
        <v>Drift</v>
      </c>
      <c r="B24" s="84" t="s">
        <v>144</v>
      </c>
      <c r="C24" s="293" t="n">
        <f>IF($C$9="Ja",$D$9,0)</f>
        <v>2</v>
      </c>
      <c r="D24" s="293" t="n">
        <f>IF($C$9="Ja",C24+IF(MOD(D$18-1,6)=0,ROUND($F$9*'Inputantagelser'!$B$25,0),0),0)</f>
        <v>2</v>
      </c>
      <c r="E24" s="293" t="n">
        <f>IF($C$9="Ja",D24+IF(MOD(E$18-1,6)=0,ROUND($F$9*'Inputantagelser'!$B$25,0),0),0)</f>
        <v>2</v>
      </c>
      <c r="F24" s="293" t="n">
        <f>IF($C$9="Ja",E24+IF(MOD(F$18-1,6)=0,ROUND($F$9*'Inputantagelser'!$B$25,0),0),0)</f>
        <v>2</v>
      </c>
      <c r="G24" s="293" t="n">
        <f>IF($C$9="Ja",F24+IF(MOD(G$18-1,6)=0,ROUND($F$9*'Inputantagelser'!$B$25,0),0),0)</f>
        <v>2</v>
      </c>
      <c r="H24" s="293" t="n">
        <f>IF($C$9="Ja",G24+IF(MOD(H$18-1,6)=0,ROUND($F$9*'Inputantagelser'!$B$25,0),0),0)</f>
        <v>2</v>
      </c>
      <c r="I24" s="293" t="n">
        <f>IF($C$9="Ja",H24+IF(MOD(I$18-1,6)=0,ROUND($F$9*'Inputantagelser'!$B$25,0),0),0)</f>
        <v>3</v>
      </c>
      <c r="J24" s="293" t="n">
        <f>IF($C$9="Ja",I24+IF(MOD(J$18-1,6)=0,ROUND($F$9*'Inputantagelser'!$B$25,0),0),0)</f>
        <v>3</v>
      </c>
      <c r="K24" s="293" t="n">
        <f>IF($C$9="Ja",J24+IF(MOD(K$18-1,6)=0,ROUND($F$9*'Inputantagelser'!$B$25,0),0),0)</f>
        <v>3</v>
      </c>
      <c r="L24" s="293" t="n">
        <f>IF($C$9="Ja",K24+IF(MOD(L$18-1,6)=0,ROUND($F$9*'Inputantagelser'!$B$25,0),0),0)</f>
        <v>3</v>
      </c>
      <c r="M24" s="293" t="n">
        <f>IF($C$9="Ja",L24+IF(MOD(M$18-1,6)=0,ROUND($F$9*'Inputantagelser'!$B$25,0),0),0)</f>
        <v>3</v>
      </c>
      <c r="N24" s="293" t="n">
        <f>IF($C$9="Ja",M24+IF(MOD(N$18-1,6)=0,ROUND($F$9*'Inputantagelser'!$B$25,0),0),0)</f>
        <v>3</v>
      </c>
      <c r="O24" s="293" t="n">
        <f>IF($C$9="Ja",N24+IF(MOD(O$18-1,6)=0,ROUND($F$9*'Inputantagelser'!$B$25,0),0),0)</f>
        <v>4</v>
      </c>
      <c r="P24" s="293" t="n">
        <f>IF($C$9="Ja",O24+IF(MOD(P$18-1,6)=0,ROUND($F$9*'Inputantagelser'!$B$25,0),0),0)</f>
        <v>4</v>
      </c>
      <c r="Q24" s="293" t="n">
        <f>IF($C$9="Ja",P24+IF(MOD(Q$18-1,6)=0,ROUND($F$9*'Inputantagelser'!$B$25,0),0),0)</f>
        <v>4</v>
      </c>
      <c r="R24" s="293" t="n">
        <f>IF($C$9="Ja",Q24+IF(MOD(R$18-1,6)=0,ROUND($F$9*'Inputantagelser'!$B$25,0),0),0)</f>
        <v>4</v>
      </c>
      <c r="S24" s="293" t="n">
        <f>IF($C$9="Ja",R24+IF(MOD(S$18-1,6)=0,ROUND($F$9*'Inputantagelser'!$B$25,0),0),0)</f>
        <v>4</v>
      </c>
      <c r="T24" s="293" t="n">
        <f>IF($C$9="Ja",S24+IF(MOD(T$18-1,6)=0,ROUND($F$9*'Inputantagelser'!$B$25,0),0),0)</f>
        <v>4</v>
      </c>
      <c r="U24" s="293" t="n">
        <f>IF($C$9="Ja",T24+IF(MOD(U$18-1,6)=0,ROUND($F$9*'Inputantagelser'!$B$25,0),0),0)</f>
        <v>5</v>
      </c>
      <c r="V24" s="293" t="n">
        <f>IF($C$9="Ja",U24+IF(MOD(V$18-1,6)=0,ROUND($F$9*'Inputantagelser'!$B$25,0),0),0)</f>
        <v>5</v>
      </c>
      <c r="W24" s="293" t="n">
        <f>IF($C$9="Ja",V24+IF(MOD(W$18-1,6)=0,ROUND($F$9*'Inputantagelser'!$B$25,0),0),0)</f>
        <v>5</v>
      </c>
      <c r="X24" s="293" t="n">
        <f>IF($C$9="Ja",W24+IF(MOD(X$18-1,6)=0,ROUND($F$9*'Inputantagelser'!$B$25,0),0),0)</f>
        <v>5</v>
      </c>
      <c r="Y24" s="293" t="n">
        <f>IF($C$9="Ja",X24+IF(MOD(Y$18-1,6)=0,ROUND($F$9*'Inputantagelser'!$B$25,0),0),0)</f>
        <v>5</v>
      </c>
      <c r="Z24" s="294" t="n">
        <f>IF($C$9="Ja",Y24+IF(MOD(Z$18-1,6)=0,ROUND($F$9*'Inputantagelser'!$B$25,0),0),0)</f>
        <v>5</v>
      </c>
    </row>
    <row r="25" ht="15" customHeight="true">
      <c r="A25" s="30" t="str">
        <f>$A$10</f>
        <v>Kundesupport</v>
      </c>
      <c r="B25" s="84" t="s">
        <v>144</v>
      </c>
      <c r="C25" s="293" t="n">
        <f>IF($C$10="Ja",$D$10,0)</f>
        <v>0</v>
      </c>
      <c r="D25" s="293" t="n">
        <f>IF($C$10="Ja",C25+IF(MOD(D$18-1,6)=0,ROUND($F$10*'Inputantagelser'!$B$25,0),0),0)</f>
        <v>0</v>
      </c>
      <c r="E25" s="293" t="n">
        <f>IF($C$10="Ja",D25+IF(MOD(E$18-1,6)=0,ROUND($F$10*'Inputantagelser'!$B$25,0),0),0)</f>
        <v>0</v>
      </c>
      <c r="F25" s="293" t="n">
        <f>IF($C$10="Ja",E25+IF(MOD(F$18-1,6)=0,ROUND($F$10*'Inputantagelser'!$B$25,0),0),0)</f>
        <v>0</v>
      </c>
      <c r="G25" s="293" t="n">
        <f>IF($C$10="Ja",F25+IF(MOD(G$18-1,6)=0,ROUND($F$10*'Inputantagelser'!$B$25,0),0),0)</f>
        <v>0</v>
      </c>
      <c r="H25" s="293" t="n">
        <f>IF($C$10="Ja",G25+IF(MOD(H$18-1,6)=0,ROUND($F$10*'Inputantagelser'!$B$25,0),0),0)</f>
        <v>0</v>
      </c>
      <c r="I25" s="293" t="n">
        <f>IF($C$10="Ja",H25+IF(MOD(I$18-1,6)=0,ROUND($F$10*'Inputantagelser'!$B$25,0),0),0)</f>
        <v>0</v>
      </c>
      <c r="J25" s="293" t="n">
        <f>IF($C$10="Ja",I25+IF(MOD(J$18-1,6)=0,ROUND($F$10*'Inputantagelser'!$B$25,0),0),0)</f>
        <v>0</v>
      </c>
      <c r="K25" s="293" t="n">
        <f>IF($C$10="Ja",J25+IF(MOD(K$18-1,6)=0,ROUND($F$10*'Inputantagelser'!$B$25,0),0),0)</f>
        <v>0</v>
      </c>
      <c r="L25" s="293" t="n">
        <f>IF($C$10="Ja",K25+IF(MOD(L$18-1,6)=0,ROUND($F$10*'Inputantagelser'!$B$25,0),0),0)</f>
        <v>0</v>
      </c>
      <c r="M25" s="293" t="n">
        <f>IF($C$10="Ja",L25+IF(MOD(M$18-1,6)=0,ROUND($F$10*'Inputantagelser'!$B$25,0),0),0)</f>
        <v>0</v>
      </c>
      <c r="N25" s="293" t="n">
        <f>IF($C$10="Ja",M25+IF(MOD(N$18-1,6)=0,ROUND($F$10*'Inputantagelser'!$B$25,0),0),0)</f>
        <v>0</v>
      </c>
      <c r="O25" s="293" t="n">
        <f>IF($C$10="Ja",N25+IF(MOD(O$18-1,6)=0,ROUND($F$10*'Inputantagelser'!$B$25,0),0),0)</f>
        <v>0</v>
      </c>
      <c r="P25" s="293" t="n">
        <f>IF($C$10="Ja",O25+IF(MOD(P$18-1,6)=0,ROUND($F$10*'Inputantagelser'!$B$25,0),0),0)</f>
        <v>0</v>
      </c>
      <c r="Q25" s="293" t="n">
        <f>IF($C$10="Ja",P25+IF(MOD(Q$18-1,6)=0,ROUND($F$10*'Inputantagelser'!$B$25,0),0),0)</f>
        <v>0</v>
      </c>
      <c r="R25" s="293" t="n">
        <f>IF($C$10="Ja",Q25+IF(MOD(R$18-1,6)=0,ROUND($F$10*'Inputantagelser'!$B$25,0),0),0)</f>
        <v>0</v>
      </c>
      <c r="S25" s="293" t="n">
        <f>IF($C$10="Ja",R25+IF(MOD(S$18-1,6)=0,ROUND($F$10*'Inputantagelser'!$B$25,0),0),0)</f>
        <v>0</v>
      </c>
      <c r="T25" s="293" t="n">
        <f>IF($C$10="Ja",S25+IF(MOD(T$18-1,6)=0,ROUND($F$10*'Inputantagelser'!$B$25,0),0),0)</f>
        <v>0</v>
      </c>
      <c r="U25" s="293" t="n">
        <f>IF($C$10="Ja",T25+IF(MOD(U$18-1,6)=0,ROUND($F$10*'Inputantagelser'!$B$25,0),0),0)</f>
        <v>0</v>
      </c>
      <c r="V25" s="293" t="n">
        <f>IF($C$10="Ja",U25+IF(MOD(V$18-1,6)=0,ROUND($F$10*'Inputantagelser'!$B$25,0),0),0)</f>
        <v>0</v>
      </c>
      <c r="W25" s="293" t="n">
        <f>IF($C$10="Ja",V25+IF(MOD(W$18-1,6)=0,ROUND($F$10*'Inputantagelser'!$B$25,0),0),0)</f>
        <v>0</v>
      </c>
      <c r="X25" s="293" t="n">
        <f>IF($C$10="Ja",W25+IF(MOD(X$18-1,6)=0,ROUND($F$10*'Inputantagelser'!$B$25,0),0),0)</f>
        <v>0</v>
      </c>
      <c r="Y25" s="293" t="n">
        <f>IF($C$10="Ja",X25+IF(MOD(Y$18-1,6)=0,ROUND($F$10*'Inputantagelser'!$B$25,0),0),0)</f>
        <v>0</v>
      </c>
      <c r="Z25" s="294" t="n">
        <f>IF($C$10="Ja",Y25+IF(MOD(Z$18-1,6)=0,ROUND($F$10*'Inputantagelser'!$B$25,0),0),0)</f>
        <v>0</v>
      </c>
    </row>
    <row r="26" ht="15" customHeight="true">
      <c r="A26" s="30" t="str">
        <f>$A$11</f>
        <v>Økonomi/admin</v>
      </c>
      <c r="B26" s="84" t="s">
        <v>144</v>
      </c>
      <c r="C26" s="293" t="n">
        <f>IF($C$11="Ja",$D$11,0)</f>
        <v>1</v>
      </c>
      <c r="D26" s="293" t="n">
        <f>IF($C$11="Ja",C26+IF(MOD(D$18-1,6)=0,ROUND($F$11*'Inputantagelser'!$B$25,0),0),0)</f>
        <v>1</v>
      </c>
      <c r="E26" s="293" t="n">
        <f>IF($C$11="Ja",D26+IF(MOD(E$18-1,6)=0,ROUND($F$11*'Inputantagelser'!$B$25,0),0),0)</f>
        <v>1</v>
      </c>
      <c r="F26" s="293" t="n">
        <f>IF($C$11="Ja",E26+IF(MOD(F$18-1,6)=0,ROUND($F$11*'Inputantagelser'!$B$25,0),0),0)</f>
        <v>1</v>
      </c>
      <c r="G26" s="293" t="n">
        <f>IF($C$11="Ja",F26+IF(MOD(G$18-1,6)=0,ROUND($F$11*'Inputantagelser'!$B$25,0),0),0)</f>
        <v>1</v>
      </c>
      <c r="H26" s="293" t="n">
        <f>IF($C$11="Ja",G26+IF(MOD(H$18-1,6)=0,ROUND($F$11*'Inputantagelser'!$B$25,0),0),0)</f>
        <v>1</v>
      </c>
      <c r="I26" s="293" t="n">
        <f>IF($C$11="Ja",H26+IF(MOD(I$18-1,6)=0,ROUND($F$11*'Inputantagelser'!$B$25,0),0),0)</f>
        <v>1</v>
      </c>
      <c r="J26" s="293" t="n">
        <f>IF($C$11="Ja",I26+IF(MOD(J$18-1,6)=0,ROUND($F$11*'Inputantagelser'!$B$25,0),0),0)</f>
        <v>1</v>
      </c>
      <c r="K26" s="293" t="n">
        <f>IF($C$11="Ja",J26+IF(MOD(K$18-1,6)=0,ROUND($F$11*'Inputantagelser'!$B$25,0),0),0)</f>
        <v>1</v>
      </c>
      <c r="L26" s="293" t="n">
        <f>IF($C$11="Ja",K26+IF(MOD(L$18-1,6)=0,ROUND($F$11*'Inputantagelser'!$B$25,0),0),0)</f>
        <v>1</v>
      </c>
      <c r="M26" s="293" t="n">
        <f>IF($C$11="Ja",L26+IF(MOD(M$18-1,6)=0,ROUND($F$11*'Inputantagelser'!$B$25,0),0),0)</f>
        <v>1</v>
      </c>
      <c r="N26" s="293" t="n">
        <f>IF($C$11="Ja",M26+IF(MOD(N$18-1,6)=0,ROUND($F$11*'Inputantagelser'!$B$25,0),0),0)</f>
        <v>1</v>
      </c>
      <c r="O26" s="293" t="n">
        <f>IF($C$11="Ja",N26+IF(MOD(O$18-1,6)=0,ROUND($F$11*'Inputantagelser'!$B$25,0),0),0)</f>
        <v>1</v>
      </c>
      <c r="P26" s="293" t="n">
        <f>IF($C$11="Ja",O26+IF(MOD(P$18-1,6)=0,ROUND($F$11*'Inputantagelser'!$B$25,0),0),0)</f>
        <v>1</v>
      </c>
      <c r="Q26" s="293" t="n">
        <f>IF($C$11="Ja",P26+IF(MOD(Q$18-1,6)=0,ROUND($F$11*'Inputantagelser'!$B$25,0),0),0)</f>
        <v>1</v>
      </c>
      <c r="R26" s="293" t="n">
        <f>IF($C$11="Ja",Q26+IF(MOD(R$18-1,6)=0,ROUND($F$11*'Inputantagelser'!$B$25,0),0),0)</f>
        <v>1</v>
      </c>
      <c r="S26" s="293" t="n">
        <f>IF($C$11="Ja",R26+IF(MOD(S$18-1,6)=0,ROUND($F$11*'Inputantagelser'!$B$25,0),0),0)</f>
        <v>1</v>
      </c>
      <c r="T26" s="293" t="n">
        <f>IF($C$11="Ja",S26+IF(MOD(T$18-1,6)=0,ROUND($F$11*'Inputantagelser'!$B$25,0),0),0)</f>
        <v>1</v>
      </c>
      <c r="U26" s="293" t="n">
        <f>IF($C$11="Ja",T26+IF(MOD(U$18-1,6)=0,ROUND($F$11*'Inputantagelser'!$B$25,0),0),0)</f>
        <v>1</v>
      </c>
      <c r="V26" s="293" t="n">
        <f>IF($C$11="Ja",U26+IF(MOD(V$18-1,6)=0,ROUND($F$11*'Inputantagelser'!$B$25,0),0),0)</f>
        <v>1</v>
      </c>
      <c r="W26" s="293" t="n">
        <f>IF($C$11="Ja",V26+IF(MOD(W$18-1,6)=0,ROUND($F$11*'Inputantagelser'!$B$25,0),0),0)</f>
        <v>1</v>
      </c>
      <c r="X26" s="293" t="n">
        <f>IF($C$11="Ja",W26+IF(MOD(X$18-1,6)=0,ROUND($F$11*'Inputantagelser'!$B$25,0),0),0)</f>
        <v>1</v>
      </c>
      <c r="Y26" s="293" t="n">
        <f>IF($C$11="Ja",X26+IF(MOD(Y$18-1,6)=0,ROUND($F$11*'Inputantagelser'!$B$25,0),0),0)</f>
        <v>1</v>
      </c>
      <c r="Z26" s="294" t="n">
        <f>IF($C$11="Ja",Y26+IF(MOD(Z$18-1,6)=0,ROUND($F$11*'Inputantagelser'!$B$25,0),0),0)</f>
        <v>1</v>
      </c>
    </row>
    <row r="27" ht="15" customHeight="true">
      <c r="A27" s="30" t="str">
        <f>$A$12</f>
        <v>Produktion/levering</v>
      </c>
      <c r="B27" s="84" t="s">
        <v>144</v>
      </c>
      <c r="C27" s="293" t="n">
        <f>IF($C$12="Ja",$D$12,0)</f>
        <v>0</v>
      </c>
      <c r="D27" s="293" t="n">
        <f>IF($C$12="Ja",C27+IF(MOD(D$18-1,6)=0,ROUND($F$12*'Inputantagelser'!$B$25,0),0),0)</f>
        <v>0</v>
      </c>
      <c r="E27" s="293" t="n">
        <f>IF($C$12="Ja",D27+IF(MOD(E$18-1,6)=0,ROUND($F$12*'Inputantagelser'!$B$25,0),0),0)</f>
        <v>0</v>
      </c>
      <c r="F27" s="293" t="n">
        <f>IF($C$12="Ja",E27+IF(MOD(F$18-1,6)=0,ROUND($F$12*'Inputantagelser'!$B$25,0),0),0)</f>
        <v>0</v>
      </c>
      <c r="G27" s="293" t="n">
        <f>IF($C$12="Ja",F27+IF(MOD(G$18-1,6)=0,ROUND($F$12*'Inputantagelser'!$B$25,0),0),0)</f>
        <v>0</v>
      </c>
      <c r="H27" s="293" t="n">
        <f>IF($C$12="Ja",G27+IF(MOD(H$18-1,6)=0,ROUND($F$12*'Inputantagelser'!$B$25,0),0),0)</f>
        <v>0</v>
      </c>
      <c r="I27" s="293" t="n">
        <f>IF($C$12="Ja",H27+IF(MOD(I$18-1,6)=0,ROUND($F$12*'Inputantagelser'!$B$25,0),0),0)</f>
        <v>0</v>
      </c>
      <c r="J27" s="293" t="n">
        <f>IF($C$12="Ja",I27+IF(MOD(J$18-1,6)=0,ROUND($F$12*'Inputantagelser'!$B$25,0),0),0)</f>
        <v>0</v>
      </c>
      <c r="K27" s="293" t="n">
        <f>IF($C$12="Ja",J27+IF(MOD(K$18-1,6)=0,ROUND($F$12*'Inputantagelser'!$B$25,0),0),0)</f>
        <v>0</v>
      </c>
      <c r="L27" s="293" t="n">
        <f>IF($C$12="Ja",K27+IF(MOD(L$18-1,6)=0,ROUND($F$12*'Inputantagelser'!$B$25,0),0),0)</f>
        <v>0</v>
      </c>
      <c r="M27" s="293" t="n">
        <f>IF($C$12="Ja",L27+IF(MOD(M$18-1,6)=0,ROUND($F$12*'Inputantagelser'!$B$25,0),0),0)</f>
        <v>0</v>
      </c>
      <c r="N27" s="293" t="n">
        <f>IF($C$12="Ja",M27+IF(MOD(N$18-1,6)=0,ROUND($F$12*'Inputantagelser'!$B$25,0),0),0)</f>
        <v>0</v>
      </c>
      <c r="O27" s="293" t="n">
        <f>IF($C$12="Ja",N27+IF(MOD(O$18-1,6)=0,ROUND($F$12*'Inputantagelser'!$B$25,0),0),0)</f>
        <v>0</v>
      </c>
      <c r="P27" s="293" t="n">
        <f>IF($C$12="Ja",O27+IF(MOD(P$18-1,6)=0,ROUND($F$12*'Inputantagelser'!$B$25,0),0),0)</f>
        <v>0</v>
      </c>
      <c r="Q27" s="293" t="n">
        <f>IF($C$12="Ja",P27+IF(MOD(Q$18-1,6)=0,ROUND($F$12*'Inputantagelser'!$B$25,0),0),0)</f>
        <v>0</v>
      </c>
      <c r="R27" s="293" t="n">
        <f>IF($C$12="Ja",Q27+IF(MOD(R$18-1,6)=0,ROUND($F$12*'Inputantagelser'!$B$25,0),0),0)</f>
        <v>0</v>
      </c>
      <c r="S27" s="293" t="n">
        <f>IF($C$12="Ja",R27+IF(MOD(S$18-1,6)=0,ROUND($F$12*'Inputantagelser'!$B$25,0),0),0)</f>
        <v>0</v>
      </c>
      <c r="T27" s="293" t="n">
        <f>IF($C$12="Ja",S27+IF(MOD(T$18-1,6)=0,ROUND($F$12*'Inputantagelser'!$B$25,0),0),0)</f>
        <v>0</v>
      </c>
      <c r="U27" s="293" t="n">
        <f>IF($C$12="Ja",T27+IF(MOD(U$18-1,6)=0,ROUND($F$12*'Inputantagelser'!$B$25,0),0),0)</f>
        <v>0</v>
      </c>
      <c r="V27" s="293" t="n">
        <f>IF($C$12="Ja",U27+IF(MOD(V$18-1,6)=0,ROUND($F$12*'Inputantagelser'!$B$25,0),0),0)</f>
        <v>0</v>
      </c>
      <c r="W27" s="293" t="n">
        <f>IF($C$12="Ja",V27+IF(MOD(W$18-1,6)=0,ROUND($F$12*'Inputantagelser'!$B$25,0),0),0)</f>
        <v>0</v>
      </c>
      <c r="X27" s="293" t="n">
        <f>IF($C$12="Ja",W27+IF(MOD(X$18-1,6)=0,ROUND($F$12*'Inputantagelser'!$B$25,0),0),0)</f>
        <v>0</v>
      </c>
      <c r="Y27" s="293" t="n">
        <f>IF($C$12="Ja",X27+IF(MOD(Y$18-1,6)=0,ROUND($F$12*'Inputantagelser'!$B$25,0),0),0)</f>
        <v>0</v>
      </c>
      <c r="Z27" s="294" t="n">
        <f>IF($C$12="Ja",Y27+IF(MOD(Z$18-1,6)=0,ROUND($F$12*'Inputantagelser'!$B$25,0),0),0)</f>
        <v>0</v>
      </c>
    </row>
    <row r="28" ht="15" customHeight="true">
      <c r="A28" s="30"/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31"/>
    </row>
    <row r="29" ht="15" customHeight="true">
      <c r="A29" s="30"/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31"/>
    </row>
    <row r="30" ht="15" customHeight="true">
      <c r="A30" s="30" t="str">
        <f>$A$5</f>
        <v>Stifter / ledelse</v>
      </c>
      <c r="B30" s="84" t="s">
        <v>145</v>
      </c>
      <c r="C30" s="249" t="n">
        <f>C20*$E$5*(1+$H$5)^(INT((C$18-1)/12))*(1+$G$5)</f>
        <v>75000</v>
      </c>
      <c r="D30" s="249" t="n">
        <f>D20*$E$5*(1+$H$5)^(INT((D$18-1)/12))*(1+$G$5)</f>
        <v>75000</v>
      </c>
      <c r="E30" s="249" t="n">
        <f>E20*$E$5*(1+$H$5)^(INT((E$18-1)/12))*(1+$G$5)</f>
        <v>75000</v>
      </c>
      <c r="F30" s="249" t="n">
        <f>F20*$E$5*(1+$H$5)^(INT((F$18-1)/12))*(1+$G$5)</f>
        <v>75000</v>
      </c>
      <c r="G30" s="249" t="n">
        <f>G20*$E$5*(1+$H$5)^(INT((G$18-1)/12))*(1+$G$5)</f>
        <v>75000</v>
      </c>
      <c r="H30" s="249" t="n">
        <f>H20*$E$5*(1+$H$5)^(INT((H$18-1)/12))*(1+$G$5)</f>
        <v>75000</v>
      </c>
      <c r="I30" s="249" t="n">
        <f>I20*$E$5*(1+$H$5)^(INT((I$18-1)/12))*(1+$G$5)</f>
        <v>75000</v>
      </c>
      <c r="J30" s="249" t="n">
        <f>J20*$E$5*(1+$H$5)^(INT((J$18-1)/12))*(1+$G$5)</f>
        <v>75000</v>
      </c>
      <c r="K30" s="249" t="n">
        <f>K20*$E$5*(1+$H$5)^(INT((K$18-1)/12))*(1+$G$5)</f>
        <v>75000</v>
      </c>
      <c r="L30" s="249" t="n">
        <f>L20*$E$5*(1+$H$5)^(INT((L$18-1)/12))*(1+$G$5)</f>
        <v>75000</v>
      </c>
      <c r="M30" s="249" t="n">
        <f>M20*$E$5*(1+$H$5)^(INT((M$18-1)/12))*(1+$G$5)</f>
        <v>75000</v>
      </c>
      <c r="N30" s="249" t="n">
        <f>N20*$E$5*(1+$H$5)^(INT((N$18-1)/12))*(1+$G$5)</f>
        <v>75000</v>
      </c>
      <c r="O30" s="249" t="n">
        <f>O20*$E$5*(1+$H$5)^(INT((O$18-1)/12))*(1+$G$5)</f>
        <v>78750</v>
      </c>
      <c r="P30" s="249" t="n">
        <f>P20*$E$5*(1+$H$5)^(INT((P$18-1)/12))*(1+$G$5)</f>
        <v>78750</v>
      </c>
      <c r="Q30" s="249" t="n">
        <f>Q20*$E$5*(1+$H$5)^(INT((Q$18-1)/12))*(1+$G$5)</f>
        <v>78750</v>
      </c>
      <c r="R30" s="249" t="n">
        <f>R20*$E$5*(1+$H$5)^(INT((R$18-1)/12))*(1+$G$5)</f>
        <v>78750</v>
      </c>
      <c r="S30" s="249" t="n">
        <f>S20*$E$5*(1+$H$5)^(INT((S$18-1)/12))*(1+$G$5)</f>
        <v>78750</v>
      </c>
      <c r="T30" s="249" t="n">
        <f>T20*$E$5*(1+$H$5)^(INT((T$18-1)/12))*(1+$G$5)</f>
        <v>78750</v>
      </c>
      <c r="U30" s="249" t="n">
        <f>U20*$E$5*(1+$H$5)^(INT((U$18-1)/12))*(1+$G$5)</f>
        <v>78750</v>
      </c>
      <c r="V30" s="249" t="n">
        <f>V20*$E$5*(1+$H$5)^(INT((V$18-1)/12))*(1+$G$5)</f>
        <v>78750</v>
      </c>
      <c r="W30" s="249" t="n">
        <f>W20*$E$5*(1+$H$5)^(INT((W$18-1)/12))*(1+$G$5)</f>
        <v>78750</v>
      </c>
      <c r="X30" s="249" t="n">
        <f>X20*$E$5*(1+$H$5)^(INT((X$18-1)/12))*(1+$G$5)</f>
        <v>78750</v>
      </c>
      <c r="Y30" s="249" t="n">
        <f>Y20*$E$5*(1+$H$5)^(INT((Y$18-1)/12))*(1+$G$5)</f>
        <v>78750</v>
      </c>
      <c r="Z30" s="250" t="n">
        <f>Z20*$E$5*(1+$H$5)^(INT((Z$18-1)/12))*(1+$G$5)</f>
        <v>78750</v>
      </c>
    </row>
    <row r="31" ht="15" customHeight="true">
      <c r="A31" s="30" t="str">
        <f>$A$6</f>
        <v>Produkt / forskning og udvikling</v>
      </c>
      <c r="B31" s="84" t="s">
        <v>145</v>
      </c>
      <c r="C31" s="249" t="n">
        <f>C21*$E$6*(1+$H$6)^(INT((C$18-1)/12))*(1+$G$6)</f>
        <v>67500</v>
      </c>
      <c r="D31" s="249" t="n">
        <f>D21*$E$6*(1+$H$6)^(INT((D$18-1)/12))*(1+$G$6)</f>
        <v>67500</v>
      </c>
      <c r="E31" s="249" t="n">
        <f>E21*$E$6*(1+$H$6)^(INT((E$18-1)/12))*(1+$G$6)</f>
        <v>67500</v>
      </c>
      <c r="F31" s="249" t="n">
        <f>F21*$E$6*(1+$H$6)^(INT((F$18-1)/12))*(1+$G$6)</f>
        <v>67500</v>
      </c>
      <c r="G31" s="249" t="n">
        <f>G21*$E$6*(1+$H$6)^(INT((G$18-1)/12))*(1+$G$6)</f>
        <v>67500</v>
      </c>
      <c r="H31" s="249" t="n">
        <f>H21*$E$6*(1+$H$6)^(INT((H$18-1)/12))*(1+$G$6)</f>
        <v>67500</v>
      </c>
      <c r="I31" s="249" t="n">
        <f>I21*$E$6*(1+$H$6)^(INT((I$18-1)/12))*(1+$G$6)</f>
        <v>90000</v>
      </c>
      <c r="J31" s="249" t="n">
        <f>J21*$E$6*(1+$H$6)^(INT((J$18-1)/12))*(1+$G$6)</f>
        <v>90000</v>
      </c>
      <c r="K31" s="249" t="n">
        <f>K21*$E$6*(1+$H$6)^(INT((K$18-1)/12))*(1+$G$6)</f>
        <v>90000</v>
      </c>
      <c r="L31" s="249" t="n">
        <f>L21*$E$6*(1+$H$6)^(INT((L$18-1)/12))*(1+$G$6)</f>
        <v>90000</v>
      </c>
      <c r="M31" s="249" t="n">
        <f>M21*$E$6*(1+$H$6)^(INT((M$18-1)/12))*(1+$G$6)</f>
        <v>90000</v>
      </c>
      <c r="N31" s="249" t="n">
        <f>N21*$E$6*(1+$H$6)^(INT((N$18-1)/12))*(1+$G$6)</f>
        <v>90000</v>
      </c>
      <c r="O31" s="249" t="n">
        <f>O21*$E$6*(1+$H$6)^(INT((O$18-1)/12))*(1+$G$6)</f>
        <v>119250</v>
      </c>
      <c r="P31" s="249" t="n">
        <f>P21*$E$6*(1+$H$6)^(INT((P$18-1)/12))*(1+$G$6)</f>
        <v>119250</v>
      </c>
      <c r="Q31" s="249" t="n">
        <f>Q21*$E$6*(1+$H$6)^(INT((Q$18-1)/12))*(1+$G$6)</f>
        <v>119250</v>
      </c>
      <c r="R31" s="249" t="n">
        <f>R21*$E$6*(1+$H$6)^(INT((R$18-1)/12))*(1+$G$6)</f>
        <v>119250</v>
      </c>
      <c r="S31" s="249" t="n">
        <f>S21*$E$6*(1+$H$6)^(INT((S$18-1)/12))*(1+$G$6)</f>
        <v>119250</v>
      </c>
      <c r="T31" s="249" t="n">
        <f>T21*$E$6*(1+$H$6)^(INT((T$18-1)/12))*(1+$G$6)</f>
        <v>119250</v>
      </c>
      <c r="U31" s="249" t="n">
        <f>U21*$E$6*(1+$H$6)^(INT((U$18-1)/12))*(1+$G$6)</f>
        <v>143100</v>
      </c>
      <c r="V31" s="249" t="n">
        <f>V21*$E$6*(1+$H$6)^(INT((V$18-1)/12))*(1+$G$6)</f>
        <v>143100</v>
      </c>
      <c r="W31" s="249" t="n">
        <f>W21*$E$6*(1+$H$6)^(INT((W$18-1)/12))*(1+$G$6)</f>
        <v>143100</v>
      </c>
      <c r="X31" s="249" t="n">
        <f>X21*$E$6*(1+$H$6)^(INT((X$18-1)/12))*(1+$G$6)</f>
        <v>143100</v>
      </c>
      <c r="Y31" s="249" t="n">
        <f>Y21*$E$6*(1+$H$6)^(INT((Y$18-1)/12))*(1+$G$6)</f>
        <v>143100</v>
      </c>
      <c r="Z31" s="250" t="n">
        <f>Z21*$E$6*(1+$H$6)^(INT((Z$18-1)/12))*(1+$G$6)</f>
        <v>143100</v>
      </c>
    </row>
    <row r="32" ht="15" customHeight="true">
      <c r="A32" s="30" t="str">
        <f>$A$7</f>
        <v>Salg</v>
      </c>
      <c r="B32" s="84" t="s">
        <v>145</v>
      </c>
      <c r="C32" s="249" t="n">
        <f>C22*$E$7*(1+$H$7)^(INT((C$18-1)/12))*(1+$G$7)</f>
        <v>29280</v>
      </c>
      <c r="D32" s="249" t="n">
        <f>D22*$E$7*(1+$H$7)^(INT((D$18-1)/12))*(1+$G$7)</f>
        <v>29280</v>
      </c>
      <c r="E32" s="249" t="n">
        <f>E22*$E$7*(1+$H$7)^(INT((E$18-1)/12))*(1+$G$7)</f>
        <v>29280</v>
      </c>
      <c r="F32" s="249" t="n">
        <f>F22*$E$7*(1+$H$7)^(INT((F$18-1)/12))*(1+$G$7)</f>
        <v>29280</v>
      </c>
      <c r="G32" s="249" t="n">
        <f>G22*$E$7*(1+$H$7)^(INT((G$18-1)/12))*(1+$G$7)</f>
        <v>29280</v>
      </c>
      <c r="H32" s="249" t="n">
        <f>H22*$E$7*(1+$H$7)^(INT((H$18-1)/12))*(1+$G$7)</f>
        <v>29280</v>
      </c>
      <c r="I32" s="249" t="n">
        <f>I22*$E$7*(1+$H$7)^(INT((I$18-1)/12))*(1+$G$7)</f>
        <v>43920</v>
      </c>
      <c r="J32" s="249" t="n">
        <f>J22*$E$7*(1+$H$7)^(INT((J$18-1)/12))*(1+$G$7)</f>
        <v>43920</v>
      </c>
      <c r="K32" s="249" t="n">
        <f>K22*$E$7*(1+$H$7)^(INT((K$18-1)/12))*(1+$G$7)</f>
        <v>43920</v>
      </c>
      <c r="L32" s="249" t="n">
        <f>L22*$E$7*(1+$H$7)^(INT((L$18-1)/12))*(1+$G$7)</f>
        <v>43920</v>
      </c>
      <c r="M32" s="249" t="n">
        <f>M22*$E$7*(1+$H$7)^(INT((M$18-1)/12))*(1+$G$7)</f>
        <v>43920</v>
      </c>
      <c r="N32" s="249" t="n">
        <f>N22*$E$7*(1+$H$7)^(INT((N$18-1)/12))*(1+$G$7)</f>
        <v>43920</v>
      </c>
      <c r="O32" s="249" t="n">
        <f>O22*$E$7*(1+$H$7)^(INT((O$18-1)/12))*(1+$G$7)</f>
        <v>61488</v>
      </c>
      <c r="P32" s="249" t="n">
        <f>P22*$E$7*(1+$H$7)^(INT((P$18-1)/12))*(1+$G$7)</f>
        <v>61488</v>
      </c>
      <c r="Q32" s="249" t="n">
        <f>Q22*$E$7*(1+$H$7)^(INT((Q$18-1)/12))*(1+$G$7)</f>
        <v>61488</v>
      </c>
      <c r="R32" s="249" t="n">
        <f>R22*$E$7*(1+$H$7)^(INT((R$18-1)/12))*(1+$G$7)</f>
        <v>61488</v>
      </c>
      <c r="S32" s="249" t="n">
        <f>S22*$E$7*(1+$H$7)^(INT((S$18-1)/12))*(1+$G$7)</f>
        <v>61488</v>
      </c>
      <c r="T32" s="249" t="n">
        <f>T22*$E$7*(1+$H$7)^(INT((T$18-1)/12))*(1+$G$7)</f>
        <v>61488</v>
      </c>
      <c r="U32" s="249" t="n">
        <f>U22*$E$7*(1+$H$7)^(INT((U$18-1)/12))*(1+$G$7)</f>
        <v>76860</v>
      </c>
      <c r="V32" s="249" t="n">
        <f>V22*$E$7*(1+$H$7)^(INT((V$18-1)/12))*(1+$G$7)</f>
        <v>76860</v>
      </c>
      <c r="W32" s="249" t="n">
        <f>W22*$E$7*(1+$H$7)^(INT((W$18-1)/12))*(1+$G$7)</f>
        <v>76860</v>
      </c>
      <c r="X32" s="249" t="n">
        <f>X22*$E$7*(1+$H$7)^(INT((X$18-1)/12))*(1+$G$7)</f>
        <v>76860</v>
      </c>
      <c r="Y32" s="249" t="n">
        <f>Y22*$E$7*(1+$H$7)^(INT((Y$18-1)/12))*(1+$G$7)</f>
        <v>76860</v>
      </c>
      <c r="Z32" s="250" t="n">
        <f>Z22*$E$7*(1+$H$7)^(INT((Z$18-1)/12))*(1+$G$7)</f>
        <v>76860</v>
      </c>
    </row>
    <row r="33" ht="15" customHeight="true">
      <c r="A33" s="30" t="str">
        <f>$A$8</f>
        <v>Marketing</v>
      </c>
      <c r="B33" s="84" t="s">
        <v>145</v>
      </c>
      <c r="C33" s="249" t="n">
        <f>C23*$E$8*(1+$H$8)^(INT((C$18-1)/12))*(1+$G$8)</f>
        <v>14640</v>
      </c>
      <c r="D33" s="249" t="n">
        <f>D23*$E$8*(1+$H$8)^(INT((D$18-1)/12))*(1+$G$8)</f>
        <v>14640</v>
      </c>
      <c r="E33" s="249" t="n">
        <f>E23*$E$8*(1+$H$8)^(INT((E$18-1)/12))*(1+$G$8)</f>
        <v>14640</v>
      </c>
      <c r="F33" s="249" t="n">
        <f>F23*$E$8*(1+$H$8)^(INT((F$18-1)/12))*(1+$G$8)</f>
        <v>14640</v>
      </c>
      <c r="G33" s="249" t="n">
        <f>G23*$E$8*(1+$H$8)^(INT((G$18-1)/12))*(1+$G$8)</f>
        <v>14640</v>
      </c>
      <c r="H33" s="249" t="n">
        <f>H23*$E$8*(1+$H$8)^(INT((H$18-1)/12))*(1+$G$8)</f>
        <v>14640</v>
      </c>
      <c r="I33" s="249" t="n">
        <f>I23*$E$8*(1+$H$8)^(INT((I$18-1)/12))*(1+$G$8)</f>
        <v>14640</v>
      </c>
      <c r="J33" s="249" t="n">
        <f>J23*$E$8*(1+$H$8)^(INT((J$18-1)/12))*(1+$G$8)</f>
        <v>14640</v>
      </c>
      <c r="K33" s="249" t="n">
        <f>K23*$E$8*(1+$H$8)^(INT((K$18-1)/12))*(1+$G$8)</f>
        <v>14640</v>
      </c>
      <c r="L33" s="249" t="n">
        <f>L23*$E$8*(1+$H$8)^(INT((L$18-1)/12))*(1+$G$8)</f>
        <v>14640</v>
      </c>
      <c r="M33" s="249" t="n">
        <f>M23*$E$8*(1+$H$8)^(INT((M$18-1)/12))*(1+$G$8)</f>
        <v>14640</v>
      </c>
      <c r="N33" s="249" t="n">
        <f>N23*$E$8*(1+$H$8)^(INT((N$18-1)/12))*(1+$G$8)</f>
        <v>14640</v>
      </c>
      <c r="O33" s="249" t="n">
        <f>O23*$E$8*(1+$H$8)^(INT((O$18-1)/12))*(1+$G$8)</f>
        <v>15372</v>
      </c>
      <c r="P33" s="249" t="n">
        <f>P23*$E$8*(1+$H$8)^(INT((P$18-1)/12))*(1+$G$8)</f>
        <v>15372</v>
      </c>
      <c r="Q33" s="249" t="n">
        <f>Q23*$E$8*(1+$H$8)^(INT((Q$18-1)/12))*(1+$G$8)</f>
        <v>15372</v>
      </c>
      <c r="R33" s="249" t="n">
        <f>R23*$E$8*(1+$H$8)^(INT((R$18-1)/12))*(1+$G$8)</f>
        <v>15372</v>
      </c>
      <c r="S33" s="249" t="n">
        <f>S23*$E$8*(1+$H$8)^(INT((S$18-1)/12))*(1+$G$8)</f>
        <v>15372</v>
      </c>
      <c r="T33" s="249" t="n">
        <f>T23*$E$8*(1+$H$8)^(INT((T$18-1)/12))*(1+$G$8)</f>
        <v>15372</v>
      </c>
      <c r="U33" s="249" t="n">
        <f>U23*$E$8*(1+$H$8)^(INT((U$18-1)/12))*(1+$G$8)</f>
        <v>15372</v>
      </c>
      <c r="V33" s="249" t="n">
        <f>V23*$E$8*(1+$H$8)^(INT((V$18-1)/12))*(1+$G$8)</f>
        <v>15372</v>
      </c>
      <c r="W33" s="249" t="n">
        <f>W23*$E$8*(1+$H$8)^(INT((W$18-1)/12))*(1+$G$8)</f>
        <v>15372</v>
      </c>
      <c r="X33" s="249" t="n">
        <f>X23*$E$8*(1+$H$8)^(INT((X$18-1)/12))*(1+$G$8)</f>
        <v>15372</v>
      </c>
      <c r="Y33" s="249" t="n">
        <f>Y23*$E$8*(1+$H$8)^(INT((Y$18-1)/12))*(1+$G$8)</f>
        <v>15372</v>
      </c>
      <c r="Z33" s="250" t="n">
        <f>Z23*$E$8*(1+$H$8)^(INT((Z$18-1)/12))*(1+$G$8)</f>
        <v>15372</v>
      </c>
    </row>
    <row r="34" ht="15" customHeight="true">
      <c r="A34" s="30" t="str">
        <f>$A$9</f>
        <v>Drift</v>
      </c>
      <c r="B34" s="84" t="s">
        <v>145</v>
      </c>
      <c r="C34" s="249" t="n">
        <f>C24*$E$9*(1+$H$9)^(INT((C$18-1)/12))*(1+$G$9)</f>
        <v>24400</v>
      </c>
      <c r="D34" s="249" t="n">
        <f>D24*$E$9*(1+$H$9)^(INT((D$18-1)/12))*(1+$G$9)</f>
        <v>24400</v>
      </c>
      <c r="E34" s="249" t="n">
        <f>E24*$E$9*(1+$H$9)^(INT((E$18-1)/12))*(1+$G$9)</f>
        <v>24400</v>
      </c>
      <c r="F34" s="249" t="n">
        <f>F24*$E$9*(1+$H$9)^(INT((F$18-1)/12))*(1+$G$9)</f>
        <v>24400</v>
      </c>
      <c r="G34" s="249" t="n">
        <f>G24*$E$9*(1+$H$9)^(INT((G$18-1)/12))*(1+$G$9)</f>
        <v>24400</v>
      </c>
      <c r="H34" s="249" t="n">
        <f>H24*$E$9*(1+$H$9)^(INT((H$18-1)/12))*(1+$G$9)</f>
        <v>24400</v>
      </c>
      <c r="I34" s="249" t="n">
        <f>I24*$E$9*(1+$H$9)^(INT((I$18-1)/12))*(1+$G$9)</f>
        <v>36600</v>
      </c>
      <c r="J34" s="249" t="n">
        <f>J24*$E$9*(1+$H$9)^(INT((J$18-1)/12))*(1+$G$9)</f>
        <v>36600</v>
      </c>
      <c r="K34" s="249" t="n">
        <f>K24*$E$9*(1+$H$9)^(INT((K$18-1)/12))*(1+$G$9)</f>
        <v>36600</v>
      </c>
      <c r="L34" s="249" t="n">
        <f>L24*$E$9*(1+$H$9)^(INT((L$18-1)/12))*(1+$G$9)</f>
        <v>36600</v>
      </c>
      <c r="M34" s="249" t="n">
        <f>M24*$E$9*(1+$H$9)^(INT((M$18-1)/12))*(1+$G$9)</f>
        <v>36600</v>
      </c>
      <c r="N34" s="249" t="n">
        <f>N24*$E$9*(1+$H$9)^(INT((N$18-1)/12))*(1+$G$9)</f>
        <v>36600</v>
      </c>
      <c r="O34" s="249" t="n">
        <f>O24*$E$9*(1+$H$9)^(INT((O$18-1)/12))*(1+$G$9)</f>
        <v>51240</v>
      </c>
      <c r="P34" s="249" t="n">
        <f>P24*$E$9*(1+$H$9)^(INT((P$18-1)/12))*(1+$G$9)</f>
        <v>51240</v>
      </c>
      <c r="Q34" s="249" t="n">
        <f>Q24*$E$9*(1+$H$9)^(INT((Q$18-1)/12))*(1+$G$9)</f>
        <v>51240</v>
      </c>
      <c r="R34" s="249" t="n">
        <f>R24*$E$9*(1+$H$9)^(INT((R$18-1)/12))*(1+$G$9)</f>
        <v>51240</v>
      </c>
      <c r="S34" s="249" t="n">
        <f>S24*$E$9*(1+$H$9)^(INT((S$18-1)/12))*(1+$G$9)</f>
        <v>51240</v>
      </c>
      <c r="T34" s="249" t="n">
        <f>T24*$E$9*(1+$H$9)^(INT((T$18-1)/12))*(1+$G$9)</f>
        <v>51240</v>
      </c>
      <c r="U34" s="249" t="n">
        <f>U24*$E$9*(1+$H$9)^(INT((U$18-1)/12))*(1+$G$9)</f>
        <v>64050</v>
      </c>
      <c r="V34" s="249" t="n">
        <f>V24*$E$9*(1+$H$9)^(INT((V$18-1)/12))*(1+$G$9)</f>
        <v>64050</v>
      </c>
      <c r="W34" s="249" t="n">
        <f>W24*$E$9*(1+$H$9)^(INT((W$18-1)/12))*(1+$G$9)</f>
        <v>64050</v>
      </c>
      <c r="X34" s="249" t="n">
        <f>X24*$E$9*(1+$H$9)^(INT((X$18-1)/12))*(1+$G$9)</f>
        <v>64050</v>
      </c>
      <c r="Y34" s="249" t="n">
        <f>Y24*$E$9*(1+$H$9)^(INT((Y$18-1)/12))*(1+$G$9)</f>
        <v>64050</v>
      </c>
      <c r="Z34" s="250" t="n">
        <f>Z24*$E$9*(1+$H$9)^(INT((Z$18-1)/12))*(1+$G$9)</f>
        <v>64050</v>
      </c>
    </row>
    <row r="35" ht="15" customHeight="true">
      <c r="A35" s="30" t="str">
        <f>$A$10</f>
        <v>Kundesupport</v>
      </c>
      <c r="B35" s="84" t="s">
        <v>145</v>
      </c>
      <c r="C35" s="249" t="n">
        <f>C25*$E$10*(1+$H$10)^(INT((C$18-1)/12))*(1+$G$10)</f>
        <v>0</v>
      </c>
      <c r="D35" s="249" t="n">
        <f>D25*$E$10*(1+$H$10)^(INT((D$18-1)/12))*(1+$G$10)</f>
        <v>0</v>
      </c>
      <c r="E35" s="249" t="n">
        <f>E25*$E$10*(1+$H$10)^(INT((E$18-1)/12))*(1+$G$10)</f>
        <v>0</v>
      </c>
      <c r="F35" s="249" t="n">
        <f>F25*$E$10*(1+$H$10)^(INT((F$18-1)/12))*(1+$G$10)</f>
        <v>0</v>
      </c>
      <c r="G35" s="249" t="n">
        <f>G25*$E$10*(1+$H$10)^(INT((G$18-1)/12))*(1+$G$10)</f>
        <v>0</v>
      </c>
      <c r="H35" s="249" t="n">
        <f>H25*$E$10*(1+$H$10)^(INT((H$18-1)/12))*(1+$G$10)</f>
        <v>0</v>
      </c>
      <c r="I35" s="249" t="n">
        <f>I25*$E$10*(1+$H$10)^(INT((I$18-1)/12))*(1+$G$10)</f>
        <v>0</v>
      </c>
      <c r="J35" s="249" t="n">
        <f>J25*$E$10*(1+$H$10)^(INT((J$18-1)/12))*(1+$G$10)</f>
        <v>0</v>
      </c>
      <c r="K35" s="249" t="n">
        <f>K25*$E$10*(1+$H$10)^(INT((K$18-1)/12))*(1+$G$10)</f>
        <v>0</v>
      </c>
      <c r="L35" s="249" t="n">
        <f>L25*$E$10*(1+$H$10)^(INT((L$18-1)/12))*(1+$G$10)</f>
        <v>0</v>
      </c>
      <c r="M35" s="249" t="n">
        <f>M25*$E$10*(1+$H$10)^(INT((M$18-1)/12))*(1+$G$10)</f>
        <v>0</v>
      </c>
      <c r="N35" s="249" t="n">
        <f>N25*$E$10*(1+$H$10)^(INT((N$18-1)/12))*(1+$G$10)</f>
        <v>0</v>
      </c>
      <c r="O35" s="249" t="n">
        <f>O25*$E$10*(1+$H$10)^(INT((O$18-1)/12))*(1+$G$10)</f>
        <v>0</v>
      </c>
      <c r="P35" s="249" t="n">
        <f>P25*$E$10*(1+$H$10)^(INT((P$18-1)/12))*(1+$G$10)</f>
        <v>0</v>
      </c>
      <c r="Q35" s="249" t="n">
        <f>Q25*$E$10*(1+$H$10)^(INT((Q$18-1)/12))*(1+$G$10)</f>
        <v>0</v>
      </c>
      <c r="R35" s="249" t="n">
        <f>R25*$E$10*(1+$H$10)^(INT((R$18-1)/12))*(1+$G$10)</f>
        <v>0</v>
      </c>
      <c r="S35" s="249" t="n">
        <f>S25*$E$10*(1+$H$10)^(INT((S$18-1)/12))*(1+$G$10)</f>
        <v>0</v>
      </c>
      <c r="T35" s="249" t="n">
        <f>T25*$E$10*(1+$H$10)^(INT((T$18-1)/12))*(1+$G$10)</f>
        <v>0</v>
      </c>
      <c r="U35" s="249" t="n">
        <f>U25*$E$10*(1+$H$10)^(INT((U$18-1)/12))*(1+$G$10)</f>
        <v>0</v>
      </c>
      <c r="V35" s="249" t="n">
        <f>V25*$E$10*(1+$H$10)^(INT((V$18-1)/12))*(1+$G$10)</f>
        <v>0</v>
      </c>
      <c r="W35" s="249" t="n">
        <f>W25*$E$10*(1+$H$10)^(INT((W$18-1)/12))*(1+$G$10)</f>
        <v>0</v>
      </c>
      <c r="X35" s="249" t="n">
        <f>X25*$E$10*(1+$H$10)^(INT((X$18-1)/12))*(1+$G$10)</f>
        <v>0</v>
      </c>
      <c r="Y35" s="249" t="n">
        <f>Y25*$E$10*(1+$H$10)^(INT((Y$18-1)/12))*(1+$G$10)</f>
        <v>0</v>
      </c>
      <c r="Z35" s="250" t="n">
        <f>Z25*$E$10*(1+$H$10)^(INT((Z$18-1)/12))*(1+$G$10)</f>
        <v>0</v>
      </c>
    </row>
    <row r="36" ht="15" customHeight="true">
      <c r="A36" s="30" t="str">
        <f>$A$11</f>
        <v>Økonomi/admin</v>
      </c>
      <c r="B36" s="84" t="s">
        <v>145</v>
      </c>
      <c r="C36" s="249" t="n">
        <f>C26*$E$11*(1+$H$11)^(INT((C$18-1)/12))*(1+$G$11)</f>
        <v>10980</v>
      </c>
      <c r="D36" s="249" t="n">
        <f>D26*$E$11*(1+$H$11)^(INT((D$18-1)/12))*(1+$G$11)</f>
        <v>10980</v>
      </c>
      <c r="E36" s="249" t="n">
        <f>E26*$E$11*(1+$H$11)^(INT((E$18-1)/12))*(1+$G$11)</f>
        <v>10980</v>
      </c>
      <c r="F36" s="249" t="n">
        <f>F26*$E$11*(1+$H$11)^(INT((F$18-1)/12))*(1+$G$11)</f>
        <v>10980</v>
      </c>
      <c r="G36" s="249" t="n">
        <f>G26*$E$11*(1+$H$11)^(INT((G$18-1)/12))*(1+$G$11)</f>
        <v>10980</v>
      </c>
      <c r="H36" s="249" t="n">
        <f>H26*$E$11*(1+$H$11)^(INT((H$18-1)/12))*(1+$G$11)</f>
        <v>10980</v>
      </c>
      <c r="I36" s="249" t="n">
        <f>I26*$E$11*(1+$H$11)^(INT((I$18-1)/12))*(1+$G$11)</f>
        <v>10980</v>
      </c>
      <c r="J36" s="249" t="n">
        <f>J26*$E$11*(1+$H$11)^(INT((J$18-1)/12))*(1+$G$11)</f>
        <v>10980</v>
      </c>
      <c r="K36" s="249" t="n">
        <f>K26*$E$11*(1+$H$11)^(INT((K$18-1)/12))*(1+$G$11)</f>
        <v>10980</v>
      </c>
      <c r="L36" s="249" t="n">
        <f>L26*$E$11*(1+$H$11)^(INT((L$18-1)/12))*(1+$G$11)</f>
        <v>10980</v>
      </c>
      <c r="M36" s="249" t="n">
        <f>M26*$E$11*(1+$H$11)^(INT((M$18-1)/12))*(1+$G$11)</f>
        <v>10980</v>
      </c>
      <c r="N36" s="249" t="n">
        <f>N26*$E$11*(1+$H$11)^(INT((N$18-1)/12))*(1+$G$11)</f>
        <v>10980</v>
      </c>
      <c r="O36" s="249" t="n">
        <f>O26*$E$11*(1+$H$11)^(INT((O$18-1)/12))*(1+$G$11)</f>
        <v>11419.199999999999</v>
      </c>
      <c r="P36" s="249" t="n">
        <f>P26*$E$11*(1+$H$11)^(INT((P$18-1)/12))*(1+$G$11)</f>
        <v>11419.199999999999</v>
      </c>
      <c r="Q36" s="249" t="n">
        <f>Q26*$E$11*(1+$H$11)^(INT((Q$18-1)/12))*(1+$G$11)</f>
        <v>11419.199999999999</v>
      </c>
      <c r="R36" s="249" t="n">
        <f>R26*$E$11*(1+$H$11)^(INT((R$18-1)/12))*(1+$G$11)</f>
        <v>11419.199999999999</v>
      </c>
      <c r="S36" s="249" t="n">
        <f>S26*$E$11*(1+$H$11)^(INT((S$18-1)/12))*(1+$G$11)</f>
        <v>11419.199999999999</v>
      </c>
      <c r="T36" s="249" t="n">
        <f>T26*$E$11*(1+$H$11)^(INT((T$18-1)/12))*(1+$G$11)</f>
        <v>11419.199999999999</v>
      </c>
      <c r="U36" s="249" t="n">
        <f>U26*$E$11*(1+$H$11)^(INT((U$18-1)/12))*(1+$G$11)</f>
        <v>11419.199999999999</v>
      </c>
      <c r="V36" s="249" t="n">
        <f>V26*$E$11*(1+$H$11)^(INT((V$18-1)/12))*(1+$G$11)</f>
        <v>11419.199999999999</v>
      </c>
      <c r="W36" s="249" t="n">
        <f>W26*$E$11*(1+$H$11)^(INT((W$18-1)/12))*(1+$G$11)</f>
        <v>11419.199999999999</v>
      </c>
      <c r="X36" s="249" t="n">
        <f>X26*$E$11*(1+$H$11)^(INT((X$18-1)/12))*(1+$G$11)</f>
        <v>11419.199999999999</v>
      </c>
      <c r="Y36" s="249" t="n">
        <f>Y26*$E$11*(1+$H$11)^(INT((Y$18-1)/12))*(1+$G$11)</f>
        <v>11419.199999999999</v>
      </c>
      <c r="Z36" s="250" t="n">
        <f>Z26*$E$11*(1+$H$11)^(INT((Z$18-1)/12))*(1+$G$11)</f>
        <v>11419.199999999999</v>
      </c>
    </row>
    <row r="37" ht="15" customHeight="true">
      <c r="A37" s="30" t="str">
        <f>$A$12</f>
        <v>Produktion/levering</v>
      </c>
      <c r="B37" s="84" t="s">
        <v>145</v>
      </c>
      <c r="C37" s="249" t="n">
        <f>C27*$E$12*(1+$H$12)^(INT((C$18-1)/12))*(1+$G$12)</f>
        <v>0</v>
      </c>
      <c r="D37" s="249" t="n">
        <f>D27*$E$12*(1+$H$12)^(INT((D$18-1)/12))*(1+$G$12)</f>
        <v>0</v>
      </c>
      <c r="E37" s="249" t="n">
        <f>E27*$E$12*(1+$H$12)^(INT((E$18-1)/12))*(1+$G$12)</f>
        <v>0</v>
      </c>
      <c r="F37" s="249" t="n">
        <f>F27*$E$12*(1+$H$12)^(INT((F$18-1)/12))*(1+$G$12)</f>
        <v>0</v>
      </c>
      <c r="G37" s="249" t="n">
        <f>G27*$E$12*(1+$H$12)^(INT((G$18-1)/12))*(1+$G$12)</f>
        <v>0</v>
      </c>
      <c r="H37" s="249" t="n">
        <f>H27*$E$12*(1+$H$12)^(INT((H$18-1)/12))*(1+$G$12)</f>
        <v>0</v>
      </c>
      <c r="I37" s="249" t="n">
        <f>I27*$E$12*(1+$H$12)^(INT((I$18-1)/12))*(1+$G$12)</f>
        <v>0</v>
      </c>
      <c r="J37" s="249" t="n">
        <f>J27*$E$12*(1+$H$12)^(INT((J$18-1)/12))*(1+$G$12)</f>
        <v>0</v>
      </c>
      <c r="K37" s="249" t="n">
        <f>K27*$E$12*(1+$H$12)^(INT((K$18-1)/12))*(1+$G$12)</f>
        <v>0</v>
      </c>
      <c r="L37" s="249" t="n">
        <f>L27*$E$12*(1+$H$12)^(INT((L$18-1)/12))*(1+$G$12)</f>
        <v>0</v>
      </c>
      <c r="M37" s="249" t="n">
        <f>M27*$E$12*(1+$H$12)^(INT((M$18-1)/12))*(1+$G$12)</f>
        <v>0</v>
      </c>
      <c r="N37" s="249" t="n">
        <f>N27*$E$12*(1+$H$12)^(INT((N$18-1)/12))*(1+$G$12)</f>
        <v>0</v>
      </c>
      <c r="O37" s="249" t="n">
        <f>O27*$E$12*(1+$H$12)^(INT((O$18-1)/12))*(1+$G$12)</f>
        <v>0</v>
      </c>
      <c r="P37" s="249" t="n">
        <f>P27*$E$12*(1+$H$12)^(INT((P$18-1)/12))*(1+$G$12)</f>
        <v>0</v>
      </c>
      <c r="Q37" s="249" t="n">
        <f>Q27*$E$12*(1+$H$12)^(INT((Q$18-1)/12))*(1+$G$12)</f>
        <v>0</v>
      </c>
      <c r="R37" s="249" t="n">
        <f>R27*$E$12*(1+$H$12)^(INT((R$18-1)/12))*(1+$G$12)</f>
        <v>0</v>
      </c>
      <c r="S37" s="249" t="n">
        <f>S27*$E$12*(1+$H$12)^(INT((S$18-1)/12))*(1+$G$12)</f>
        <v>0</v>
      </c>
      <c r="T37" s="249" t="n">
        <f>T27*$E$12*(1+$H$12)^(INT((T$18-1)/12))*(1+$G$12)</f>
        <v>0</v>
      </c>
      <c r="U37" s="249" t="n">
        <f>U27*$E$12*(1+$H$12)^(INT((U$18-1)/12))*(1+$G$12)</f>
        <v>0</v>
      </c>
      <c r="V37" s="249" t="n">
        <f>V27*$E$12*(1+$H$12)^(INT((V$18-1)/12))*(1+$G$12)</f>
        <v>0</v>
      </c>
      <c r="W37" s="249" t="n">
        <f>W27*$E$12*(1+$H$12)^(INT((W$18-1)/12))*(1+$G$12)</f>
        <v>0</v>
      </c>
      <c r="X37" s="249" t="n">
        <f>X27*$E$12*(1+$H$12)^(INT((X$18-1)/12))*(1+$G$12)</f>
        <v>0</v>
      </c>
      <c r="Y37" s="249" t="n">
        <f>Y27*$E$12*(1+$H$12)^(INT((Y$18-1)/12))*(1+$G$12)</f>
        <v>0</v>
      </c>
      <c r="Z37" s="250" t="n">
        <f>Z27*$E$12*(1+$H$12)^(INT((Z$18-1)/12))*(1+$G$12)</f>
        <v>0</v>
      </c>
    </row>
    <row r="38" ht="15" customHeight="true">
      <c r="A38" s="30"/>
      <c r="B38" s="84"/>
      <c r="C38" s="249"/>
      <c r="D38" s="249"/>
      <c r="E38" s="249"/>
      <c r="F38" s="249"/>
      <c r="G38" s="249"/>
      <c r="H38" s="249"/>
      <c r="I38" s="249"/>
      <c r="J38" s="249"/>
      <c r="K38" s="249"/>
      <c r="L38" s="249"/>
      <c r="M38" s="249"/>
      <c r="N38" s="249"/>
      <c r="O38" s="249"/>
      <c r="P38" s="249"/>
      <c r="Q38" s="249"/>
      <c r="R38" s="249"/>
      <c r="S38" s="249"/>
      <c r="T38" s="249"/>
      <c r="U38" s="249"/>
      <c r="V38" s="249"/>
      <c r="W38" s="249"/>
      <c r="X38" s="249"/>
      <c r="Y38" s="249"/>
      <c r="Z38" s="250"/>
    </row>
    <row r="39" ht="15" customHeight="true">
      <c r="A39" s="263" t="s">
        <v>146</v>
      </c>
      <c r="B39" s="236"/>
      <c r="C39" s="251" t="n">
        <f>SUM(C30:C37)</f>
        <v>221800</v>
      </c>
      <c r="D39" s="251" t="n">
        <f>SUM(D30:D37)</f>
        <v>221800</v>
      </c>
      <c r="E39" s="251" t="n">
        <f>SUM(E30:E37)</f>
        <v>221800</v>
      </c>
      <c r="F39" s="251" t="n">
        <f>SUM(F30:F37)</f>
        <v>221800</v>
      </c>
      <c r="G39" s="251" t="n">
        <f>SUM(G30:G37)</f>
        <v>221800</v>
      </c>
      <c r="H39" s="251" t="n">
        <f>SUM(H30:H37)</f>
        <v>221800</v>
      </c>
      <c r="I39" s="251" t="n">
        <f>SUM(I30:I37)</f>
        <v>271140</v>
      </c>
      <c r="J39" s="251" t="n">
        <f>SUM(J30:J37)</f>
        <v>271140</v>
      </c>
      <c r="K39" s="251" t="n">
        <f>SUM(K30:K37)</f>
        <v>271140</v>
      </c>
      <c r="L39" s="251" t="n">
        <f>SUM(L30:L37)</f>
        <v>271140</v>
      </c>
      <c r="M39" s="251" t="n">
        <f>SUM(M30:M37)</f>
        <v>271140</v>
      </c>
      <c r="N39" s="251" t="n">
        <f>SUM(N30:N37)</f>
        <v>271140</v>
      </c>
      <c r="O39" s="251" t="n">
        <f>SUM(O30:O37)</f>
        <v>337519.2</v>
      </c>
      <c r="P39" s="251" t="n">
        <f>SUM(P30:P37)</f>
        <v>337519.2</v>
      </c>
      <c r="Q39" s="251" t="n">
        <f>SUM(Q30:Q37)</f>
        <v>337519.2</v>
      </c>
      <c r="R39" s="251" t="n">
        <f>SUM(R30:R37)</f>
        <v>337519.2</v>
      </c>
      <c r="S39" s="251" t="n">
        <f>SUM(S30:S37)</f>
        <v>337519.2</v>
      </c>
      <c r="T39" s="251" t="n">
        <f>SUM(T30:T37)</f>
        <v>337519.2</v>
      </c>
      <c r="U39" s="251" t="n">
        <f>SUM(U30:U37)</f>
        <v>389551.2</v>
      </c>
      <c r="V39" s="251" t="n">
        <f>SUM(V30:V37)</f>
        <v>389551.2</v>
      </c>
      <c r="W39" s="251" t="n">
        <f>SUM(W30:W37)</f>
        <v>389551.2</v>
      </c>
      <c r="X39" s="251" t="n">
        <f>SUM(X30:X37)</f>
        <v>389551.2</v>
      </c>
      <c r="Y39" s="251" t="n">
        <f>SUM(Y30:Y37)</f>
        <v>389551.2</v>
      </c>
      <c r="Z39" s="252" t="n">
        <f>SUM(Z30:Z37)</f>
        <v>389551.2</v>
      </c>
    </row>
    <row r="40" ht="15" customHeight="true">
      <c r="A40" s="265" t="s">
        <v>147</v>
      </c>
      <c r="B40" s="242"/>
      <c r="C40" s="301" t="n">
        <f>SUM(C20:C27)</f>
        <v>11</v>
      </c>
      <c r="D40" s="301" t="n">
        <f>SUM(D20:D27)</f>
        <v>11</v>
      </c>
      <c r="E40" s="301" t="n">
        <f>SUM(E20:E27)</f>
        <v>11</v>
      </c>
      <c r="F40" s="301" t="n">
        <f>SUM(F20:F27)</f>
        <v>11</v>
      </c>
      <c r="G40" s="301" t="n">
        <f>SUM(G20:G27)</f>
        <v>11</v>
      </c>
      <c r="H40" s="301" t="n">
        <f>SUM(H20:H27)</f>
        <v>11</v>
      </c>
      <c r="I40" s="301" t="n">
        <f>SUM(I20:I27)</f>
        <v>14</v>
      </c>
      <c r="J40" s="301" t="n">
        <f>SUM(J20:J27)</f>
        <v>14</v>
      </c>
      <c r="K40" s="301" t="n">
        <f>SUM(K20:K27)</f>
        <v>14</v>
      </c>
      <c r="L40" s="301" t="n">
        <f>SUM(L20:L27)</f>
        <v>14</v>
      </c>
      <c r="M40" s="301" t="n">
        <f>SUM(M20:M27)</f>
        <v>14</v>
      </c>
      <c r="N40" s="301" t="n">
        <f>SUM(N20:N27)</f>
        <v>14</v>
      </c>
      <c r="O40" s="301" t="n">
        <f>SUM(O20:O27)</f>
        <v>17</v>
      </c>
      <c r="P40" s="301" t="n">
        <f>SUM(P20:P27)</f>
        <v>17</v>
      </c>
      <c r="Q40" s="301" t="n">
        <f>SUM(Q20:Q27)</f>
        <v>17</v>
      </c>
      <c r="R40" s="301" t="n">
        <f>SUM(R20:R27)</f>
        <v>17</v>
      </c>
      <c r="S40" s="301" t="n">
        <f>SUM(S20:S27)</f>
        <v>17</v>
      </c>
      <c r="T40" s="301" t="n">
        <f>SUM(T20:T27)</f>
        <v>17</v>
      </c>
      <c r="U40" s="301" t="n">
        <f>SUM(U20:U27)</f>
        <v>20</v>
      </c>
      <c r="V40" s="301" t="n">
        <f>SUM(V20:V27)</f>
        <v>20</v>
      </c>
      <c r="W40" s="301" t="n">
        <f>SUM(W20:W27)</f>
        <v>20</v>
      </c>
      <c r="X40" s="301" t="n">
        <f>SUM(X20:X27)</f>
        <v>20</v>
      </c>
      <c r="Y40" s="301" t="n">
        <f>SUM(Y20:Y27)</f>
        <v>20</v>
      </c>
      <c r="Z40" s="302" t="n">
        <f>SUM(Z20:Z27)</f>
        <v>20</v>
      </c>
    </row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2">
    <dataValidation allowBlank="false" sqref="C5:C12" type="list">
      <formula1>"Ja,Nej"</formula1>
    </dataValidation>
    <dataValidation allowBlank="false" sqref="B5:B12" type="list">
      <formula1>"Ledelse,Forskning og udvikling,Salg,Marketing,Drift,Kundesupport,Admin,Produktion/levering,Andet"</formula1>
    </dataValidation>
  </dataValidations>
  <pageMargins left="0.7" right="0.7" top="0.75" bottom="0.75" header="0.3" footer="0.3"/>
</worksheet>
</file>

<file path=xl/worksheets/sheet6.xml><?xml version="1.0" encoding="utf-8"?>
<worksheet xmlns:x="http://schemas.openxmlformats.org/spreadsheetml/2006/main" xmlns="http://schemas.openxmlformats.org/spreadsheetml/2006/main" xmlns:r="http://schemas.openxmlformats.org/officeDocument/2006/relationships">
  <sheetViews>
    <sheetView showGridLines="false" workbookViewId="0"/>
  </sheetViews>
  <sheetFormatPr defaultRowHeight="15"/>
  <cols>
    <col customWidth="true" max="1" min="1" width="18"/>
    <col customWidth="true" max="2" min="2" width="14"/>
    <col customWidth="true" max="26" min="3" width="12"/>
  </cols>
  <sheetData>
    <row r="1" ht="19.53125" customHeight="true">
      <c r="A1" s="4" t="s">
        <v>148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" customHeight="true">
      <c r="A2" s="6" t="str">
        <v>配置Fast、Varierer med omsætning、Blandet型2026-05-28，适配办公、SaaS、电商、制造、Butik等业务。</v>
      </c>
    </row>
    <row r="3"/>
    <row r="4" ht="24.4140625" customHeight="true">
      <c r="A4" s="72" t="s">
        <v>149</v>
      </c>
      <c r="B4" s="73" t="s">
        <v>150</v>
      </c>
      <c r="C4" s="73" t="s">
        <v>72</v>
      </c>
      <c r="D4" s="73" t="s">
        <v>151</v>
      </c>
      <c r="E4" s="73" t="s">
        <v>152</v>
      </c>
      <c r="F4" s="73" t="s">
        <v>77</v>
      </c>
      <c r="G4" s="73" t="s">
        <v>153</v>
      </c>
      <c r="H4" s="73" t="s">
        <v>154</v>
      </c>
      <c r="I4" s="74" t="s">
        <v>4</v>
      </c>
    </row>
    <row r="5" ht="24.4140625" customHeight="true">
      <c r="A5" s="143" t="s">
        <v>155</v>
      </c>
      <c r="B5" s="144" t="s">
        <v>156</v>
      </c>
      <c r="C5" s="144" t="s">
        <v>82</v>
      </c>
      <c r="D5" s="155" t="n">
        <v>40000</v>
      </c>
      <c r="E5" s="101" t="n">
        <v>0</v>
      </c>
      <c r="F5" s="101"/>
      <c r="G5" s="273" t="n">
        <v>0</v>
      </c>
      <c r="H5" s="144" t="s">
        <v>157</v>
      </c>
      <c r="I5" s="305" t="s">
        <v>158</v>
      </c>
    </row>
    <row r="6" ht="24.4140625" customHeight="true">
      <c r="A6" s="145" t="str">
        <v>云服务/IT</v>
      </c>
      <c r="B6" s="146" t="s">
        <v>159</v>
      </c>
      <c r="C6" s="146" t="s">
        <v>82</v>
      </c>
      <c r="D6" s="156" t="n">
        <v>15000</v>
      </c>
      <c r="E6" s="102" t="n">
        <v>0.02</v>
      </c>
      <c r="F6" s="102"/>
      <c r="G6" s="274" t="n">
        <v>0</v>
      </c>
      <c r="H6" s="146" t="str">
        <v>SaaS/Abonnement</v>
      </c>
      <c r="I6" s="306" t="s">
        <v>160</v>
      </c>
    </row>
    <row r="7" ht="24.4140625" customHeight="true">
      <c r="A7" s="145" t="s">
        <v>161</v>
      </c>
      <c r="B7" s="146" t="s">
        <v>162</v>
      </c>
      <c r="C7" s="146" t="s">
        <v>87</v>
      </c>
      <c r="D7" s="156" t="n">
        <v>0</v>
      </c>
      <c r="E7" s="102" t="n">
        <v>0.08</v>
      </c>
      <c r="F7" s="102"/>
      <c r="G7" s="274" t="n">
        <v>1</v>
      </c>
      <c r="H7" s="146" t="s">
        <v>163</v>
      </c>
      <c r="I7" s="306" t="s">
        <v>164</v>
      </c>
    </row>
    <row r="8" ht="24.4140625" customHeight="true">
      <c r="A8" s="145" t="s">
        <v>165</v>
      </c>
      <c r="B8" s="146" t="s">
        <v>162</v>
      </c>
      <c r="C8" s="146" t="s">
        <v>87</v>
      </c>
      <c r="D8" s="156" t="n">
        <v>0</v>
      </c>
      <c r="E8" s="102" t="n">
        <v>0.12</v>
      </c>
      <c r="F8" s="102"/>
      <c r="G8" s="274" t="n">
        <v>1</v>
      </c>
      <c r="H8" s="146" t="s">
        <v>166</v>
      </c>
      <c r="I8" s="306" t="s">
        <v>167</v>
      </c>
    </row>
    <row r="9" ht="36.62109375" customHeight="true">
      <c r="A9" s="145" t="s">
        <v>168</v>
      </c>
      <c r="B9" s="146" t="s">
        <v>159</v>
      </c>
      <c r="C9" s="146" t="s">
        <v>82</v>
      </c>
      <c r="D9" s="156" t="n">
        <v>20000</v>
      </c>
      <c r="E9" s="102"/>
      <c r="F9" s="102"/>
      <c r="G9" s="274" t="n">
        <v>0</v>
      </c>
      <c r="H9" s="146" t="s">
        <v>157</v>
      </c>
      <c r="I9" s="306" t="s">
        <v>169</v>
      </c>
    </row>
    <row r="10" ht="15" customHeight="true">
      <c r="A10" s="145" t="s">
        <v>170</v>
      </c>
      <c r="B10" s="146" t="s">
        <v>162</v>
      </c>
      <c r="C10" s="146" t="s">
        <v>82</v>
      </c>
      <c r="D10" s="156" t="n">
        <v>0</v>
      </c>
      <c r="E10" s="102" t="n">
        <v>0.05</v>
      </c>
      <c r="F10" s="102"/>
      <c r="G10" s="274" t="n">
        <v>0</v>
      </c>
      <c r="H10" s="146" t="s">
        <v>171</v>
      </c>
      <c r="I10" s="306" t="s">
        <v>172</v>
      </c>
    </row>
    <row r="11" ht="24.4140625" customHeight="true">
      <c r="A11" s="145" t="s">
        <v>173</v>
      </c>
      <c r="B11" s="146" t="s">
        <v>156</v>
      </c>
      <c r="C11" s="146" t="s">
        <v>82</v>
      </c>
      <c r="D11" s="156" t="n">
        <v>10000</v>
      </c>
      <c r="E11" s="102" t="n">
        <v>0</v>
      </c>
      <c r="F11" s="102"/>
      <c r="G11" s="274" t="n">
        <v>0</v>
      </c>
      <c r="H11" s="146" t="s">
        <v>157</v>
      </c>
      <c r="I11" s="306" t="s">
        <v>174</v>
      </c>
    </row>
    <row r="12" ht="15" customHeight="true">
      <c r="A12" s="145" t="s">
        <v>175</v>
      </c>
      <c r="B12" s="146" t="s">
        <v>156</v>
      </c>
      <c r="C12" s="146" t="s">
        <v>82</v>
      </c>
      <c r="D12" s="156" t="n">
        <v>8000</v>
      </c>
      <c r="E12" s="102" t="n">
        <v>0</v>
      </c>
      <c r="F12" s="102"/>
      <c r="G12" s="274" t="n">
        <v>0</v>
      </c>
      <c r="H12" s="146" t="s">
        <v>157</v>
      </c>
      <c r="I12" s="306" t="s">
        <v>176</v>
      </c>
    </row>
    <row r="13" ht="24.4140625" customHeight="true">
      <c r="A13" s="145" t="s">
        <v>177</v>
      </c>
      <c r="B13" s="146" t="s">
        <v>156</v>
      </c>
      <c r="C13" s="146" t="s">
        <v>82</v>
      </c>
      <c r="D13" s="156" t="n">
        <v>5000</v>
      </c>
      <c r="E13" s="102" t="n">
        <v>0</v>
      </c>
      <c r="F13" s="102"/>
      <c r="G13" s="274" t="n">
        <v>0</v>
      </c>
      <c r="H13" s="146" t="s">
        <v>178</v>
      </c>
      <c r="I13" s="306" t="s">
        <v>179</v>
      </c>
    </row>
    <row r="14" ht="24.4140625" customHeight="true">
      <c r="A14" s="145" t="s">
        <v>180</v>
      </c>
      <c r="B14" s="146" t="s">
        <v>156</v>
      </c>
      <c r="C14" s="146" t="s">
        <v>82</v>
      </c>
      <c r="D14" s="156" t="n">
        <v>8000</v>
      </c>
      <c r="E14" s="102" t="n">
        <v>0</v>
      </c>
      <c r="F14" s="102"/>
      <c r="G14" s="274" t="n">
        <v>0</v>
      </c>
      <c r="H14" s="146" t="s">
        <v>157</v>
      </c>
      <c r="I14" s="306" t="s">
        <v>181</v>
      </c>
    </row>
    <row r="15" ht="24.4140625" customHeight="true">
      <c r="A15" s="145" t="s">
        <v>182</v>
      </c>
      <c r="B15" s="146" t="s">
        <v>156</v>
      </c>
      <c r="C15" s="146" t="s">
        <v>82</v>
      </c>
      <c r="D15" s="156" t="n">
        <v>12000</v>
      </c>
      <c r="E15" s="102" t="n">
        <v>0</v>
      </c>
      <c r="F15" s="102"/>
      <c r="G15" s="274" t="n">
        <v>0</v>
      </c>
      <c r="H15" s="146" t="str">
        <v>SaaS/Abonnement</v>
      </c>
      <c r="I15" s="306" t="s">
        <v>183</v>
      </c>
    </row>
    <row r="16" ht="24.4140625" customHeight="true">
      <c r="A16" s="147" t="s">
        <v>184</v>
      </c>
      <c r="B16" s="148" t="s">
        <v>156</v>
      </c>
      <c r="C16" s="148" t="s">
        <v>87</v>
      </c>
      <c r="D16" s="157" t="n">
        <v>30000</v>
      </c>
      <c r="E16" s="103" t="n">
        <v>0</v>
      </c>
      <c r="F16" s="103"/>
      <c r="G16" s="275" t="n">
        <v>0</v>
      </c>
      <c r="H16" s="148" t="s">
        <v>185</v>
      </c>
      <c r="I16" s="307" t="s">
        <v>186</v>
      </c>
    </row>
    <row r="17"/>
    <row r="18" ht="15" customHeight="true">
      <c r="A18" s="191" t="s">
        <v>187</v>
      </c>
      <c r="B18" s="192"/>
      <c r="C18" s="192"/>
      <c r="D18" s="197" t="n">
        <f>SUMIFS(D5:D16,C5:C16,"Ja",B5:B16,"Fast")+SUMIFS(D5:D16,C5:C16,"Ja",B5:B16,"Blandet")</f>
        <v>118000</v>
      </c>
      <c r="E18" s="311" t="n">
        <f>SUMIFS(E5:E16,C5:C16,"Ja",B5:B16,"Varierer med omsætning")+SUMIFS(E5:E16,C5:C16,"Ja",B5:B16,"Blandet")</f>
        <v>0.07</v>
      </c>
      <c r="F18" s="192"/>
      <c r="G18" s="192"/>
      <c r="H18" s="192"/>
      <c r="I18" s="193"/>
    </row>
    <row r="19"/>
    <row r="20"/>
    <row r="21" ht="15" customHeight="true">
      <c r="A21" s="14" t="s">
        <v>188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ht="15" customHeight="true">
      <c r="A22" s="201" t="s">
        <v>25</v>
      </c>
      <c r="B22" s="202"/>
      <c r="C22" s="281" t="n">
        <f>EDATE('Inputantagelser'!$B$6,0)</f>
        <v>46143</v>
      </c>
      <c r="D22" s="282" t="n">
        <f>EDATE('Inputantagelser'!$B$6,1)</f>
        <v>46174</v>
      </c>
      <c r="E22" s="282" t="n">
        <f>EDATE('Inputantagelser'!$B$6,2)</f>
        <v>46204</v>
      </c>
      <c r="F22" s="282" t="n">
        <f>EDATE('Inputantagelser'!$B$6,3)</f>
        <v>46235</v>
      </c>
      <c r="G22" s="282" t="n">
        <f>EDATE('Inputantagelser'!$B$6,4)</f>
        <v>46266</v>
      </c>
      <c r="H22" s="282" t="n">
        <f>EDATE('Inputantagelser'!$B$6,5)</f>
        <v>46296</v>
      </c>
      <c r="I22" s="282" t="n">
        <f>EDATE('Inputantagelser'!$B$6,6)</f>
        <v>46327</v>
      </c>
      <c r="J22" s="282" t="n">
        <f>EDATE('Inputantagelser'!$B$6,7)</f>
        <v>46357</v>
      </c>
      <c r="K22" s="282" t="n">
        <f>EDATE('Inputantagelser'!$B$6,8)</f>
        <v>46388</v>
      </c>
      <c r="L22" s="282" t="n">
        <f>EDATE('Inputantagelser'!$B$6,9)</f>
        <v>46419</v>
      </c>
      <c r="M22" s="282" t="n">
        <f>EDATE('Inputantagelser'!$B$6,10)</f>
        <v>46447</v>
      </c>
      <c r="N22" s="282" t="n">
        <f>EDATE('Inputantagelser'!$B$6,11)</f>
        <v>46478</v>
      </c>
      <c r="O22" s="282" t="n">
        <f>EDATE('Inputantagelser'!$B$6,12)</f>
        <v>46508</v>
      </c>
      <c r="P22" s="282" t="n">
        <f>EDATE('Inputantagelser'!$B$6,13)</f>
        <v>46539</v>
      </c>
      <c r="Q22" s="282" t="n">
        <f>EDATE('Inputantagelser'!$B$6,14)</f>
        <v>46569</v>
      </c>
      <c r="R22" s="282" t="n">
        <f>EDATE('Inputantagelser'!$B$6,15)</f>
        <v>46600</v>
      </c>
      <c r="S22" s="282" t="n">
        <f>EDATE('Inputantagelser'!$B$6,16)</f>
        <v>46631</v>
      </c>
      <c r="T22" s="282" t="n">
        <f>EDATE('Inputantagelser'!$B$6,17)</f>
        <v>46661</v>
      </c>
      <c r="U22" s="282" t="n">
        <f>EDATE('Inputantagelser'!$B$6,18)</f>
        <v>46692</v>
      </c>
      <c r="V22" s="282" t="n">
        <f>EDATE('Inputantagelser'!$B$6,19)</f>
        <v>46722</v>
      </c>
      <c r="W22" s="282" t="n">
        <f>EDATE('Inputantagelser'!$B$6,20)</f>
        <v>46753</v>
      </c>
      <c r="X22" s="282" t="n">
        <f>EDATE('Inputantagelser'!$B$6,21)</f>
        <v>46784</v>
      </c>
      <c r="Y22" s="282" t="n">
        <f>EDATE('Inputantagelser'!$B$6,22)</f>
        <v>46813</v>
      </c>
      <c r="Z22" s="283" t="n">
        <f>EDATE('Inputantagelser'!$B$6,23)</f>
        <v>46844</v>
      </c>
    </row>
    <row r="23" ht="15" customHeight="true">
      <c r="A23" s="203" t="s">
        <v>102</v>
      </c>
      <c r="B23" s="204"/>
      <c r="C23" s="284" t="n">
        <v>1</v>
      </c>
      <c r="D23" s="285" t="n">
        <v>2</v>
      </c>
      <c r="E23" s="285" t="n">
        <v>3</v>
      </c>
      <c r="F23" s="285" t="n">
        <v>4</v>
      </c>
      <c r="G23" s="285" t="n">
        <v>5</v>
      </c>
      <c r="H23" s="285" t="n">
        <v>6</v>
      </c>
      <c r="I23" s="285" t="n">
        <v>7</v>
      </c>
      <c r="J23" s="285" t="n">
        <v>8</v>
      </c>
      <c r="K23" s="285" t="n">
        <v>9</v>
      </c>
      <c r="L23" s="285" t="n">
        <v>10</v>
      </c>
      <c r="M23" s="285" t="n">
        <v>11</v>
      </c>
      <c r="N23" s="285" t="n">
        <v>12</v>
      </c>
      <c r="O23" s="285" t="n">
        <v>13</v>
      </c>
      <c r="P23" s="285" t="n">
        <v>14</v>
      </c>
      <c r="Q23" s="285" t="n">
        <v>15</v>
      </c>
      <c r="R23" s="285" t="n">
        <v>16</v>
      </c>
      <c r="S23" s="285" t="n">
        <v>17</v>
      </c>
      <c r="T23" s="285" t="n">
        <v>18</v>
      </c>
      <c r="U23" s="285" t="n">
        <v>19</v>
      </c>
      <c r="V23" s="285" t="n">
        <v>20</v>
      </c>
      <c r="W23" s="285" t="n">
        <v>21</v>
      </c>
      <c r="X23" s="285" t="n">
        <v>22</v>
      </c>
      <c r="Y23" s="285" t="n">
        <v>23</v>
      </c>
      <c r="Z23" s="286" t="n">
        <v>24</v>
      </c>
    </row>
    <row r="24" ht="15" customHeight="true">
      <c r="A24" s="30"/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31"/>
    </row>
    <row r="25" ht="15" customHeight="true">
      <c r="A25" s="30" t="str">
        <f>$A$5</f>
        <v>Kontorleje / arbejdsstationer</v>
      </c>
      <c r="B25" s="84" t="str">
        <f>$B$5</f>
        <v>Fast</v>
      </c>
      <c r="C25" s="249" t="n">
        <f>IF($C$5&lt;&gt;"Ja",0,IF($B$5="Fast",$D$5*(1+IF($F$5="",'Inputantagelser'!$B$24,$F$5))^(C$23-1),IF($B$5="Varierer med omsætning",'Omsætningsprognose'!C$17*$E$5,$D$5*(1+IF($F$5="",'Inputantagelser'!$B$24,$F$5))^(C$23-1)+'Omsætningsprognose'!C$17*IF($E$5="",'Inputantagelser'!$B$23,$E$5))))</f>
        <v>40000</v>
      </c>
      <c r="D25" s="249" t="n">
        <f>IF($C$5&lt;&gt;"Ja",0,IF($B$5="Fast",$D$5*(1+IF($F$5="",'Inputantagelser'!$B$24,$F$5))^(D$23-1),IF($B$5="Varierer med omsætning",'Omsætningsprognose'!D$17*$E$5,$D$5*(1+IF($F$5="",'Inputantagelser'!$B$24,$F$5))^(D$23-1)+'Omsætningsprognose'!D$17*IF($E$5="",'Inputantagelser'!$B$23,$E$5))))</f>
        <v>40400</v>
      </c>
      <c r="E25" s="249" t="n">
        <f>IF($C$5&lt;&gt;"Ja",0,IF($B$5="Fast",$D$5*(1+IF($F$5="",'Inputantagelser'!$B$24,$F$5))^(E$23-1),IF($B$5="Varierer med omsætning",'Omsætningsprognose'!E$17*$E$5,$D$5*(1+IF($F$5="",'Inputantagelser'!$B$24,$F$5))^(E$23-1)+'Omsætningsprognose'!E$17*IF($E$5="",'Inputantagelser'!$B$23,$E$5))))</f>
        <v>40804</v>
      </c>
      <c r="F25" s="249" t="n">
        <f>IF($C$5&lt;&gt;"Ja",0,IF($B$5="Fast",$D$5*(1+IF($F$5="",'Inputantagelser'!$B$24,$F$5))^(F$23-1),IF($B$5="Varierer med omsætning",'Omsætningsprognose'!F$17*$E$5,$D$5*(1+IF($F$5="",'Inputantagelser'!$B$24,$F$5))^(F$23-1)+'Omsætningsprognose'!F$17*IF($E$5="",'Inputantagelser'!$B$23,$E$5))))</f>
        <v>41212.03999999999</v>
      </c>
      <c r="G25" s="249" t="n">
        <f>IF($C$5&lt;&gt;"Ja",0,IF($B$5="Fast",$D$5*(1+IF($F$5="",'Inputantagelser'!$B$24,$F$5))^(G$23-1),IF($B$5="Varierer med omsætning",'Omsætningsprognose'!G$17*$E$5,$D$5*(1+IF($F$5="",'Inputantagelser'!$B$24,$F$5))^(G$23-1)+'Omsætningsprognose'!G$17*IF($E$5="",'Inputantagelser'!$B$23,$E$5))))</f>
        <v>41624.1604</v>
      </c>
      <c r="H25" s="249" t="n">
        <f>IF($C$5&lt;&gt;"Ja",0,IF($B$5="Fast",$D$5*(1+IF($F$5="",'Inputantagelser'!$B$24,$F$5))^(H$23-1),IF($B$5="Varierer med omsætning",'Omsætningsprognose'!H$17*$E$5,$D$5*(1+IF($F$5="",'Inputantagelser'!$B$24,$F$5))^(H$23-1)+'Omsætningsprognose'!H$17*IF($E$5="",'Inputantagelser'!$B$23,$E$5))))</f>
        <v>42040.402003999996</v>
      </c>
      <c r="I25" s="249" t="n">
        <f>IF($C$5&lt;&gt;"Ja",0,IF($B$5="Fast",$D$5*(1+IF($F$5="",'Inputantagelser'!$B$24,$F$5))^(I$23-1),IF($B$5="Varierer med omsætning",'Omsætningsprognose'!I$17*$E$5,$D$5*(1+IF($F$5="",'Inputantagelser'!$B$24,$F$5))^(I$23-1)+'Omsætningsprognose'!I$17*IF($E$5="",'Inputantagelser'!$B$23,$E$5))))</f>
        <v>42460.80602404001</v>
      </c>
      <c r="J25" s="249" t="n">
        <f>IF($C$5&lt;&gt;"Ja",0,IF($B$5="Fast",$D$5*(1+IF($F$5="",'Inputantagelser'!$B$24,$F$5))^(J$23-1),IF($B$5="Varierer med omsætning",'Omsætningsprognose'!J$17*$E$5,$D$5*(1+IF($F$5="",'Inputantagelser'!$B$24,$F$5))^(J$23-1)+'Omsætningsprognose'!J$17*IF($E$5="",'Inputantagelser'!$B$23,$E$5))))</f>
        <v>42885.41408428039</v>
      </c>
      <c r="K25" s="249" t="n">
        <f>IF($C$5&lt;&gt;"Ja",0,IF($B$5="Fast",$D$5*(1+IF($F$5="",'Inputantagelser'!$B$24,$F$5))^(K$23-1),IF($B$5="Varierer med omsætning",'Omsætningsprognose'!K$17*$E$5,$D$5*(1+IF($F$5="",'Inputantagelser'!$B$24,$F$5))^(K$23-1)+'Omsætningsprognose'!K$17*IF($E$5="",'Inputantagelser'!$B$23,$E$5))))</f>
        <v>43314.26822512321</v>
      </c>
      <c r="L25" s="249" t="n">
        <f>IF($C$5&lt;&gt;"Ja",0,IF($B$5="Fast",$D$5*(1+IF($F$5="",'Inputantagelser'!$B$24,$F$5))^(L$23-1),IF($B$5="Varierer med omsætning",'Omsætningsprognose'!L$17*$E$5,$D$5*(1+IF($F$5="",'Inputantagelser'!$B$24,$F$5))^(L$23-1)+'Omsætningsprognose'!L$17*IF($E$5="",'Inputantagelser'!$B$23,$E$5))))</f>
        <v>43747.41090737445</v>
      </c>
      <c r="M25" s="249" t="n">
        <f>IF($C$5&lt;&gt;"Ja",0,IF($B$5="Fast",$D$5*(1+IF($F$5="",'Inputantagelser'!$B$24,$F$5))^(M$23-1),IF($B$5="Varierer med omsætning",'Omsætningsprognose'!M$17*$E$5,$D$5*(1+IF($F$5="",'Inputantagelser'!$B$24,$F$5))^(M$23-1)+'Omsætningsprognose'!M$17*IF($E$5="",'Inputantagelser'!$B$23,$E$5))))</f>
        <v>44184.88501644819</v>
      </c>
      <c r="N25" s="249" t="n">
        <f>IF($C$5&lt;&gt;"Ja",0,IF($B$5="Fast",$D$5*(1+IF($F$5="",'Inputantagelser'!$B$24,$F$5))^(N$23-1),IF($B$5="Varierer med omsætning",'Omsætningsprognose'!N$17*$E$5,$D$5*(1+IF($F$5="",'Inputantagelser'!$B$24,$F$5))^(N$23-1)+'Omsætningsprognose'!N$17*IF($E$5="",'Inputantagelser'!$B$23,$E$5))))</f>
        <v>44626.73386661266</v>
      </c>
      <c r="O25" s="249" t="n">
        <f>IF($C$5&lt;&gt;"Ja",0,IF($B$5="Fast",$D$5*(1+IF($F$5="",'Inputantagelser'!$B$24,$F$5))^(O$23-1),IF($B$5="Varierer med omsætning",'Omsætningsprognose'!O$17*$E$5,$D$5*(1+IF($F$5="",'Inputantagelser'!$B$24,$F$5))^(O$23-1)+'Omsætningsprognose'!O$17*IF($E$5="",'Inputantagelser'!$B$23,$E$5))))</f>
        <v>45073.00120527879</v>
      </c>
      <c r="P25" s="249" t="n">
        <f>IF($C$5&lt;&gt;"Ja",0,IF($B$5="Fast",$D$5*(1+IF($F$5="",'Inputantagelser'!$B$24,$F$5))^(P$23-1),IF($B$5="Varierer med omsætning",'Omsætningsprognose'!P$17*$E$5,$D$5*(1+IF($F$5="",'Inputantagelser'!$B$24,$F$5))^(P$23-1)+'Omsætningsprognose'!P$17*IF($E$5="",'Inputantagelser'!$B$23,$E$5))))</f>
        <v>45523.73121733158</v>
      </c>
      <c r="Q25" s="249" t="n">
        <f>IF($C$5&lt;&gt;"Ja",0,IF($B$5="Fast",$D$5*(1+IF($F$5="",'Inputantagelser'!$B$24,$F$5))^(Q$23-1),IF($B$5="Varierer med omsætning",'Omsætningsprognose'!Q$17*$E$5,$D$5*(1+IF($F$5="",'Inputantagelser'!$B$24,$F$5))^(Q$23-1)+'Omsætningsprognose'!Q$17*IF($E$5="",'Inputantagelser'!$B$23,$E$5))))</f>
        <v>45978.968529504906</v>
      </c>
      <c r="R25" s="249" t="n">
        <f>IF($C$5&lt;&gt;"Ja",0,IF($B$5="Fast",$D$5*(1+IF($F$5="",'Inputantagelser'!$B$24,$F$5))^(R$23-1),IF($B$5="Varierer med omsætning",'Omsætningsprognose'!R$17*$E$5,$D$5*(1+IF($F$5="",'Inputantagelser'!$B$24,$F$5))^(R$23-1)+'Omsætningsprognose'!R$17*IF($E$5="",'Inputantagelser'!$B$23,$E$5))))</f>
        <v>46438.758214799935</v>
      </c>
      <c r="S25" s="249" t="n">
        <f>IF($C$5&lt;&gt;"Ja",0,IF($B$5="Fast",$D$5*(1+IF($F$5="",'Inputantagelser'!$B$24,$F$5))^(S$23-1),IF($B$5="Varierer med omsætning",'Omsætningsprognose'!S$17*$E$5,$D$5*(1+IF($F$5="",'Inputantagelser'!$B$24,$F$5))^(S$23-1)+'Omsætningsprognose'!S$17*IF($E$5="",'Inputantagelser'!$B$23,$E$5))))</f>
        <v>46903.14579694795</v>
      </c>
      <c r="T25" s="249" t="n">
        <f>IF($C$5&lt;&gt;"Ja",0,IF($B$5="Fast",$D$5*(1+IF($F$5="",'Inputantagelser'!$B$24,$F$5))^(T$23-1),IF($B$5="Varierer med omsætning",'Omsætningsprognose'!T$17*$E$5,$D$5*(1+IF($F$5="",'Inputantagelser'!$B$24,$F$5))^(T$23-1)+'Omsætningsprognose'!T$17*IF($E$5="",'Inputantagelser'!$B$23,$E$5))))</f>
        <v>47372.177254917435</v>
      </c>
      <c r="U25" s="249" t="n">
        <f>IF($C$5&lt;&gt;"Ja",0,IF($B$5="Fast",$D$5*(1+IF($F$5="",'Inputantagelser'!$B$24,$F$5))^(U$23-1),IF($B$5="Varierer med omsætning",'Omsætningsprognose'!U$17*$E$5,$D$5*(1+IF($F$5="",'Inputantagelser'!$B$24,$F$5))^(U$23-1)+'Omsætningsprognose'!U$17*IF($E$5="",'Inputantagelser'!$B$23,$E$5))))</f>
        <v>47845.89902746661</v>
      </c>
      <c r="V25" s="249" t="n">
        <f>IF($C$5&lt;&gt;"Ja",0,IF($B$5="Fast",$D$5*(1+IF($F$5="",'Inputantagelser'!$B$24,$F$5))^(V$23-1),IF($B$5="Varierer med omsætning",'Omsætningsprognose'!V$17*$E$5,$D$5*(1+IF($F$5="",'Inputantagelser'!$B$24,$F$5))^(V$23-1)+'Omsætningsprognose'!V$17*IF($E$5="",'Inputantagelser'!$B$23,$E$5))))</f>
        <v>48324.358017741266</v>
      </c>
      <c r="W25" s="249" t="n">
        <f>IF($C$5&lt;&gt;"Ja",0,IF($B$5="Fast",$D$5*(1+IF($F$5="",'Inputantagelser'!$B$24,$F$5))^(W$23-1),IF($B$5="Varierer med omsætning",'Omsætningsprognose'!W$17*$E$5,$D$5*(1+IF($F$5="",'Inputantagelser'!$B$24,$F$5))^(W$23-1)+'Omsætningsprognose'!W$17*IF($E$5="",'Inputantagelser'!$B$23,$E$5))))</f>
        <v>48807.601597918685</v>
      </c>
      <c r="X25" s="249" t="n">
        <f>IF($C$5&lt;&gt;"Ja",0,IF($B$5="Fast",$D$5*(1+IF($F$5="",'Inputantagelser'!$B$24,$F$5))^(X$23-1),IF($B$5="Varierer med omsætning",'Omsætningsprognose'!X$17*$E$5,$D$5*(1+IF($F$5="",'Inputantagelser'!$B$24,$F$5))^(X$23-1)+'Omsætningsprognose'!X$17*IF($E$5="",'Inputantagelser'!$B$23,$E$5))))</f>
        <v>49295.67761389786</v>
      </c>
      <c r="Y25" s="249" t="n">
        <f>IF($C$5&lt;&gt;"Ja",0,IF($B$5="Fast",$D$5*(1+IF($F$5="",'Inputantagelser'!$B$24,$F$5))^(Y$23-1),IF($B$5="Varierer med omsætning",'Omsætningsprognose'!Y$17*$E$5,$D$5*(1+IF($F$5="",'Inputantagelser'!$B$24,$F$5))^(Y$23-1)+'Omsætningsprognose'!Y$17*IF($E$5="",'Inputantagelser'!$B$23,$E$5))))</f>
        <v>49788.63439003685</v>
      </c>
      <c r="Z25" s="250" t="n">
        <f>IF($C$5&lt;&gt;"Ja",0,IF($B$5="Fast",$D$5*(1+IF($F$5="",'Inputantagelser'!$B$24,$F$5))^(Z$23-1),IF($B$5="Varierer med omsætning",'Omsætningsprognose'!Z$17*$E$5,$D$5*(1+IF($F$5="",'Inputantagelser'!$B$24,$F$5))^(Z$23-1)+'Omsætningsprognose'!Z$17*IF($E$5="",'Inputantagelser'!$B$23,$E$5))))</f>
        <v>50286.520733937214</v>
      </c>
    </row>
    <row r="26" ht="15" customHeight="true">
      <c r="A26" s="30" t="str">
        <f>$A$6</f>
        <v>云服务/IT</v>
      </c>
      <c r="B26" s="84" t="str">
        <f>$B$6</f>
        <v>Blandet</v>
      </c>
      <c r="C26" s="249" t="n">
        <f>IF($C$6&lt;&gt;"Ja",0,IF($B$6="Fast",$D$6*(1+IF($F$6="",'Inputantagelser'!$B$24,$F$6))^(C$23-1),IF($B$6="Varierer med omsætning",'Omsætningsprognose'!C$17*$E$6,$D$6*(1+IF($F$6="",'Inputantagelser'!$B$24,$F$6))^(C$23-1)+'Omsætningsprognose'!C$17*IF($E$6="",'Inputantagelser'!$B$23,$E$6))))</f>
        <v>18546</v>
      </c>
      <c r="D26" s="249" t="n">
        <f>IF($C$6&lt;&gt;"Ja",0,IF($B$6="Fast",$D$6*(1+IF($F$6="",'Inputantagelser'!$B$24,$F$6))^(D$23-1),IF($B$6="Varierer med omsætning",'Omsætningsprognose'!D$17*$E$6,$D$6*(1+IF($F$6="",'Inputantagelser'!$B$24,$F$6))^(D$23-1)+'Omsætningsprognose'!D$17*IF($E$6="",'Inputantagelser'!$B$23,$E$6))))</f>
        <v>19061.041</v>
      </c>
      <c r="E26" s="249" t="n">
        <f>IF($C$6&lt;&gt;"Ja",0,IF($B$6="Fast",$D$6*(1+IF($F$6="",'Inputantagelser'!$B$24,$F$6))^(E$23-1),IF($B$6="Varierer med omsætning",'Omsætningsprognose'!E$17*$E$6,$D$6*(1+IF($F$6="",'Inputantagelser'!$B$24,$F$6))^(E$23-1)+'Omsætningsprognose'!E$17*IF($E$6="",'Inputantagelser'!$B$23,$E$6))))</f>
        <v>19591.11984</v>
      </c>
      <c r="F26" s="249" t="n">
        <f>IF($C$6&lt;&gt;"Ja",0,IF($B$6="Fast",$D$6*(1+IF($F$6="",'Inputantagelser'!$B$24,$F$6))^(F$23-1),IF($B$6="Varierer med omsætning",'Omsætningsprognose'!F$17*$E$6,$D$6*(1+IF($F$6="",'Inputantagelser'!$B$24,$F$6))^(F$23-1)+'Omsætningsprognose'!F$17*IF($E$6="",'Inputantagelser'!$B$23,$E$6))))</f>
        <v>20136.6835213</v>
      </c>
      <c r="G26" s="249" t="n">
        <f>IF($C$6&lt;&gt;"Ja",0,IF($B$6="Fast",$D$6*(1+IF($F$6="",'Inputantagelser'!$B$24,$F$6))^(G$23-1),IF($B$6="Varierer med omsætning",'Omsætningsprognose'!G$17*$E$6,$D$6*(1+IF($F$6="",'Inputantagelser'!$B$24,$F$6))^(G$23-1)+'Omsætningsprognose'!G$17*IF($E$6="",'Inputantagelser'!$B$23,$E$6))))</f>
        <v>20698.192413900004</v>
      </c>
      <c r="H26" s="249" t="n">
        <f>IF($C$6&lt;&gt;"Ja",0,IF($B$6="Fast",$D$6*(1+IF($F$6="",'Inputantagelser'!$B$24,$F$6))^(H$23-1),IF($B$6="Varierer med omsætning",'Omsætningsprognose'!H$17*$E$6,$D$6*(1+IF($F$6="",'Inputantagelser'!$B$24,$F$6))^(H$23-1)+'Omsætningsprognose'!H$17*IF($E$6="",'Inputantagelser'!$B$23,$E$6))))</f>
        <v>21276.12065714761</v>
      </c>
      <c r="I26" s="249" t="n">
        <f>IF($C$6&lt;&gt;"Ja",0,IF($B$6="Fast",$D$6*(1+IF($F$6="",'Inputantagelser'!$B$24,$F$6))^(I$23-1),IF($B$6="Varierer med omsætning",'Omsætningsprognose'!I$17*$E$6,$D$6*(1+IF($F$6="",'Inputantagelser'!$B$24,$F$6))^(I$23-1)+'Omsætningsprognose'!I$17*IF($E$6="",'Inputantagelser'!$B$23,$E$6))))</f>
        <v>21870.95657240096</v>
      </c>
      <c r="J26" s="249" t="n">
        <f>IF($C$6&lt;&gt;"Ja",0,IF($B$6="Fast",$D$6*(1+IF($F$6="",'Inputantagelser'!$B$24,$F$6))^(J$23-1),IF($B$6="Varierer med omsætning",'Omsætningsprognose'!J$17*$E$6,$D$6*(1+IF($F$6="",'Inputantagelser'!$B$24,$F$6))^(J$23-1)+'Omsætningsprognose'!J$17*IF($E$6="",'Inputantagelser'!$B$23,$E$6))))</f>
        <v>22483.20308806729</v>
      </c>
      <c r="K26" s="249" t="n">
        <f>IF($C$6&lt;&gt;"Ja",0,IF($B$6="Fast",$D$6*(1+IF($F$6="",'Inputantagelser'!$B$24,$F$6))^(K$23-1),IF($B$6="Varierer med omsætning",'Omsætningsprognose'!K$17*$E$6,$D$6*(1+IF($F$6="",'Inputantagelser'!$B$24,$F$6))^(K$23-1)+'Omsætningsprognose'!K$17*IF($E$6="",'Inputantagelser'!$B$23,$E$6))))</f>
        <v>23113.378177388557</v>
      </c>
      <c r="L26" s="249" t="n">
        <f>IF($C$6&lt;&gt;"Ja",0,IF($B$6="Fast",$D$6*(1+IF($F$6="",'Inputantagelser'!$B$24,$F$6))^(L$23-1),IF($B$6="Varierer med omsætning",'Omsætningsprognose'!L$17*$E$6,$D$6*(1+IF($F$6="",'Inputantagelser'!$B$24,$F$6))^(L$23-1)+'Omsætningsprognose'!L$17*IF($E$6="",'Inputantagelser'!$B$23,$E$6))))</f>
        <v>23762.01530935626</v>
      </c>
      <c r="M26" s="249" t="n">
        <f>IF($C$6&lt;&gt;"Ja",0,IF($B$6="Fast",$D$6*(1+IF($F$6="",'Inputantagelser'!$B$24,$F$6))^(M$23-1),IF($B$6="Varierer med omsætning",'Omsætningsprognose'!M$17*$E$6,$D$6*(1+IF($F$6="",'Inputantagelser'!$B$24,$F$6))^(M$23-1)+'Omsætningsprognose'!M$17*IF($E$6="",'Inputantagelser'!$B$23,$E$6))))</f>
        <v>24429.66391314945</v>
      </c>
      <c r="N26" s="249" t="n">
        <f>IF($C$6&lt;&gt;"Ja",0,IF($B$6="Fast",$D$6*(1+IF($F$6="",'Inputantagelser'!$B$24,$F$6))^(N$23-1),IF($B$6="Varierer med omsætning",'Omsætningsprognose'!N$17*$E$6,$D$6*(1+IF($F$6="",'Inputantagelser'!$B$24,$F$6))^(N$23-1)+'Omsætningsprognose'!N$17*IF($E$6="",'Inputantagelser'!$B$23,$E$6))))</f>
        <v>25116.88985650155</v>
      </c>
      <c r="O26" s="249" t="n">
        <f>IF($C$6&lt;&gt;"Ja",0,IF($B$6="Fast",$D$6*(1+IF($F$6="",'Inputantagelser'!$B$24,$F$6))^(O$23-1),IF($B$6="Varierer med omsætning",'Omsætningsprognose'!O$17*$E$6,$D$6*(1+IF($F$6="",'Inputantagelser'!$B$24,$F$6))^(O$23-1)+'Omsætningsprognose'!O$17*IF($E$6="",'Inputantagelser'!$B$23,$E$6))))</f>
        <v>25824.275938413804</v>
      </c>
      <c r="P26" s="249" t="n">
        <f>IF($C$6&lt;&gt;"Ja",0,IF($B$6="Fast",$D$6*(1+IF($F$6="",'Inputantagelser'!$B$24,$F$6))^(P$23-1),IF($B$6="Varierer med omsætning",'Omsætningsprognose'!P$17*$E$6,$D$6*(1+IF($F$6="",'Inputantagelser'!$B$24,$F$6))^(P$23-1)+'Omsætningsprognose'!P$17*IF($E$6="",'Inputantagelser'!$B$23,$E$6))))</f>
        <v>26552.422396645594</v>
      </c>
      <c r="Q26" s="249" t="n">
        <f>IF($C$6&lt;&gt;"Ja",0,IF($B$6="Fast",$D$6*(1+IF($F$6="",'Inputantagelser'!$B$24,$F$6))^(Q$23-1),IF($B$6="Varierer med omsætning",'Omsætningsprognose'!Q$17*$E$6,$D$6*(1+IF($F$6="",'Inputantagelser'!$B$24,$F$6))^(Q$23-1)+'Omsætningsprognose'!Q$17*IF($E$6="",'Inputantagelser'!$B$23,$E$6))))</f>
        <v>27301.947430425127</v>
      </c>
      <c r="R26" s="249" t="n">
        <f>IF($C$6&lt;&gt;"Ja",0,IF($B$6="Fast",$D$6*(1+IF($F$6="",'Inputantagelser'!$B$24,$F$6))^(R$23-1),IF($B$6="Varierer med omsætning",'Omsætningsprognose'!R$17*$E$6,$D$6*(1+IF($F$6="",'Inputantagelser'!$B$24,$F$6))^(R$23-1)+'Omsætningsprognose'!R$17*IF($E$6="",'Inputantagelser'!$B$23,$E$6))))</f>
        <v>28073.48773883685</v>
      </c>
      <c r="S26" s="249" t="n">
        <f>IF($C$6&lt;&gt;"Ja",0,IF($B$6="Fast",$D$6*(1+IF($F$6="",'Inputantagelser'!$B$24,$F$6))^(S$23-1),IF($B$6="Varierer med omsætning",'Omsætningsprognose'!S$17*$E$6,$D$6*(1+IF($F$6="",'Inputantagelser'!$B$24,$F$6))^(S$23-1)+'Omsætningsprognose'!S$17*IF($E$6="",'Inputantagelser'!$B$23,$E$6))))</f>
        <v>28867.699075355922</v>
      </c>
      <c r="T26" s="249" t="n">
        <f>IF($C$6&lt;&gt;"Ja",0,IF($B$6="Fast",$D$6*(1+IF($F$6="",'Inputantagelser'!$B$24,$F$6))^(T$23-1),IF($B$6="Varierer med omsætning",'Omsætningsprognose'!T$17*$E$6,$D$6*(1+IF($F$6="",'Inputantagelser'!$B$24,$F$6))^(T$23-1)+'Omsætningsprognose'!T$17*IF($E$6="",'Inputantagelser'!$B$23,$E$6))))</f>
        <v>29685.256819014096</v>
      </c>
      <c r="U26" s="249" t="n">
        <f>IF($C$6&lt;&gt;"Ja",0,IF($B$6="Fast",$D$6*(1+IF($F$6="",'Inputantagelser'!$B$24,$F$6))^(U$23-1),IF($B$6="Varierer med omsætning",'Omsætningsprognose'!U$17*$E$6,$D$6*(1+IF($F$6="",'Inputantagelser'!$B$24,$F$6))^(U$23-1)+'Omsætningsprognose'!U$17*IF($E$6="",'Inputantagelser'!$B$23,$E$6))))</f>
        <v>30526.856562695993</v>
      </c>
      <c r="V26" s="249" t="n">
        <f>IF($C$6&lt;&gt;"Ja",0,IF($B$6="Fast",$D$6*(1+IF($F$6="",'Inputantagelser'!$B$24,$F$6))^(V$23-1),IF($B$6="Varierer med omsætning",'Omsætningsprognose'!V$17*$E$6,$D$6*(1+IF($F$6="",'Inputantagelser'!$B$24,$F$6))^(V$23-1)+'Omsætningsprognose'!V$17*IF($E$6="",'Inputantagelser'!$B$23,$E$6))))</f>
        <v>31393.21471907946</v>
      </c>
      <c r="W26" s="249" t="n">
        <f>IF($C$6&lt;&gt;"Ja",0,IF($B$6="Fast",$D$6*(1+IF($F$6="",'Inputantagelser'!$B$24,$F$6))^(W$23-1),IF($B$6="Varierer med omsætning",'Omsætningsprognose'!W$17*$E$6,$D$6*(1+IF($F$6="",'Inputantagelser'!$B$24,$F$6))^(W$23-1)+'Omsætningsprognose'!W$17*IF($E$6="",'Inputantagelser'!$B$23,$E$6))))</f>
        <v>32285.06914474946</v>
      </c>
      <c r="X26" s="249" t="n">
        <f>IF($C$6&lt;&gt;"Ja",0,IF($B$6="Fast",$D$6*(1+IF($F$6="",'Inputantagelser'!$B$24,$F$6))^(X$23-1),IF($B$6="Varierer med omsætning",'Omsætningsprognose'!X$17*$E$6,$D$6*(1+IF($F$6="",'Inputantagelser'!$B$24,$F$6))^(X$23-1)+'Omsætningsprognose'!X$17*IF($E$6="",'Inputantagelser'!$B$23,$E$6))))</f>
        <v>33203.17978303053</v>
      </c>
      <c r="Y26" s="249" t="n">
        <f>IF($C$6&lt;&gt;"Ja",0,IF($B$6="Fast",$D$6*(1+IF($F$6="",'Inputantagelser'!$B$24,$F$6))^(Y$23-1),IF($B$6="Varierer med omsætning",'Omsætningsprognose'!Y$17*$E$6,$D$6*(1+IF($F$6="",'Inputantagelser'!$B$24,$F$6))^(Y$23-1)+'Omsætningsprognose'!Y$17*IF($E$6="",'Inputantagelser'!$B$23,$E$6))))</f>
        <v>34148.329326099425</v>
      </c>
      <c r="Z26" s="250" t="n">
        <f>IF($C$6&lt;&gt;"Ja",0,IF($B$6="Fast",$D$6*(1+IF($F$6="",'Inputantagelser'!$B$24,$F$6))^(Z$23-1),IF($B$6="Varierer med omsætning",'Omsætningsprognose'!Z$17*$E$6,$D$6*(1+IF($F$6="",'Inputantagelser'!$B$24,$F$6))^(Z$23-1)+'Omsætningsprognose'!Z$17*IF($E$6="",'Inputantagelser'!$B$23,$E$6))))</f>
        <v>35121.323896956164</v>
      </c>
    </row>
    <row r="27" ht="15" customHeight="true">
      <c r="A27" s="30" t="str">
        <f>$A$7</f>
        <v>Logistik/fulfillment</v>
      </c>
      <c r="B27" s="84" t="str">
        <f>$B$7</f>
        <v>Varierer med omsætning</v>
      </c>
      <c r="C27" s="249" t="n">
        <f>IF($C$7&lt;&gt;"Ja",0,IF($B$7="Fast",$D$7*(1+IF($F$7="",'Inputantagelser'!$B$24,$F$7))^(C$23-1),IF($B$7="Varierer med omsætning",'Omsætningsprognose'!C$17*$E$7,$D$7*(1+IF($F$7="",'Inputantagelser'!$B$24,$F$7))^(C$23-1)+'Omsætningsprognose'!C$17*IF($E$7="",'Inputantagelser'!$B$23,$E$7))))</f>
        <v>0</v>
      </c>
      <c r="D27" s="249" t="n">
        <f>IF($C$7&lt;&gt;"Ja",0,IF($B$7="Fast",$D$7*(1+IF($F$7="",'Inputantagelser'!$B$24,$F$7))^(D$23-1),IF($B$7="Varierer med omsætning",'Omsætningsprognose'!D$17*$E$7,$D$7*(1+IF($F$7="",'Inputantagelser'!$B$24,$F$7))^(D$23-1)+'Omsætningsprognose'!D$17*IF($E$7="",'Inputantagelser'!$B$23,$E$7))))</f>
        <v>0</v>
      </c>
      <c r="E27" s="249" t="n">
        <f>IF($C$7&lt;&gt;"Ja",0,IF($B$7="Fast",$D$7*(1+IF($F$7="",'Inputantagelser'!$B$24,$F$7))^(E$23-1),IF($B$7="Varierer med omsætning",'Omsætningsprognose'!E$17*$E$7,$D$7*(1+IF($F$7="",'Inputantagelser'!$B$24,$F$7))^(E$23-1)+'Omsætningsprognose'!E$17*IF($E$7="",'Inputantagelser'!$B$23,$E$7))))</f>
        <v>0</v>
      </c>
      <c r="F27" s="249" t="n">
        <f>IF($C$7&lt;&gt;"Ja",0,IF($B$7="Fast",$D$7*(1+IF($F$7="",'Inputantagelser'!$B$24,$F$7))^(F$23-1),IF($B$7="Varierer med omsætning",'Omsætningsprognose'!F$17*$E$7,$D$7*(1+IF($F$7="",'Inputantagelser'!$B$24,$F$7))^(F$23-1)+'Omsætningsprognose'!F$17*IF($E$7="",'Inputantagelser'!$B$23,$E$7))))</f>
        <v>0</v>
      </c>
      <c r="G27" s="249" t="n">
        <f>IF($C$7&lt;&gt;"Ja",0,IF($B$7="Fast",$D$7*(1+IF($F$7="",'Inputantagelser'!$B$24,$F$7))^(G$23-1),IF($B$7="Varierer med omsætning",'Omsætningsprognose'!G$17*$E$7,$D$7*(1+IF($F$7="",'Inputantagelser'!$B$24,$F$7))^(G$23-1)+'Omsætningsprognose'!G$17*IF($E$7="",'Inputantagelser'!$B$23,$E$7))))</f>
        <v>0</v>
      </c>
      <c r="H27" s="249" t="n">
        <f>IF($C$7&lt;&gt;"Ja",0,IF($B$7="Fast",$D$7*(1+IF($F$7="",'Inputantagelser'!$B$24,$F$7))^(H$23-1),IF($B$7="Varierer med omsætning",'Omsætningsprognose'!H$17*$E$7,$D$7*(1+IF($F$7="",'Inputantagelser'!$B$24,$F$7))^(H$23-1)+'Omsætningsprognose'!H$17*IF($E$7="",'Inputantagelser'!$B$23,$E$7))))</f>
        <v>0</v>
      </c>
      <c r="I27" s="249" t="n">
        <f>IF($C$7&lt;&gt;"Ja",0,IF($B$7="Fast",$D$7*(1+IF($F$7="",'Inputantagelser'!$B$24,$F$7))^(I$23-1),IF($B$7="Varierer med omsætning",'Omsætningsprognose'!I$17*$E$7,$D$7*(1+IF($F$7="",'Inputantagelser'!$B$24,$F$7))^(I$23-1)+'Omsætningsprognose'!I$17*IF($E$7="",'Inputantagelser'!$B$23,$E$7))))</f>
        <v>0</v>
      </c>
      <c r="J27" s="249" t="n">
        <f>IF($C$7&lt;&gt;"Ja",0,IF($B$7="Fast",$D$7*(1+IF($F$7="",'Inputantagelser'!$B$24,$F$7))^(J$23-1),IF($B$7="Varierer med omsætning",'Omsætningsprognose'!J$17*$E$7,$D$7*(1+IF($F$7="",'Inputantagelser'!$B$24,$F$7))^(J$23-1)+'Omsætningsprognose'!J$17*IF($E$7="",'Inputantagelser'!$B$23,$E$7))))</f>
        <v>0</v>
      </c>
      <c r="K27" s="249" t="n">
        <f>IF($C$7&lt;&gt;"Ja",0,IF($B$7="Fast",$D$7*(1+IF($F$7="",'Inputantagelser'!$B$24,$F$7))^(K$23-1),IF($B$7="Varierer med omsætning",'Omsætningsprognose'!K$17*$E$7,$D$7*(1+IF($F$7="",'Inputantagelser'!$B$24,$F$7))^(K$23-1)+'Omsætningsprognose'!K$17*IF($E$7="",'Inputantagelser'!$B$23,$E$7))))</f>
        <v>0</v>
      </c>
      <c r="L27" s="249" t="n">
        <f>IF($C$7&lt;&gt;"Ja",0,IF($B$7="Fast",$D$7*(1+IF($F$7="",'Inputantagelser'!$B$24,$F$7))^(L$23-1),IF($B$7="Varierer med omsætning",'Omsætningsprognose'!L$17*$E$7,$D$7*(1+IF($F$7="",'Inputantagelser'!$B$24,$F$7))^(L$23-1)+'Omsætningsprognose'!L$17*IF($E$7="",'Inputantagelser'!$B$23,$E$7))))</f>
        <v>0</v>
      </c>
      <c r="M27" s="249" t="n">
        <f>IF($C$7&lt;&gt;"Ja",0,IF($B$7="Fast",$D$7*(1+IF($F$7="",'Inputantagelser'!$B$24,$F$7))^(M$23-1),IF($B$7="Varierer med omsætning",'Omsætningsprognose'!M$17*$E$7,$D$7*(1+IF($F$7="",'Inputantagelser'!$B$24,$F$7))^(M$23-1)+'Omsætningsprognose'!M$17*IF($E$7="",'Inputantagelser'!$B$23,$E$7))))</f>
        <v>0</v>
      </c>
      <c r="N27" s="249" t="n">
        <f>IF($C$7&lt;&gt;"Ja",0,IF($B$7="Fast",$D$7*(1+IF($F$7="",'Inputantagelser'!$B$24,$F$7))^(N$23-1),IF($B$7="Varierer med omsætning",'Omsætningsprognose'!N$17*$E$7,$D$7*(1+IF($F$7="",'Inputantagelser'!$B$24,$F$7))^(N$23-1)+'Omsætningsprognose'!N$17*IF($E$7="",'Inputantagelser'!$B$23,$E$7))))</f>
        <v>0</v>
      </c>
      <c r="O27" s="249" t="n">
        <f>IF($C$7&lt;&gt;"Ja",0,IF($B$7="Fast",$D$7*(1+IF($F$7="",'Inputantagelser'!$B$24,$F$7))^(O$23-1),IF($B$7="Varierer med omsætning",'Omsætningsprognose'!O$17*$E$7,$D$7*(1+IF($F$7="",'Inputantagelser'!$B$24,$F$7))^(O$23-1)+'Omsætningsprognose'!O$17*IF($E$7="",'Inputantagelser'!$B$23,$E$7))))</f>
        <v>0</v>
      </c>
      <c r="P27" s="249" t="n">
        <f>IF($C$7&lt;&gt;"Ja",0,IF($B$7="Fast",$D$7*(1+IF($F$7="",'Inputantagelser'!$B$24,$F$7))^(P$23-1),IF($B$7="Varierer med omsætning",'Omsætningsprognose'!P$17*$E$7,$D$7*(1+IF($F$7="",'Inputantagelser'!$B$24,$F$7))^(P$23-1)+'Omsætningsprognose'!P$17*IF($E$7="",'Inputantagelser'!$B$23,$E$7))))</f>
        <v>0</v>
      </c>
      <c r="Q27" s="249" t="n">
        <f>IF($C$7&lt;&gt;"Ja",0,IF($B$7="Fast",$D$7*(1+IF($F$7="",'Inputantagelser'!$B$24,$F$7))^(Q$23-1),IF($B$7="Varierer med omsætning",'Omsætningsprognose'!Q$17*$E$7,$D$7*(1+IF($F$7="",'Inputantagelser'!$B$24,$F$7))^(Q$23-1)+'Omsætningsprognose'!Q$17*IF($E$7="",'Inputantagelser'!$B$23,$E$7))))</f>
        <v>0</v>
      </c>
      <c r="R27" s="249" t="n">
        <f>IF($C$7&lt;&gt;"Ja",0,IF($B$7="Fast",$D$7*(1+IF($F$7="",'Inputantagelser'!$B$24,$F$7))^(R$23-1),IF($B$7="Varierer med omsætning",'Omsætningsprognose'!R$17*$E$7,$D$7*(1+IF($F$7="",'Inputantagelser'!$B$24,$F$7))^(R$23-1)+'Omsætningsprognose'!R$17*IF($E$7="",'Inputantagelser'!$B$23,$E$7))))</f>
        <v>0</v>
      </c>
      <c r="S27" s="249" t="n">
        <f>IF($C$7&lt;&gt;"Ja",0,IF($B$7="Fast",$D$7*(1+IF($F$7="",'Inputantagelser'!$B$24,$F$7))^(S$23-1),IF($B$7="Varierer med omsætning",'Omsætningsprognose'!S$17*$E$7,$D$7*(1+IF($F$7="",'Inputantagelser'!$B$24,$F$7))^(S$23-1)+'Omsætningsprognose'!S$17*IF($E$7="",'Inputantagelser'!$B$23,$E$7))))</f>
        <v>0</v>
      </c>
      <c r="T27" s="249" t="n">
        <f>IF($C$7&lt;&gt;"Ja",0,IF($B$7="Fast",$D$7*(1+IF($F$7="",'Inputantagelser'!$B$24,$F$7))^(T$23-1),IF($B$7="Varierer med omsætning",'Omsætningsprognose'!T$17*$E$7,$D$7*(1+IF($F$7="",'Inputantagelser'!$B$24,$F$7))^(T$23-1)+'Omsætningsprognose'!T$17*IF($E$7="",'Inputantagelser'!$B$23,$E$7))))</f>
        <v>0</v>
      </c>
      <c r="U27" s="249" t="n">
        <f>IF($C$7&lt;&gt;"Ja",0,IF($B$7="Fast",$D$7*(1+IF($F$7="",'Inputantagelser'!$B$24,$F$7))^(U$23-1),IF($B$7="Varierer med omsætning",'Omsætningsprognose'!U$17*$E$7,$D$7*(1+IF($F$7="",'Inputantagelser'!$B$24,$F$7))^(U$23-1)+'Omsætningsprognose'!U$17*IF($E$7="",'Inputantagelser'!$B$23,$E$7))))</f>
        <v>0</v>
      </c>
      <c r="V27" s="249" t="n">
        <f>IF($C$7&lt;&gt;"Ja",0,IF($B$7="Fast",$D$7*(1+IF($F$7="",'Inputantagelser'!$B$24,$F$7))^(V$23-1),IF($B$7="Varierer med omsætning",'Omsætningsprognose'!V$17*$E$7,$D$7*(1+IF($F$7="",'Inputantagelser'!$B$24,$F$7))^(V$23-1)+'Omsætningsprognose'!V$17*IF($E$7="",'Inputantagelser'!$B$23,$E$7))))</f>
        <v>0</v>
      </c>
      <c r="W27" s="249" t="n">
        <f>IF($C$7&lt;&gt;"Ja",0,IF($B$7="Fast",$D$7*(1+IF($F$7="",'Inputantagelser'!$B$24,$F$7))^(W$23-1),IF($B$7="Varierer med omsætning",'Omsætningsprognose'!W$17*$E$7,$D$7*(1+IF($F$7="",'Inputantagelser'!$B$24,$F$7))^(W$23-1)+'Omsætningsprognose'!W$17*IF($E$7="",'Inputantagelser'!$B$23,$E$7))))</f>
        <v>0</v>
      </c>
      <c r="X27" s="249" t="n">
        <f>IF($C$7&lt;&gt;"Ja",0,IF($B$7="Fast",$D$7*(1+IF($F$7="",'Inputantagelser'!$B$24,$F$7))^(X$23-1),IF($B$7="Varierer med omsætning",'Omsætningsprognose'!X$17*$E$7,$D$7*(1+IF($F$7="",'Inputantagelser'!$B$24,$F$7))^(X$23-1)+'Omsætningsprognose'!X$17*IF($E$7="",'Inputantagelser'!$B$23,$E$7))))</f>
        <v>0</v>
      </c>
      <c r="Y27" s="249" t="n">
        <f>IF($C$7&lt;&gt;"Ja",0,IF($B$7="Fast",$D$7*(1+IF($F$7="",'Inputantagelser'!$B$24,$F$7))^(Y$23-1),IF($B$7="Varierer med omsætning",'Omsætningsprognose'!Y$17*$E$7,$D$7*(1+IF($F$7="",'Inputantagelser'!$B$24,$F$7))^(Y$23-1)+'Omsætningsprognose'!Y$17*IF($E$7="",'Inputantagelser'!$B$23,$E$7))))</f>
        <v>0</v>
      </c>
      <c r="Z27" s="250" t="n">
        <f>IF($C$7&lt;&gt;"Ja",0,IF($B$7="Fast",$D$7*(1+IF($F$7="",'Inputantagelser'!$B$24,$F$7))^(Z$23-1),IF($B$7="Varierer med omsætning",'Omsætningsprognose'!Z$17*$E$7,$D$7*(1+IF($F$7="",'Inputantagelser'!$B$24,$F$7))^(Z$23-1)+'Omsætningsprognose'!Z$17*IF($E$7="",'Inputantagelser'!$B$23,$E$7))))</f>
        <v>0</v>
      </c>
    </row>
    <row r="28" ht="15" customHeight="true">
      <c r="A28" s="30" t="str">
        <f>$A$8</f>
        <v>Materialer/outsourcing</v>
      </c>
      <c r="B28" s="84" t="str">
        <f>$B$8</f>
        <v>Varierer med omsætning</v>
      </c>
      <c r="C28" s="249" t="n">
        <f>IF($C$8&lt;&gt;"Ja",0,IF($B$8="Fast",$D$8*(1+IF($F$8="",'Inputantagelser'!$B$24,$F$8))^(C$23-1),IF($B$8="Varierer med omsætning",'Omsætningsprognose'!C$17*$E$8,$D$8*(1+IF($F$8="",'Inputantagelser'!$B$24,$F$8))^(C$23-1)+'Omsætningsprognose'!C$17*IF($E$8="",'Inputantagelser'!$B$23,$E$8))))</f>
        <v>0</v>
      </c>
      <c r="D28" s="249" t="n">
        <f>IF($C$8&lt;&gt;"Ja",0,IF($B$8="Fast",$D$8*(1+IF($F$8="",'Inputantagelser'!$B$24,$F$8))^(D$23-1),IF($B$8="Varierer med omsætning",'Omsætningsprognose'!D$17*$E$8,$D$8*(1+IF($F$8="",'Inputantagelser'!$B$24,$F$8))^(D$23-1)+'Omsætningsprognose'!D$17*IF($E$8="",'Inputantagelser'!$B$23,$E$8))))</f>
        <v>0</v>
      </c>
      <c r="E28" s="249" t="n">
        <f>IF($C$8&lt;&gt;"Ja",0,IF($B$8="Fast",$D$8*(1+IF($F$8="",'Inputantagelser'!$B$24,$F$8))^(E$23-1),IF($B$8="Varierer med omsætning",'Omsætningsprognose'!E$17*$E$8,$D$8*(1+IF($F$8="",'Inputantagelser'!$B$24,$F$8))^(E$23-1)+'Omsætningsprognose'!E$17*IF($E$8="",'Inputantagelser'!$B$23,$E$8))))</f>
        <v>0</v>
      </c>
      <c r="F28" s="249" t="n">
        <f>IF($C$8&lt;&gt;"Ja",0,IF($B$8="Fast",$D$8*(1+IF($F$8="",'Inputantagelser'!$B$24,$F$8))^(F$23-1),IF($B$8="Varierer med omsætning",'Omsætningsprognose'!F$17*$E$8,$D$8*(1+IF($F$8="",'Inputantagelser'!$B$24,$F$8))^(F$23-1)+'Omsætningsprognose'!F$17*IF($E$8="",'Inputantagelser'!$B$23,$E$8))))</f>
        <v>0</v>
      </c>
      <c r="G28" s="249" t="n">
        <f>IF($C$8&lt;&gt;"Ja",0,IF($B$8="Fast",$D$8*(1+IF($F$8="",'Inputantagelser'!$B$24,$F$8))^(G$23-1),IF($B$8="Varierer med omsætning",'Omsætningsprognose'!G$17*$E$8,$D$8*(1+IF($F$8="",'Inputantagelser'!$B$24,$F$8))^(G$23-1)+'Omsætningsprognose'!G$17*IF($E$8="",'Inputantagelser'!$B$23,$E$8))))</f>
        <v>0</v>
      </c>
      <c r="H28" s="249" t="n">
        <f>IF($C$8&lt;&gt;"Ja",0,IF($B$8="Fast",$D$8*(1+IF($F$8="",'Inputantagelser'!$B$24,$F$8))^(H$23-1),IF($B$8="Varierer med omsætning",'Omsætningsprognose'!H$17*$E$8,$D$8*(1+IF($F$8="",'Inputantagelser'!$B$24,$F$8))^(H$23-1)+'Omsætningsprognose'!H$17*IF($E$8="",'Inputantagelser'!$B$23,$E$8))))</f>
        <v>0</v>
      </c>
      <c r="I28" s="249" t="n">
        <f>IF($C$8&lt;&gt;"Ja",0,IF($B$8="Fast",$D$8*(1+IF($F$8="",'Inputantagelser'!$B$24,$F$8))^(I$23-1),IF($B$8="Varierer med omsætning",'Omsætningsprognose'!I$17*$E$8,$D$8*(1+IF($F$8="",'Inputantagelser'!$B$24,$F$8))^(I$23-1)+'Omsætningsprognose'!I$17*IF($E$8="",'Inputantagelser'!$B$23,$E$8))))</f>
        <v>0</v>
      </c>
      <c r="J28" s="249" t="n">
        <f>IF($C$8&lt;&gt;"Ja",0,IF($B$8="Fast",$D$8*(1+IF($F$8="",'Inputantagelser'!$B$24,$F$8))^(J$23-1),IF($B$8="Varierer med omsætning",'Omsætningsprognose'!J$17*$E$8,$D$8*(1+IF($F$8="",'Inputantagelser'!$B$24,$F$8))^(J$23-1)+'Omsætningsprognose'!J$17*IF($E$8="",'Inputantagelser'!$B$23,$E$8))))</f>
        <v>0</v>
      </c>
      <c r="K28" s="249" t="n">
        <f>IF($C$8&lt;&gt;"Ja",0,IF($B$8="Fast",$D$8*(1+IF($F$8="",'Inputantagelser'!$B$24,$F$8))^(K$23-1),IF($B$8="Varierer med omsætning",'Omsætningsprognose'!K$17*$E$8,$D$8*(1+IF($F$8="",'Inputantagelser'!$B$24,$F$8))^(K$23-1)+'Omsætningsprognose'!K$17*IF($E$8="",'Inputantagelser'!$B$23,$E$8))))</f>
        <v>0</v>
      </c>
      <c r="L28" s="249" t="n">
        <f>IF($C$8&lt;&gt;"Ja",0,IF($B$8="Fast",$D$8*(1+IF($F$8="",'Inputantagelser'!$B$24,$F$8))^(L$23-1),IF($B$8="Varierer med omsætning",'Omsætningsprognose'!L$17*$E$8,$D$8*(1+IF($F$8="",'Inputantagelser'!$B$24,$F$8))^(L$23-1)+'Omsætningsprognose'!L$17*IF($E$8="",'Inputantagelser'!$B$23,$E$8))))</f>
        <v>0</v>
      </c>
      <c r="M28" s="249" t="n">
        <f>IF($C$8&lt;&gt;"Ja",0,IF($B$8="Fast",$D$8*(1+IF($F$8="",'Inputantagelser'!$B$24,$F$8))^(M$23-1),IF($B$8="Varierer med omsætning",'Omsætningsprognose'!M$17*$E$8,$D$8*(1+IF($F$8="",'Inputantagelser'!$B$24,$F$8))^(M$23-1)+'Omsætningsprognose'!M$17*IF($E$8="",'Inputantagelser'!$B$23,$E$8))))</f>
        <v>0</v>
      </c>
      <c r="N28" s="249" t="n">
        <f>IF($C$8&lt;&gt;"Ja",0,IF($B$8="Fast",$D$8*(1+IF($F$8="",'Inputantagelser'!$B$24,$F$8))^(N$23-1),IF($B$8="Varierer med omsætning",'Omsætningsprognose'!N$17*$E$8,$D$8*(1+IF($F$8="",'Inputantagelser'!$B$24,$F$8))^(N$23-1)+'Omsætningsprognose'!N$17*IF($E$8="",'Inputantagelser'!$B$23,$E$8))))</f>
        <v>0</v>
      </c>
      <c r="O28" s="249" t="n">
        <f>IF($C$8&lt;&gt;"Ja",0,IF($B$8="Fast",$D$8*(1+IF($F$8="",'Inputantagelser'!$B$24,$F$8))^(O$23-1),IF($B$8="Varierer med omsætning",'Omsætningsprognose'!O$17*$E$8,$D$8*(1+IF($F$8="",'Inputantagelser'!$B$24,$F$8))^(O$23-1)+'Omsætningsprognose'!O$17*IF($E$8="",'Inputantagelser'!$B$23,$E$8))))</f>
        <v>0</v>
      </c>
      <c r="P28" s="249" t="n">
        <f>IF($C$8&lt;&gt;"Ja",0,IF($B$8="Fast",$D$8*(1+IF($F$8="",'Inputantagelser'!$B$24,$F$8))^(P$23-1),IF($B$8="Varierer med omsætning",'Omsætningsprognose'!P$17*$E$8,$D$8*(1+IF($F$8="",'Inputantagelser'!$B$24,$F$8))^(P$23-1)+'Omsætningsprognose'!P$17*IF($E$8="",'Inputantagelser'!$B$23,$E$8))))</f>
        <v>0</v>
      </c>
      <c r="Q28" s="249" t="n">
        <f>IF($C$8&lt;&gt;"Ja",0,IF($B$8="Fast",$D$8*(1+IF($F$8="",'Inputantagelser'!$B$24,$F$8))^(Q$23-1),IF($B$8="Varierer med omsætning",'Omsætningsprognose'!Q$17*$E$8,$D$8*(1+IF($F$8="",'Inputantagelser'!$B$24,$F$8))^(Q$23-1)+'Omsætningsprognose'!Q$17*IF($E$8="",'Inputantagelser'!$B$23,$E$8))))</f>
        <v>0</v>
      </c>
      <c r="R28" s="249" t="n">
        <f>IF($C$8&lt;&gt;"Ja",0,IF($B$8="Fast",$D$8*(1+IF($F$8="",'Inputantagelser'!$B$24,$F$8))^(R$23-1),IF($B$8="Varierer med omsætning",'Omsætningsprognose'!R$17*$E$8,$D$8*(1+IF($F$8="",'Inputantagelser'!$B$24,$F$8))^(R$23-1)+'Omsætningsprognose'!R$17*IF($E$8="",'Inputantagelser'!$B$23,$E$8))))</f>
        <v>0</v>
      </c>
      <c r="S28" s="249" t="n">
        <f>IF($C$8&lt;&gt;"Ja",0,IF($B$8="Fast",$D$8*(1+IF($F$8="",'Inputantagelser'!$B$24,$F$8))^(S$23-1),IF($B$8="Varierer med omsætning",'Omsætningsprognose'!S$17*$E$8,$D$8*(1+IF($F$8="",'Inputantagelser'!$B$24,$F$8))^(S$23-1)+'Omsætningsprognose'!S$17*IF($E$8="",'Inputantagelser'!$B$23,$E$8))))</f>
        <v>0</v>
      </c>
      <c r="T28" s="249" t="n">
        <f>IF($C$8&lt;&gt;"Ja",0,IF($B$8="Fast",$D$8*(1+IF($F$8="",'Inputantagelser'!$B$24,$F$8))^(T$23-1),IF($B$8="Varierer med omsætning",'Omsætningsprognose'!T$17*$E$8,$D$8*(1+IF($F$8="",'Inputantagelser'!$B$24,$F$8))^(T$23-1)+'Omsætningsprognose'!T$17*IF($E$8="",'Inputantagelser'!$B$23,$E$8))))</f>
        <v>0</v>
      </c>
      <c r="U28" s="249" t="n">
        <f>IF($C$8&lt;&gt;"Ja",0,IF($B$8="Fast",$D$8*(1+IF($F$8="",'Inputantagelser'!$B$24,$F$8))^(U$23-1),IF($B$8="Varierer med omsætning",'Omsætningsprognose'!U$17*$E$8,$D$8*(1+IF($F$8="",'Inputantagelser'!$B$24,$F$8))^(U$23-1)+'Omsætningsprognose'!U$17*IF($E$8="",'Inputantagelser'!$B$23,$E$8))))</f>
        <v>0</v>
      </c>
      <c r="V28" s="249" t="n">
        <f>IF($C$8&lt;&gt;"Ja",0,IF($B$8="Fast",$D$8*(1+IF($F$8="",'Inputantagelser'!$B$24,$F$8))^(V$23-1),IF($B$8="Varierer med omsætning",'Omsætningsprognose'!V$17*$E$8,$D$8*(1+IF($F$8="",'Inputantagelser'!$B$24,$F$8))^(V$23-1)+'Omsætningsprognose'!V$17*IF($E$8="",'Inputantagelser'!$B$23,$E$8))))</f>
        <v>0</v>
      </c>
      <c r="W28" s="249" t="n">
        <f>IF($C$8&lt;&gt;"Ja",0,IF($B$8="Fast",$D$8*(1+IF($F$8="",'Inputantagelser'!$B$24,$F$8))^(W$23-1),IF($B$8="Varierer med omsætning",'Omsætningsprognose'!W$17*$E$8,$D$8*(1+IF($F$8="",'Inputantagelser'!$B$24,$F$8))^(W$23-1)+'Omsætningsprognose'!W$17*IF($E$8="",'Inputantagelser'!$B$23,$E$8))))</f>
        <v>0</v>
      </c>
      <c r="X28" s="249" t="n">
        <f>IF($C$8&lt;&gt;"Ja",0,IF($B$8="Fast",$D$8*(1+IF($F$8="",'Inputantagelser'!$B$24,$F$8))^(X$23-1),IF($B$8="Varierer med omsætning",'Omsætningsprognose'!X$17*$E$8,$D$8*(1+IF($F$8="",'Inputantagelser'!$B$24,$F$8))^(X$23-1)+'Omsætningsprognose'!X$17*IF($E$8="",'Inputantagelser'!$B$23,$E$8))))</f>
        <v>0</v>
      </c>
      <c r="Y28" s="249" t="n">
        <f>IF($C$8&lt;&gt;"Ja",0,IF($B$8="Fast",$D$8*(1+IF($F$8="",'Inputantagelser'!$B$24,$F$8))^(Y$23-1),IF($B$8="Varierer med omsætning",'Omsætningsprognose'!Y$17*$E$8,$D$8*(1+IF($F$8="",'Inputantagelser'!$B$24,$F$8))^(Y$23-1)+'Omsætningsprognose'!Y$17*IF($E$8="",'Inputantagelser'!$B$23,$E$8))))</f>
        <v>0</v>
      </c>
      <c r="Z28" s="250" t="n">
        <f>IF($C$8&lt;&gt;"Ja",0,IF($B$8="Fast",$D$8*(1+IF($F$8="",'Inputantagelser'!$B$24,$F$8))^(Z$23-1),IF($B$8="Varierer med omsætning",'Omsætningsprognose'!Z$17*$E$8,$D$8*(1+IF($F$8="",'Inputantagelser'!$B$24,$F$8))^(Z$23-1)+'Omsætningsprognose'!Z$17*IF($E$8="",'Inputantagelser'!$B$23,$E$8))))</f>
        <v>0</v>
      </c>
    </row>
    <row r="29" ht="15" customHeight="true">
      <c r="A29" s="30" t="str">
        <f>$A$9</f>
        <v>Marketingforbrug</v>
      </c>
      <c r="B29" s="84" t="str">
        <f>$B$9</f>
        <v>Blandet</v>
      </c>
      <c r="C29" s="249" t="n">
        <f>IF($C$9&lt;&gt;"Ja",0,IF($B$9="Fast",$D$9*(1+IF($F$9="",'Inputantagelser'!$B$24,$F$9))^(C$23-1),IF($B$9="Varierer med omsætning",'Omsætningsprognose'!C$17*$E$9,$D$9*(1+IF($F$9="",'Inputantagelser'!$B$24,$F$9))^(C$23-1)+'Omsætningsprognose'!C$17*IF($E$9="",'Inputantagelser'!$B$23,$E$9))))</f>
        <v>46595</v>
      </c>
      <c r="D29" s="249" t="n">
        <f>IF($C$9&lt;&gt;"Ja",0,IF($B$9="Fast",$D$9*(1+IF($F$9="",'Inputantagelser'!$B$24,$F$9))^(D$23-1),IF($B$9="Varierer med omsætning",'Omsætningsprognose'!D$17*$E$9,$D$9*(1+IF($F$9="",'Inputantagelser'!$B$24,$F$9))^(D$23-1)+'Omsætningsprognose'!D$17*IF($E$9="",'Inputantagelser'!$B$23,$E$9))))</f>
        <v>49532.807499999995</v>
      </c>
      <c r="E29" s="249" t="n">
        <f>IF($C$9&lt;&gt;"Ja",0,IF($B$9="Fast",$D$9*(1+IF($F$9="",'Inputantagelser'!$B$24,$F$9))^(E$23-1),IF($B$9="Varierer med omsætning",'Omsætningsprognose'!E$17*$E$9,$D$9*(1+IF($F$9="",'Inputantagelser'!$B$24,$F$9))^(E$23-1)+'Omsætningsprognose'!E$17*IF($E$9="",'Inputantagelser'!$B$23,$E$9))))</f>
        <v>52574.148799999995</v>
      </c>
      <c r="F29" s="249" t="n">
        <f>IF($C$9&lt;&gt;"Ja",0,IF($B$9="Fast",$D$9*(1+IF($F$9="",'Inputantagelser'!$B$24,$F$9))^(F$23-1),IF($B$9="Varierer med omsætning",'Omsætningsprognose'!F$17*$E$9,$D$9*(1+IF($F$9="",'Inputantagelser'!$B$24,$F$9))^(F$23-1)+'Omsætningsprognose'!F$17*IF($E$9="",'Inputantagelser'!$B$23,$E$9))))</f>
        <v>55722.283909750004</v>
      </c>
      <c r="G29" s="249" t="n">
        <f>IF($C$9&lt;&gt;"Ja",0,IF($B$9="Fast",$D$9*(1+IF($F$9="",'Inputantagelser'!$B$24,$F$9))^(G$23-1),IF($B$9="Varierer med omsætning",'Omsætningsprognose'!G$17*$E$9,$D$9*(1+IF($F$9="",'Inputantagelser'!$B$24,$F$9))^(G$23-1)+'Omsætningsprognose'!G$17*IF($E$9="",'Inputantagelser'!$B$23,$E$9))))</f>
        <v>58980.57217925001</v>
      </c>
      <c r="H29" s="249" t="n">
        <f>IF($C$9&lt;&gt;"Ja",0,IF($B$9="Fast",$D$9*(1+IF($F$9="",'Inputantagelser'!$B$24,$F$9))^(H$23-1),IF($B$9="Varierer med omsætning",'Omsætningsprognose'!H$17*$E$9,$D$9*(1+IF($F$9="",'Inputantagelser'!$B$24,$F$9))^(H$23-1)+'Omsætningsprognose'!H$17*IF($E$9="",'Inputantagelser'!$B$23,$E$9))))</f>
        <v>62352.47529435708</v>
      </c>
      <c r="I29" s="249" t="n">
        <f>IF($C$9&lt;&gt;"Ja",0,IF($B$9="Fast",$D$9*(1+IF($F$9="",'Inputantagelser'!$B$24,$F$9))^(I$23-1),IF($B$9="Varierer med omsætning",'Omsætningsprognose'!I$17*$E$9,$D$9*(1+IF($F$9="",'Inputantagelser'!$B$24,$F$9))^(I$23-1)+'Omsætningsprognose'!I$17*IF($E$9="",'Inputantagelser'!$B$23,$E$9))))</f>
        <v>65841.56036241466</v>
      </c>
      <c r="J29" s="249" t="n">
        <f>IF($C$9&lt;&gt;"Ja",0,IF($B$9="Fast",$D$9*(1+IF($F$9="",'Inputantagelser'!$B$24,$F$9))^(J$23-1),IF($B$9="Varierer med omsætning",'Omsætningsprognose'!J$17*$E$9,$D$9*(1+IF($F$9="",'Inputantagelser'!$B$24,$F$9))^(J$23-1)+'Omsætningsprognose'!J$17*IF($E$9="",'Inputantagelser'!$B$23,$E$9))))</f>
        <v>69451.50309060625</v>
      </c>
      <c r="K29" s="249" t="n">
        <f>IF($C$9&lt;&gt;"Ja",0,IF($B$9="Fast",$D$9*(1+IF($F$9="",'Inputantagelser'!$B$24,$F$9))^(K$23-1),IF($B$9="Varierer med omsætning",'Omsætningsprognose'!K$17*$E$9,$D$9*(1+IF($F$9="",'Inputantagelser'!$B$24,$F$9))^(K$23-1)+'Omsætningsprognose'!K$17*IF($E$9="",'Inputantagelser'!$B$23,$E$9))))</f>
        <v>73186.09105981677</v>
      </c>
      <c r="L29" s="249" t="n">
        <f>IF($C$9&lt;&gt;"Ja",0,IF($B$9="Fast",$D$9*(1+IF($F$9="",'Inputantagelser'!$B$24,$F$9))^(L$23-1),IF($B$9="Varierer med omsætning",'Omsætningsprognose'!L$17*$E$9,$D$9*(1+IF($F$9="",'Inputantagelser'!$B$24,$F$9))^(L$23-1)+'Omsætningsprognose'!L$17*IF($E$9="",'Inputantagelser'!$B$23,$E$9))))</f>
        <v>77049.22709686853</v>
      </c>
      <c r="M29" s="249" t="n">
        <f>IF($C$9&lt;&gt;"Ja",0,IF($B$9="Fast",$D$9*(1+IF($F$9="",'Inputantagelser'!$B$24,$F$9))^(M$23-1),IF($B$9="Varierer med omsætning",'Omsætningsprognose'!M$17*$E$9,$D$9*(1+IF($F$9="",'Inputantagelser'!$B$24,$F$9))^(M$23-1)+'Omsætningsprognose'!M$17*IF($E$9="",'Inputantagelser'!$B$23,$E$9))))</f>
        <v>81044.93274808441</v>
      </c>
      <c r="N29" s="249" t="n">
        <f>IF($C$9&lt;&gt;"Ja",0,IF($B$9="Fast",$D$9*(1+IF($F$9="",'Inputantagelser'!$B$24,$F$9))^(N$23-1),IF($B$9="Varierer med omsætning",'Omsætningsprognose'!N$17*$E$9,$D$9*(1+IF($F$9="",'Inputantagelser'!$B$24,$F$9))^(N$23-1)+'Omsætningsprognose'!N$17*IF($E$9="",'Inputantagelser'!$B$23,$E$9))))</f>
        <v>85177.35185721987</v>
      </c>
      <c r="O29" s="249" t="n">
        <f>IF($C$9&lt;&gt;"Ja",0,IF($B$9="Fast",$D$9*(1+IF($F$9="",'Inputantagelser'!$B$24,$F$9))^(O$23-1),IF($B$9="Varierer med omsætning",'Omsætningsprognose'!O$17*$E$9,$D$9*(1+IF($F$9="",'Inputantagelser'!$B$24,$F$9))^(O$23-1)+'Omsætningsprognose'!O$17*IF($E$9="",'Inputantagelser'!$B$23,$E$9))))</f>
        <v>89450.75425089631</v>
      </c>
      <c r="P29" s="249" t="n">
        <f>IF($C$9&lt;&gt;"Ja",0,IF($B$9="Fast",$D$9*(1+IF($F$9="",'Inputantagelser'!$B$24,$F$9))^(P$23-1),IF($B$9="Varierer med omsætning",'Omsætningsprognose'!P$17*$E$9,$D$9*(1+IF($F$9="",'Inputantagelser'!$B$24,$F$9))^(P$23-1)+'Omsætningsprognose'!P$17*IF($E$9="",'Inputantagelser'!$B$23,$E$9))))</f>
        <v>93869.53953476265</v>
      </c>
      <c r="Q29" s="249" t="n">
        <f>IF($C$9&lt;&gt;"Ja",0,IF($B$9="Fast",$D$9*(1+IF($F$9="",'Inputantagelser'!$B$24,$F$9))^(Q$23-1),IF($B$9="Varierer med omsætning",'Omsætningsprognose'!Q$17*$E$9,$D$9*(1+IF($F$9="",'Inputantagelser'!$B$24,$F$9))^(Q$23-1)+'Omsætningsprognose'!Q$17*IF($E$9="",'Inputantagelser'!$B$23,$E$9))))</f>
        <v>98438.24100370839</v>
      </c>
      <c r="R29" s="249" t="n">
        <f>IF($C$9&lt;&gt;"Ja",0,IF($B$9="Fast",$D$9*(1+IF($F$9="",'Inputantagelser'!$B$24,$F$9))^(R$23-1),IF($B$9="Varierer med omsætning",'Omsætningsprognose'!R$17*$E$9,$D$9*(1+IF($F$9="",'Inputantagelser'!$B$24,$F$9))^(R$23-1)+'Omsætningsprognose'!R$17*IF($E$9="",'Inputantagelser'!$B$23,$E$9))))</f>
        <v>103161.52966955153</v>
      </c>
      <c r="S29" s="249" t="n">
        <f>IF($C$9&lt;&gt;"Ja",0,IF($B$9="Fast",$D$9*(1+IF($F$9="",'Inputantagelser'!$B$24,$F$9))^(S$23-1),IF($B$9="Varierer med omsætning",'Omsætningsprognose'!S$17*$E$9,$D$9*(1+IF($F$9="",'Inputantagelser'!$B$24,$F$9))^(S$23-1)+'Omsætningsprognose'!S$17*IF($E$9="",'Inputantagelser'!$B$23,$E$9))))</f>
        <v>108044.21840972727</v>
      </c>
      <c r="T29" s="249" t="n">
        <f>IF($C$9&lt;&gt;"Ja",0,IF($B$9="Fast",$D$9*(1+IF($F$9="",'Inputantagelser'!$B$24,$F$9))^(T$23-1),IF($B$9="Varierer med omsætning",'Omsætningsprognose'!T$17*$E$9,$D$9*(1+IF($F$9="",'Inputantagelser'!$B$24,$F$9))^(T$23-1)+'Omsætningsprognose'!T$17*IF($E$9="",'Inputantagelser'!$B$23,$E$9))))</f>
        <v>113091.26624060917</v>
      </c>
      <c r="U29" s="249" t="n">
        <f>IF($C$9&lt;&gt;"Ja",0,IF($B$9="Fast",$D$9*(1+IF($F$9="",'Inputantagelser'!$B$24,$F$9))^(U$23-1),IF($B$9="Varierer med omsætning",'Omsætningsprognose'!U$17*$E$9,$D$9*(1+IF($F$9="",'Inputantagelser'!$B$24,$F$9))^(U$23-1)+'Omsætningsprognose'!U$17*IF($E$9="",'Inputantagelser'!$B$23,$E$9))))</f>
        <v>118307.7827192034</v>
      </c>
      <c r="V29" s="249" t="n">
        <f>IF($C$9&lt;&gt;"Ja",0,IF($B$9="Fast",$D$9*(1+IF($F$9="",'Inputantagelser'!$B$24,$F$9))^(V$23-1),IF($B$9="Varierer med omsætning",'Omsætningsprognose'!V$17*$E$9,$D$9*(1+IF($F$9="",'Inputantagelser'!$B$24,$F$9))^(V$23-1)+'Omsætningsprognose'!V$17*IF($E$9="",'Inputantagelser'!$B$23,$E$9))))</f>
        <v>123699.03247706927</v>
      </c>
      <c r="W29" s="249" t="n">
        <f>IF($C$9&lt;&gt;"Ja",0,IF($B$9="Fast",$D$9*(1+IF($F$9="",'Inputantagelser'!$B$24,$F$9))^(W$23-1),IF($B$9="Varierer med omsætning",'Omsætningsprognose'!W$17*$E$9,$D$9*(1+IF($F$9="",'Inputantagelser'!$B$24,$F$9))^(W$23-1)+'Omsætningsprognose'!W$17*IF($E$9="",'Inputantagelser'!$B$23,$E$9))))</f>
        <v>129270.439890434</v>
      </c>
      <c r="X29" s="249" t="n">
        <f>IF($C$9&lt;&gt;"Ja",0,IF($B$9="Fast",$D$9*(1+IF($F$9="",'Inputantagelser'!$B$24,$F$9))^(X$23-1),IF($B$9="Varierer med omsætning",'Omsætningsprognose'!X$17*$E$9,$D$9*(1+IF($F$9="",'Inputantagelser'!$B$24,$F$9))^(X$23-1)+'Omsætningsprognose'!X$17*IF($E$9="",'Inputantagelser'!$B$23,$E$9))))</f>
        <v>135027.59389059016</v>
      </c>
      <c r="Y29" s="249" t="n">
        <f>IF($C$9&lt;&gt;"Ja",0,IF($B$9="Fast",$D$9*(1+IF($F$9="",'Inputantagelser'!$B$24,$F$9))^(Y$23-1),IF($B$9="Varierer med omsætning",'Omsætningsprognose'!Y$17*$E$9,$D$9*(1+IF($F$9="",'Inputantagelser'!$B$24,$F$9))^(Y$23-1)+'Omsætningsprognose'!Y$17*IF($E$9="",'Inputantagelser'!$B$23,$E$9))))</f>
        <v>140976.25291878547</v>
      </c>
      <c r="Z29" s="250" t="n">
        <f>IF($C$9&lt;&gt;"Ja",0,IF($B$9="Fast",$D$9*(1+IF($F$9="",'Inputantagelser'!$B$24,$F$9))^(Z$23-1),IF($B$9="Varierer med omsætning",'Omsætningsprognose'!Z$17*$E$9,$D$9*(1+IF($F$9="",'Inputantagelser'!$B$24,$F$9))^(Z$23-1)+'Omsætningsprognose'!Z$17*IF($E$9="",'Inputantagelser'!$B$23,$E$9))))</f>
        <v>147122.35002994142</v>
      </c>
    </row>
    <row r="30" ht="15" customHeight="true">
      <c r="A30" s="30" t="str">
        <f>$A$10</f>
        <v>Salgsprovision</v>
      </c>
      <c r="B30" s="84" t="str">
        <f>$B$10</f>
        <v>Varierer med omsætning</v>
      </c>
      <c r="C30" s="249" t="n">
        <f>IF($C$10&lt;&gt;"Ja",0,IF($B$10="Fast",$D$10*(1+IF($F$10="",'Inputantagelser'!$B$24,$F$10))^(C$23-1),IF($B$10="Varierer med omsætning",'Omsætningsprognose'!C$17*$E$10,$D$10*(1+IF($F$10="",'Inputantagelser'!$B$24,$F$10))^(C$23-1)+'Omsætningsprognose'!C$17*IF($E$10="",'Inputantagelser'!$B$23,$E$10))))</f>
        <v>8865</v>
      </c>
      <c r="D30" s="249" t="n">
        <f>IF($C$10&lt;&gt;"Ja",0,IF($B$10="Fast",$D$10*(1+IF($F$10="",'Inputantagelser'!$B$24,$F$10))^(D$23-1),IF($B$10="Varierer med omsætning",'Omsætningsprognose'!D$17*$E$10,$D$10*(1+IF($F$10="",'Inputantagelser'!$B$24,$F$10))^(D$23-1)+'Omsætningsprognose'!D$17*IF($E$10="",'Inputantagelser'!$B$23,$E$10))))</f>
        <v>9777.602499999999</v>
      </c>
      <c r="E30" s="249" t="n">
        <f>IF($C$10&lt;&gt;"Ja",0,IF($B$10="Fast",$D$10*(1+IF($F$10="",'Inputantagelser'!$B$24,$F$10))^(E$23-1),IF($B$10="Varierer med omsætning",'Omsætningsprognose'!E$17*$E$10,$D$10*(1+IF($F$10="",'Inputantagelser'!$B$24,$F$10))^(E$23-1)+'Omsætningsprognose'!E$17*IF($E$10="",'Inputantagelser'!$B$23,$E$10))))</f>
        <v>10724.0496</v>
      </c>
      <c r="F30" s="249" t="n">
        <f>IF($C$10&lt;&gt;"Ja",0,IF($B$10="Fast",$D$10*(1+IF($F$10="",'Inputantagelser'!$B$24,$F$10))^(F$23-1),IF($B$10="Varierer med omsætning",'Omsætningsprognose'!F$17*$E$10,$D$10*(1+IF($F$10="",'Inputantagelser'!$B$24,$F$10))^(F$23-1)+'Omsætningsprognose'!F$17*IF($E$10="",'Inputantagelser'!$B$23,$E$10))))</f>
        <v>11705.421303250003</v>
      </c>
      <c r="G30" s="249" t="n">
        <f>IF($C$10&lt;&gt;"Ja",0,IF($B$10="Fast",$D$10*(1+IF($F$10="",'Inputantagelser'!$B$24,$F$10))^(G$23-1),IF($B$10="Varierer med omsætning",'Omsætningsprognose'!G$17*$E$10,$D$10*(1+IF($F$10="",'Inputantagelser'!$B$24,$F$10))^(G$23-1)+'Omsætningsprognose'!G$17*IF($E$10="",'Inputantagelser'!$B$23,$E$10))))</f>
        <v>12722.830659750005</v>
      </c>
      <c r="H30" s="249" t="n">
        <f>IF($C$10&lt;&gt;"Ja",0,IF($B$10="Fast",$D$10*(1+IF($F$10="",'Inputantagelser'!$B$24,$F$10))^(H$23-1),IF($B$10="Varierer med omsætning",'Omsætningsprognose'!H$17*$E$10,$D$10*(1+IF($F$10="",'Inputantagelser'!$B$24,$F$10))^(H$23-1)+'Omsætningsprognose'!H$17*IF($E$10="",'Inputantagelser'!$B$23,$E$10))))</f>
        <v>13777.424764119029</v>
      </c>
      <c r="I30" s="249" t="n">
        <f>IF($C$10&lt;&gt;"Ja",0,IF($B$10="Fast",$D$10*(1+IF($F$10="",'Inputantagelser'!$B$24,$F$10))^(I$23-1),IF($B$10="Varierer med omsætning",'Omsætningsprognose'!I$17*$E$10,$D$10*(1+IF($F$10="",'Inputantagelser'!$B$24,$F$10))^(I$23-1)+'Omsætningsprognose'!I$17*IF($E$10="",'Inputantagelser'!$B$23,$E$10))))</f>
        <v>14870.38578346489</v>
      </c>
      <c r="J30" s="249" t="n">
        <f>IF($C$10&lt;&gt;"Ja",0,IF($B$10="Fast",$D$10*(1+IF($F$10="",'Inputantagelser'!$B$24,$F$10))^(J$23-1),IF($B$10="Varierer med omsætning",'Omsætningsprognose'!J$17*$E$10,$D$10*(1+IF($F$10="",'Inputantagelser'!$B$24,$F$10))^(J$23-1)+'Omsætningsprognose'!J$17*IF($E$10="",'Inputantagelser'!$B$23,$E$10))))</f>
        <v>16002.932016155351</v>
      </c>
      <c r="K30" s="249" t="n">
        <f>IF($C$10&lt;&gt;"Ja",0,IF($B$10="Fast",$D$10*(1+IF($F$10="",'Inputantagelser'!$B$24,$F$10))^(K$23-1),IF($B$10="Varierer med omsætning",'Omsætningsprognose'!K$17*$E$10,$D$10*(1+IF($F$10="",'Inputantagelser'!$B$24,$F$10))^(K$23-1)+'Omsætningsprognose'!K$17*IF($E$10="",'Inputantagelser'!$B$23,$E$10))))</f>
        <v>17176.31898241839</v>
      </c>
      <c r="L30" s="249" t="n">
        <f>IF($C$10&lt;&gt;"Ja",0,IF($B$10="Fast",$D$10*(1+IF($F$10="",'Inputantagelser'!$B$24,$F$10))^(L$23-1),IF($B$10="Varierer med omsætning",'Omsætningsprognose'!L$17*$E$10,$D$10*(1+IF($F$10="",'Inputantagelser'!$B$24,$F$10))^(L$23-1)+'Omsætningsprognose'!L$17*IF($E$10="",'Inputantagelser'!$B$23,$E$10))))</f>
        <v>18391.840547727104</v>
      </c>
      <c r="M30" s="249" t="n">
        <f>IF($C$10&lt;&gt;"Ja",0,IF($B$10="Fast",$D$10*(1+IF($F$10="",'Inputantagelser'!$B$24,$F$10))^(M$23-1),IF($B$10="Varierer med omsætning",'Omsætningsprognose'!M$17*$E$10,$D$10*(1+IF($F$10="",'Inputantagelser'!$B$24,$F$10))^(M$23-1)+'Omsætningsprognose'!M$17*IF($E$10="",'Inputantagelser'!$B$23,$E$10))))</f>
        <v>19650.830079953437</v>
      </c>
      <c r="N30" s="249" t="n">
        <f>IF($C$10&lt;&gt;"Ja",0,IF($B$10="Fast",$D$10*(1+IF($F$10="",'Inputantagelser'!$B$24,$F$10))^(N$23-1),IF($B$10="Varierer med omsætning",'Omsætningsprognose'!N$17*$E$10,$D$10*(1+IF($F$10="",'Inputantagelser'!$B$24,$F$10))^(N$23-1)+'Omsætningsprognose'!N$17*IF($E$10="",'Inputantagelser'!$B$23,$E$10))))</f>
        <v>20954.661641304512</v>
      </c>
      <c r="O30" s="249" t="n">
        <f>IF($C$10&lt;&gt;"Ja",0,IF($B$10="Fast",$D$10*(1+IF($F$10="",'Inputantagelser'!$B$24,$F$10))^(O$23-1),IF($B$10="Varierer med omsætning",'Omsætningsprognose'!O$17*$E$10,$D$10*(1+IF($F$10="",'Inputantagelser'!$B$24,$F$10))^(O$23-1)+'Omsætningsprognose'!O$17*IF($E$10="",'Inputantagelser'!$B$23,$E$10))))</f>
        <v>22304.751216085642</v>
      </c>
      <c r="P30" s="249" t="n">
        <f>IF($C$10&lt;&gt;"Ja",0,IF($B$10="Fast",$D$10*(1+IF($F$10="",'Inputantagelser'!$B$24,$F$10))^(P$23-1),IF($B$10="Varierer med omsætning",'Omsætningsprognose'!P$17*$E$10,$D$10*(1+IF($F$10="",'Inputantagelser'!$B$24,$F$10))^(P$23-1)+'Omsætningsprognose'!P$17*IF($E$10="",'Inputantagelser'!$B$23,$E$10))))</f>
        <v>23702.557975365624</v>
      </c>
      <c r="Q30" s="249" t="n">
        <f>IF($C$10&lt;&gt;"Ja",0,IF($B$10="Fast",$D$10*(1+IF($F$10="",'Inputantagelser'!$B$24,$F$10))^(Q$23-1),IF($B$10="Varierer med omsætning",'Omsætningsprognose'!Q$17*$E$10,$D$10*(1+IF($F$10="",'Inputantagelser'!$B$24,$F$10))^(Q$23-1)+'Omsætningsprognose'!Q$17*IF($E$10="",'Inputantagelser'!$B$23,$E$10))))</f>
        <v>25149.585579651983</v>
      </c>
      <c r="R30" s="249" t="n">
        <f>IF($C$10&lt;&gt;"Ja",0,IF($B$10="Fast",$D$10*(1+IF($F$10="",'Inputantagelser'!$B$24,$F$10))^(R$23-1),IF($B$10="Varierer med omsætning",'Omsætningsprognose'!R$17*$E$10,$D$10*(1+IF($F$10="",'Inputantagelser'!$B$24,$F$10))^(R$23-1)+'Omsætningsprognose'!R$17*IF($E$10="",'Inputantagelser'!$B$23,$E$10))))</f>
        <v>26647.383520717187</v>
      </c>
      <c r="S30" s="249" t="n">
        <f>IF($C$10&lt;&gt;"Ja",0,IF($B$10="Fast",$D$10*(1+IF($F$10="",'Inputantagelser'!$B$24,$F$10))^(S$23-1),IF($B$10="Varierer med omsætning",'Omsætningsprognose'!S$17*$E$10,$D$10*(1+IF($F$10="",'Inputantagelser'!$B$24,$F$10))^(S$23-1)+'Omsætningsprognose'!S$17*IF($E$10="",'Inputantagelser'!$B$23,$E$10))))</f>
        <v>28197.5485037511</v>
      </c>
      <c r="T30" s="249" t="n">
        <f>IF($C$10&lt;&gt;"Ja",0,IF($B$10="Fast",$D$10*(1+IF($F$10="",'Inputantagelser'!$B$24,$F$10))^(T$23-1),IF($B$10="Varierer med omsætning",'Omsætningsprognose'!T$17*$E$10,$D$10*(1+IF($F$10="",'Inputantagelser'!$B$24,$F$10))^(T$23-1)+'Omsætningsprognose'!T$17*IF($E$10="",'Inputantagelser'!$B$23,$E$10))))</f>
        <v>29801.72587105015</v>
      </c>
      <c r="U30" s="249" t="n">
        <f>IF($C$10&lt;&gt;"Ja",0,IF($B$10="Fast",$D$10*(1+IF($F$10="",'Inputantagelser'!$B$24,$F$10))^(U$23-1),IF($B$10="Varierer med omsætning",'Omsætningsprognose'!U$17*$E$10,$D$10*(1+IF($F$10="",'Inputantagelser'!$B$24,$F$10))^(U$23-1)+'Omsætningsprognose'!U$17*IF($E$10="",'Inputantagelser'!$B$23,$E$10))))</f>
        <v>31461.611068490038</v>
      </c>
      <c r="V30" s="249" t="n">
        <f>IF($C$10&lt;&gt;"Ja",0,IF($B$10="Fast",$D$10*(1+IF($F$10="",'Inputantagelser'!$B$24,$F$10))^(V$23-1),IF($B$10="Varierer med omsætning",'Omsætningsprognose'!V$17*$E$10,$D$10*(1+IF($F$10="",'Inputantagelser'!$B$24,$F$10))^(V$23-1)+'Omsætningsprognose'!V$17*IF($E$10="",'Inputantagelser'!$B$23,$E$10))))</f>
        <v>33178.951156066214</v>
      </c>
      <c r="W30" s="249" t="n">
        <f>IF($C$10&lt;&gt;"Ja",0,IF($B$10="Fast",$D$10*(1+IF($F$10="",'Inputantagelser'!$B$24,$F$10))^(W$23-1),IF($B$10="Varierer med omsætning",'Omsætningsprognose'!W$17*$E$10,$D$10*(1+IF($F$10="",'Inputantagelser'!$B$24,$F$10))^(W$23-1)+'Omsætningsprognose'!W$17*IF($E$10="",'Inputantagelser'!$B$23,$E$10))))</f>
        <v>34955.546363824884</v>
      </c>
      <c r="X30" s="249" t="n">
        <f>IF($C$10&lt;&gt;"Ja",0,IF($B$10="Fast",$D$10*(1+IF($F$10="",'Inputantagelser'!$B$24,$F$10))^(X$23-1),IF($B$10="Varierer med omsætning",'Omsætningsprognose'!X$17*$E$10,$D$10*(1+IF($F$10="",'Inputantagelser'!$B$24,$F$10))^(X$23-1)+'Omsætningsprognose'!X$17*IF($E$10="",'Inputantagelser'!$B$23,$E$10))))</f>
        <v>36793.25169454708</v>
      </c>
      <c r="Y30" s="249" t="n">
        <f>IF($C$10&lt;&gt;"Ja",0,IF($B$10="Fast",$D$10*(1+IF($F$10="",'Inputantagelser'!$B$24,$F$10))^(Y$23-1),IF($B$10="Varierer med omsætning",'Omsætningsprognose'!Y$17*$E$10,$D$10*(1+IF($F$10="",'Inputantagelser'!$B$24,$F$10))^(Y$23-1)+'Omsætningsprognose'!Y$17*IF($E$10="",'Inputantagelser'!$B$23,$E$10))))</f>
        <v>38693.97857458902</v>
      </c>
      <c r="Z30" s="250" t="n">
        <f>IF($C$10&lt;&gt;"Ja",0,IF($B$10="Fast",$D$10*(1+IF($F$10="",'Inputantagelser'!$B$24,$F$10))^(Z$23-1),IF($B$10="Varierer med omsætning",'Omsætningsprognose'!Z$17*$E$10,$D$10*(1+IF($F$10="",'Inputantagelser'!$B$24,$F$10))^(Z$23-1)+'Omsætningsprognose'!Z$17*IF($E$10="",'Inputantagelser'!$B$23,$E$10))))</f>
        <v>40659.69655432428</v>
      </c>
    </row>
    <row r="31" ht="15" customHeight="true">
      <c r="A31" s="30" t="str">
        <f>$A$11</f>
        <v>Professionelle tjenester</v>
      </c>
      <c r="B31" s="84" t="str">
        <f>$B$11</f>
        <v>Fast</v>
      </c>
      <c r="C31" s="249" t="n">
        <f>IF($C$11&lt;&gt;"Ja",0,IF($B$11="Fast",$D$11*(1+IF($F$11="",'Inputantagelser'!$B$24,$F$11))^(C$23-1),IF($B$11="Varierer med omsætning",'Omsætningsprognose'!C$17*$E$11,$D$11*(1+IF($F$11="",'Inputantagelser'!$B$24,$F$11))^(C$23-1)+'Omsætningsprognose'!C$17*IF($E$11="",'Inputantagelser'!$B$23,$E$11))))</f>
        <v>10000</v>
      </c>
      <c r="D31" s="249" t="n">
        <f>IF($C$11&lt;&gt;"Ja",0,IF($B$11="Fast",$D$11*(1+IF($F$11="",'Inputantagelser'!$B$24,$F$11))^(D$23-1),IF($B$11="Varierer med omsætning",'Omsætningsprognose'!D$17*$E$11,$D$11*(1+IF($F$11="",'Inputantagelser'!$B$24,$F$11))^(D$23-1)+'Omsætningsprognose'!D$17*IF($E$11="",'Inputantagelser'!$B$23,$E$11))))</f>
        <v>10100</v>
      </c>
      <c r="E31" s="249" t="n">
        <f>IF($C$11&lt;&gt;"Ja",0,IF($B$11="Fast",$D$11*(1+IF($F$11="",'Inputantagelser'!$B$24,$F$11))^(E$23-1),IF($B$11="Varierer med omsætning",'Omsætningsprognose'!E$17*$E$11,$D$11*(1+IF($F$11="",'Inputantagelser'!$B$24,$F$11))^(E$23-1)+'Omsætningsprognose'!E$17*IF($E$11="",'Inputantagelser'!$B$23,$E$11))))</f>
        <v>10201</v>
      </c>
      <c r="F31" s="249" t="n">
        <f>IF($C$11&lt;&gt;"Ja",0,IF($B$11="Fast",$D$11*(1+IF($F$11="",'Inputantagelser'!$B$24,$F$11))^(F$23-1),IF($B$11="Varierer med omsætning",'Omsætningsprognose'!F$17*$E$11,$D$11*(1+IF($F$11="",'Inputantagelser'!$B$24,$F$11))^(F$23-1)+'Omsætningsprognose'!F$17*IF($E$11="",'Inputantagelser'!$B$23,$E$11))))</f>
        <v>10303.009999999998</v>
      </c>
      <c r="G31" s="249" t="n">
        <f>IF($C$11&lt;&gt;"Ja",0,IF($B$11="Fast",$D$11*(1+IF($F$11="",'Inputantagelser'!$B$24,$F$11))^(G$23-1),IF($B$11="Varierer med omsætning",'Omsætningsprognose'!G$17*$E$11,$D$11*(1+IF($F$11="",'Inputantagelser'!$B$24,$F$11))^(G$23-1)+'Omsætningsprognose'!G$17*IF($E$11="",'Inputantagelser'!$B$23,$E$11))))</f>
        <v>10406.0401</v>
      </c>
      <c r="H31" s="249" t="n">
        <f>IF($C$11&lt;&gt;"Ja",0,IF($B$11="Fast",$D$11*(1+IF($F$11="",'Inputantagelser'!$B$24,$F$11))^(H$23-1),IF($B$11="Varierer med omsætning",'Omsætningsprognose'!H$17*$E$11,$D$11*(1+IF($F$11="",'Inputantagelser'!$B$24,$F$11))^(H$23-1)+'Omsætningsprognose'!H$17*IF($E$11="",'Inputantagelser'!$B$23,$E$11))))</f>
        <v>10510.100500999999</v>
      </c>
      <c r="I31" s="249" t="n">
        <f>IF($C$11&lt;&gt;"Ja",0,IF($B$11="Fast",$D$11*(1+IF($F$11="",'Inputantagelser'!$B$24,$F$11))^(I$23-1),IF($B$11="Varierer med omsætning",'Omsætningsprognose'!I$17*$E$11,$D$11*(1+IF($F$11="",'Inputantagelser'!$B$24,$F$11))^(I$23-1)+'Omsætningsprognose'!I$17*IF($E$11="",'Inputantagelser'!$B$23,$E$11))))</f>
        <v>10615.201506010002</v>
      </c>
      <c r="J31" s="249" t="n">
        <f>IF($C$11&lt;&gt;"Ja",0,IF($B$11="Fast",$D$11*(1+IF($F$11="",'Inputantagelser'!$B$24,$F$11))^(J$23-1),IF($B$11="Varierer med omsætning",'Omsætningsprognose'!J$17*$E$11,$D$11*(1+IF($F$11="",'Inputantagelser'!$B$24,$F$11))^(J$23-1)+'Omsætningsprognose'!J$17*IF($E$11="",'Inputantagelser'!$B$23,$E$11))))</f>
        <v>10721.353521070097</v>
      </c>
      <c r="K31" s="249" t="n">
        <f>IF($C$11&lt;&gt;"Ja",0,IF($B$11="Fast",$D$11*(1+IF($F$11="",'Inputantagelser'!$B$24,$F$11))^(K$23-1),IF($B$11="Varierer med omsætning",'Omsætningsprognose'!K$17*$E$11,$D$11*(1+IF($F$11="",'Inputantagelser'!$B$24,$F$11))^(K$23-1)+'Omsætningsprognose'!K$17*IF($E$11="",'Inputantagelser'!$B$23,$E$11))))</f>
        <v>10828.567056280803</v>
      </c>
      <c r="L31" s="249" t="n">
        <f>IF($C$11&lt;&gt;"Ja",0,IF($B$11="Fast",$D$11*(1+IF($F$11="",'Inputantagelser'!$B$24,$F$11))^(L$23-1),IF($B$11="Varierer med omsætning",'Omsætningsprognose'!L$17*$E$11,$D$11*(1+IF($F$11="",'Inputantagelser'!$B$24,$F$11))^(L$23-1)+'Omsætningsprognose'!L$17*IF($E$11="",'Inputantagelser'!$B$23,$E$11))))</f>
        <v>10936.852726843612</v>
      </c>
      <c r="M31" s="249" t="n">
        <f>IF($C$11&lt;&gt;"Ja",0,IF($B$11="Fast",$D$11*(1+IF($F$11="",'Inputantagelser'!$B$24,$F$11))^(M$23-1),IF($B$11="Varierer med omsætning",'Omsætningsprognose'!M$17*$E$11,$D$11*(1+IF($F$11="",'Inputantagelser'!$B$24,$F$11))^(M$23-1)+'Omsætningsprognose'!M$17*IF($E$11="",'Inputantagelser'!$B$23,$E$11))))</f>
        <v>11046.221254112048</v>
      </c>
      <c r="N31" s="249" t="n">
        <f>IF($C$11&lt;&gt;"Ja",0,IF($B$11="Fast",$D$11*(1+IF($F$11="",'Inputantagelser'!$B$24,$F$11))^(N$23-1),IF($B$11="Varierer med omsætning",'Omsætningsprognose'!N$17*$E$11,$D$11*(1+IF($F$11="",'Inputantagelser'!$B$24,$F$11))^(N$23-1)+'Omsætningsprognose'!N$17*IF($E$11="",'Inputantagelser'!$B$23,$E$11))))</f>
        <v>11156.683466653165</v>
      </c>
      <c r="O31" s="249" t="n">
        <f>IF($C$11&lt;&gt;"Ja",0,IF($B$11="Fast",$D$11*(1+IF($F$11="",'Inputantagelser'!$B$24,$F$11))^(O$23-1),IF($B$11="Varierer med omsætning",'Omsætningsprognose'!O$17*$E$11,$D$11*(1+IF($F$11="",'Inputantagelser'!$B$24,$F$11))^(O$23-1)+'Omsætningsprognose'!O$17*IF($E$11="",'Inputantagelser'!$B$23,$E$11))))</f>
        <v>11268.250301319698</v>
      </c>
      <c r="P31" s="249" t="n">
        <f>IF($C$11&lt;&gt;"Ja",0,IF($B$11="Fast",$D$11*(1+IF($F$11="",'Inputantagelser'!$B$24,$F$11))^(P$23-1),IF($B$11="Varierer med omsætning",'Omsætningsprognose'!P$17*$E$11,$D$11*(1+IF($F$11="",'Inputantagelser'!$B$24,$F$11))^(P$23-1)+'Omsætningsprognose'!P$17*IF($E$11="",'Inputantagelser'!$B$23,$E$11))))</f>
        <v>11380.932804332895</v>
      </c>
      <c r="Q31" s="249" t="n">
        <f>IF($C$11&lt;&gt;"Ja",0,IF($B$11="Fast",$D$11*(1+IF($F$11="",'Inputantagelser'!$B$24,$F$11))^(Q$23-1),IF($B$11="Varierer med omsætning",'Omsætningsprognose'!Q$17*$E$11,$D$11*(1+IF($F$11="",'Inputantagelser'!$B$24,$F$11))^(Q$23-1)+'Omsætningsprognose'!Q$17*IF($E$11="",'Inputantagelser'!$B$23,$E$11))))</f>
        <v>11494.742132376226</v>
      </c>
      <c r="R31" s="249" t="n">
        <f>IF($C$11&lt;&gt;"Ja",0,IF($B$11="Fast",$D$11*(1+IF($F$11="",'Inputantagelser'!$B$24,$F$11))^(R$23-1),IF($B$11="Varierer med omsætning",'Omsætningsprognose'!R$17*$E$11,$D$11*(1+IF($F$11="",'Inputantagelser'!$B$24,$F$11))^(R$23-1)+'Omsætningsprognose'!R$17*IF($E$11="",'Inputantagelser'!$B$23,$E$11))))</f>
        <v>11609.689553699984</v>
      </c>
      <c r="S31" s="249" t="n">
        <f>IF($C$11&lt;&gt;"Ja",0,IF($B$11="Fast",$D$11*(1+IF($F$11="",'Inputantagelser'!$B$24,$F$11))^(S$23-1),IF($B$11="Varierer med omsætning",'Omsætningsprognose'!S$17*$E$11,$D$11*(1+IF($F$11="",'Inputantagelser'!$B$24,$F$11))^(S$23-1)+'Omsætningsprognose'!S$17*IF($E$11="",'Inputantagelser'!$B$23,$E$11))))</f>
        <v>11725.786449236988</v>
      </c>
      <c r="T31" s="249" t="n">
        <f>IF($C$11&lt;&gt;"Ja",0,IF($B$11="Fast",$D$11*(1+IF($F$11="",'Inputantagelser'!$B$24,$F$11))^(T$23-1),IF($B$11="Varierer med omsætning",'Omsætningsprognose'!T$17*$E$11,$D$11*(1+IF($F$11="",'Inputantagelser'!$B$24,$F$11))^(T$23-1)+'Omsætningsprognose'!T$17*IF($E$11="",'Inputantagelser'!$B$23,$E$11))))</f>
        <v>11843.044313729359</v>
      </c>
      <c r="U31" s="249" t="n">
        <f>IF($C$11&lt;&gt;"Ja",0,IF($B$11="Fast",$D$11*(1+IF($F$11="",'Inputantagelser'!$B$24,$F$11))^(U$23-1),IF($B$11="Varierer med omsætning",'Omsætningsprognose'!U$17*$E$11,$D$11*(1+IF($F$11="",'Inputantagelser'!$B$24,$F$11))^(U$23-1)+'Omsætningsprognose'!U$17*IF($E$11="",'Inputantagelser'!$B$23,$E$11))))</f>
        <v>11961.474756866652</v>
      </c>
      <c r="V31" s="249" t="n">
        <f>IF($C$11&lt;&gt;"Ja",0,IF($B$11="Fast",$D$11*(1+IF($F$11="",'Inputantagelser'!$B$24,$F$11))^(V$23-1),IF($B$11="Varierer med omsætning",'Omsætningsprognose'!V$17*$E$11,$D$11*(1+IF($F$11="",'Inputantagelser'!$B$24,$F$11))^(V$23-1)+'Omsætningsprognose'!V$17*IF($E$11="",'Inputantagelser'!$B$23,$E$11))))</f>
        <v>12081.089504435316</v>
      </c>
      <c r="W31" s="249" t="n">
        <f>IF($C$11&lt;&gt;"Ja",0,IF($B$11="Fast",$D$11*(1+IF($F$11="",'Inputantagelser'!$B$24,$F$11))^(W$23-1),IF($B$11="Varierer med omsætning",'Omsætningsprognose'!W$17*$E$11,$D$11*(1+IF($F$11="",'Inputantagelser'!$B$24,$F$11))^(W$23-1)+'Omsætningsprognose'!W$17*IF($E$11="",'Inputantagelser'!$B$23,$E$11))))</f>
        <v>12201.900399479671</v>
      </c>
      <c r="X31" s="249" t="n">
        <f>IF($C$11&lt;&gt;"Ja",0,IF($B$11="Fast",$D$11*(1+IF($F$11="",'Inputantagelser'!$B$24,$F$11))^(X$23-1),IF($B$11="Varierer med omsætning",'Omsætningsprognose'!X$17*$E$11,$D$11*(1+IF($F$11="",'Inputantagelser'!$B$24,$F$11))^(X$23-1)+'Omsætningsprognose'!X$17*IF($E$11="",'Inputantagelser'!$B$23,$E$11))))</f>
        <v>12323.919403474465</v>
      </c>
      <c r="Y31" s="249" t="n">
        <f>IF($C$11&lt;&gt;"Ja",0,IF($B$11="Fast",$D$11*(1+IF($F$11="",'Inputantagelser'!$B$24,$F$11))^(Y$23-1),IF($B$11="Varierer med omsætning",'Omsætningsprognose'!Y$17*$E$11,$D$11*(1+IF($F$11="",'Inputantagelser'!$B$24,$F$11))^(Y$23-1)+'Omsætningsprognose'!Y$17*IF($E$11="",'Inputantagelser'!$B$23,$E$11))))</f>
        <v>12447.158597509213</v>
      </c>
      <c r="Z31" s="250" t="n">
        <f>IF($C$11&lt;&gt;"Ja",0,IF($B$11="Fast",$D$11*(1+IF($F$11="",'Inputantagelser'!$B$24,$F$11))^(Z$23-1),IF($B$11="Varierer med omsætning",'Omsætningsprognose'!Z$17*$E$11,$D$11*(1+IF($F$11="",'Inputantagelser'!$B$24,$F$11))^(Z$23-1)+'Omsætningsprognose'!Z$17*IF($E$11="",'Inputantagelser'!$B$23,$E$11))))</f>
        <v>12571.630183484303</v>
      </c>
    </row>
    <row r="32" ht="15" customHeight="true">
      <c r="A32" s="30" t="str">
        <f>$A$12</f>
        <v>Rejse/transport</v>
      </c>
      <c r="B32" s="84" t="str">
        <f>$B$12</f>
        <v>Fast</v>
      </c>
      <c r="C32" s="249" t="n">
        <f>IF($C$12&lt;&gt;"Ja",0,IF($B$12="Fast",$D$12*(1+IF($F$12="",'Inputantagelser'!$B$24,$F$12))^(C$23-1),IF($B$12="Varierer med omsætning",'Omsætningsprognose'!C$17*$E$12,$D$12*(1+IF($F$12="",'Inputantagelser'!$B$24,$F$12))^(C$23-1)+'Omsætningsprognose'!C$17*IF($E$12="",'Inputantagelser'!$B$23,$E$12))))</f>
        <v>8000</v>
      </c>
      <c r="D32" s="249" t="n">
        <f>IF($C$12&lt;&gt;"Ja",0,IF($B$12="Fast",$D$12*(1+IF($F$12="",'Inputantagelser'!$B$24,$F$12))^(D$23-1),IF($B$12="Varierer med omsætning",'Omsætningsprognose'!D$17*$E$12,$D$12*(1+IF($F$12="",'Inputantagelser'!$B$24,$F$12))^(D$23-1)+'Omsætningsprognose'!D$17*IF($E$12="",'Inputantagelser'!$B$23,$E$12))))</f>
        <v>8080</v>
      </c>
      <c r="E32" s="249" t="n">
        <f>IF($C$12&lt;&gt;"Ja",0,IF($B$12="Fast",$D$12*(1+IF($F$12="",'Inputantagelser'!$B$24,$F$12))^(E$23-1),IF($B$12="Varierer med omsætning",'Omsætningsprognose'!E$17*$E$12,$D$12*(1+IF($F$12="",'Inputantagelser'!$B$24,$F$12))^(E$23-1)+'Omsætningsprognose'!E$17*IF($E$12="",'Inputantagelser'!$B$23,$E$12))))</f>
        <v>8160.8</v>
      </c>
      <c r="F32" s="249" t="n">
        <f>IF($C$12&lt;&gt;"Ja",0,IF($B$12="Fast",$D$12*(1+IF($F$12="",'Inputantagelser'!$B$24,$F$12))^(F$23-1),IF($B$12="Varierer med omsætning",'Omsætningsprognose'!F$17*$E$12,$D$12*(1+IF($F$12="",'Inputantagelser'!$B$24,$F$12))^(F$23-1)+'Omsætningsprognose'!F$17*IF($E$12="",'Inputantagelser'!$B$23,$E$12))))</f>
        <v>8242.408</v>
      </c>
      <c r="G32" s="249" t="n">
        <f>IF($C$12&lt;&gt;"Ja",0,IF($B$12="Fast",$D$12*(1+IF($F$12="",'Inputantagelser'!$B$24,$F$12))^(G$23-1),IF($B$12="Varierer med omsætning",'Omsætningsprognose'!G$17*$E$12,$D$12*(1+IF($F$12="",'Inputantagelser'!$B$24,$F$12))^(G$23-1)+'Omsætningsprognose'!G$17*IF($E$12="",'Inputantagelser'!$B$23,$E$12))))</f>
        <v>8324.83208</v>
      </c>
      <c r="H32" s="249" t="n">
        <f>IF($C$12&lt;&gt;"Ja",0,IF($B$12="Fast",$D$12*(1+IF($F$12="",'Inputantagelser'!$B$24,$F$12))^(H$23-1),IF($B$12="Varierer med omsætning",'Omsætningsprognose'!H$17*$E$12,$D$12*(1+IF($F$12="",'Inputantagelser'!$B$24,$F$12))^(H$23-1)+'Omsætningsprognose'!H$17*IF($E$12="",'Inputantagelser'!$B$23,$E$12))))</f>
        <v>8408.0804008</v>
      </c>
      <c r="I32" s="249" t="n">
        <f>IF($C$12&lt;&gt;"Ja",0,IF($B$12="Fast",$D$12*(1+IF($F$12="",'Inputantagelser'!$B$24,$F$12))^(I$23-1),IF($B$12="Varierer med omsætning",'Omsætningsprognose'!I$17*$E$12,$D$12*(1+IF($F$12="",'Inputantagelser'!$B$24,$F$12))^(I$23-1)+'Omsætningsprognose'!I$17*IF($E$12="",'Inputantagelser'!$B$23,$E$12))))</f>
        <v>8492.161204808</v>
      </c>
      <c r="J32" s="249" t="n">
        <f>IF($C$12&lt;&gt;"Ja",0,IF($B$12="Fast",$D$12*(1+IF($F$12="",'Inputantagelser'!$B$24,$F$12))^(J$23-1),IF($B$12="Varierer med omsætning",'Omsætningsprognose'!J$17*$E$12,$D$12*(1+IF($F$12="",'Inputantagelser'!$B$24,$F$12))^(J$23-1)+'Omsætningsprognose'!J$17*IF($E$12="",'Inputantagelser'!$B$23,$E$12))))</f>
        <v>8577.082816856078</v>
      </c>
      <c r="K32" s="249" t="n">
        <f>IF($C$12&lt;&gt;"Ja",0,IF($B$12="Fast",$D$12*(1+IF($F$12="",'Inputantagelser'!$B$24,$F$12))^(K$23-1),IF($B$12="Varierer med omsætning",'Omsætningsprognose'!K$17*$E$12,$D$12*(1+IF($F$12="",'Inputantagelser'!$B$24,$F$12))^(K$23-1)+'Omsætningsprognose'!K$17*IF($E$12="",'Inputantagelser'!$B$23,$E$12))))</f>
        <v>8662.853645024641</v>
      </c>
      <c r="L32" s="249" t="n">
        <f>IF($C$12&lt;&gt;"Ja",0,IF($B$12="Fast",$D$12*(1+IF($F$12="",'Inputantagelser'!$B$24,$F$12))^(L$23-1),IF($B$12="Varierer med omsætning",'Omsætningsprognose'!L$17*$E$12,$D$12*(1+IF($F$12="",'Inputantagelser'!$B$24,$F$12))^(L$23-1)+'Omsætningsprognose'!L$17*IF($E$12="",'Inputantagelser'!$B$23,$E$12))))</f>
        <v>8749.482181474888</v>
      </c>
      <c r="M32" s="249" t="n">
        <f>IF($C$12&lt;&gt;"Ja",0,IF($B$12="Fast",$D$12*(1+IF($F$12="",'Inputantagelser'!$B$24,$F$12))^(M$23-1),IF($B$12="Varierer med omsætning",'Omsætningsprognose'!M$17*$E$12,$D$12*(1+IF($F$12="",'Inputantagelser'!$B$24,$F$12))^(M$23-1)+'Omsætningsprognose'!M$17*IF($E$12="",'Inputantagelser'!$B$23,$E$12))))</f>
        <v>8836.977003289638</v>
      </c>
      <c r="N32" s="249" t="n">
        <f>IF($C$12&lt;&gt;"Ja",0,IF($B$12="Fast",$D$12*(1+IF($F$12="",'Inputantagelser'!$B$24,$F$12))^(N$23-1),IF($B$12="Varierer med omsætning",'Omsætningsprognose'!N$17*$E$12,$D$12*(1+IF($F$12="",'Inputantagelser'!$B$24,$F$12))^(N$23-1)+'Omsætningsprognose'!N$17*IF($E$12="",'Inputantagelser'!$B$23,$E$12))))</f>
        <v>8925.346773322532</v>
      </c>
      <c r="O32" s="249" t="n">
        <f>IF($C$12&lt;&gt;"Ja",0,IF($B$12="Fast",$D$12*(1+IF($F$12="",'Inputantagelser'!$B$24,$F$12))^(O$23-1),IF($B$12="Varierer med omsætning",'Omsætningsprognose'!O$17*$E$12,$D$12*(1+IF($F$12="",'Inputantagelser'!$B$24,$F$12))^(O$23-1)+'Omsætningsprognose'!O$17*IF($E$12="",'Inputantagelser'!$B$23,$E$12))))</f>
        <v>9014.600241055758</v>
      </c>
      <c r="P32" s="249" t="n">
        <f>IF($C$12&lt;&gt;"Ja",0,IF($B$12="Fast",$D$12*(1+IF($F$12="",'Inputantagelser'!$B$24,$F$12))^(P$23-1),IF($B$12="Varierer med omsætning",'Omsætningsprognose'!P$17*$E$12,$D$12*(1+IF($F$12="",'Inputantagelser'!$B$24,$F$12))^(P$23-1)+'Omsætningsprognose'!P$17*IF($E$12="",'Inputantagelser'!$B$23,$E$12))))</f>
        <v>9104.746243466316</v>
      </c>
      <c r="Q32" s="249" t="n">
        <f>IF($C$12&lt;&gt;"Ja",0,IF($B$12="Fast",$D$12*(1+IF($F$12="",'Inputantagelser'!$B$24,$F$12))^(Q$23-1),IF($B$12="Varierer med omsætning",'Omsætningsprognose'!Q$17*$E$12,$D$12*(1+IF($F$12="",'Inputantagelser'!$B$24,$F$12))^(Q$23-1)+'Omsætningsprognose'!Q$17*IF($E$12="",'Inputantagelser'!$B$23,$E$12))))</f>
        <v>9195.79370590098</v>
      </c>
      <c r="R32" s="249" t="n">
        <f>IF($C$12&lt;&gt;"Ja",0,IF($B$12="Fast",$D$12*(1+IF($F$12="",'Inputantagelser'!$B$24,$F$12))^(R$23-1),IF($B$12="Varierer med omsætning",'Omsætningsprognose'!R$17*$E$12,$D$12*(1+IF($F$12="",'Inputantagelser'!$B$24,$F$12))^(R$23-1)+'Omsætningsprognose'!R$17*IF($E$12="",'Inputantagelser'!$B$23,$E$12))))</f>
        <v>9287.751642959987</v>
      </c>
      <c r="S32" s="249" t="n">
        <f>IF($C$12&lt;&gt;"Ja",0,IF($B$12="Fast",$D$12*(1+IF($F$12="",'Inputantagelser'!$B$24,$F$12))^(S$23-1),IF($B$12="Varierer med omsætning",'Omsætningsprognose'!S$17*$E$12,$D$12*(1+IF($F$12="",'Inputantagelser'!$B$24,$F$12))^(S$23-1)+'Omsætningsprognose'!S$17*IF($E$12="",'Inputantagelser'!$B$23,$E$12))))</f>
        <v>9380.62915938959</v>
      </c>
      <c r="T32" s="249" t="n">
        <f>IF($C$12&lt;&gt;"Ja",0,IF($B$12="Fast",$D$12*(1+IF($F$12="",'Inputantagelser'!$B$24,$F$12))^(T$23-1),IF($B$12="Varierer med omsætning",'Omsætningsprognose'!T$17*$E$12,$D$12*(1+IF($F$12="",'Inputantagelser'!$B$24,$F$12))^(T$23-1)+'Omsætningsprognose'!T$17*IF($E$12="",'Inputantagelser'!$B$23,$E$12))))</f>
        <v>9474.435450983487</v>
      </c>
      <c r="U32" s="249" t="n">
        <f>IF($C$12&lt;&gt;"Ja",0,IF($B$12="Fast",$D$12*(1+IF($F$12="",'Inputantagelser'!$B$24,$F$12))^(U$23-1),IF($B$12="Varierer med omsætning",'Omsætningsprognose'!U$17*$E$12,$D$12*(1+IF($F$12="",'Inputantagelser'!$B$24,$F$12))^(U$23-1)+'Omsætningsprognose'!U$17*IF($E$12="",'Inputantagelser'!$B$23,$E$12))))</f>
        <v>9569.179805493322</v>
      </c>
      <c r="V32" s="249" t="n">
        <f>IF($C$12&lt;&gt;"Ja",0,IF($B$12="Fast",$D$12*(1+IF($F$12="",'Inputantagelser'!$B$24,$F$12))^(V$23-1),IF($B$12="Varierer med omsætning",'Omsætningsprognose'!V$17*$E$12,$D$12*(1+IF($F$12="",'Inputantagelser'!$B$24,$F$12))^(V$23-1)+'Omsætningsprognose'!V$17*IF($E$12="",'Inputantagelser'!$B$23,$E$12))))</f>
        <v>9664.871603548252</v>
      </c>
      <c r="W32" s="249" t="n">
        <f>IF($C$12&lt;&gt;"Ja",0,IF($B$12="Fast",$D$12*(1+IF($F$12="",'Inputantagelser'!$B$24,$F$12))^(W$23-1),IF($B$12="Varierer med omsætning",'Omsætningsprognose'!W$17*$E$12,$D$12*(1+IF($F$12="",'Inputantagelser'!$B$24,$F$12))^(W$23-1)+'Omsætningsprognose'!W$17*IF($E$12="",'Inputantagelser'!$B$23,$E$12))))</f>
        <v>9761.520319583737</v>
      </c>
      <c r="X32" s="249" t="n">
        <f>IF($C$12&lt;&gt;"Ja",0,IF($B$12="Fast",$D$12*(1+IF($F$12="",'Inputantagelser'!$B$24,$F$12))^(X$23-1),IF($B$12="Varierer med omsætning",'Omsætningsprognose'!X$17*$E$12,$D$12*(1+IF($F$12="",'Inputantagelser'!$B$24,$F$12))^(X$23-1)+'Omsætningsprognose'!X$17*IF($E$12="",'Inputantagelser'!$B$23,$E$12))))</f>
        <v>9859.135522779572</v>
      </c>
      <c r="Y32" s="249" t="n">
        <f>IF($C$12&lt;&gt;"Ja",0,IF($B$12="Fast",$D$12*(1+IF($F$12="",'Inputantagelser'!$B$24,$F$12))^(Y$23-1),IF($B$12="Varierer med omsætning",'Omsætningsprognose'!Y$17*$E$12,$D$12*(1+IF($F$12="",'Inputantagelser'!$B$24,$F$12))^(Y$23-1)+'Omsætningsprognose'!Y$17*IF($E$12="",'Inputantagelser'!$B$23,$E$12))))</f>
        <v>9957.72687800737</v>
      </c>
      <c r="Z32" s="250" t="n">
        <f>IF($C$12&lt;&gt;"Ja",0,IF($B$12="Fast",$D$12*(1+IF($F$12="",'Inputantagelser'!$B$24,$F$12))^(Z$23-1),IF($B$12="Varierer med omsætning",'Omsætningsprognose'!Z$17*$E$12,$D$12*(1+IF($F$12="",'Inputantagelser'!$B$24,$F$12))^(Z$23-1)+'Omsætningsprognose'!Z$17*IF($E$12="",'Inputantagelser'!$B$23,$E$12))))</f>
        <v>10057.304146787443</v>
      </c>
    </row>
    <row r="33" ht="15" customHeight="true">
      <c r="A33" s="30" t="str">
        <f>$A$13</f>
        <v>Forsikring/licenser</v>
      </c>
      <c r="B33" s="84" t="str">
        <f>$B$13</f>
        <v>Fast</v>
      </c>
      <c r="C33" s="249" t="n">
        <f>IF($C$13&lt;&gt;"Ja",0,IF($B$13="Fast",$D$13*(1+IF($F$13="",'Inputantagelser'!$B$24,$F$13))^(C$23-1),IF($B$13="Varierer med omsætning",'Omsætningsprognose'!C$17*$E$13,$D$13*(1+IF($F$13="",'Inputantagelser'!$B$24,$F$13))^(C$23-1)+'Omsætningsprognose'!C$17*IF($E$13="",'Inputantagelser'!$B$23,$E$13))))</f>
        <v>5000</v>
      </c>
      <c r="D33" s="249" t="n">
        <f>IF($C$13&lt;&gt;"Ja",0,IF($B$13="Fast",$D$13*(1+IF($F$13="",'Inputantagelser'!$B$24,$F$13))^(D$23-1),IF($B$13="Varierer med omsætning",'Omsætningsprognose'!D$17*$E$13,$D$13*(1+IF($F$13="",'Inputantagelser'!$B$24,$F$13))^(D$23-1)+'Omsætningsprognose'!D$17*IF($E$13="",'Inputantagelser'!$B$23,$E$13))))</f>
        <v>5050</v>
      </c>
      <c r="E33" s="249" t="n">
        <f>IF($C$13&lt;&gt;"Ja",0,IF($B$13="Fast",$D$13*(1+IF($F$13="",'Inputantagelser'!$B$24,$F$13))^(E$23-1),IF($B$13="Varierer med omsætning",'Omsætningsprognose'!E$17*$E$13,$D$13*(1+IF($F$13="",'Inputantagelser'!$B$24,$F$13))^(E$23-1)+'Omsætningsprognose'!E$17*IF($E$13="",'Inputantagelser'!$B$23,$E$13))))</f>
        <v>5100.5</v>
      </c>
      <c r="F33" s="249" t="n">
        <f>IF($C$13&lt;&gt;"Ja",0,IF($B$13="Fast",$D$13*(1+IF($F$13="",'Inputantagelser'!$B$24,$F$13))^(F$23-1),IF($B$13="Varierer med omsætning",'Omsætningsprognose'!F$17*$E$13,$D$13*(1+IF($F$13="",'Inputantagelser'!$B$24,$F$13))^(F$23-1)+'Omsætningsprognose'!F$17*IF($E$13="",'Inputantagelser'!$B$23,$E$13))))</f>
        <v>5151.504999999999</v>
      </c>
      <c r="G33" s="249" t="n">
        <f>IF($C$13&lt;&gt;"Ja",0,IF($B$13="Fast",$D$13*(1+IF($F$13="",'Inputantagelser'!$B$24,$F$13))^(G$23-1),IF($B$13="Varierer med omsætning",'Omsætningsprognose'!G$17*$E$13,$D$13*(1+IF($F$13="",'Inputantagelser'!$B$24,$F$13))^(G$23-1)+'Omsætningsprognose'!G$17*IF($E$13="",'Inputantagelser'!$B$23,$E$13))))</f>
        <v>5203.02005</v>
      </c>
      <c r="H33" s="249" t="n">
        <f>IF($C$13&lt;&gt;"Ja",0,IF($B$13="Fast",$D$13*(1+IF($F$13="",'Inputantagelser'!$B$24,$F$13))^(H$23-1),IF($B$13="Varierer med omsætning",'Omsætningsprognose'!H$17*$E$13,$D$13*(1+IF($F$13="",'Inputantagelser'!$B$24,$F$13))^(H$23-1)+'Omsætningsprognose'!H$17*IF($E$13="",'Inputantagelser'!$B$23,$E$13))))</f>
        <v>5255.0502504999995</v>
      </c>
      <c r="I33" s="249" t="n">
        <f>IF($C$13&lt;&gt;"Ja",0,IF($B$13="Fast",$D$13*(1+IF($F$13="",'Inputantagelser'!$B$24,$F$13))^(I$23-1),IF($B$13="Varierer med omsætning",'Omsætningsprognose'!I$17*$E$13,$D$13*(1+IF($F$13="",'Inputantagelser'!$B$24,$F$13))^(I$23-1)+'Omsætningsprognose'!I$17*IF($E$13="",'Inputantagelser'!$B$23,$E$13))))</f>
        <v>5307.600753005001</v>
      </c>
      <c r="J33" s="249" t="n">
        <f>IF($C$13&lt;&gt;"Ja",0,IF($B$13="Fast",$D$13*(1+IF($F$13="",'Inputantagelser'!$B$24,$F$13))^(J$23-1),IF($B$13="Varierer med omsætning",'Omsætningsprognose'!J$17*$E$13,$D$13*(1+IF($F$13="",'Inputantagelser'!$B$24,$F$13))^(J$23-1)+'Omsætningsprognose'!J$17*IF($E$13="",'Inputantagelser'!$B$23,$E$13))))</f>
        <v>5360.676760535049</v>
      </c>
      <c r="K33" s="249" t="n">
        <f>IF($C$13&lt;&gt;"Ja",0,IF($B$13="Fast",$D$13*(1+IF($F$13="",'Inputantagelser'!$B$24,$F$13))^(K$23-1),IF($B$13="Varierer med omsætning",'Omsætningsprognose'!K$17*$E$13,$D$13*(1+IF($F$13="",'Inputantagelser'!$B$24,$F$13))^(K$23-1)+'Omsætningsprognose'!K$17*IF($E$13="",'Inputantagelser'!$B$23,$E$13))))</f>
        <v>5414.283528140401</v>
      </c>
      <c r="L33" s="249" t="n">
        <f>IF($C$13&lt;&gt;"Ja",0,IF($B$13="Fast",$D$13*(1+IF($F$13="",'Inputantagelser'!$B$24,$F$13))^(L$23-1),IF($B$13="Varierer med omsætning",'Omsætningsprognose'!L$17*$E$13,$D$13*(1+IF($F$13="",'Inputantagelser'!$B$24,$F$13))^(L$23-1)+'Omsætningsprognose'!L$17*IF($E$13="",'Inputantagelser'!$B$23,$E$13))))</f>
        <v>5468.426363421806</v>
      </c>
      <c r="M33" s="249" t="n">
        <f>IF($C$13&lt;&gt;"Ja",0,IF($B$13="Fast",$D$13*(1+IF($F$13="",'Inputantagelser'!$B$24,$F$13))^(M$23-1),IF($B$13="Varierer med omsætning",'Omsætningsprognose'!M$17*$E$13,$D$13*(1+IF($F$13="",'Inputantagelser'!$B$24,$F$13))^(M$23-1)+'Omsætningsprognose'!M$17*IF($E$13="",'Inputantagelser'!$B$23,$E$13))))</f>
        <v>5523.110627056024</v>
      </c>
      <c r="N33" s="249" t="n">
        <f>IF($C$13&lt;&gt;"Ja",0,IF($B$13="Fast",$D$13*(1+IF($F$13="",'Inputantagelser'!$B$24,$F$13))^(N$23-1),IF($B$13="Varierer med omsætning",'Omsætningsprognose'!N$17*$E$13,$D$13*(1+IF($F$13="",'Inputantagelser'!$B$24,$F$13))^(N$23-1)+'Omsætningsprognose'!N$17*IF($E$13="",'Inputantagelser'!$B$23,$E$13))))</f>
        <v>5578.3417333265825</v>
      </c>
      <c r="O33" s="249" t="n">
        <f>IF($C$13&lt;&gt;"Ja",0,IF($B$13="Fast",$D$13*(1+IF($F$13="",'Inputantagelser'!$B$24,$F$13))^(O$23-1),IF($B$13="Varierer med omsætning",'Omsætningsprognose'!O$17*$E$13,$D$13*(1+IF($F$13="",'Inputantagelser'!$B$24,$F$13))^(O$23-1)+'Omsætningsprognose'!O$17*IF($E$13="",'Inputantagelser'!$B$23,$E$13))))</f>
        <v>5634.125150659849</v>
      </c>
      <c r="P33" s="249" t="n">
        <f>IF($C$13&lt;&gt;"Ja",0,IF($B$13="Fast",$D$13*(1+IF($F$13="",'Inputantagelser'!$B$24,$F$13))^(P$23-1),IF($B$13="Varierer med omsætning",'Omsætningsprognose'!P$17*$E$13,$D$13*(1+IF($F$13="",'Inputantagelser'!$B$24,$F$13))^(P$23-1)+'Omsætningsprognose'!P$17*IF($E$13="",'Inputantagelser'!$B$23,$E$13))))</f>
        <v>5690.466402166448</v>
      </c>
      <c r="Q33" s="249" t="n">
        <f>IF($C$13&lt;&gt;"Ja",0,IF($B$13="Fast",$D$13*(1+IF($F$13="",'Inputantagelser'!$B$24,$F$13))^(Q$23-1),IF($B$13="Varierer med omsætning",'Omsætningsprognose'!Q$17*$E$13,$D$13*(1+IF($F$13="",'Inputantagelser'!$B$24,$F$13))^(Q$23-1)+'Omsætningsprognose'!Q$17*IF($E$13="",'Inputantagelser'!$B$23,$E$13))))</f>
        <v>5747.371066188113</v>
      </c>
      <c r="R33" s="249" t="n">
        <f>IF($C$13&lt;&gt;"Ja",0,IF($B$13="Fast",$D$13*(1+IF($F$13="",'Inputantagelser'!$B$24,$F$13))^(R$23-1),IF($B$13="Varierer med omsætning",'Omsætningsprognose'!R$17*$E$13,$D$13*(1+IF($F$13="",'Inputantagelser'!$B$24,$F$13))^(R$23-1)+'Omsætningsprognose'!R$17*IF($E$13="",'Inputantagelser'!$B$23,$E$13))))</f>
        <v>5804.844776849992</v>
      </c>
      <c r="S33" s="249" t="n">
        <f>IF($C$13&lt;&gt;"Ja",0,IF($B$13="Fast",$D$13*(1+IF($F$13="",'Inputantagelser'!$B$24,$F$13))^(S$23-1),IF($B$13="Varierer med omsætning",'Omsætningsprognose'!S$17*$E$13,$D$13*(1+IF($F$13="",'Inputantagelser'!$B$24,$F$13))^(S$23-1)+'Omsætningsprognose'!S$17*IF($E$13="",'Inputantagelser'!$B$23,$E$13))))</f>
        <v>5862.893224618494</v>
      </c>
      <c r="T33" s="249" t="n">
        <f>IF($C$13&lt;&gt;"Ja",0,IF($B$13="Fast",$D$13*(1+IF($F$13="",'Inputantagelser'!$B$24,$F$13))^(T$23-1),IF($B$13="Varierer med omsætning",'Omsætningsprognose'!T$17*$E$13,$D$13*(1+IF($F$13="",'Inputantagelser'!$B$24,$F$13))^(T$23-1)+'Omsætningsprognose'!T$17*IF($E$13="",'Inputantagelser'!$B$23,$E$13))))</f>
        <v>5921.522156864679</v>
      </c>
      <c r="U33" s="249" t="n">
        <f>IF($C$13&lt;&gt;"Ja",0,IF($B$13="Fast",$D$13*(1+IF($F$13="",'Inputantagelser'!$B$24,$F$13))^(U$23-1),IF($B$13="Varierer med omsætning",'Omsætningsprognose'!U$17*$E$13,$D$13*(1+IF($F$13="",'Inputantagelser'!$B$24,$F$13))^(U$23-1)+'Omsætningsprognose'!U$17*IF($E$13="",'Inputantagelser'!$B$23,$E$13))))</f>
        <v>5980.737378433326</v>
      </c>
      <c r="V33" s="249" t="n">
        <f>IF($C$13&lt;&gt;"Ja",0,IF($B$13="Fast",$D$13*(1+IF($F$13="",'Inputantagelser'!$B$24,$F$13))^(V$23-1),IF($B$13="Varierer med omsætning",'Omsætningsprognose'!V$17*$E$13,$D$13*(1+IF($F$13="",'Inputantagelser'!$B$24,$F$13))^(V$23-1)+'Omsætningsprognose'!V$17*IF($E$13="",'Inputantagelser'!$B$23,$E$13))))</f>
        <v>6040.544752217658</v>
      </c>
      <c r="W33" s="249" t="n">
        <f>IF($C$13&lt;&gt;"Ja",0,IF($B$13="Fast",$D$13*(1+IF($F$13="",'Inputantagelser'!$B$24,$F$13))^(W$23-1),IF($B$13="Varierer med omsætning",'Omsætningsprognose'!W$17*$E$13,$D$13*(1+IF($F$13="",'Inputantagelser'!$B$24,$F$13))^(W$23-1)+'Omsætningsprognose'!W$17*IF($E$13="",'Inputantagelser'!$B$23,$E$13))))</f>
        <v>6100.950199739836</v>
      </c>
      <c r="X33" s="249" t="n">
        <f>IF($C$13&lt;&gt;"Ja",0,IF($B$13="Fast",$D$13*(1+IF($F$13="",'Inputantagelser'!$B$24,$F$13))^(X$23-1),IF($B$13="Varierer med omsætning",'Omsætningsprognose'!X$17*$E$13,$D$13*(1+IF($F$13="",'Inputantagelser'!$B$24,$F$13))^(X$23-1)+'Omsætningsprognose'!X$17*IF($E$13="",'Inputantagelser'!$B$23,$E$13))))</f>
        <v>6161.9597017372325</v>
      </c>
      <c r="Y33" s="249" t="n">
        <f>IF($C$13&lt;&gt;"Ja",0,IF($B$13="Fast",$D$13*(1+IF($F$13="",'Inputantagelser'!$B$24,$F$13))^(Y$23-1),IF($B$13="Varierer med omsætning",'Omsætningsprognose'!Y$17*$E$13,$D$13*(1+IF($F$13="",'Inputantagelser'!$B$24,$F$13))^(Y$23-1)+'Omsætningsprognose'!Y$17*IF($E$13="",'Inputantagelser'!$B$23,$E$13))))</f>
        <v>6223.5792987546065</v>
      </c>
      <c r="Z33" s="250" t="n">
        <f>IF($C$13&lt;&gt;"Ja",0,IF($B$13="Fast",$D$13*(1+IF($F$13="",'Inputantagelser'!$B$24,$F$13))^(Z$23-1),IF($B$13="Varierer med omsætning",'Omsætningsprognose'!Z$17*$E$13,$D$13*(1+IF($F$13="",'Inputantagelser'!$B$24,$F$13))^(Z$23-1)+'Omsætningsprognose'!Z$17*IF($E$13="",'Inputantagelser'!$B$23,$E$13))))</f>
        <v>6285.815091742152</v>
      </c>
    </row>
    <row r="34" ht="15" customHeight="true">
      <c r="A34" s="30" t="str">
        <f>$A$14</f>
        <v>Diverse administration</v>
      </c>
      <c r="B34" s="84" t="str">
        <f>$B$14</f>
        <v>Fast</v>
      </c>
      <c r="C34" s="249" t="n">
        <f>IF($C$14&lt;&gt;"Ja",0,IF($B$14="Fast",$D$14*(1+IF($F$14="",'Inputantagelser'!$B$24,$F$14))^(C$23-1),IF($B$14="Varierer med omsætning",'Omsætningsprognose'!C$17*$E$14,$D$14*(1+IF($F$14="",'Inputantagelser'!$B$24,$F$14))^(C$23-1)+'Omsætningsprognose'!C$17*IF($E$14="",'Inputantagelser'!$B$23,$E$14))))</f>
        <v>8000</v>
      </c>
      <c r="D34" s="249" t="n">
        <f>IF($C$14&lt;&gt;"Ja",0,IF($B$14="Fast",$D$14*(1+IF($F$14="",'Inputantagelser'!$B$24,$F$14))^(D$23-1),IF($B$14="Varierer med omsætning",'Omsætningsprognose'!D$17*$E$14,$D$14*(1+IF($F$14="",'Inputantagelser'!$B$24,$F$14))^(D$23-1)+'Omsætningsprognose'!D$17*IF($E$14="",'Inputantagelser'!$B$23,$E$14))))</f>
        <v>8080</v>
      </c>
      <c r="E34" s="249" t="n">
        <f>IF($C$14&lt;&gt;"Ja",0,IF($B$14="Fast",$D$14*(1+IF($F$14="",'Inputantagelser'!$B$24,$F$14))^(E$23-1),IF($B$14="Varierer med omsætning",'Omsætningsprognose'!E$17*$E$14,$D$14*(1+IF($F$14="",'Inputantagelser'!$B$24,$F$14))^(E$23-1)+'Omsætningsprognose'!E$17*IF($E$14="",'Inputantagelser'!$B$23,$E$14))))</f>
        <v>8160.8</v>
      </c>
      <c r="F34" s="249" t="n">
        <f>IF($C$14&lt;&gt;"Ja",0,IF($B$14="Fast",$D$14*(1+IF($F$14="",'Inputantagelser'!$B$24,$F$14))^(F$23-1),IF($B$14="Varierer med omsætning",'Omsætningsprognose'!F$17*$E$14,$D$14*(1+IF($F$14="",'Inputantagelser'!$B$24,$F$14))^(F$23-1)+'Omsætningsprognose'!F$17*IF($E$14="",'Inputantagelser'!$B$23,$E$14))))</f>
        <v>8242.408</v>
      </c>
      <c r="G34" s="249" t="n">
        <f>IF($C$14&lt;&gt;"Ja",0,IF($B$14="Fast",$D$14*(1+IF($F$14="",'Inputantagelser'!$B$24,$F$14))^(G$23-1),IF($B$14="Varierer med omsætning",'Omsætningsprognose'!G$17*$E$14,$D$14*(1+IF($F$14="",'Inputantagelser'!$B$24,$F$14))^(G$23-1)+'Omsætningsprognose'!G$17*IF($E$14="",'Inputantagelser'!$B$23,$E$14))))</f>
        <v>8324.83208</v>
      </c>
      <c r="H34" s="249" t="n">
        <f>IF($C$14&lt;&gt;"Ja",0,IF($B$14="Fast",$D$14*(1+IF($F$14="",'Inputantagelser'!$B$24,$F$14))^(H$23-1),IF($B$14="Varierer med omsætning",'Omsætningsprognose'!H$17*$E$14,$D$14*(1+IF($F$14="",'Inputantagelser'!$B$24,$F$14))^(H$23-1)+'Omsætningsprognose'!H$17*IF($E$14="",'Inputantagelser'!$B$23,$E$14))))</f>
        <v>8408.0804008</v>
      </c>
      <c r="I34" s="249" t="n">
        <f>IF($C$14&lt;&gt;"Ja",0,IF($B$14="Fast",$D$14*(1+IF($F$14="",'Inputantagelser'!$B$24,$F$14))^(I$23-1),IF($B$14="Varierer med omsætning",'Omsætningsprognose'!I$17*$E$14,$D$14*(1+IF($F$14="",'Inputantagelser'!$B$24,$F$14))^(I$23-1)+'Omsætningsprognose'!I$17*IF($E$14="",'Inputantagelser'!$B$23,$E$14))))</f>
        <v>8492.161204808</v>
      </c>
      <c r="J34" s="249" t="n">
        <f>IF($C$14&lt;&gt;"Ja",0,IF($B$14="Fast",$D$14*(1+IF($F$14="",'Inputantagelser'!$B$24,$F$14))^(J$23-1),IF($B$14="Varierer med omsætning",'Omsætningsprognose'!J$17*$E$14,$D$14*(1+IF($F$14="",'Inputantagelser'!$B$24,$F$14))^(J$23-1)+'Omsætningsprognose'!J$17*IF($E$14="",'Inputantagelser'!$B$23,$E$14))))</f>
        <v>8577.082816856078</v>
      </c>
      <c r="K34" s="249" t="n">
        <f>IF($C$14&lt;&gt;"Ja",0,IF($B$14="Fast",$D$14*(1+IF($F$14="",'Inputantagelser'!$B$24,$F$14))^(K$23-1),IF($B$14="Varierer med omsætning",'Omsætningsprognose'!K$17*$E$14,$D$14*(1+IF($F$14="",'Inputantagelser'!$B$24,$F$14))^(K$23-1)+'Omsætningsprognose'!K$17*IF($E$14="",'Inputantagelser'!$B$23,$E$14))))</f>
        <v>8662.853645024641</v>
      </c>
      <c r="L34" s="249" t="n">
        <f>IF($C$14&lt;&gt;"Ja",0,IF($B$14="Fast",$D$14*(1+IF($F$14="",'Inputantagelser'!$B$24,$F$14))^(L$23-1),IF($B$14="Varierer med omsætning",'Omsætningsprognose'!L$17*$E$14,$D$14*(1+IF($F$14="",'Inputantagelser'!$B$24,$F$14))^(L$23-1)+'Omsætningsprognose'!L$17*IF($E$14="",'Inputantagelser'!$B$23,$E$14))))</f>
        <v>8749.482181474888</v>
      </c>
      <c r="M34" s="249" t="n">
        <f>IF($C$14&lt;&gt;"Ja",0,IF($B$14="Fast",$D$14*(1+IF($F$14="",'Inputantagelser'!$B$24,$F$14))^(M$23-1),IF($B$14="Varierer med omsætning",'Omsætningsprognose'!M$17*$E$14,$D$14*(1+IF($F$14="",'Inputantagelser'!$B$24,$F$14))^(M$23-1)+'Omsætningsprognose'!M$17*IF($E$14="",'Inputantagelser'!$B$23,$E$14))))</f>
        <v>8836.977003289638</v>
      </c>
      <c r="N34" s="249" t="n">
        <f>IF($C$14&lt;&gt;"Ja",0,IF($B$14="Fast",$D$14*(1+IF($F$14="",'Inputantagelser'!$B$24,$F$14))^(N$23-1),IF($B$14="Varierer med omsætning",'Omsætningsprognose'!N$17*$E$14,$D$14*(1+IF($F$14="",'Inputantagelser'!$B$24,$F$14))^(N$23-1)+'Omsætningsprognose'!N$17*IF($E$14="",'Inputantagelser'!$B$23,$E$14))))</f>
        <v>8925.346773322532</v>
      </c>
      <c r="O34" s="249" t="n">
        <f>IF($C$14&lt;&gt;"Ja",0,IF($B$14="Fast",$D$14*(1+IF($F$14="",'Inputantagelser'!$B$24,$F$14))^(O$23-1),IF($B$14="Varierer med omsætning",'Omsætningsprognose'!O$17*$E$14,$D$14*(1+IF($F$14="",'Inputantagelser'!$B$24,$F$14))^(O$23-1)+'Omsætningsprognose'!O$17*IF($E$14="",'Inputantagelser'!$B$23,$E$14))))</f>
        <v>9014.600241055758</v>
      </c>
      <c r="P34" s="249" t="n">
        <f>IF($C$14&lt;&gt;"Ja",0,IF($B$14="Fast",$D$14*(1+IF($F$14="",'Inputantagelser'!$B$24,$F$14))^(P$23-1),IF($B$14="Varierer med omsætning",'Omsætningsprognose'!P$17*$E$14,$D$14*(1+IF($F$14="",'Inputantagelser'!$B$24,$F$14))^(P$23-1)+'Omsætningsprognose'!P$17*IF($E$14="",'Inputantagelser'!$B$23,$E$14))))</f>
        <v>9104.746243466316</v>
      </c>
      <c r="Q34" s="249" t="n">
        <f>IF($C$14&lt;&gt;"Ja",0,IF($B$14="Fast",$D$14*(1+IF($F$14="",'Inputantagelser'!$B$24,$F$14))^(Q$23-1),IF($B$14="Varierer med omsætning",'Omsætningsprognose'!Q$17*$E$14,$D$14*(1+IF($F$14="",'Inputantagelser'!$B$24,$F$14))^(Q$23-1)+'Omsætningsprognose'!Q$17*IF($E$14="",'Inputantagelser'!$B$23,$E$14))))</f>
        <v>9195.79370590098</v>
      </c>
      <c r="R34" s="249" t="n">
        <f>IF($C$14&lt;&gt;"Ja",0,IF($B$14="Fast",$D$14*(1+IF($F$14="",'Inputantagelser'!$B$24,$F$14))^(R$23-1),IF($B$14="Varierer med omsætning",'Omsætningsprognose'!R$17*$E$14,$D$14*(1+IF($F$14="",'Inputantagelser'!$B$24,$F$14))^(R$23-1)+'Omsætningsprognose'!R$17*IF($E$14="",'Inputantagelser'!$B$23,$E$14))))</f>
        <v>9287.751642959987</v>
      </c>
      <c r="S34" s="249" t="n">
        <f>IF($C$14&lt;&gt;"Ja",0,IF($B$14="Fast",$D$14*(1+IF($F$14="",'Inputantagelser'!$B$24,$F$14))^(S$23-1),IF($B$14="Varierer med omsætning",'Omsætningsprognose'!S$17*$E$14,$D$14*(1+IF($F$14="",'Inputantagelser'!$B$24,$F$14))^(S$23-1)+'Omsætningsprognose'!S$17*IF($E$14="",'Inputantagelser'!$B$23,$E$14))))</f>
        <v>9380.62915938959</v>
      </c>
      <c r="T34" s="249" t="n">
        <f>IF($C$14&lt;&gt;"Ja",0,IF($B$14="Fast",$D$14*(1+IF($F$14="",'Inputantagelser'!$B$24,$F$14))^(T$23-1),IF($B$14="Varierer med omsætning",'Omsætningsprognose'!T$17*$E$14,$D$14*(1+IF($F$14="",'Inputantagelser'!$B$24,$F$14))^(T$23-1)+'Omsætningsprognose'!T$17*IF($E$14="",'Inputantagelser'!$B$23,$E$14))))</f>
        <v>9474.435450983487</v>
      </c>
      <c r="U34" s="249" t="n">
        <f>IF($C$14&lt;&gt;"Ja",0,IF($B$14="Fast",$D$14*(1+IF($F$14="",'Inputantagelser'!$B$24,$F$14))^(U$23-1),IF($B$14="Varierer med omsætning",'Omsætningsprognose'!U$17*$E$14,$D$14*(1+IF($F$14="",'Inputantagelser'!$B$24,$F$14))^(U$23-1)+'Omsætningsprognose'!U$17*IF($E$14="",'Inputantagelser'!$B$23,$E$14))))</f>
        <v>9569.179805493322</v>
      </c>
      <c r="V34" s="249" t="n">
        <f>IF($C$14&lt;&gt;"Ja",0,IF($B$14="Fast",$D$14*(1+IF($F$14="",'Inputantagelser'!$B$24,$F$14))^(V$23-1),IF($B$14="Varierer med omsætning",'Omsætningsprognose'!V$17*$E$14,$D$14*(1+IF($F$14="",'Inputantagelser'!$B$24,$F$14))^(V$23-1)+'Omsætningsprognose'!V$17*IF($E$14="",'Inputantagelser'!$B$23,$E$14))))</f>
        <v>9664.871603548252</v>
      </c>
      <c r="W34" s="249" t="n">
        <f>IF($C$14&lt;&gt;"Ja",0,IF($B$14="Fast",$D$14*(1+IF($F$14="",'Inputantagelser'!$B$24,$F$14))^(W$23-1),IF($B$14="Varierer med omsætning",'Omsætningsprognose'!W$17*$E$14,$D$14*(1+IF($F$14="",'Inputantagelser'!$B$24,$F$14))^(W$23-1)+'Omsætningsprognose'!W$17*IF($E$14="",'Inputantagelser'!$B$23,$E$14))))</f>
        <v>9761.520319583737</v>
      </c>
      <c r="X34" s="249" t="n">
        <f>IF($C$14&lt;&gt;"Ja",0,IF($B$14="Fast",$D$14*(1+IF($F$14="",'Inputantagelser'!$B$24,$F$14))^(X$23-1),IF($B$14="Varierer med omsætning",'Omsætningsprognose'!X$17*$E$14,$D$14*(1+IF($F$14="",'Inputantagelser'!$B$24,$F$14))^(X$23-1)+'Omsætningsprognose'!X$17*IF($E$14="",'Inputantagelser'!$B$23,$E$14))))</f>
        <v>9859.135522779572</v>
      </c>
      <c r="Y34" s="249" t="n">
        <f>IF($C$14&lt;&gt;"Ja",0,IF($B$14="Fast",$D$14*(1+IF($F$14="",'Inputantagelser'!$B$24,$F$14))^(Y$23-1),IF($B$14="Varierer med omsætning",'Omsætningsprognose'!Y$17*$E$14,$D$14*(1+IF($F$14="",'Inputantagelser'!$B$24,$F$14))^(Y$23-1)+'Omsætningsprognose'!Y$17*IF($E$14="",'Inputantagelser'!$B$23,$E$14))))</f>
        <v>9957.72687800737</v>
      </c>
      <c r="Z34" s="250" t="n">
        <f>IF($C$14&lt;&gt;"Ja",0,IF($B$14="Fast",$D$14*(1+IF($F$14="",'Inputantagelser'!$B$24,$F$14))^(Z$23-1),IF($B$14="Varierer med omsætning",'Omsætningsprognose'!Z$17*$E$14,$D$14*(1+IF($F$14="",'Inputantagelser'!$B$24,$F$14))^(Z$23-1)+'Omsætningsprognose'!Z$17*IF($E$14="",'Inputantagelser'!$B$23,$E$14))))</f>
        <v>10057.304146787443</v>
      </c>
    </row>
    <row r="35" ht="15" customHeight="true">
      <c r="A35" s="30" t="str">
        <f>$A$15</f>
        <v>FoU-værktøjer</v>
      </c>
      <c r="B35" s="84" t="str">
        <f>$B$15</f>
        <v>Fast</v>
      </c>
      <c r="C35" s="249" t="n">
        <f>IF($C$15&lt;&gt;"Ja",0,IF($B$15="Fast",$D$15*(1+IF($F$15="",'Inputantagelser'!$B$24,$F$15))^(C$23-1),IF($B$15="Varierer med omsætning",'Omsætningsprognose'!C$17*$E$15,$D$15*(1+IF($F$15="",'Inputantagelser'!$B$24,$F$15))^(C$23-1)+'Omsætningsprognose'!C$17*IF($E$15="",'Inputantagelser'!$B$23,$E$15))))</f>
        <v>12000</v>
      </c>
      <c r="D35" s="249" t="n">
        <f>IF($C$15&lt;&gt;"Ja",0,IF($B$15="Fast",$D$15*(1+IF($F$15="",'Inputantagelser'!$B$24,$F$15))^(D$23-1),IF($B$15="Varierer med omsætning",'Omsætningsprognose'!D$17*$E$15,$D$15*(1+IF($F$15="",'Inputantagelser'!$B$24,$F$15))^(D$23-1)+'Omsætningsprognose'!D$17*IF($E$15="",'Inputantagelser'!$B$23,$E$15))))</f>
        <v>12120</v>
      </c>
      <c r="E35" s="249" t="n">
        <f>IF($C$15&lt;&gt;"Ja",0,IF($B$15="Fast",$D$15*(1+IF($F$15="",'Inputantagelser'!$B$24,$F$15))^(E$23-1),IF($B$15="Varierer med omsætning",'Omsætningsprognose'!E$17*$E$15,$D$15*(1+IF($F$15="",'Inputantagelser'!$B$24,$F$15))^(E$23-1)+'Omsætningsprognose'!E$17*IF($E$15="",'Inputantagelser'!$B$23,$E$15))))</f>
        <v>12241.2</v>
      </c>
      <c r="F35" s="249" t="n">
        <f>IF($C$15&lt;&gt;"Ja",0,IF($B$15="Fast",$D$15*(1+IF($F$15="",'Inputantagelser'!$B$24,$F$15))^(F$23-1),IF($B$15="Varierer med omsætning",'Omsætningsprognose'!F$17*$E$15,$D$15*(1+IF($F$15="",'Inputantagelser'!$B$24,$F$15))^(F$23-1)+'Omsætningsprognose'!F$17*IF($E$15="",'Inputantagelser'!$B$23,$E$15))))</f>
        <v>12363.612</v>
      </c>
      <c r="G35" s="249" t="n">
        <f>IF($C$15&lt;&gt;"Ja",0,IF($B$15="Fast",$D$15*(1+IF($F$15="",'Inputantagelser'!$B$24,$F$15))^(G$23-1),IF($B$15="Varierer med omsætning",'Omsætningsprognose'!G$17*$E$15,$D$15*(1+IF($F$15="",'Inputantagelser'!$B$24,$F$15))^(G$23-1)+'Omsætningsprognose'!G$17*IF($E$15="",'Inputantagelser'!$B$23,$E$15))))</f>
        <v>12487.24812</v>
      </c>
      <c r="H35" s="249" t="n">
        <f>IF($C$15&lt;&gt;"Ja",0,IF($B$15="Fast",$D$15*(1+IF($F$15="",'Inputantagelser'!$B$24,$F$15))^(H$23-1),IF($B$15="Varierer med omsætning",'Omsætningsprognose'!H$17*$E$15,$D$15*(1+IF($F$15="",'Inputantagelser'!$B$24,$F$15))^(H$23-1)+'Omsætningsprognose'!H$17*IF($E$15="",'Inputantagelser'!$B$23,$E$15))))</f>
        <v>12612.120601199998</v>
      </c>
      <c r="I35" s="249" t="n">
        <f>IF($C$15&lt;&gt;"Ja",0,IF($B$15="Fast",$D$15*(1+IF($F$15="",'Inputantagelser'!$B$24,$F$15))^(I$23-1),IF($B$15="Varierer med omsætning",'Omsætningsprognose'!I$17*$E$15,$D$15*(1+IF($F$15="",'Inputantagelser'!$B$24,$F$15))^(I$23-1)+'Omsætningsprognose'!I$17*IF($E$15="",'Inputantagelser'!$B$23,$E$15))))</f>
        <v>12738.241807212002</v>
      </c>
      <c r="J35" s="249" t="n">
        <f>IF($C$15&lt;&gt;"Ja",0,IF($B$15="Fast",$D$15*(1+IF($F$15="",'Inputantagelser'!$B$24,$F$15))^(J$23-1),IF($B$15="Varierer med omsætning",'Omsætningsprognose'!J$17*$E$15,$D$15*(1+IF($F$15="",'Inputantagelser'!$B$24,$F$15))^(J$23-1)+'Omsætningsprognose'!J$17*IF($E$15="",'Inputantagelser'!$B$23,$E$15))))</f>
        <v>12865.624225284118</v>
      </c>
      <c r="K35" s="249" t="n">
        <f>IF($C$15&lt;&gt;"Ja",0,IF($B$15="Fast",$D$15*(1+IF($F$15="",'Inputantagelser'!$B$24,$F$15))^(K$23-1),IF($B$15="Varierer med omsætning",'Omsætningsprognose'!K$17*$E$15,$D$15*(1+IF($F$15="",'Inputantagelser'!$B$24,$F$15))^(K$23-1)+'Omsætningsprognose'!K$17*IF($E$15="",'Inputantagelser'!$B$23,$E$15))))</f>
        <v>12994.280467536963</v>
      </c>
      <c r="L35" s="249" t="n">
        <f>IF($C$15&lt;&gt;"Ja",0,IF($B$15="Fast",$D$15*(1+IF($F$15="",'Inputantagelser'!$B$24,$F$15))^(L$23-1),IF($B$15="Varierer med omsætning",'Omsætningsprognose'!L$17*$E$15,$D$15*(1+IF($F$15="",'Inputantagelser'!$B$24,$F$15))^(L$23-1)+'Omsætningsprognose'!L$17*IF($E$15="",'Inputantagelser'!$B$23,$E$15))))</f>
        <v>13124.223272212334</v>
      </c>
      <c r="M35" s="249" t="n">
        <f>IF($C$15&lt;&gt;"Ja",0,IF($B$15="Fast",$D$15*(1+IF($F$15="",'Inputantagelser'!$B$24,$F$15))^(M$23-1),IF($B$15="Varierer med omsætning",'Omsætningsprognose'!M$17*$E$15,$D$15*(1+IF($F$15="",'Inputantagelser'!$B$24,$F$15))^(M$23-1)+'Omsætningsprognose'!M$17*IF($E$15="",'Inputantagelser'!$B$23,$E$15))))</f>
        <v>13255.465504934456</v>
      </c>
      <c r="N35" s="249" t="n">
        <f>IF($C$15&lt;&gt;"Ja",0,IF($B$15="Fast",$D$15*(1+IF($F$15="",'Inputantagelser'!$B$24,$F$15))^(N$23-1),IF($B$15="Varierer med omsætning",'Omsætningsprognose'!N$17*$E$15,$D$15*(1+IF($F$15="",'Inputantagelser'!$B$24,$F$15))^(N$23-1)+'Omsætningsprognose'!N$17*IF($E$15="",'Inputantagelser'!$B$23,$E$15))))</f>
        <v>13388.020159983798</v>
      </c>
      <c r="O35" s="249" t="n">
        <f>IF($C$15&lt;&gt;"Ja",0,IF($B$15="Fast",$D$15*(1+IF($F$15="",'Inputantagelser'!$B$24,$F$15))^(O$23-1),IF($B$15="Varierer med omsætning",'Omsætningsprognose'!O$17*$E$15,$D$15*(1+IF($F$15="",'Inputantagelser'!$B$24,$F$15))^(O$23-1)+'Omsætningsprognose'!O$17*IF($E$15="",'Inputantagelser'!$B$23,$E$15))))</f>
        <v>13521.900361583637</v>
      </c>
      <c r="P35" s="249" t="n">
        <f>IF($C$15&lt;&gt;"Ja",0,IF($B$15="Fast",$D$15*(1+IF($F$15="",'Inputantagelser'!$B$24,$F$15))^(P$23-1),IF($B$15="Varierer med omsætning",'Omsætningsprognose'!P$17*$E$15,$D$15*(1+IF($F$15="",'Inputantagelser'!$B$24,$F$15))^(P$23-1)+'Omsætningsprognose'!P$17*IF($E$15="",'Inputantagelser'!$B$23,$E$15))))</f>
        <v>13657.119365199474</v>
      </c>
      <c r="Q35" s="249" t="n">
        <f>IF($C$15&lt;&gt;"Ja",0,IF($B$15="Fast",$D$15*(1+IF($F$15="",'Inputantagelser'!$B$24,$F$15))^(Q$23-1),IF($B$15="Varierer med omsætning",'Omsætningsprognose'!Q$17*$E$15,$D$15*(1+IF($F$15="",'Inputantagelser'!$B$24,$F$15))^(Q$23-1)+'Omsætningsprognose'!Q$17*IF($E$15="",'Inputantagelser'!$B$23,$E$15))))</f>
        <v>13793.690558851471</v>
      </c>
      <c r="R35" s="249" t="n">
        <f>IF($C$15&lt;&gt;"Ja",0,IF($B$15="Fast",$D$15*(1+IF($F$15="",'Inputantagelser'!$B$24,$F$15))^(R$23-1),IF($B$15="Varierer med omsætning",'Omsætningsprognose'!R$17*$E$15,$D$15*(1+IF($F$15="",'Inputantagelser'!$B$24,$F$15))^(R$23-1)+'Omsætningsprognose'!R$17*IF($E$15="",'Inputantagelser'!$B$23,$E$15))))</f>
        <v>13931.627464439982</v>
      </c>
      <c r="S35" s="249" t="n">
        <f>IF($C$15&lt;&gt;"Ja",0,IF($B$15="Fast",$D$15*(1+IF($F$15="",'Inputantagelser'!$B$24,$F$15))^(S$23-1),IF($B$15="Varierer med omsætning",'Omsætningsprognose'!S$17*$E$15,$D$15*(1+IF($F$15="",'Inputantagelser'!$B$24,$F$15))^(S$23-1)+'Omsætningsprognose'!S$17*IF($E$15="",'Inputantagelser'!$B$23,$E$15))))</f>
        <v>14070.943739084385</v>
      </c>
      <c r="T35" s="249" t="n">
        <f>IF($C$15&lt;&gt;"Ja",0,IF($B$15="Fast",$D$15*(1+IF($F$15="",'Inputantagelser'!$B$24,$F$15))^(T$23-1),IF($B$15="Varierer med omsætning",'Omsætningsprognose'!T$17*$E$15,$D$15*(1+IF($F$15="",'Inputantagelser'!$B$24,$F$15))^(T$23-1)+'Omsætningsprognose'!T$17*IF($E$15="",'Inputantagelser'!$B$23,$E$15))))</f>
        <v>14211.65317647523</v>
      </c>
      <c r="U35" s="249" t="n">
        <f>IF($C$15&lt;&gt;"Ja",0,IF($B$15="Fast",$D$15*(1+IF($F$15="",'Inputantagelser'!$B$24,$F$15))^(U$23-1),IF($B$15="Varierer med omsætning",'Omsætningsprognose'!U$17*$E$15,$D$15*(1+IF($F$15="",'Inputantagelser'!$B$24,$F$15))^(U$23-1)+'Omsætningsprognose'!U$17*IF($E$15="",'Inputantagelser'!$B$23,$E$15))))</f>
        <v>14353.769708239983</v>
      </c>
      <c r="V35" s="249" t="n">
        <f>IF($C$15&lt;&gt;"Ja",0,IF($B$15="Fast",$D$15*(1+IF($F$15="",'Inputantagelser'!$B$24,$F$15))^(V$23-1),IF($B$15="Varierer med omsætning",'Omsætningsprognose'!V$17*$E$15,$D$15*(1+IF($F$15="",'Inputantagelser'!$B$24,$F$15))^(V$23-1)+'Omsætningsprognose'!V$17*IF($E$15="",'Inputantagelser'!$B$23,$E$15))))</f>
        <v>14497.307405322379</v>
      </c>
      <c r="W35" s="249" t="n">
        <f>IF($C$15&lt;&gt;"Ja",0,IF($B$15="Fast",$D$15*(1+IF($F$15="",'Inputantagelser'!$B$24,$F$15))^(W$23-1),IF($B$15="Varierer med omsætning",'Omsætningsprognose'!W$17*$E$15,$D$15*(1+IF($F$15="",'Inputantagelser'!$B$24,$F$15))^(W$23-1)+'Omsætningsprognose'!W$17*IF($E$15="",'Inputantagelser'!$B$23,$E$15))))</f>
        <v>14642.280479375604</v>
      </c>
      <c r="X35" s="249" t="n">
        <f>IF($C$15&lt;&gt;"Ja",0,IF($B$15="Fast",$D$15*(1+IF($F$15="",'Inputantagelser'!$B$24,$F$15))^(X$23-1),IF($B$15="Varierer med omsætning",'Omsætningsprognose'!X$17*$E$15,$D$15*(1+IF($F$15="",'Inputantagelser'!$B$24,$F$15))^(X$23-1)+'Omsætningsprognose'!X$17*IF($E$15="",'Inputantagelser'!$B$23,$E$15))))</f>
        <v>14788.70328416936</v>
      </c>
      <c r="Y35" s="249" t="n">
        <f>IF($C$15&lt;&gt;"Ja",0,IF($B$15="Fast",$D$15*(1+IF($F$15="",'Inputantagelser'!$B$24,$F$15))^(Y$23-1),IF($B$15="Varierer med omsætning",'Omsætningsprognose'!Y$17*$E$15,$D$15*(1+IF($F$15="",'Inputantagelser'!$B$24,$F$15))^(Y$23-1)+'Omsætningsprognose'!Y$17*IF($E$15="",'Inputantagelser'!$B$23,$E$15))))</f>
        <v>14936.590317011056</v>
      </c>
      <c r="Z35" s="250" t="n">
        <f>IF($C$15&lt;&gt;"Ja",0,IF($B$15="Fast",$D$15*(1+IF($F$15="",'Inputantagelser'!$B$24,$F$15))^(Z$23-1),IF($B$15="Varierer med omsætning",'Omsætningsprognose'!Z$17*$E$15,$D$15*(1+IF($F$15="",'Inputantagelser'!$B$24,$F$15))^(Z$23-1)+'Omsætningsprognose'!Z$17*IF($E$15="",'Inputantagelser'!$B$23,$E$15))))</f>
        <v>15085.956220181164</v>
      </c>
    </row>
    <row r="36" ht="15" customHeight="true">
      <c r="A36" s="30" t="str">
        <f>$A$16</f>
        <v>Butiksdrift</v>
      </c>
      <c r="B36" s="84" t="str">
        <f>$B$16</f>
        <v>Fast</v>
      </c>
      <c r="C36" s="249" t="n">
        <f>IF($C$16&lt;&gt;"Ja",0,IF($B$16="Fast",$D$16*(1+IF($F$16="",'Inputantagelser'!$B$24,$F$16))^(C$23-1),IF($B$16="Varierer med omsætning",'Omsætningsprognose'!C$17*$E$16,$D$16*(1+IF($F$16="",'Inputantagelser'!$B$24,$F$16))^(C$23-1)+'Omsætningsprognose'!C$17*IF($E$16="",'Inputantagelser'!$B$23,$E$16))))</f>
        <v>0</v>
      </c>
      <c r="D36" s="249" t="n">
        <f>IF($C$16&lt;&gt;"Ja",0,IF($B$16="Fast",$D$16*(1+IF($F$16="",'Inputantagelser'!$B$24,$F$16))^(D$23-1),IF($B$16="Varierer med omsætning",'Omsætningsprognose'!D$17*$E$16,$D$16*(1+IF($F$16="",'Inputantagelser'!$B$24,$F$16))^(D$23-1)+'Omsætningsprognose'!D$17*IF($E$16="",'Inputantagelser'!$B$23,$E$16))))</f>
        <v>0</v>
      </c>
      <c r="E36" s="249" t="n">
        <f>IF($C$16&lt;&gt;"Ja",0,IF($B$16="Fast",$D$16*(1+IF($F$16="",'Inputantagelser'!$B$24,$F$16))^(E$23-1),IF($B$16="Varierer med omsætning",'Omsætningsprognose'!E$17*$E$16,$D$16*(1+IF($F$16="",'Inputantagelser'!$B$24,$F$16))^(E$23-1)+'Omsætningsprognose'!E$17*IF($E$16="",'Inputantagelser'!$B$23,$E$16))))</f>
        <v>0</v>
      </c>
      <c r="F36" s="249" t="n">
        <f>IF($C$16&lt;&gt;"Ja",0,IF($B$16="Fast",$D$16*(1+IF($F$16="",'Inputantagelser'!$B$24,$F$16))^(F$23-1),IF($B$16="Varierer med omsætning",'Omsætningsprognose'!F$17*$E$16,$D$16*(1+IF($F$16="",'Inputantagelser'!$B$24,$F$16))^(F$23-1)+'Omsætningsprognose'!F$17*IF($E$16="",'Inputantagelser'!$B$23,$E$16))))</f>
        <v>0</v>
      </c>
      <c r="G36" s="249" t="n">
        <f>IF($C$16&lt;&gt;"Ja",0,IF($B$16="Fast",$D$16*(1+IF($F$16="",'Inputantagelser'!$B$24,$F$16))^(G$23-1),IF($B$16="Varierer med omsætning",'Omsætningsprognose'!G$17*$E$16,$D$16*(1+IF($F$16="",'Inputantagelser'!$B$24,$F$16))^(G$23-1)+'Omsætningsprognose'!G$17*IF($E$16="",'Inputantagelser'!$B$23,$E$16))))</f>
        <v>0</v>
      </c>
      <c r="H36" s="249" t="n">
        <f>IF($C$16&lt;&gt;"Ja",0,IF($B$16="Fast",$D$16*(1+IF($F$16="",'Inputantagelser'!$B$24,$F$16))^(H$23-1),IF($B$16="Varierer med omsætning",'Omsætningsprognose'!H$17*$E$16,$D$16*(1+IF($F$16="",'Inputantagelser'!$B$24,$F$16))^(H$23-1)+'Omsætningsprognose'!H$17*IF($E$16="",'Inputantagelser'!$B$23,$E$16))))</f>
        <v>0</v>
      </c>
      <c r="I36" s="249" t="n">
        <f>IF($C$16&lt;&gt;"Ja",0,IF($B$16="Fast",$D$16*(1+IF($F$16="",'Inputantagelser'!$B$24,$F$16))^(I$23-1),IF($B$16="Varierer med omsætning",'Omsætningsprognose'!I$17*$E$16,$D$16*(1+IF($F$16="",'Inputantagelser'!$B$24,$F$16))^(I$23-1)+'Omsætningsprognose'!I$17*IF($E$16="",'Inputantagelser'!$B$23,$E$16))))</f>
        <v>0</v>
      </c>
      <c r="J36" s="249" t="n">
        <f>IF($C$16&lt;&gt;"Ja",0,IF($B$16="Fast",$D$16*(1+IF($F$16="",'Inputantagelser'!$B$24,$F$16))^(J$23-1),IF($B$16="Varierer med omsætning",'Omsætningsprognose'!J$17*$E$16,$D$16*(1+IF($F$16="",'Inputantagelser'!$B$24,$F$16))^(J$23-1)+'Omsætningsprognose'!J$17*IF($E$16="",'Inputantagelser'!$B$23,$E$16))))</f>
        <v>0</v>
      </c>
      <c r="K36" s="249" t="n">
        <f>IF($C$16&lt;&gt;"Ja",0,IF($B$16="Fast",$D$16*(1+IF($F$16="",'Inputantagelser'!$B$24,$F$16))^(K$23-1),IF($B$16="Varierer med omsætning",'Omsætningsprognose'!K$17*$E$16,$D$16*(1+IF($F$16="",'Inputantagelser'!$B$24,$F$16))^(K$23-1)+'Omsætningsprognose'!K$17*IF($E$16="",'Inputantagelser'!$B$23,$E$16))))</f>
        <v>0</v>
      </c>
      <c r="L36" s="249" t="n">
        <f>IF($C$16&lt;&gt;"Ja",0,IF($B$16="Fast",$D$16*(1+IF($F$16="",'Inputantagelser'!$B$24,$F$16))^(L$23-1),IF($B$16="Varierer med omsætning",'Omsætningsprognose'!L$17*$E$16,$D$16*(1+IF($F$16="",'Inputantagelser'!$B$24,$F$16))^(L$23-1)+'Omsætningsprognose'!L$17*IF($E$16="",'Inputantagelser'!$B$23,$E$16))))</f>
        <v>0</v>
      </c>
      <c r="M36" s="249" t="n">
        <f>IF($C$16&lt;&gt;"Ja",0,IF($B$16="Fast",$D$16*(1+IF($F$16="",'Inputantagelser'!$B$24,$F$16))^(M$23-1),IF($B$16="Varierer med omsætning",'Omsætningsprognose'!M$17*$E$16,$D$16*(1+IF($F$16="",'Inputantagelser'!$B$24,$F$16))^(M$23-1)+'Omsætningsprognose'!M$17*IF($E$16="",'Inputantagelser'!$B$23,$E$16))))</f>
        <v>0</v>
      </c>
      <c r="N36" s="249" t="n">
        <f>IF($C$16&lt;&gt;"Ja",0,IF($B$16="Fast",$D$16*(1+IF($F$16="",'Inputantagelser'!$B$24,$F$16))^(N$23-1),IF($B$16="Varierer med omsætning",'Omsætningsprognose'!N$17*$E$16,$D$16*(1+IF($F$16="",'Inputantagelser'!$B$24,$F$16))^(N$23-1)+'Omsætningsprognose'!N$17*IF($E$16="",'Inputantagelser'!$B$23,$E$16))))</f>
        <v>0</v>
      </c>
      <c r="O36" s="249" t="n">
        <f>IF($C$16&lt;&gt;"Ja",0,IF($B$16="Fast",$D$16*(1+IF($F$16="",'Inputantagelser'!$B$24,$F$16))^(O$23-1),IF($B$16="Varierer med omsætning",'Omsætningsprognose'!O$17*$E$16,$D$16*(1+IF($F$16="",'Inputantagelser'!$B$24,$F$16))^(O$23-1)+'Omsætningsprognose'!O$17*IF($E$16="",'Inputantagelser'!$B$23,$E$16))))</f>
        <v>0</v>
      </c>
      <c r="P36" s="249" t="n">
        <f>IF($C$16&lt;&gt;"Ja",0,IF($B$16="Fast",$D$16*(1+IF($F$16="",'Inputantagelser'!$B$24,$F$16))^(P$23-1),IF($B$16="Varierer med omsætning",'Omsætningsprognose'!P$17*$E$16,$D$16*(1+IF($F$16="",'Inputantagelser'!$B$24,$F$16))^(P$23-1)+'Omsætningsprognose'!P$17*IF($E$16="",'Inputantagelser'!$B$23,$E$16))))</f>
        <v>0</v>
      </c>
      <c r="Q36" s="249" t="n">
        <f>IF($C$16&lt;&gt;"Ja",0,IF($B$16="Fast",$D$16*(1+IF($F$16="",'Inputantagelser'!$B$24,$F$16))^(Q$23-1),IF($B$16="Varierer med omsætning",'Omsætningsprognose'!Q$17*$E$16,$D$16*(1+IF($F$16="",'Inputantagelser'!$B$24,$F$16))^(Q$23-1)+'Omsætningsprognose'!Q$17*IF($E$16="",'Inputantagelser'!$B$23,$E$16))))</f>
        <v>0</v>
      </c>
      <c r="R36" s="249" t="n">
        <f>IF($C$16&lt;&gt;"Ja",0,IF($B$16="Fast",$D$16*(1+IF($F$16="",'Inputantagelser'!$B$24,$F$16))^(R$23-1),IF($B$16="Varierer med omsætning",'Omsætningsprognose'!R$17*$E$16,$D$16*(1+IF($F$16="",'Inputantagelser'!$B$24,$F$16))^(R$23-1)+'Omsætningsprognose'!R$17*IF($E$16="",'Inputantagelser'!$B$23,$E$16))))</f>
        <v>0</v>
      </c>
      <c r="S36" s="249" t="n">
        <f>IF($C$16&lt;&gt;"Ja",0,IF($B$16="Fast",$D$16*(1+IF($F$16="",'Inputantagelser'!$B$24,$F$16))^(S$23-1),IF($B$16="Varierer med omsætning",'Omsætningsprognose'!S$17*$E$16,$D$16*(1+IF($F$16="",'Inputantagelser'!$B$24,$F$16))^(S$23-1)+'Omsætningsprognose'!S$17*IF($E$16="",'Inputantagelser'!$B$23,$E$16))))</f>
        <v>0</v>
      </c>
      <c r="T36" s="249" t="n">
        <f>IF($C$16&lt;&gt;"Ja",0,IF($B$16="Fast",$D$16*(1+IF($F$16="",'Inputantagelser'!$B$24,$F$16))^(T$23-1),IF($B$16="Varierer med omsætning",'Omsætningsprognose'!T$17*$E$16,$D$16*(1+IF($F$16="",'Inputantagelser'!$B$24,$F$16))^(T$23-1)+'Omsætningsprognose'!T$17*IF($E$16="",'Inputantagelser'!$B$23,$E$16))))</f>
        <v>0</v>
      </c>
      <c r="U36" s="249" t="n">
        <f>IF($C$16&lt;&gt;"Ja",0,IF($B$16="Fast",$D$16*(1+IF($F$16="",'Inputantagelser'!$B$24,$F$16))^(U$23-1),IF($B$16="Varierer med omsætning",'Omsætningsprognose'!U$17*$E$16,$D$16*(1+IF($F$16="",'Inputantagelser'!$B$24,$F$16))^(U$23-1)+'Omsætningsprognose'!U$17*IF($E$16="",'Inputantagelser'!$B$23,$E$16))))</f>
        <v>0</v>
      </c>
      <c r="V36" s="249" t="n">
        <f>IF($C$16&lt;&gt;"Ja",0,IF($B$16="Fast",$D$16*(1+IF($F$16="",'Inputantagelser'!$B$24,$F$16))^(V$23-1),IF($B$16="Varierer med omsætning",'Omsætningsprognose'!V$17*$E$16,$D$16*(1+IF($F$16="",'Inputantagelser'!$B$24,$F$16))^(V$23-1)+'Omsætningsprognose'!V$17*IF($E$16="",'Inputantagelser'!$B$23,$E$16))))</f>
        <v>0</v>
      </c>
      <c r="W36" s="249" t="n">
        <f>IF($C$16&lt;&gt;"Ja",0,IF($B$16="Fast",$D$16*(1+IF($F$16="",'Inputantagelser'!$B$24,$F$16))^(W$23-1),IF($B$16="Varierer med omsætning",'Omsætningsprognose'!W$17*$E$16,$D$16*(1+IF($F$16="",'Inputantagelser'!$B$24,$F$16))^(W$23-1)+'Omsætningsprognose'!W$17*IF($E$16="",'Inputantagelser'!$B$23,$E$16))))</f>
        <v>0</v>
      </c>
      <c r="X36" s="249" t="n">
        <f>IF($C$16&lt;&gt;"Ja",0,IF($B$16="Fast",$D$16*(1+IF($F$16="",'Inputantagelser'!$B$24,$F$16))^(X$23-1),IF($B$16="Varierer med omsætning",'Omsætningsprognose'!X$17*$E$16,$D$16*(1+IF($F$16="",'Inputantagelser'!$B$24,$F$16))^(X$23-1)+'Omsætningsprognose'!X$17*IF($E$16="",'Inputantagelser'!$B$23,$E$16))))</f>
        <v>0</v>
      </c>
      <c r="Y36" s="249" t="n">
        <f>IF($C$16&lt;&gt;"Ja",0,IF($B$16="Fast",$D$16*(1+IF($F$16="",'Inputantagelser'!$B$24,$F$16))^(Y$23-1),IF($B$16="Varierer med omsætning",'Omsætningsprognose'!Y$17*$E$16,$D$16*(1+IF($F$16="",'Inputantagelser'!$B$24,$F$16))^(Y$23-1)+'Omsætningsprognose'!Y$17*IF($E$16="",'Inputantagelser'!$B$23,$E$16))))</f>
        <v>0</v>
      </c>
      <c r="Z36" s="250" t="n">
        <f>IF($C$16&lt;&gt;"Ja",0,IF($B$16="Fast",$D$16*(1+IF($F$16="",'Inputantagelser'!$B$24,$F$16))^(Z$23-1),IF($B$16="Varierer med omsætning",'Omsætningsprognose'!Z$17*$E$16,$D$16*(1+IF($F$16="",'Inputantagelser'!$B$24,$F$16))^(Z$23-1)+'Omsætningsprognose'!Z$17*IF($E$16="",'Inputantagelser'!$B$23,$E$16))))</f>
        <v>0</v>
      </c>
    </row>
    <row r="37" ht="15" customHeight="true">
      <c r="A37" s="30"/>
      <c r="B37" s="84"/>
      <c r="C37" s="249"/>
      <c r="D37" s="249"/>
      <c r="E37" s="249"/>
      <c r="F37" s="249"/>
      <c r="G37" s="249"/>
      <c r="H37" s="249"/>
      <c r="I37" s="249"/>
      <c r="J37" s="249"/>
      <c r="K37" s="249"/>
      <c r="L37" s="249"/>
      <c r="M37" s="249"/>
      <c r="N37" s="249"/>
      <c r="O37" s="249"/>
      <c r="P37" s="249"/>
      <c r="Q37" s="249"/>
      <c r="R37" s="249"/>
      <c r="S37" s="249"/>
      <c r="T37" s="249"/>
      <c r="U37" s="249"/>
      <c r="V37" s="249"/>
      <c r="W37" s="249"/>
      <c r="X37" s="249"/>
      <c r="Y37" s="249"/>
      <c r="Z37" s="250"/>
    </row>
    <row r="38" ht="15" customHeight="true">
      <c r="A38" s="265" t="s">
        <v>189</v>
      </c>
      <c r="B38" s="242"/>
      <c r="C38" s="317" t="n">
        <f>SUM(C25:C36)</f>
        <v>157006</v>
      </c>
      <c r="D38" s="317" t="n">
        <f>SUM(D25:D36)</f>
        <v>162201.451</v>
      </c>
      <c r="E38" s="317" t="n">
        <f>SUM(E25:E36)</f>
        <v>167557.61823999998</v>
      </c>
      <c r="F38" s="317" t="n">
        <f>SUM(F25:F36)</f>
        <v>173079.3717343</v>
      </c>
      <c r="G38" s="317" t="n">
        <f>SUM(G25:G36)</f>
        <v>178771.72808290002</v>
      </c>
      <c r="H38" s="317" t="n">
        <f>SUM(H25:H36)</f>
        <v>184639.85487392376</v>
      </c>
      <c r="I38" s="317" t="n">
        <f>SUM(I25:I36)</f>
        <v>190689.07521816355</v>
      </c>
      <c r="J38" s="317" t="n">
        <f>SUM(J25:J36)</f>
        <v>196924.87241971068</v>
      </c>
      <c r="K38" s="317" t="n">
        <f>SUM(K25:K36)</f>
        <v>203352.8947867544</v>
      </c>
      <c r="L38" s="317" t="n">
        <f>SUM(L25:L36)</f>
        <v>209978.96058675388</v>
      </c>
      <c r="M38" s="317" t="n">
        <f>SUM(M25:M36)</f>
        <v>216809.06315031732</v>
      </c>
      <c r="N38" s="317" t="n">
        <f>SUM(N25:N36)</f>
        <v>223849.37612824718</v>
      </c>
      <c r="O38" s="317" t="n">
        <f>SUM(O25:O36)</f>
        <v>231106.25890634928</v>
      </c>
      <c r="P38" s="317" t="n">
        <f>SUM(P25:P36)</f>
        <v>238586.26218273686</v>
      </c>
      <c r="Q38" s="317" t="n">
        <f>SUM(Q25:Q36)</f>
        <v>246296.13371250822</v>
      </c>
      <c r="R38" s="317" t="n">
        <f>SUM(R25:R36)</f>
        <v>254242.82422481538</v>
      </c>
      <c r="S38" s="317" t="n">
        <f>SUM(S25:S36)</f>
        <v>262433.49351750134</v>
      </c>
      <c r="T38" s="317" t="n">
        <f>SUM(T25:T36)</f>
        <v>270875.51673462713</v>
      </c>
      <c r="U38" s="317" t="n">
        <f>SUM(U25:U36)</f>
        <v>279576.4908323827</v>
      </c>
      <c r="V38" s="317" t="n">
        <f>SUM(V25:V36)</f>
        <v>288544.24123902805</v>
      </c>
      <c r="W38" s="317" t="n">
        <f>SUM(W25:W36)</f>
        <v>297786.8287146896</v>
      </c>
      <c r="X38" s="317" t="n">
        <f>SUM(X25:X36)</f>
        <v>307312.5564170059</v>
      </c>
      <c r="Y38" s="317" t="n">
        <f>SUM(Y25:Y36)</f>
        <v>317129.9771788003</v>
      </c>
      <c r="Z38" s="318" t="n">
        <f>SUM(Z25:Z36)</f>
        <v>327247.90100414155</v>
      </c>
    </row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2">
    <dataValidation allowBlank="false" sqref="B5:B16" type="list">
      <formula1>"Fast,Varierer med omsætning,Blandet"</formula1>
    </dataValidation>
    <dataValidation allowBlank="false" sqref="C5:C16" type="list">
      <formula1>"Ja,Nej"</formula1>
    </dataValidation>
  </dataValidations>
  <pageMargins left="0.7" right="0.7" top="0.75" bottom="0.75" header="0.3" footer="0.3"/>
</worksheet>
</file>

<file path=xl/worksheets/sheet7.xml><?xml version="1.0" encoding="utf-8"?>
<worksheet xmlns:x="http://schemas.openxmlformats.org/spreadsheetml/2006/main" xmlns="http://schemas.openxmlformats.org/spreadsheetml/2006/main">
  <sheetViews>
    <sheetView showGridLines="false" workbookViewId="0"/>
  </sheetViews>
  <sheetFormatPr defaultRowHeight="15"/>
  <cols>
    <col customWidth="true" max="1" min="1" width="18"/>
    <col customWidth="true" max="2" min="2" width="16"/>
    <col customWidth="true" max="26" min="3" width="12"/>
  </cols>
  <sheetData>
    <row r="1" ht="19.53125" customHeight="true">
      <c r="A1" s="4" t="s">
        <v>190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" customHeight="true">
      <c r="A2" s="6" t="s">
        <v>191</v>
      </c>
    </row>
    <row r="3"/>
    <row r="4" ht="24.4140625" customHeight="true">
      <c r="A4" s="72" t="s">
        <v>192</v>
      </c>
      <c r="B4" s="73" t="s">
        <v>193</v>
      </c>
      <c r="C4" s="73" t="s">
        <v>72</v>
      </c>
      <c r="D4" s="73" t="s">
        <v>194</v>
      </c>
      <c r="E4" s="73" t="s">
        <v>195</v>
      </c>
      <c r="F4" s="73" t="s">
        <v>72</v>
      </c>
      <c r="G4" s="73" t="s">
        <v>196</v>
      </c>
      <c r="H4" s="74" t="s">
        <v>4</v>
      </c>
    </row>
    <row r="5" ht="36.62109375" customHeight="true">
      <c r="A5" s="143" t="s">
        <v>197</v>
      </c>
      <c r="B5" s="144" t="s">
        <v>198</v>
      </c>
      <c r="C5" s="144" t="s">
        <v>82</v>
      </c>
      <c r="D5" s="273" t="n">
        <v>1</v>
      </c>
      <c r="E5" s="155" t="n">
        <v>30000</v>
      </c>
      <c r="F5" s="144" t="s">
        <v>87</v>
      </c>
      <c r="G5" s="273" t="n">
        <v>0</v>
      </c>
      <c r="H5" s="305" t="s">
        <v>199</v>
      </c>
    </row>
    <row r="6" ht="24.4140625" customHeight="true">
      <c r="A6" s="145" t="s">
        <v>200</v>
      </c>
      <c r="B6" s="146" t="s">
        <v>201</v>
      </c>
      <c r="C6" s="146" t="s">
        <v>82</v>
      </c>
      <c r="D6" s="274" t="n">
        <v>1</v>
      </c>
      <c r="E6" s="156" t="n">
        <v>150000</v>
      </c>
      <c r="F6" s="146" t="s">
        <v>82</v>
      </c>
      <c r="G6" s="274" t="n">
        <v>36</v>
      </c>
      <c r="H6" s="306" t="s">
        <v>202</v>
      </c>
    </row>
    <row r="7" ht="24.4140625" customHeight="true">
      <c r="A7" s="145" t="s">
        <v>203</v>
      </c>
      <c r="B7" s="146" t="s">
        <v>204</v>
      </c>
      <c r="C7" s="146" t="s">
        <v>82</v>
      </c>
      <c r="D7" s="274" t="n">
        <v>1</v>
      </c>
      <c r="E7" s="156" t="n">
        <v>120000</v>
      </c>
      <c r="F7" s="146" t="s">
        <v>87</v>
      </c>
      <c r="G7" s="274" t="n">
        <v>0</v>
      </c>
      <c r="H7" s="306" t="s">
        <v>205</v>
      </c>
    </row>
    <row r="8" ht="24.4140625" customHeight="true">
      <c r="A8" s="145" t="str">
        <v>网站/App/系统搭建</v>
      </c>
      <c r="B8" s="146" t="s">
        <v>201</v>
      </c>
      <c r="C8" s="146" t="s">
        <v>82</v>
      </c>
      <c r="D8" s="274" t="n">
        <v>1</v>
      </c>
      <c r="E8" s="156" t="n">
        <v>200000</v>
      </c>
      <c r="F8" s="146" t="s">
        <v>82</v>
      </c>
      <c r="G8" s="274" t="n">
        <v>36</v>
      </c>
      <c r="H8" s="306" t="str">
        <v>官网、App、后台系统</v>
      </c>
    </row>
    <row r="9" ht="24.4140625" customHeight="true">
      <c r="A9" s="145" t="s">
        <v>206</v>
      </c>
      <c r="B9" s="146" t="s">
        <v>198</v>
      </c>
      <c r="C9" s="146" t="s">
        <v>82</v>
      </c>
      <c r="D9" s="274" t="n">
        <v>1</v>
      </c>
      <c r="E9" s="156" t="n">
        <v>40000</v>
      </c>
      <c r="F9" s="146" t="s">
        <v>87</v>
      </c>
      <c r="G9" s="274" t="n">
        <v>0</v>
      </c>
      <c r="H9" s="306" t="s">
        <v>207</v>
      </c>
    </row>
    <row r="10" ht="24.4140625" customHeight="true">
      <c r="A10" s="145" t="s">
        <v>208</v>
      </c>
      <c r="B10" s="146" t="s">
        <v>198</v>
      </c>
      <c r="C10" s="146" t="s">
        <v>82</v>
      </c>
      <c r="D10" s="274" t="n">
        <v>2</v>
      </c>
      <c r="E10" s="156" t="n">
        <v>60000</v>
      </c>
      <c r="F10" s="146" t="s">
        <v>87</v>
      </c>
      <c r="G10" s="274" t="n">
        <v>0</v>
      </c>
      <c r="H10" s="306" t="s">
        <v>209</v>
      </c>
    </row>
    <row r="11" ht="24.4140625" customHeight="true">
      <c r="A11" s="145" t="s">
        <v>210</v>
      </c>
      <c r="B11" s="146" t="s">
        <v>204</v>
      </c>
      <c r="C11" s="146" t="s">
        <v>82</v>
      </c>
      <c r="D11" s="274" t="n">
        <v>1</v>
      </c>
      <c r="E11" s="156" t="n">
        <v>80000</v>
      </c>
      <c r="F11" s="146" t="s">
        <v>87</v>
      </c>
      <c r="G11" s="274" t="n">
        <v>0</v>
      </c>
      <c r="H11" s="306" t="s">
        <v>211</v>
      </c>
    </row>
    <row r="12" ht="24.4140625" customHeight="true">
      <c r="A12" s="145" t="s">
        <v>212</v>
      </c>
      <c r="B12" s="146" t="s">
        <v>198</v>
      </c>
      <c r="C12" s="146" t="s">
        <v>87</v>
      </c>
      <c r="D12" s="274" t="n">
        <v>1</v>
      </c>
      <c r="E12" s="156" t="n">
        <v>50000</v>
      </c>
      <c r="F12" s="146" t="s">
        <v>87</v>
      </c>
      <c r="G12" s="274" t="n">
        <v>0</v>
      </c>
      <c r="H12" s="306" t="s">
        <v>213</v>
      </c>
    </row>
    <row r="13" ht="24.4140625" customHeight="true">
      <c r="A13" s="145" t="s">
        <v>214</v>
      </c>
      <c r="B13" s="146" t="s">
        <v>198</v>
      </c>
      <c r="C13" s="146" t="s">
        <v>82</v>
      </c>
      <c r="D13" s="274" t="n">
        <v>1</v>
      </c>
      <c r="E13" s="156" t="n">
        <v>30000</v>
      </c>
      <c r="F13" s="146" t="s">
        <v>87</v>
      </c>
      <c r="G13" s="274" t="n">
        <v>0</v>
      </c>
      <c r="H13" s="306" t="s">
        <v>215</v>
      </c>
    </row>
    <row r="14" ht="24.4140625" customHeight="true">
      <c r="A14" s="147" t="s">
        <v>216</v>
      </c>
      <c r="B14" s="148" t="s">
        <v>217</v>
      </c>
      <c r="C14" s="148" t="s">
        <v>82</v>
      </c>
      <c r="D14" s="275" t="n">
        <v>1</v>
      </c>
      <c r="E14" s="157" t="n">
        <v>50000</v>
      </c>
      <c r="F14" s="148" t="s">
        <v>87</v>
      </c>
      <c r="G14" s="275" t="n">
        <v>0</v>
      </c>
      <c r="H14" s="307" t="s">
        <v>218</v>
      </c>
    </row>
    <row r="15"/>
    <row r="16" ht="15" customHeight="true">
      <c r="A16" s="191" t="s">
        <v>142</v>
      </c>
      <c r="B16" s="192"/>
      <c r="C16" s="192"/>
      <c r="D16" s="192"/>
      <c r="E16" s="197" t="n">
        <f>SUMIFS(E5:E14,C5:C14,"Ja")</f>
        <v>760000</v>
      </c>
      <c r="F16" s="192"/>
      <c r="G16" s="192"/>
      <c r="H16" s="193"/>
    </row>
    <row r="17"/>
    <row r="18"/>
    <row r="19" ht="15" customHeight="true">
      <c r="A19" s="14" t="s">
        <v>219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ht="15" customHeight="true">
      <c r="A20" s="201" t="s">
        <v>25</v>
      </c>
      <c r="B20" s="202"/>
      <c r="C20" s="281" t="n">
        <f>EDATE('Inputantagelser'!$B$6,0)</f>
        <v>46143</v>
      </c>
      <c r="D20" s="282" t="n">
        <f>EDATE('Inputantagelser'!$B$6,1)</f>
        <v>46174</v>
      </c>
      <c r="E20" s="282" t="n">
        <f>EDATE('Inputantagelser'!$B$6,2)</f>
        <v>46204</v>
      </c>
      <c r="F20" s="282" t="n">
        <f>EDATE('Inputantagelser'!$B$6,3)</f>
        <v>46235</v>
      </c>
      <c r="G20" s="282" t="n">
        <f>EDATE('Inputantagelser'!$B$6,4)</f>
        <v>46266</v>
      </c>
      <c r="H20" s="282" t="n">
        <f>EDATE('Inputantagelser'!$B$6,5)</f>
        <v>46296</v>
      </c>
      <c r="I20" s="282" t="n">
        <f>EDATE('Inputantagelser'!$B$6,6)</f>
        <v>46327</v>
      </c>
      <c r="J20" s="282" t="n">
        <f>EDATE('Inputantagelser'!$B$6,7)</f>
        <v>46357</v>
      </c>
      <c r="K20" s="282" t="n">
        <f>EDATE('Inputantagelser'!$B$6,8)</f>
        <v>46388</v>
      </c>
      <c r="L20" s="282" t="n">
        <f>EDATE('Inputantagelser'!$B$6,9)</f>
        <v>46419</v>
      </c>
      <c r="M20" s="282" t="n">
        <f>EDATE('Inputantagelser'!$B$6,10)</f>
        <v>46447</v>
      </c>
      <c r="N20" s="282" t="n">
        <f>EDATE('Inputantagelser'!$B$6,11)</f>
        <v>46478</v>
      </c>
      <c r="O20" s="282" t="n">
        <f>EDATE('Inputantagelser'!$B$6,12)</f>
        <v>46508</v>
      </c>
      <c r="P20" s="282" t="n">
        <f>EDATE('Inputantagelser'!$B$6,13)</f>
        <v>46539</v>
      </c>
      <c r="Q20" s="282" t="n">
        <f>EDATE('Inputantagelser'!$B$6,14)</f>
        <v>46569</v>
      </c>
      <c r="R20" s="282" t="n">
        <f>EDATE('Inputantagelser'!$B$6,15)</f>
        <v>46600</v>
      </c>
      <c r="S20" s="282" t="n">
        <f>EDATE('Inputantagelser'!$B$6,16)</f>
        <v>46631</v>
      </c>
      <c r="T20" s="282" t="n">
        <f>EDATE('Inputantagelser'!$B$6,17)</f>
        <v>46661</v>
      </c>
      <c r="U20" s="282" t="n">
        <f>EDATE('Inputantagelser'!$B$6,18)</f>
        <v>46692</v>
      </c>
      <c r="V20" s="282" t="n">
        <f>EDATE('Inputantagelser'!$B$6,19)</f>
        <v>46722</v>
      </c>
      <c r="W20" s="282" t="n">
        <f>EDATE('Inputantagelser'!$B$6,20)</f>
        <v>46753</v>
      </c>
      <c r="X20" s="282" t="n">
        <f>EDATE('Inputantagelser'!$B$6,21)</f>
        <v>46784</v>
      </c>
      <c r="Y20" s="282" t="n">
        <f>EDATE('Inputantagelser'!$B$6,22)</f>
        <v>46813</v>
      </c>
      <c r="Z20" s="283" t="n">
        <f>EDATE('Inputantagelser'!$B$6,23)</f>
        <v>46844</v>
      </c>
    </row>
    <row r="21" ht="15" customHeight="true">
      <c r="A21" s="203" t="s">
        <v>102</v>
      </c>
      <c r="B21" s="204"/>
      <c r="C21" s="284" t="n">
        <v>1</v>
      </c>
      <c r="D21" s="285" t="n">
        <v>2</v>
      </c>
      <c r="E21" s="285" t="n">
        <v>3</v>
      </c>
      <c r="F21" s="285" t="n">
        <v>4</v>
      </c>
      <c r="G21" s="285" t="n">
        <v>5</v>
      </c>
      <c r="H21" s="285" t="n">
        <v>6</v>
      </c>
      <c r="I21" s="285" t="n">
        <v>7</v>
      </c>
      <c r="J21" s="285" t="n">
        <v>8</v>
      </c>
      <c r="K21" s="285" t="n">
        <v>9</v>
      </c>
      <c r="L21" s="285" t="n">
        <v>10</v>
      </c>
      <c r="M21" s="285" t="n">
        <v>11</v>
      </c>
      <c r="N21" s="285" t="n">
        <v>12</v>
      </c>
      <c r="O21" s="285" t="n">
        <v>13</v>
      </c>
      <c r="P21" s="285" t="n">
        <v>14</v>
      </c>
      <c r="Q21" s="285" t="n">
        <v>15</v>
      </c>
      <c r="R21" s="285" t="n">
        <v>16</v>
      </c>
      <c r="S21" s="285" t="n">
        <v>17</v>
      </c>
      <c r="T21" s="285" t="n">
        <v>18</v>
      </c>
      <c r="U21" s="285" t="n">
        <v>19</v>
      </c>
      <c r="V21" s="285" t="n">
        <v>20</v>
      </c>
      <c r="W21" s="285" t="n">
        <v>21</v>
      </c>
      <c r="X21" s="285" t="n">
        <v>22</v>
      </c>
      <c r="Y21" s="285" t="n">
        <v>23</v>
      </c>
      <c r="Z21" s="286" t="n">
        <v>24</v>
      </c>
    </row>
    <row r="22" ht="15" customHeight="true">
      <c r="A22" s="30"/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31"/>
    </row>
    <row r="23" ht="15" customHeight="true">
      <c r="A23" s="30" t="str">
        <f>$A$5</f>
        <v>Virksomhedsregistrering / juridisk</v>
      </c>
      <c r="B23" s="84" t="s">
        <v>220</v>
      </c>
      <c r="C23" s="249" t="n">
        <f>IF(AND($C$5="Ja",$D$5=C$21),$E$5,0)</f>
        <v>30000</v>
      </c>
      <c r="D23" s="249" t="n">
        <f>IF(AND($C$5="Ja",$D$5=D$21),$E$5,0)</f>
        <v>0</v>
      </c>
      <c r="E23" s="249" t="n">
        <f>IF(AND($C$5="Ja",$D$5=E$21),$E$5,0)</f>
        <v>0</v>
      </c>
      <c r="F23" s="249" t="n">
        <f>IF(AND($C$5="Ja",$D$5=F$21),$E$5,0)</f>
        <v>0</v>
      </c>
      <c r="G23" s="249" t="n">
        <f>IF(AND($C$5="Ja",$D$5=G$21),$E$5,0)</f>
        <v>0</v>
      </c>
      <c r="H23" s="249" t="n">
        <f>IF(AND($C$5="Ja",$D$5=H$21),$E$5,0)</f>
        <v>0</v>
      </c>
      <c r="I23" s="249" t="n">
        <f>IF(AND($C$5="Ja",$D$5=I$21),$E$5,0)</f>
        <v>0</v>
      </c>
      <c r="J23" s="249" t="n">
        <f>IF(AND($C$5="Ja",$D$5=J$21),$E$5,0)</f>
        <v>0</v>
      </c>
      <c r="K23" s="249" t="n">
        <f>IF(AND($C$5="Ja",$D$5=K$21),$E$5,0)</f>
        <v>0</v>
      </c>
      <c r="L23" s="249" t="n">
        <f>IF(AND($C$5="Ja",$D$5=L$21),$E$5,0)</f>
        <v>0</v>
      </c>
      <c r="M23" s="249" t="n">
        <f>IF(AND($C$5="Ja",$D$5=M$21),$E$5,0)</f>
        <v>0</v>
      </c>
      <c r="N23" s="249" t="n">
        <f>IF(AND($C$5="Ja",$D$5=N$21),$E$5,0)</f>
        <v>0</v>
      </c>
      <c r="O23" s="249" t="n">
        <f>IF(AND($C$5="Ja",$D$5=O$21),$E$5,0)</f>
        <v>0</v>
      </c>
      <c r="P23" s="249" t="n">
        <f>IF(AND($C$5="Ja",$D$5=P$21),$E$5,0)</f>
        <v>0</v>
      </c>
      <c r="Q23" s="249" t="n">
        <f>IF(AND($C$5="Ja",$D$5=Q$21),$E$5,0)</f>
        <v>0</v>
      </c>
      <c r="R23" s="249" t="n">
        <f>IF(AND($C$5="Ja",$D$5=R$21),$E$5,0)</f>
        <v>0</v>
      </c>
      <c r="S23" s="249" t="n">
        <f>IF(AND($C$5="Ja",$D$5=S$21),$E$5,0)</f>
        <v>0</v>
      </c>
      <c r="T23" s="249" t="n">
        <f>IF(AND($C$5="Ja",$D$5=T$21),$E$5,0)</f>
        <v>0</v>
      </c>
      <c r="U23" s="249" t="n">
        <f>IF(AND($C$5="Ja",$D$5=U$21),$E$5,0)</f>
        <v>0</v>
      </c>
      <c r="V23" s="249" t="n">
        <f>IF(AND($C$5="Ja",$D$5=V$21),$E$5,0)</f>
        <v>0</v>
      </c>
      <c r="W23" s="249" t="n">
        <f>IF(AND($C$5="Ja",$D$5=W$21),$E$5,0)</f>
        <v>0</v>
      </c>
      <c r="X23" s="249" t="n">
        <f>IF(AND($C$5="Ja",$D$5=X$21),$E$5,0)</f>
        <v>0</v>
      </c>
      <c r="Y23" s="249" t="n">
        <f>IF(AND($C$5="Ja",$D$5=Y$21),$E$5,0)</f>
        <v>0</v>
      </c>
      <c r="Z23" s="250" t="n">
        <f>IF(AND($C$5="Ja",$D$5=Z$21),$E$5,0)</f>
        <v>0</v>
      </c>
    </row>
    <row r="24" ht="15" customHeight="true">
      <c r="A24" s="30" t="str">
        <f>$A$6</f>
        <v>Kontorrenovering / udstyr</v>
      </c>
      <c r="B24" s="84" t="s">
        <v>220</v>
      </c>
      <c r="C24" s="249" t="n">
        <f>IF(AND($C$6="Ja",$D$6=C$21),$E$6,0)</f>
        <v>150000</v>
      </c>
      <c r="D24" s="249" t="n">
        <f>IF(AND($C$6="Ja",$D$6=D$21),$E$6,0)</f>
        <v>0</v>
      </c>
      <c r="E24" s="249" t="n">
        <f>IF(AND($C$6="Ja",$D$6=E$21),$E$6,0)</f>
        <v>0</v>
      </c>
      <c r="F24" s="249" t="n">
        <f>IF(AND($C$6="Ja",$D$6=F$21),$E$6,0)</f>
        <v>0</v>
      </c>
      <c r="G24" s="249" t="n">
        <f>IF(AND($C$6="Ja",$D$6=G$21),$E$6,0)</f>
        <v>0</v>
      </c>
      <c r="H24" s="249" t="n">
        <f>IF(AND($C$6="Ja",$D$6=H$21),$E$6,0)</f>
        <v>0</v>
      </c>
      <c r="I24" s="249" t="n">
        <f>IF(AND($C$6="Ja",$D$6=I$21),$E$6,0)</f>
        <v>0</v>
      </c>
      <c r="J24" s="249" t="n">
        <f>IF(AND($C$6="Ja",$D$6=J$21),$E$6,0)</f>
        <v>0</v>
      </c>
      <c r="K24" s="249" t="n">
        <f>IF(AND($C$6="Ja",$D$6=K$21),$E$6,0)</f>
        <v>0</v>
      </c>
      <c r="L24" s="249" t="n">
        <f>IF(AND($C$6="Ja",$D$6=L$21),$E$6,0)</f>
        <v>0</v>
      </c>
      <c r="M24" s="249" t="n">
        <f>IF(AND($C$6="Ja",$D$6=M$21),$E$6,0)</f>
        <v>0</v>
      </c>
      <c r="N24" s="249" t="n">
        <f>IF(AND($C$6="Ja",$D$6=N$21),$E$6,0)</f>
        <v>0</v>
      </c>
      <c r="O24" s="249" t="n">
        <f>IF(AND($C$6="Ja",$D$6=O$21),$E$6,0)</f>
        <v>0</v>
      </c>
      <c r="P24" s="249" t="n">
        <f>IF(AND($C$6="Ja",$D$6=P$21),$E$6,0)</f>
        <v>0</v>
      </c>
      <c r="Q24" s="249" t="n">
        <f>IF(AND($C$6="Ja",$D$6=Q$21),$E$6,0)</f>
        <v>0</v>
      </c>
      <c r="R24" s="249" t="n">
        <f>IF(AND($C$6="Ja",$D$6=R$21),$E$6,0)</f>
        <v>0</v>
      </c>
      <c r="S24" s="249" t="n">
        <f>IF(AND($C$6="Ja",$D$6=S$21),$E$6,0)</f>
        <v>0</v>
      </c>
      <c r="T24" s="249" t="n">
        <f>IF(AND($C$6="Ja",$D$6=T$21),$E$6,0)</f>
        <v>0</v>
      </c>
      <c r="U24" s="249" t="n">
        <f>IF(AND($C$6="Ja",$D$6=U$21),$E$6,0)</f>
        <v>0</v>
      </c>
      <c r="V24" s="249" t="n">
        <f>IF(AND($C$6="Ja",$D$6=V$21),$E$6,0)</f>
        <v>0</v>
      </c>
      <c r="W24" s="249" t="n">
        <f>IF(AND($C$6="Ja",$D$6=W$21),$E$6,0)</f>
        <v>0</v>
      </c>
      <c r="X24" s="249" t="n">
        <f>IF(AND($C$6="Ja",$D$6=X$21),$E$6,0)</f>
        <v>0</v>
      </c>
      <c r="Y24" s="249" t="n">
        <f>IF(AND($C$6="Ja",$D$6=Y$21),$E$6,0)</f>
        <v>0</v>
      </c>
      <c r="Z24" s="250" t="n">
        <f>IF(AND($C$6="Ja",$D$6=Z$21),$E$6,0)</f>
        <v>0</v>
      </c>
    </row>
    <row r="25" ht="15" customHeight="true">
      <c r="A25" s="30" t="str">
        <f>$A$7</f>
        <v>Indledende lager / materialer</v>
      </c>
      <c r="B25" s="84" t="s">
        <v>220</v>
      </c>
      <c r="C25" s="249" t="n">
        <f>IF(AND($C$7="Ja",$D$7=C$21),$E$7,0)</f>
        <v>120000</v>
      </c>
      <c r="D25" s="249" t="n">
        <f>IF(AND($C$7="Ja",$D$7=D$21),$E$7,0)</f>
        <v>0</v>
      </c>
      <c r="E25" s="249" t="n">
        <f>IF(AND($C$7="Ja",$D$7=E$21),$E$7,0)</f>
        <v>0</v>
      </c>
      <c r="F25" s="249" t="n">
        <f>IF(AND($C$7="Ja",$D$7=F$21),$E$7,0)</f>
        <v>0</v>
      </c>
      <c r="G25" s="249" t="n">
        <f>IF(AND($C$7="Ja",$D$7=G$21),$E$7,0)</f>
        <v>0</v>
      </c>
      <c r="H25" s="249" t="n">
        <f>IF(AND($C$7="Ja",$D$7=H$21),$E$7,0)</f>
        <v>0</v>
      </c>
      <c r="I25" s="249" t="n">
        <f>IF(AND($C$7="Ja",$D$7=I$21),$E$7,0)</f>
        <v>0</v>
      </c>
      <c r="J25" s="249" t="n">
        <f>IF(AND($C$7="Ja",$D$7=J$21),$E$7,0)</f>
        <v>0</v>
      </c>
      <c r="K25" s="249" t="n">
        <f>IF(AND($C$7="Ja",$D$7=K$21),$E$7,0)</f>
        <v>0</v>
      </c>
      <c r="L25" s="249" t="n">
        <f>IF(AND($C$7="Ja",$D$7=L$21),$E$7,0)</f>
        <v>0</v>
      </c>
      <c r="M25" s="249" t="n">
        <f>IF(AND($C$7="Ja",$D$7=M$21),$E$7,0)</f>
        <v>0</v>
      </c>
      <c r="N25" s="249" t="n">
        <f>IF(AND($C$7="Ja",$D$7=N$21),$E$7,0)</f>
        <v>0</v>
      </c>
      <c r="O25" s="249" t="n">
        <f>IF(AND($C$7="Ja",$D$7=O$21),$E$7,0)</f>
        <v>0</v>
      </c>
      <c r="P25" s="249" t="n">
        <f>IF(AND($C$7="Ja",$D$7=P$21),$E$7,0)</f>
        <v>0</v>
      </c>
      <c r="Q25" s="249" t="n">
        <f>IF(AND($C$7="Ja",$D$7=Q$21),$E$7,0)</f>
        <v>0</v>
      </c>
      <c r="R25" s="249" t="n">
        <f>IF(AND($C$7="Ja",$D$7=R$21),$E$7,0)</f>
        <v>0</v>
      </c>
      <c r="S25" s="249" t="n">
        <f>IF(AND($C$7="Ja",$D$7=S$21),$E$7,0)</f>
        <v>0</v>
      </c>
      <c r="T25" s="249" t="n">
        <f>IF(AND($C$7="Ja",$D$7=T$21),$E$7,0)</f>
        <v>0</v>
      </c>
      <c r="U25" s="249" t="n">
        <f>IF(AND($C$7="Ja",$D$7=U$21),$E$7,0)</f>
        <v>0</v>
      </c>
      <c r="V25" s="249" t="n">
        <f>IF(AND($C$7="Ja",$D$7=V$21),$E$7,0)</f>
        <v>0</v>
      </c>
      <c r="W25" s="249" t="n">
        <f>IF(AND($C$7="Ja",$D$7=W$21),$E$7,0)</f>
        <v>0</v>
      </c>
      <c r="X25" s="249" t="n">
        <f>IF(AND($C$7="Ja",$D$7=X$21),$E$7,0)</f>
        <v>0</v>
      </c>
      <c r="Y25" s="249" t="n">
        <f>IF(AND($C$7="Ja",$D$7=Y$21),$E$7,0)</f>
        <v>0</v>
      </c>
      <c r="Z25" s="250" t="n">
        <f>IF(AND($C$7="Ja",$D$7=Z$21),$E$7,0)</f>
        <v>0</v>
      </c>
    </row>
    <row r="26" ht="15" customHeight="true">
      <c r="A26" s="30" t="str">
        <f>$A$8</f>
        <v>网站/App/系统搭建</v>
      </c>
      <c r="B26" s="84" t="s">
        <v>220</v>
      </c>
      <c r="C26" s="249" t="n">
        <f>IF(AND($C$8="Ja",$D$8=C$21),$E$8,0)</f>
        <v>200000</v>
      </c>
      <c r="D26" s="249" t="n">
        <f>IF(AND($C$8="Ja",$D$8=D$21),$E$8,0)</f>
        <v>0</v>
      </c>
      <c r="E26" s="249" t="n">
        <f>IF(AND($C$8="Ja",$D$8=E$21),$E$8,0)</f>
        <v>0</v>
      </c>
      <c r="F26" s="249" t="n">
        <f>IF(AND($C$8="Ja",$D$8=F$21),$E$8,0)</f>
        <v>0</v>
      </c>
      <c r="G26" s="249" t="n">
        <f>IF(AND($C$8="Ja",$D$8=G$21),$E$8,0)</f>
        <v>0</v>
      </c>
      <c r="H26" s="249" t="n">
        <f>IF(AND($C$8="Ja",$D$8=H$21),$E$8,0)</f>
        <v>0</v>
      </c>
      <c r="I26" s="249" t="n">
        <f>IF(AND($C$8="Ja",$D$8=I$21),$E$8,0)</f>
        <v>0</v>
      </c>
      <c r="J26" s="249" t="n">
        <f>IF(AND($C$8="Ja",$D$8=J$21),$E$8,0)</f>
        <v>0</v>
      </c>
      <c r="K26" s="249" t="n">
        <f>IF(AND($C$8="Ja",$D$8=K$21),$E$8,0)</f>
        <v>0</v>
      </c>
      <c r="L26" s="249" t="n">
        <f>IF(AND($C$8="Ja",$D$8=L$21),$E$8,0)</f>
        <v>0</v>
      </c>
      <c r="M26" s="249" t="n">
        <f>IF(AND($C$8="Ja",$D$8=M$21),$E$8,0)</f>
        <v>0</v>
      </c>
      <c r="N26" s="249" t="n">
        <f>IF(AND($C$8="Ja",$D$8=N$21),$E$8,0)</f>
        <v>0</v>
      </c>
      <c r="O26" s="249" t="n">
        <f>IF(AND($C$8="Ja",$D$8=O$21),$E$8,0)</f>
        <v>0</v>
      </c>
      <c r="P26" s="249" t="n">
        <f>IF(AND($C$8="Ja",$D$8=P$21),$E$8,0)</f>
        <v>0</v>
      </c>
      <c r="Q26" s="249" t="n">
        <f>IF(AND($C$8="Ja",$D$8=Q$21),$E$8,0)</f>
        <v>0</v>
      </c>
      <c r="R26" s="249" t="n">
        <f>IF(AND($C$8="Ja",$D$8=R$21),$E$8,0)</f>
        <v>0</v>
      </c>
      <c r="S26" s="249" t="n">
        <f>IF(AND($C$8="Ja",$D$8=S$21),$E$8,0)</f>
        <v>0</v>
      </c>
      <c r="T26" s="249" t="n">
        <f>IF(AND($C$8="Ja",$D$8=T$21),$E$8,0)</f>
        <v>0</v>
      </c>
      <c r="U26" s="249" t="n">
        <f>IF(AND($C$8="Ja",$D$8=U$21),$E$8,0)</f>
        <v>0</v>
      </c>
      <c r="V26" s="249" t="n">
        <f>IF(AND($C$8="Ja",$D$8=V$21),$E$8,0)</f>
        <v>0</v>
      </c>
      <c r="W26" s="249" t="n">
        <f>IF(AND($C$8="Ja",$D$8=W$21),$E$8,0)</f>
        <v>0</v>
      </c>
      <c r="X26" s="249" t="n">
        <f>IF(AND($C$8="Ja",$D$8=X$21),$E$8,0)</f>
        <v>0</v>
      </c>
      <c r="Y26" s="249" t="n">
        <f>IF(AND($C$8="Ja",$D$8=Y$21),$E$8,0)</f>
        <v>0</v>
      </c>
      <c r="Z26" s="250" t="n">
        <f>IF(AND($C$8="Ja",$D$8=Z$21),$E$8,0)</f>
        <v>0</v>
      </c>
    </row>
    <row r="27" ht="15" customHeight="true">
      <c r="A27" s="30" t="str">
        <f>$A$9</f>
        <v>Branddesign / visuel identitet</v>
      </c>
      <c r="B27" s="84" t="s">
        <v>220</v>
      </c>
      <c r="C27" s="249" t="n">
        <f>IF(AND($C$9="Ja",$D$9=C$21),$E$9,0)</f>
        <v>40000</v>
      </c>
      <c r="D27" s="249" t="n">
        <f>IF(AND($C$9="Ja",$D$9=D$21),$E$9,0)</f>
        <v>0</v>
      </c>
      <c r="E27" s="249" t="n">
        <f>IF(AND($C$9="Ja",$D$9=E$21),$E$9,0)</f>
        <v>0</v>
      </c>
      <c r="F27" s="249" t="n">
        <f>IF(AND($C$9="Ja",$D$9=F$21),$E$9,0)</f>
        <v>0</v>
      </c>
      <c r="G27" s="249" t="n">
        <f>IF(AND($C$9="Ja",$D$9=G$21),$E$9,0)</f>
        <v>0</v>
      </c>
      <c r="H27" s="249" t="n">
        <f>IF(AND($C$9="Ja",$D$9=H$21),$E$9,0)</f>
        <v>0</v>
      </c>
      <c r="I27" s="249" t="n">
        <f>IF(AND($C$9="Ja",$D$9=I$21),$E$9,0)</f>
        <v>0</v>
      </c>
      <c r="J27" s="249" t="n">
        <f>IF(AND($C$9="Ja",$D$9=J$21),$E$9,0)</f>
        <v>0</v>
      </c>
      <c r="K27" s="249" t="n">
        <f>IF(AND($C$9="Ja",$D$9=K$21),$E$9,0)</f>
        <v>0</v>
      </c>
      <c r="L27" s="249" t="n">
        <f>IF(AND($C$9="Ja",$D$9=L$21),$E$9,0)</f>
        <v>0</v>
      </c>
      <c r="M27" s="249" t="n">
        <f>IF(AND($C$9="Ja",$D$9=M$21),$E$9,0)</f>
        <v>0</v>
      </c>
      <c r="N27" s="249" t="n">
        <f>IF(AND($C$9="Ja",$D$9=N$21),$E$9,0)</f>
        <v>0</v>
      </c>
      <c r="O27" s="249" t="n">
        <f>IF(AND($C$9="Ja",$D$9=O$21),$E$9,0)</f>
        <v>0</v>
      </c>
      <c r="P27" s="249" t="n">
        <f>IF(AND($C$9="Ja",$D$9=P$21),$E$9,0)</f>
        <v>0</v>
      </c>
      <c r="Q27" s="249" t="n">
        <f>IF(AND($C$9="Ja",$D$9=Q$21),$E$9,0)</f>
        <v>0</v>
      </c>
      <c r="R27" s="249" t="n">
        <f>IF(AND($C$9="Ja",$D$9=R$21),$E$9,0)</f>
        <v>0</v>
      </c>
      <c r="S27" s="249" t="n">
        <f>IF(AND($C$9="Ja",$D$9=S$21),$E$9,0)</f>
        <v>0</v>
      </c>
      <c r="T27" s="249" t="n">
        <f>IF(AND($C$9="Ja",$D$9=T$21),$E$9,0)</f>
        <v>0</v>
      </c>
      <c r="U27" s="249" t="n">
        <f>IF(AND($C$9="Ja",$D$9=U$21),$E$9,0)</f>
        <v>0</v>
      </c>
      <c r="V27" s="249" t="n">
        <f>IF(AND($C$9="Ja",$D$9=V$21),$E$9,0)</f>
        <v>0</v>
      </c>
      <c r="W27" s="249" t="n">
        <f>IF(AND($C$9="Ja",$D$9=W$21),$E$9,0)</f>
        <v>0</v>
      </c>
      <c r="X27" s="249" t="n">
        <f>IF(AND($C$9="Ja",$D$9=X$21),$E$9,0)</f>
        <v>0</v>
      </c>
      <c r="Y27" s="249" t="n">
        <f>IF(AND($C$9="Ja",$D$9=Y$21),$E$9,0)</f>
        <v>0</v>
      </c>
      <c r="Z27" s="250" t="n">
        <f>IF(AND($C$9="Ja",$D$9=Z$21),$E$9,0)</f>
        <v>0</v>
      </c>
    </row>
    <row r="28" ht="15" customHeight="true">
      <c r="A28" s="30" t="str">
        <f>$A$10</f>
        <v>Åbnings- / lanceringsmarketing</v>
      </c>
      <c r="B28" s="84" t="s">
        <v>220</v>
      </c>
      <c r="C28" s="249" t="n">
        <f>IF(AND($C$10="Ja",$D$10=C$21),$E$10,0)</f>
        <v>0</v>
      </c>
      <c r="D28" s="249" t="n">
        <f>IF(AND($C$10="Ja",$D$10=D$21),$E$10,0)</f>
        <v>60000</v>
      </c>
      <c r="E28" s="249" t="n">
        <f>IF(AND($C$10="Ja",$D$10=E$21),$E$10,0)</f>
        <v>0</v>
      </c>
      <c r="F28" s="249" t="n">
        <f>IF(AND($C$10="Ja",$D$10=F$21),$E$10,0)</f>
        <v>0</v>
      </c>
      <c r="G28" s="249" t="n">
        <f>IF(AND($C$10="Ja",$D$10=G$21),$E$10,0)</f>
        <v>0</v>
      </c>
      <c r="H28" s="249" t="n">
        <f>IF(AND($C$10="Ja",$D$10=H$21),$E$10,0)</f>
        <v>0</v>
      </c>
      <c r="I28" s="249" t="n">
        <f>IF(AND($C$10="Ja",$D$10=I$21),$E$10,0)</f>
        <v>0</v>
      </c>
      <c r="J28" s="249" t="n">
        <f>IF(AND($C$10="Ja",$D$10=J$21),$E$10,0)</f>
        <v>0</v>
      </c>
      <c r="K28" s="249" t="n">
        <f>IF(AND($C$10="Ja",$D$10=K$21),$E$10,0)</f>
        <v>0</v>
      </c>
      <c r="L28" s="249" t="n">
        <f>IF(AND($C$10="Ja",$D$10=L$21),$E$10,0)</f>
        <v>0</v>
      </c>
      <c r="M28" s="249" t="n">
        <f>IF(AND($C$10="Ja",$D$10=M$21),$E$10,0)</f>
        <v>0</v>
      </c>
      <c r="N28" s="249" t="n">
        <f>IF(AND($C$10="Ja",$D$10=N$21),$E$10,0)</f>
        <v>0</v>
      </c>
      <c r="O28" s="249" t="n">
        <f>IF(AND($C$10="Ja",$D$10=O$21),$E$10,0)</f>
        <v>0</v>
      </c>
      <c r="P28" s="249" t="n">
        <f>IF(AND($C$10="Ja",$D$10=P$21),$E$10,0)</f>
        <v>0</v>
      </c>
      <c r="Q28" s="249" t="n">
        <f>IF(AND($C$10="Ja",$D$10=Q$21),$E$10,0)</f>
        <v>0</v>
      </c>
      <c r="R28" s="249" t="n">
        <f>IF(AND($C$10="Ja",$D$10=R$21),$E$10,0)</f>
        <v>0</v>
      </c>
      <c r="S28" s="249" t="n">
        <f>IF(AND($C$10="Ja",$D$10=S$21),$E$10,0)</f>
        <v>0</v>
      </c>
      <c r="T28" s="249" t="n">
        <f>IF(AND($C$10="Ja",$D$10=T$21),$E$10,0)</f>
        <v>0</v>
      </c>
      <c r="U28" s="249" t="n">
        <f>IF(AND($C$10="Ja",$D$10=U$21),$E$10,0)</f>
        <v>0</v>
      </c>
      <c r="V28" s="249" t="n">
        <f>IF(AND($C$10="Ja",$D$10=V$21),$E$10,0)</f>
        <v>0</v>
      </c>
      <c r="W28" s="249" t="n">
        <f>IF(AND($C$10="Ja",$D$10=W$21),$E$10,0)</f>
        <v>0</v>
      </c>
      <c r="X28" s="249" t="n">
        <f>IF(AND($C$10="Ja",$D$10=X$21),$E$10,0)</f>
        <v>0</v>
      </c>
      <c r="Y28" s="249" t="n">
        <f>IF(AND($C$10="Ja",$D$10=Y$21),$E$10,0)</f>
        <v>0</v>
      </c>
      <c r="Z28" s="250" t="n">
        <f>IF(AND($C$10="Ja",$D$10=Z$21),$E$10,0)</f>
        <v>0</v>
      </c>
    </row>
    <row r="29" ht="15" customHeight="true">
      <c r="A29" s="30" t="str">
        <f>$A$11</f>
        <v>Depositummer / forudbetalinger</v>
      </c>
      <c r="B29" s="84" t="s">
        <v>220</v>
      </c>
      <c r="C29" s="249" t="n">
        <f>IF(AND($C$11="Ja",$D$11=C$21),$E$11,0)</f>
        <v>80000</v>
      </c>
      <c r="D29" s="249" t="n">
        <f>IF(AND($C$11="Ja",$D$11=D$21),$E$11,0)</f>
        <v>0</v>
      </c>
      <c r="E29" s="249" t="n">
        <f>IF(AND($C$11="Ja",$D$11=E$21),$E$11,0)</f>
        <v>0</v>
      </c>
      <c r="F29" s="249" t="n">
        <f>IF(AND($C$11="Ja",$D$11=F$21),$E$11,0)</f>
        <v>0</v>
      </c>
      <c r="G29" s="249" t="n">
        <f>IF(AND($C$11="Ja",$D$11=G$21),$E$11,0)</f>
        <v>0</v>
      </c>
      <c r="H29" s="249" t="n">
        <f>IF(AND($C$11="Ja",$D$11=H$21),$E$11,0)</f>
        <v>0</v>
      </c>
      <c r="I29" s="249" t="n">
        <f>IF(AND($C$11="Ja",$D$11=I$21),$E$11,0)</f>
        <v>0</v>
      </c>
      <c r="J29" s="249" t="n">
        <f>IF(AND($C$11="Ja",$D$11=J$21),$E$11,0)</f>
        <v>0</v>
      </c>
      <c r="K29" s="249" t="n">
        <f>IF(AND($C$11="Ja",$D$11=K$21),$E$11,0)</f>
        <v>0</v>
      </c>
      <c r="L29" s="249" t="n">
        <f>IF(AND($C$11="Ja",$D$11=L$21),$E$11,0)</f>
        <v>0</v>
      </c>
      <c r="M29" s="249" t="n">
        <f>IF(AND($C$11="Ja",$D$11=M$21),$E$11,0)</f>
        <v>0</v>
      </c>
      <c r="N29" s="249" t="n">
        <f>IF(AND($C$11="Ja",$D$11=N$21),$E$11,0)</f>
        <v>0</v>
      </c>
      <c r="O29" s="249" t="n">
        <f>IF(AND($C$11="Ja",$D$11=O$21),$E$11,0)</f>
        <v>0</v>
      </c>
      <c r="P29" s="249" t="n">
        <f>IF(AND($C$11="Ja",$D$11=P$21),$E$11,0)</f>
        <v>0</v>
      </c>
      <c r="Q29" s="249" t="n">
        <f>IF(AND($C$11="Ja",$D$11=Q$21),$E$11,0)</f>
        <v>0</v>
      </c>
      <c r="R29" s="249" t="n">
        <f>IF(AND($C$11="Ja",$D$11=R$21),$E$11,0)</f>
        <v>0</v>
      </c>
      <c r="S29" s="249" t="n">
        <f>IF(AND($C$11="Ja",$D$11=S$21),$E$11,0)</f>
        <v>0</v>
      </c>
      <c r="T29" s="249" t="n">
        <f>IF(AND($C$11="Ja",$D$11=T$21),$E$11,0)</f>
        <v>0</v>
      </c>
      <c r="U29" s="249" t="n">
        <f>IF(AND($C$11="Ja",$D$11=U$21),$E$11,0)</f>
        <v>0</v>
      </c>
      <c r="V29" s="249" t="n">
        <f>IF(AND($C$11="Ja",$D$11=V$21),$E$11,0)</f>
        <v>0</v>
      </c>
      <c r="W29" s="249" t="n">
        <f>IF(AND($C$11="Ja",$D$11=W$21),$E$11,0)</f>
        <v>0</v>
      </c>
      <c r="X29" s="249" t="n">
        <f>IF(AND($C$11="Ja",$D$11=X$21),$E$11,0)</f>
        <v>0</v>
      </c>
      <c r="Y29" s="249" t="n">
        <f>IF(AND($C$11="Ja",$D$11=Y$21),$E$11,0)</f>
        <v>0</v>
      </c>
      <c r="Z29" s="250" t="n">
        <f>IF(AND($C$11="Ja",$D$11=Z$21),$E$11,0)</f>
        <v>0</v>
      </c>
    </row>
    <row r="30" ht="15" customHeight="true">
      <c r="A30" s="30" t="str">
        <f>$A$12</f>
        <v>Licenser / kvalifikationer</v>
      </c>
      <c r="B30" s="84" t="s">
        <v>220</v>
      </c>
      <c r="C30" s="249" t="n">
        <f>IF(AND($C$12="Ja",$D$12=C$21),$E$12,0)</f>
        <v>0</v>
      </c>
      <c r="D30" s="249" t="n">
        <f>IF(AND($C$12="Ja",$D$12=D$21),$E$12,0)</f>
        <v>0</v>
      </c>
      <c r="E30" s="249" t="n">
        <f>IF(AND($C$12="Ja",$D$12=E$21),$E$12,0)</f>
        <v>0</v>
      </c>
      <c r="F30" s="249" t="n">
        <f>IF(AND($C$12="Ja",$D$12=F$21),$E$12,0)</f>
        <v>0</v>
      </c>
      <c r="G30" s="249" t="n">
        <f>IF(AND($C$12="Ja",$D$12=G$21),$E$12,0)</f>
        <v>0</v>
      </c>
      <c r="H30" s="249" t="n">
        <f>IF(AND($C$12="Ja",$D$12=H$21),$E$12,0)</f>
        <v>0</v>
      </c>
      <c r="I30" s="249" t="n">
        <f>IF(AND($C$12="Ja",$D$12=I$21),$E$12,0)</f>
        <v>0</v>
      </c>
      <c r="J30" s="249" t="n">
        <f>IF(AND($C$12="Ja",$D$12=J$21),$E$12,0)</f>
        <v>0</v>
      </c>
      <c r="K30" s="249" t="n">
        <f>IF(AND($C$12="Ja",$D$12=K$21),$E$12,0)</f>
        <v>0</v>
      </c>
      <c r="L30" s="249" t="n">
        <f>IF(AND($C$12="Ja",$D$12=L$21),$E$12,0)</f>
        <v>0</v>
      </c>
      <c r="M30" s="249" t="n">
        <f>IF(AND($C$12="Ja",$D$12=M$21),$E$12,0)</f>
        <v>0</v>
      </c>
      <c r="N30" s="249" t="n">
        <f>IF(AND($C$12="Ja",$D$12=N$21),$E$12,0)</f>
        <v>0</v>
      </c>
      <c r="O30" s="249" t="n">
        <f>IF(AND($C$12="Ja",$D$12=O$21),$E$12,0)</f>
        <v>0</v>
      </c>
      <c r="P30" s="249" t="n">
        <f>IF(AND($C$12="Ja",$D$12=P$21),$E$12,0)</f>
        <v>0</v>
      </c>
      <c r="Q30" s="249" t="n">
        <f>IF(AND($C$12="Ja",$D$12=Q$21),$E$12,0)</f>
        <v>0</v>
      </c>
      <c r="R30" s="249" t="n">
        <f>IF(AND($C$12="Ja",$D$12=R$21),$E$12,0)</f>
        <v>0</v>
      </c>
      <c r="S30" s="249" t="n">
        <f>IF(AND($C$12="Ja",$D$12=S$21),$E$12,0)</f>
        <v>0</v>
      </c>
      <c r="T30" s="249" t="n">
        <f>IF(AND($C$12="Ja",$D$12=T$21),$E$12,0)</f>
        <v>0</v>
      </c>
      <c r="U30" s="249" t="n">
        <f>IF(AND($C$12="Ja",$D$12=U$21),$E$12,0)</f>
        <v>0</v>
      </c>
      <c r="V30" s="249" t="n">
        <f>IF(AND($C$12="Ja",$D$12=V$21),$E$12,0)</f>
        <v>0</v>
      </c>
      <c r="W30" s="249" t="n">
        <f>IF(AND($C$12="Ja",$D$12=W$21),$E$12,0)</f>
        <v>0</v>
      </c>
      <c r="X30" s="249" t="n">
        <f>IF(AND($C$12="Ja",$D$12=X$21),$E$12,0)</f>
        <v>0</v>
      </c>
      <c r="Y30" s="249" t="n">
        <f>IF(AND($C$12="Ja",$D$12=Y$21),$E$12,0)</f>
        <v>0</v>
      </c>
      <c r="Z30" s="250" t="n">
        <f>IF(AND($C$12="Ja",$D$12=Z$21),$E$12,0)</f>
        <v>0</v>
      </c>
    </row>
    <row r="31" ht="15" customHeight="true">
      <c r="A31" s="30" t="str">
        <f>$A$13</f>
        <v>Rekruttering / træning</v>
      </c>
      <c r="B31" s="84" t="s">
        <v>220</v>
      </c>
      <c r="C31" s="249" t="n">
        <f>IF(AND($C$13="Ja",$D$13=C$21),$E$13,0)</f>
        <v>30000</v>
      </c>
      <c r="D31" s="249" t="n">
        <f>IF(AND($C$13="Ja",$D$13=D$21),$E$13,0)</f>
        <v>0</v>
      </c>
      <c r="E31" s="249" t="n">
        <f>IF(AND($C$13="Ja",$D$13=E$21),$E$13,0)</f>
        <v>0</v>
      </c>
      <c r="F31" s="249" t="n">
        <f>IF(AND($C$13="Ja",$D$13=F$21),$E$13,0)</f>
        <v>0</v>
      </c>
      <c r="G31" s="249" t="n">
        <f>IF(AND($C$13="Ja",$D$13=G$21),$E$13,0)</f>
        <v>0</v>
      </c>
      <c r="H31" s="249" t="n">
        <f>IF(AND($C$13="Ja",$D$13=H$21),$E$13,0)</f>
        <v>0</v>
      </c>
      <c r="I31" s="249" t="n">
        <f>IF(AND($C$13="Ja",$D$13=I$21),$E$13,0)</f>
        <v>0</v>
      </c>
      <c r="J31" s="249" t="n">
        <f>IF(AND($C$13="Ja",$D$13=J$21),$E$13,0)</f>
        <v>0</v>
      </c>
      <c r="K31" s="249" t="n">
        <f>IF(AND($C$13="Ja",$D$13=K$21),$E$13,0)</f>
        <v>0</v>
      </c>
      <c r="L31" s="249" t="n">
        <f>IF(AND($C$13="Ja",$D$13=L$21),$E$13,0)</f>
        <v>0</v>
      </c>
      <c r="M31" s="249" t="n">
        <f>IF(AND($C$13="Ja",$D$13=M$21),$E$13,0)</f>
        <v>0</v>
      </c>
      <c r="N31" s="249" t="n">
        <f>IF(AND($C$13="Ja",$D$13=N$21),$E$13,0)</f>
        <v>0</v>
      </c>
      <c r="O31" s="249" t="n">
        <f>IF(AND($C$13="Ja",$D$13=O$21),$E$13,0)</f>
        <v>0</v>
      </c>
      <c r="P31" s="249" t="n">
        <f>IF(AND($C$13="Ja",$D$13=P$21),$E$13,0)</f>
        <v>0</v>
      </c>
      <c r="Q31" s="249" t="n">
        <f>IF(AND($C$13="Ja",$D$13=Q$21),$E$13,0)</f>
        <v>0</v>
      </c>
      <c r="R31" s="249" t="n">
        <f>IF(AND($C$13="Ja",$D$13=R$21),$E$13,0)</f>
        <v>0</v>
      </c>
      <c r="S31" s="249" t="n">
        <f>IF(AND($C$13="Ja",$D$13=S$21),$E$13,0)</f>
        <v>0</v>
      </c>
      <c r="T31" s="249" t="n">
        <f>IF(AND($C$13="Ja",$D$13=T$21),$E$13,0)</f>
        <v>0</v>
      </c>
      <c r="U31" s="249" t="n">
        <f>IF(AND($C$13="Ja",$D$13=U$21),$E$13,0)</f>
        <v>0</v>
      </c>
      <c r="V31" s="249" t="n">
        <f>IF(AND($C$13="Ja",$D$13=V$21),$E$13,0)</f>
        <v>0</v>
      </c>
      <c r="W31" s="249" t="n">
        <f>IF(AND($C$13="Ja",$D$13=W$21),$E$13,0)</f>
        <v>0</v>
      </c>
      <c r="X31" s="249" t="n">
        <f>IF(AND($C$13="Ja",$D$13=X$21),$E$13,0)</f>
        <v>0</v>
      </c>
      <c r="Y31" s="249" t="n">
        <f>IF(AND($C$13="Ja",$D$13=Y$21),$E$13,0)</f>
        <v>0</v>
      </c>
      <c r="Z31" s="250" t="n">
        <f>IF(AND($C$13="Ja",$D$13=Z$21),$E$13,0)</f>
        <v>0</v>
      </c>
    </row>
    <row r="32" ht="15" customHeight="true">
      <c r="A32" s="30" t="str">
        <f>$A$14</f>
        <v>Andre reserver</v>
      </c>
      <c r="B32" s="84" t="s">
        <v>220</v>
      </c>
      <c r="C32" s="249" t="n">
        <f>IF(AND($C$14="Ja",$D$14=C$21),$E$14,0)</f>
        <v>50000</v>
      </c>
      <c r="D32" s="249" t="n">
        <f>IF(AND($C$14="Ja",$D$14=D$21),$E$14,0)</f>
        <v>0</v>
      </c>
      <c r="E32" s="249" t="n">
        <f>IF(AND($C$14="Ja",$D$14=E$21),$E$14,0)</f>
        <v>0</v>
      </c>
      <c r="F32" s="249" t="n">
        <f>IF(AND($C$14="Ja",$D$14=F$21),$E$14,0)</f>
        <v>0</v>
      </c>
      <c r="G32" s="249" t="n">
        <f>IF(AND($C$14="Ja",$D$14=G$21),$E$14,0)</f>
        <v>0</v>
      </c>
      <c r="H32" s="249" t="n">
        <f>IF(AND($C$14="Ja",$D$14=H$21),$E$14,0)</f>
        <v>0</v>
      </c>
      <c r="I32" s="249" t="n">
        <f>IF(AND($C$14="Ja",$D$14=I$21),$E$14,0)</f>
        <v>0</v>
      </c>
      <c r="J32" s="249" t="n">
        <f>IF(AND($C$14="Ja",$D$14=J$21),$E$14,0)</f>
        <v>0</v>
      </c>
      <c r="K32" s="249" t="n">
        <f>IF(AND($C$14="Ja",$D$14=K$21),$E$14,0)</f>
        <v>0</v>
      </c>
      <c r="L32" s="249" t="n">
        <f>IF(AND($C$14="Ja",$D$14=L$21),$E$14,0)</f>
        <v>0</v>
      </c>
      <c r="M32" s="249" t="n">
        <f>IF(AND($C$14="Ja",$D$14=M$21),$E$14,0)</f>
        <v>0</v>
      </c>
      <c r="N32" s="249" t="n">
        <f>IF(AND($C$14="Ja",$D$14=N$21),$E$14,0)</f>
        <v>0</v>
      </c>
      <c r="O32" s="249" t="n">
        <f>IF(AND($C$14="Ja",$D$14=O$21),$E$14,0)</f>
        <v>0</v>
      </c>
      <c r="P32" s="249" t="n">
        <f>IF(AND($C$14="Ja",$D$14=P$21),$E$14,0)</f>
        <v>0</v>
      </c>
      <c r="Q32" s="249" t="n">
        <f>IF(AND($C$14="Ja",$D$14=Q$21),$E$14,0)</f>
        <v>0</v>
      </c>
      <c r="R32" s="249" t="n">
        <f>IF(AND($C$14="Ja",$D$14=R$21),$E$14,0)</f>
        <v>0</v>
      </c>
      <c r="S32" s="249" t="n">
        <f>IF(AND($C$14="Ja",$D$14=S$21),$E$14,0)</f>
        <v>0</v>
      </c>
      <c r="T32" s="249" t="n">
        <f>IF(AND($C$14="Ja",$D$14=T$21),$E$14,0)</f>
        <v>0</v>
      </c>
      <c r="U32" s="249" t="n">
        <f>IF(AND($C$14="Ja",$D$14=U$21),$E$14,0)</f>
        <v>0</v>
      </c>
      <c r="V32" s="249" t="n">
        <f>IF(AND($C$14="Ja",$D$14=V$21),$E$14,0)</f>
        <v>0</v>
      </c>
      <c r="W32" s="249" t="n">
        <f>IF(AND($C$14="Ja",$D$14=W$21),$E$14,0)</f>
        <v>0</v>
      </c>
      <c r="X32" s="249" t="n">
        <f>IF(AND($C$14="Ja",$D$14=X$21),$E$14,0)</f>
        <v>0</v>
      </c>
      <c r="Y32" s="249" t="n">
        <f>IF(AND($C$14="Ja",$D$14=Y$21),$E$14,0)</f>
        <v>0</v>
      </c>
      <c r="Z32" s="250" t="n">
        <f>IF(AND($C$14="Ja",$D$14=Z$21),$E$14,0)</f>
        <v>0</v>
      </c>
    </row>
    <row r="33" ht="15" customHeight="true">
      <c r="A33" s="30"/>
      <c r="B33" s="84"/>
      <c r="C33" s="249"/>
      <c r="D33" s="249"/>
      <c r="E33" s="249"/>
      <c r="F33" s="249"/>
      <c r="G33" s="249"/>
      <c r="H33" s="249"/>
      <c r="I33" s="249"/>
      <c r="J33" s="249"/>
      <c r="K33" s="249"/>
      <c r="L33" s="249"/>
      <c r="M33" s="249"/>
      <c r="N33" s="249"/>
      <c r="O33" s="249"/>
      <c r="P33" s="249"/>
      <c r="Q33" s="249"/>
      <c r="R33" s="249"/>
      <c r="S33" s="249"/>
      <c r="T33" s="249"/>
      <c r="U33" s="249"/>
      <c r="V33" s="249"/>
      <c r="W33" s="249"/>
      <c r="X33" s="249"/>
      <c r="Y33" s="249"/>
      <c r="Z33" s="250"/>
    </row>
    <row r="34" ht="15" customHeight="true">
      <c r="A34" s="263" t="s">
        <v>221</v>
      </c>
      <c r="B34" s="236"/>
      <c r="C34" s="251" t="n">
        <f>SUM(C23:C32)</f>
        <v>700000</v>
      </c>
      <c r="D34" s="251" t="n">
        <f>SUM(D23:D32)</f>
        <v>60000</v>
      </c>
      <c r="E34" s="251" t="n">
        <f>SUM(E23:E32)</f>
        <v>0</v>
      </c>
      <c r="F34" s="251" t="n">
        <f>SUM(F23:F32)</f>
        <v>0</v>
      </c>
      <c r="G34" s="251" t="n">
        <f>SUM(G23:G32)</f>
        <v>0</v>
      </c>
      <c r="H34" s="251" t="n">
        <f>SUM(H23:H32)</f>
        <v>0</v>
      </c>
      <c r="I34" s="251" t="n">
        <f>SUM(I23:I32)</f>
        <v>0</v>
      </c>
      <c r="J34" s="251" t="n">
        <f>SUM(J23:J32)</f>
        <v>0</v>
      </c>
      <c r="K34" s="251" t="n">
        <f>SUM(K23:K32)</f>
        <v>0</v>
      </c>
      <c r="L34" s="251" t="n">
        <f>SUM(L23:L32)</f>
        <v>0</v>
      </c>
      <c r="M34" s="251" t="n">
        <f>SUM(M23:M32)</f>
        <v>0</v>
      </c>
      <c r="N34" s="251" t="n">
        <f>SUM(N23:N32)</f>
        <v>0</v>
      </c>
      <c r="O34" s="251" t="n">
        <f>SUM(O23:O32)</f>
        <v>0</v>
      </c>
      <c r="P34" s="251" t="n">
        <f>SUM(P23:P32)</f>
        <v>0</v>
      </c>
      <c r="Q34" s="251" t="n">
        <f>SUM(Q23:Q32)</f>
        <v>0</v>
      </c>
      <c r="R34" s="251" t="n">
        <f>SUM(R23:R32)</f>
        <v>0</v>
      </c>
      <c r="S34" s="251" t="n">
        <f>SUM(S23:S32)</f>
        <v>0</v>
      </c>
      <c r="T34" s="251" t="n">
        <f>SUM(T23:T32)</f>
        <v>0</v>
      </c>
      <c r="U34" s="251" t="n">
        <f>SUM(U23:U32)</f>
        <v>0</v>
      </c>
      <c r="V34" s="251" t="n">
        <f>SUM(V23:V32)</f>
        <v>0</v>
      </c>
      <c r="W34" s="251" t="n">
        <f>SUM(W23:W32)</f>
        <v>0</v>
      </c>
      <c r="X34" s="251" t="n">
        <f>SUM(X23:X32)</f>
        <v>0</v>
      </c>
      <c r="Y34" s="251" t="n">
        <f>SUM(Y23:Y32)</f>
        <v>0</v>
      </c>
      <c r="Z34" s="252" t="n">
        <f>SUM(Z23:Z32)</f>
        <v>0</v>
      </c>
    </row>
    <row r="35" ht="15" customHeight="true">
      <c r="A35" s="321"/>
      <c r="B35" s="84"/>
      <c r="C35" s="249"/>
      <c r="D35" s="249"/>
      <c r="E35" s="249"/>
      <c r="F35" s="249"/>
      <c r="G35" s="249"/>
      <c r="H35" s="249"/>
      <c r="I35" s="249"/>
      <c r="J35" s="249"/>
      <c r="K35" s="249"/>
      <c r="L35" s="249"/>
      <c r="M35" s="249"/>
      <c r="N35" s="249"/>
      <c r="O35" s="249"/>
      <c r="P35" s="249"/>
      <c r="Q35" s="249"/>
      <c r="R35" s="249"/>
      <c r="S35" s="249"/>
      <c r="T35" s="249"/>
      <c r="U35" s="249"/>
      <c r="V35" s="249"/>
      <c r="W35" s="249"/>
      <c r="X35" s="249"/>
      <c r="Y35" s="249"/>
      <c r="Z35" s="250"/>
    </row>
    <row r="36" ht="15" customHeight="true">
      <c r="A36" s="321" t="str">
        <f>$A$5</f>
        <v>Virksomhedsregistrering / juridisk</v>
      </c>
      <c r="B36" s="84" t="s">
        <v>222</v>
      </c>
      <c r="C36" s="249" t="n">
        <f>IF(AND($C$5="Ja",$F$5="Ja",$G$5&gt;0,C$21&gt;=$D$5,C$21&lt;$D$5+$G$5),$E$5/$G$5,0)</f>
        <v>0</v>
      </c>
      <c r="D36" s="249" t="n">
        <f>IF(AND($C$5="Ja",$F$5="Ja",$G$5&gt;0,D$21&gt;=$D$5,D$21&lt;$D$5+$G$5),$E$5/$G$5,0)</f>
        <v>0</v>
      </c>
      <c r="E36" s="249" t="n">
        <f>IF(AND($C$5="Ja",$F$5="Ja",$G$5&gt;0,E$21&gt;=$D$5,E$21&lt;$D$5+$G$5),$E$5/$G$5,0)</f>
        <v>0</v>
      </c>
      <c r="F36" s="249" t="n">
        <f>IF(AND($C$5="Ja",$F$5="Ja",$G$5&gt;0,F$21&gt;=$D$5,F$21&lt;$D$5+$G$5),$E$5/$G$5,0)</f>
        <v>0</v>
      </c>
      <c r="G36" s="249" t="n">
        <f>IF(AND($C$5="Ja",$F$5="Ja",$G$5&gt;0,G$21&gt;=$D$5,G$21&lt;$D$5+$G$5),$E$5/$G$5,0)</f>
        <v>0</v>
      </c>
      <c r="H36" s="249" t="n">
        <f>IF(AND($C$5="Ja",$F$5="Ja",$G$5&gt;0,H$21&gt;=$D$5,H$21&lt;$D$5+$G$5),$E$5/$G$5,0)</f>
        <v>0</v>
      </c>
      <c r="I36" s="249" t="n">
        <f>IF(AND($C$5="Ja",$F$5="Ja",$G$5&gt;0,I$21&gt;=$D$5,I$21&lt;$D$5+$G$5),$E$5/$G$5,0)</f>
        <v>0</v>
      </c>
      <c r="J36" s="249" t="n">
        <f>IF(AND($C$5="Ja",$F$5="Ja",$G$5&gt;0,J$21&gt;=$D$5,J$21&lt;$D$5+$G$5),$E$5/$G$5,0)</f>
        <v>0</v>
      </c>
      <c r="K36" s="249" t="n">
        <f>IF(AND($C$5="Ja",$F$5="Ja",$G$5&gt;0,K$21&gt;=$D$5,K$21&lt;$D$5+$G$5),$E$5/$G$5,0)</f>
        <v>0</v>
      </c>
      <c r="L36" s="249" t="n">
        <f>IF(AND($C$5="Ja",$F$5="Ja",$G$5&gt;0,L$21&gt;=$D$5,L$21&lt;$D$5+$G$5),$E$5/$G$5,0)</f>
        <v>0</v>
      </c>
      <c r="M36" s="249" t="n">
        <f>IF(AND($C$5="Ja",$F$5="Ja",$G$5&gt;0,M$21&gt;=$D$5,M$21&lt;$D$5+$G$5),$E$5/$G$5,0)</f>
        <v>0</v>
      </c>
      <c r="N36" s="249" t="n">
        <f>IF(AND($C$5="Ja",$F$5="Ja",$G$5&gt;0,N$21&gt;=$D$5,N$21&lt;$D$5+$G$5),$E$5/$G$5,0)</f>
        <v>0</v>
      </c>
      <c r="O36" s="249" t="n">
        <f>IF(AND($C$5="Ja",$F$5="Ja",$G$5&gt;0,O$21&gt;=$D$5,O$21&lt;$D$5+$G$5),$E$5/$G$5,0)</f>
        <v>0</v>
      </c>
      <c r="P36" s="249" t="n">
        <f>IF(AND($C$5="Ja",$F$5="Ja",$G$5&gt;0,P$21&gt;=$D$5,P$21&lt;$D$5+$G$5),$E$5/$G$5,0)</f>
        <v>0</v>
      </c>
      <c r="Q36" s="249" t="n">
        <f>IF(AND($C$5="Ja",$F$5="Ja",$G$5&gt;0,Q$21&gt;=$D$5,Q$21&lt;$D$5+$G$5),$E$5/$G$5,0)</f>
        <v>0</v>
      </c>
      <c r="R36" s="249" t="n">
        <f>IF(AND($C$5="Ja",$F$5="Ja",$G$5&gt;0,R$21&gt;=$D$5,R$21&lt;$D$5+$G$5),$E$5/$G$5,0)</f>
        <v>0</v>
      </c>
      <c r="S36" s="249" t="n">
        <f>IF(AND($C$5="Ja",$F$5="Ja",$G$5&gt;0,S$21&gt;=$D$5,S$21&lt;$D$5+$G$5),$E$5/$G$5,0)</f>
        <v>0</v>
      </c>
      <c r="T36" s="249" t="n">
        <f>IF(AND($C$5="Ja",$F$5="Ja",$G$5&gt;0,T$21&gt;=$D$5,T$21&lt;$D$5+$G$5),$E$5/$G$5,0)</f>
        <v>0</v>
      </c>
      <c r="U36" s="249" t="n">
        <f>IF(AND($C$5="Ja",$F$5="Ja",$G$5&gt;0,U$21&gt;=$D$5,U$21&lt;$D$5+$G$5),$E$5/$G$5,0)</f>
        <v>0</v>
      </c>
      <c r="V36" s="249" t="n">
        <f>IF(AND($C$5="Ja",$F$5="Ja",$G$5&gt;0,V$21&gt;=$D$5,V$21&lt;$D$5+$G$5),$E$5/$G$5,0)</f>
        <v>0</v>
      </c>
      <c r="W36" s="249" t="n">
        <f>IF(AND($C$5="Ja",$F$5="Ja",$G$5&gt;0,W$21&gt;=$D$5,W$21&lt;$D$5+$G$5),$E$5/$G$5,0)</f>
        <v>0</v>
      </c>
      <c r="X36" s="249" t="n">
        <f>IF(AND($C$5="Ja",$F$5="Ja",$G$5&gt;0,X$21&gt;=$D$5,X$21&lt;$D$5+$G$5),$E$5/$G$5,0)</f>
        <v>0</v>
      </c>
      <c r="Y36" s="249" t="n">
        <f>IF(AND($C$5="Ja",$F$5="Ja",$G$5&gt;0,Y$21&gt;=$D$5,Y$21&lt;$D$5+$G$5),$E$5/$G$5,0)</f>
        <v>0</v>
      </c>
      <c r="Z36" s="250" t="n">
        <f>IF(AND($C$5="Ja",$F$5="Ja",$G$5&gt;0,Z$21&gt;=$D$5,Z$21&lt;$D$5+$G$5),$E$5/$G$5,0)</f>
        <v>0</v>
      </c>
    </row>
    <row r="37" ht="15" customHeight="true">
      <c r="A37" s="321" t="str">
        <f>$A$6</f>
        <v>Kontorrenovering / udstyr</v>
      </c>
      <c r="B37" s="84" t="s">
        <v>222</v>
      </c>
      <c r="C37" s="249" t="n">
        <f>IF(AND($C$6="Ja",$F$6="Ja",$G$6&gt;0,C$21&gt;=$D$6,C$21&lt;$D$6+$G$6),$E$6/$G$6,0)</f>
        <v>4166.666666666667</v>
      </c>
      <c r="D37" s="249" t="n">
        <f>IF(AND($C$6="Ja",$F$6="Ja",$G$6&gt;0,D$21&gt;=$D$6,D$21&lt;$D$6+$G$6),$E$6/$G$6,0)</f>
        <v>4166.666666666667</v>
      </c>
      <c r="E37" s="249" t="n">
        <f>IF(AND($C$6="Ja",$F$6="Ja",$G$6&gt;0,E$21&gt;=$D$6,E$21&lt;$D$6+$G$6),$E$6/$G$6,0)</f>
        <v>4166.666666666667</v>
      </c>
      <c r="F37" s="249" t="n">
        <f>IF(AND($C$6="Ja",$F$6="Ja",$G$6&gt;0,F$21&gt;=$D$6,F$21&lt;$D$6+$G$6),$E$6/$G$6,0)</f>
        <v>4166.666666666667</v>
      </c>
      <c r="G37" s="249" t="n">
        <f>IF(AND($C$6="Ja",$F$6="Ja",$G$6&gt;0,G$21&gt;=$D$6,G$21&lt;$D$6+$G$6),$E$6/$G$6,0)</f>
        <v>4166.666666666667</v>
      </c>
      <c r="H37" s="249" t="n">
        <f>IF(AND($C$6="Ja",$F$6="Ja",$G$6&gt;0,H$21&gt;=$D$6,H$21&lt;$D$6+$G$6),$E$6/$G$6,0)</f>
        <v>4166.666666666667</v>
      </c>
      <c r="I37" s="249" t="n">
        <f>IF(AND($C$6="Ja",$F$6="Ja",$G$6&gt;0,I$21&gt;=$D$6,I$21&lt;$D$6+$G$6),$E$6/$G$6,0)</f>
        <v>4166.666666666667</v>
      </c>
      <c r="J37" s="249" t="n">
        <f>IF(AND($C$6="Ja",$F$6="Ja",$G$6&gt;0,J$21&gt;=$D$6,J$21&lt;$D$6+$G$6),$E$6/$G$6,0)</f>
        <v>4166.666666666667</v>
      </c>
      <c r="K37" s="249" t="n">
        <f>IF(AND($C$6="Ja",$F$6="Ja",$G$6&gt;0,K$21&gt;=$D$6,K$21&lt;$D$6+$G$6),$E$6/$G$6,0)</f>
        <v>4166.666666666667</v>
      </c>
      <c r="L37" s="249" t="n">
        <f>IF(AND($C$6="Ja",$F$6="Ja",$G$6&gt;0,L$21&gt;=$D$6,L$21&lt;$D$6+$G$6),$E$6/$G$6,0)</f>
        <v>4166.666666666667</v>
      </c>
      <c r="M37" s="249" t="n">
        <f>IF(AND($C$6="Ja",$F$6="Ja",$G$6&gt;0,M$21&gt;=$D$6,M$21&lt;$D$6+$G$6),$E$6/$G$6,0)</f>
        <v>4166.666666666667</v>
      </c>
      <c r="N37" s="249" t="n">
        <f>IF(AND($C$6="Ja",$F$6="Ja",$G$6&gt;0,N$21&gt;=$D$6,N$21&lt;$D$6+$G$6),$E$6/$G$6,0)</f>
        <v>4166.666666666667</v>
      </c>
      <c r="O37" s="249" t="n">
        <f>IF(AND($C$6="Ja",$F$6="Ja",$G$6&gt;0,O$21&gt;=$D$6,O$21&lt;$D$6+$G$6),$E$6/$G$6,0)</f>
        <v>4166.666666666667</v>
      </c>
      <c r="P37" s="249" t="n">
        <f>IF(AND($C$6="Ja",$F$6="Ja",$G$6&gt;0,P$21&gt;=$D$6,P$21&lt;$D$6+$G$6),$E$6/$G$6,0)</f>
        <v>4166.666666666667</v>
      </c>
      <c r="Q37" s="249" t="n">
        <f>IF(AND($C$6="Ja",$F$6="Ja",$G$6&gt;0,Q$21&gt;=$D$6,Q$21&lt;$D$6+$G$6),$E$6/$G$6,0)</f>
        <v>4166.666666666667</v>
      </c>
      <c r="R37" s="249" t="n">
        <f>IF(AND($C$6="Ja",$F$6="Ja",$G$6&gt;0,R$21&gt;=$D$6,R$21&lt;$D$6+$G$6),$E$6/$G$6,0)</f>
        <v>4166.666666666667</v>
      </c>
      <c r="S37" s="249" t="n">
        <f>IF(AND($C$6="Ja",$F$6="Ja",$G$6&gt;0,S$21&gt;=$D$6,S$21&lt;$D$6+$G$6),$E$6/$G$6,0)</f>
        <v>4166.666666666667</v>
      </c>
      <c r="T37" s="249" t="n">
        <f>IF(AND($C$6="Ja",$F$6="Ja",$G$6&gt;0,T$21&gt;=$D$6,T$21&lt;$D$6+$G$6),$E$6/$G$6,0)</f>
        <v>4166.666666666667</v>
      </c>
      <c r="U37" s="249" t="n">
        <f>IF(AND($C$6="Ja",$F$6="Ja",$G$6&gt;0,U$21&gt;=$D$6,U$21&lt;$D$6+$G$6),$E$6/$G$6,0)</f>
        <v>4166.666666666667</v>
      </c>
      <c r="V37" s="249" t="n">
        <f>IF(AND($C$6="Ja",$F$6="Ja",$G$6&gt;0,V$21&gt;=$D$6,V$21&lt;$D$6+$G$6),$E$6/$G$6,0)</f>
        <v>4166.666666666667</v>
      </c>
      <c r="W37" s="249" t="n">
        <f>IF(AND($C$6="Ja",$F$6="Ja",$G$6&gt;0,W$21&gt;=$D$6,W$21&lt;$D$6+$G$6),$E$6/$G$6,0)</f>
        <v>4166.666666666667</v>
      </c>
      <c r="X37" s="249" t="n">
        <f>IF(AND($C$6="Ja",$F$6="Ja",$G$6&gt;0,X$21&gt;=$D$6,X$21&lt;$D$6+$G$6),$E$6/$G$6,0)</f>
        <v>4166.666666666667</v>
      </c>
      <c r="Y37" s="249" t="n">
        <f>IF(AND($C$6="Ja",$F$6="Ja",$G$6&gt;0,Y$21&gt;=$D$6,Y$21&lt;$D$6+$G$6),$E$6/$G$6,0)</f>
        <v>4166.666666666667</v>
      </c>
      <c r="Z37" s="250" t="n">
        <f>IF(AND($C$6="Ja",$F$6="Ja",$G$6&gt;0,Z$21&gt;=$D$6,Z$21&lt;$D$6+$G$6),$E$6/$G$6,0)</f>
        <v>4166.666666666667</v>
      </c>
    </row>
    <row r="38" ht="15" customHeight="true">
      <c r="A38" s="321" t="str">
        <f>$A$7</f>
        <v>Indledende lager / materialer</v>
      </c>
      <c r="B38" s="84" t="s">
        <v>222</v>
      </c>
      <c r="C38" s="249" t="n">
        <f>IF(AND($C$7="Ja",$F$7="Ja",$G$7&gt;0,C$21&gt;=$D$7,C$21&lt;$D$7+$G$7),$E$7/$G$7,0)</f>
        <v>0</v>
      </c>
      <c r="D38" s="249" t="n">
        <f>IF(AND($C$7="Ja",$F$7="Ja",$G$7&gt;0,D$21&gt;=$D$7,D$21&lt;$D$7+$G$7),$E$7/$G$7,0)</f>
        <v>0</v>
      </c>
      <c r="E38" s="249" t="n">
        <f>IF(AND($C$7="Ja",$F$7="Ja",$G$7&gt;0,E$21&gt;=$D$7,E$21&lt;$D$7+$G$7),$E$7/$G$7,0)</f>
        <v>0</v>
      </c>
      <c r="F38" s="249" t="n">
        <f>IF(AND($C$7="Ja",$F$7="Ja",$G$7&gt;0,F$21&gt;=$D$7,F$21&lt;$D$7+$G$7),$E$7/$G$7,0)</f>
        <v>0</v>
      </c>
      <c r="G38" s="249" t="n">
        <f>IF(AND($C$7="Ja",$F$7="Ja",$G$7&gt;0,G$21&gt;=$D$7,G$21&lt;$D$7+$G$7),$E$7/$G$7,0)</f>
        <v>0</v>
      </c>
      <c r="H38" s="249" t="n">
        <f>IF(AND($C$7="Ja",$F$7="Ja",$G$7&gt;0,H$21&gt;=$D$7,H$21&lt;$D$7+$G$7),$E$7/$G$7,0)</f>
        <v>0</v>
      </c>
      <c r="I38" s="249" t="n">
        <f>IF(AND($C$7="Ja",$F$7="Ja",$G$7&gt;0,I$21&gt;=$D$7,I$21&lt;$D$7+$G$7),$E$7/$G$7,0)</f>
        <v>0</v>
      </c>
      <c r="J38" s="249" t="n">
        <f>IF(AND($C$7="Ja",$F$7="Ja",$G$7&gt;0,J$21&gt;=$D$7,J$21&lt;$D$7+$G$7),$E$7/$G$7,0)</f>
        <v>0</v>
      </c>
      <c r="K38" s="249" t="n">
        <f>IF(AND($C$7="Ja",$F$7="Ja",$G$7&gt;0,K$21&gt;=$D$7,K$21&lt;$D$7+$G$7),$E$7/$G$7,0)</f>
        <v>0</v>
      </c>
      <c r="L38" s="249" t="n">
        <f>IF(AND($C$7="Ja",$F$7="Ja",$G$7&gt;0,L$21&gt;=$D$7,L$21&lt;$D$7+$G$7),$E$7/$G$7,0)</f>
        <v>0</v>
      </c>
      <c r="M38" s="249" t="n">
        <f>IF(AND($C$7="Ja",$F$7="Ja",$G$7&gt;0,M$21&gt;=$D$7,M$21&lt;$D$7+$G$7),$E$7/$G$7,0)</f>
        <v>0</v>
      </c>
      <c r="N38" s="249" t="n">
        <f>IF(AND($C$7="Ja",$F$7="Ja",$G$7&gt;0,N$21&gt;=$D$7,N$21&lt;$D$7+$G$7),$E$7/$G$7,0)</f>
        <v>0</v>
      </c>
      <c r="O38" s="249" t="n">
        <f>IF(AND($C$7="Ja",$F$7="Ja",$G$7&gt;0,O$21&gt;=$D$7,O$21&lt;$D$7+$G$7),$E$7/$G$7,0)</f>
        <v>0</v>
      </c>
      <c r="P38" s="249" t="n">
        <f>IF(AND($C$7="Ja",$F$7="Ja",$G$7&gt;0,P$21&gt;=$D$7,P$21&lt;$D$7+$G$7),$E$7/$G$7,0)</f>
        <v>0</v>
      </c>
      <c r="Q38" s="249" t="n">
        <f>IF(AND($C$7="Ja",$F$7="Ja",$G$7&gt;0,Q$21&gt;=$D$7,Q$21&lt;$D$7+$G$7),$E$7/$G$7,0)</f>
        <v>0</v>
      </c>
      <c r="R38" s="249" t="n">
        <f>IF(AND($C$7="Ja",$F$7="Ja",$G$7&gt;0,R$21&gt;=$D$7,R$21&lt;$D$7+$G$7),$E$7/$G$7,0)</f>
        <v>0</v>
      </c>
      <c r="S38" s="249" t="n">
        <f>IF(AND($C$7="Ja",$F$7="Ja",$G$7&gt;0,S$21&gt;=$D$7,S$21&lt;$D$7+$G$7),$E$7/$G$7,0)</f>
        <v>0</v>
      </c>
      <c r="T38" s="249" t="n">
        <f>IF(AND($C$7="Ja",$F$7="Ja",$G$7&gt;0,T$21&gt;=$D$7,T$21&lt;$D$7+$G$7),$E$7/$G$7,0)</f>
        <v>0</v>
      </c>
      <c r="U38" s="249" t="n">
        <f>IF(AND($C$7="Ja",$F$7="Ja",$G$7&gt;0,U$21&gt;=$D$7,U$21&lt;$D$7+$G$7),$E$7/$G$7,0)</f>
        <v>0</v>
      </c>
      <c r="V38" s="249" t="n">
        <f>IF(AND($C$7="Ja",$F$7="Ja",$G$7&gt;0,V$21&gt;=$D$7,V$21&lt;$D$7+$G$7),$E$7/$G$7,0)</f>
        <v>0</v>
      </c>
      <c r="W38" s="249" t="n">
        <f>IF(AND($C$7="Ja",$F$7="Ja",$G$7&gt;0,W$21&gt;=$D$7,W$21&lt;$D$7+$G$7),$E$7/$G$7,0)</f>
        <v>0</v>
      </c>
      <c r="X38" s="249" t="n">
        <f>IF(AND($C$7="Ja",$F$7="Ja",$G$7&gt;0,X$21&gt;=$D$7,X$21&lt;$D$7+$G$7),$E$7/$G$7,0)</f>
        <v>0</v>
      </c>
      <c r="Y38" s="249" t="n">
        <f>IF(AND($C$7="Ja",$F$7="Ja",$G$7&gt;0,Y$21&gt;=$D$7,Y$21&lt;$D$7+$G$7),$E$7/$G$7,0)</f>
        <v>0</v>
      </c>
      <c r="Z38" s="250" t="n">
        <f>IF(AND($C$7="Ja",$F$7="Ja",$G$7&gt;0,Z$21&gt;=$D$7,Z$21&lt;$D$7+$G$7),$E$7/$G$7,0)</f>
        <v>0</v>
      </c>
    </row>
    <row r="39" ht="15" customHeight="true">
      <c r="A39" s="321" t="str">
        <f>$A$8</f>
        <v>网站/App/系统搭建</v>
      </c>
      <c r="B39" s="84" t="s">
        <v>222</v>
      </c>
      <c r="C39" s="249" t="n">
        <f>IF(AND($C$8="Ja",$F$8="Ja",$G$8&gt;0,C$21&gt;=$D$8,C$21&lt;$D$8+$G$8),$E$8/$G$8,0)</f>
        <v>5555.555555555556</v>
      </c>
      <c r="D39" s="249" t="n">
        <f>IF(AND($C$8="Ja",$F$8="Ja",$G$8&gt;0,D$21&gt;=$D$8,D$21&lt;$D$8+$G$8),$E$8/$G$8,0)</f>
        <v>5555.555555555556</v>
      </c>
      <c r="E39" s="249" t="n">
        <f>IF(AND($C$8="Ja",$F$8="Ja",$G$8&gt;0,E$21&gt;=$D$8,E$21&lt;$D$8+$G$8),$E$8/$G$8,0)</f>
        <v>5555.555555555556</v>
      </c>
      <c r="F39" s="249" t="n">
        <f>IF(AND($C$8="Ja",$F$8="Ja",$G$8&gt;0,F$21&gt;=$D$8,F$21&lt;$D$8+$G$8),$E$8/$G$8,0)</f>
        <v>5555.555555555556</v>
      </c>
      <c r="G39" s="249" t="n">
        <f>IF(AND($C$8="Ja",$F$8="Ja",$G$8&gt;0,G$21&gt;=$D$8,G$21&lt;$D$8+$G$8),$E$8/$G$8,0)</f>
        <v>5555.555555555556</v>
      </c>
      <c r="H39" s="249" t="n">
        <f>IF(AND($C$8="Ja",$F$8="Ja",$G$8&gt;0,H$21&gt;=$D$8,H$21&lt;$D$8+$G$8),$E$8/$G$8,0)</f>
        <v>5555.555555555556</v>
      </c>
      <c r="I39" s="249" t="n">
        <f>IF(AND($C$8="Ja",$F$8="Ja",$G$8&gt;0,I$21&gt;=$D$8,I$21&lt;$D$8+$G$8),$E$8/$G$8,0)</f>
        <v>5555.555555555556</v>
      </c>
      <c r="J39" s="249" t="n">
        <f>IF(AND($C$8="Ja",$F$8="Ja",$G$8&gt;0,J$21&gt;=$D$8,J$21&lt;$D$8+$G$8),$E$8/$G$8,0)</f>
        <v>5555.555555555556</v>
      </c>
      <c r="K39" s="249" t="n">
        <f>IF(AND($C$8="Ja",$F$8="Ja",$G$8&gt;0,K$21&gt;=$D$8,K$21&lt;$D$8+$G$8),$E$8/$G$8,0)</f>
        <v>5555.555555555556</v>
      </c>
      <c r="L39" s="249" t="n">
        <f>IF(AND($C$8="Ja",$F$8="Ja",$G$8&gt;0,L$21&gt;=$D$8,L$21&lt;$D$8+$G$8),$E$8/$G$8,0)</f>
        <v>5555.555555555556</v>
      </c>
      <c r="M39" s="249" t="n">
        <f>IF(AND($C$8="Ja",$F$8="Ja",$G$8&gt;0,M$21&gt;=$D$8,M$21&lt;$D$8+$G$8),$E$8/$G$8,0)</f>
        <v>5555.555555555556</v>
      </c>
      <c r="N39" s="249" t="n">
        <f>IF(AND($C$8="Ja",$F$8="Ja",$G$8&gt;0,N$21&gt;=$D$8,N$21&lt;$D$8+$G$8),$E$8/$G$8,0)</f>
        <v>5555.555555555556</v>
      </c>
      <c r="O39" s="249" t="n">
        <f>IF(AND($C$8="Ja",$F$8="Ja",$G$8&gt;0,O$21&gt;=$D$8,O$21&lt;$D$8+$G$8),$E$8/$G$8,0)</f>
        <v>5555.555555555556</v>
      </c>
      <c r="P39" s="249" t="n">
        <f>IF(AND($C$8="Ja",$F$8="Ja",$G$8&gt;0,P$21&gt;=$D$8,P$21&lt;$D$8+$G$8),$E$8/$G$8,0)</f>
        <v>5555.555555555556</v>
      </c>
      <c r="Q39" s="249" t="n">
        <f>IF(AND($C$8="Ja",$F$8="Ja",$G$8&gt;0,Q$21&gt;=$D$8,Q$21&lt;$D$8+$G$8),$E$8/$G$8,0)</f>
        <v>5555.555555555556</v>
      </c>
      <c r="R39" s="249" t="n">
        <f>IF(AND($C$8="Ja",$F$8="Ja",$G$8&gt;0,R$21&gt;=$D$8,R$21&lt;$D$8+$G$8),$E$8/$G$8,0)</f>
        <v>5555.555555555556</v>
      </c>
      <c r="S39" s="249" t="n">
        <f>IF(AND($C$8="Ja",$F$8="Ja",$G$8&gt;0,S$21&gt;=$D$8,S$21&lt;$D$8+$G$8),$E$8/$G$8,0)</f>
        <v>5555.555555555556</v>
      </c>
      <c r="T39" s="249" t="n">
        <f>IF(AND($C$8="Ja",$F$8="Ja",$G$8&gt;0,T$21&gt;=$D$8,T$21&lt;$D$8+$G$8),$E$8/$G$8,0)</f>
        <v>5555.555555555556</v>
      </c>
      <c r="U39" s="249" t="n">
        <f>IF(AND($C$8="Ja",$F$8="Ja",$G$8&gt;0,U$21&gt;=$D$8,U$21&lt;$D$8+$G$8),$E$8/$G$8,0)</f>
        <v>5555.555555555556</v>
      </c>
      <c r="V39" s="249" t="n">
        <f>IF(AND($C$8="Ja",$F$8="Ja",$G$8&gt;0,V$21&gt;=$D$8,V$21&lt;$D$8+$G$8),$E$8/$G$8,0)</f>
        <v>5555.555555555556</v>
      </c>
      <c r="W39" s="249" t="n">
        <f>IF(AND($C$8="Ja",$F$8="Ja",$G$8&gt;0,W$21&gt;=$D$8,W$21&lt;$D$8+$G$8),$E$8/$G$8,0)</f>
        <v>5555.555555555556</v>
      </c>
      <c r="X39" s="249" t="n">
        <f>IF(AND($C$8="Ja",$F$8="Ja",$G$8&gt;0,X$21&gt;=$D$8,X$21&lt;$D$8+$G$8),$E$8/$G$8,0)</f>
        <v>5555.555555555556</v>
      </c>
      <c r="Y39" s="249" t="n">
        <f>IF(AND($C$8="Ja",$F$8="Ja",$G$8&gt;0,Y$21&gt;=$D$8,Y$21&lt;$D$8+$G$8),$E$8/$G$8,0)</f>
        <v>5555.555555555556</v>
      </c>
      <c r="Z39" s="250" t="n">
        <f>IF(AND($C$8="Ja",$F$8="Ja",$G$8&gt;0,Z$21&gt;=$D$8,Z$21&lt;$D$8+$G$8),$E$8/$G$8,0)</f>
        <v>5555.555555555556</v>
      </c>
    </row>
    <row r="40" ht="15" customHeight="true">
      <c r="A40" s="321" t="str">
        <f>$A$9</f>
        <v>Branddesign / visuel identitet</v>
      </c>
      <c r="B40" s="84" t="s">
        <v>222</v>
      </c>
      <c r="C40" s="249" t="n">
        <f>IF(AND($C$9="Ja",$F$9="Ja",$G$9&gt;0,C$21&gt;=$D$9,C$21&lt;$D$9+$G$9),$E$9/$G$9,0)</f>
        <v>0</v>
      </c>
      <c r="D40" s="249" t="n">
        <f>IF(AND($C$9="Ja",$F$9="Ja",$G$9&gt;0,D$21&gt;=$D$9,D$21&lt;$D$9+$G$9),$E$9/$G$9,0)</f>
        <v>0</v>
      </c>
      <c r="E40" s="249" t="n">
        <f>IF(AND($C$9="Ja",$F$9="Ja",$G$9&gt;0,E$21&gt;=$D$9,E$21&lt;$D$9+$G$9),$E$9/$G$9,0)</f>
        <v>0</v>
      </c>
      <c r="F40" s="249" t="n">
        <f>IF(AND($C$9="Ja",$F$9="Ja",$G$9&gt;0,F$21&gt;=$D$9,F$21&lt;$D$9+$G$9),$E$9/$G$9,0)</f>
        <v>0</v>
      </c>
      <c r="G40" s="249" t="n">
        <f>IF(AND($C$9="Ja",$F$9="Ja",$G$9&gt;0,G$21&gt;=$D$9,G$21&lt;$D$9+$G$9),$E$9/$G$9,0)</f>
        <v>0</v>
      </c>
      <c r="H40" s="249" t="n">
        <f>IF(AND($C$9="Ja",$F$9="Ja",$G$9&gt;0,H$21&gt;=$D$9,H$21&lt;$D$9+$G$9),$E$9/$G$9,0)</f>
        <v>0</v>
      </c>
      <c r="I40" s="249" t="n">
        <f>IF(AND($C$9="Ja",$F$9="Ja",$G$9&gt;0,I$21&gt;=$D$9,I$21&lt;$D$9+$G$9),$E$9/$G$9,0)</f>
        <v>0</v>
      </c>
      <c r="J40" s="249" t="n">
        <f>IF(AND($C$9="Ja",$F$9="Ja",$G$9&gt;0,J$21&gt;=$D$9,J$21&lt;$D$9+$G$9),$E$9/$G$9,0)</f>
        <v>0</v>
      </c>
      <c r="K40" s="249" t="n">
        <f>IF(AND($C$9="Ja",$F$9="Ja",$G$9&gt;0,K$21&gt;=$D$9,K$21&lt;$D$9+$G$9),$E$9/$G$9,0)</f>
        <v>0</v>
      </c>
      <c r="L40" s="249" t="n">
        <f>IF(AND($C$9="Ja",$F$9="Ja",$G$9&gt;0,L$21&gt;=$D$9,L$21&lt;$D$9+$G$9),$E$9/$G$9,0)</f>
        <v>0</v>
      </c>
      <c r="M40" s="249" t="n">
        <f>IF(AND($C$9="Ja",$F$9="Ja",$G$9&gt;0,M$21&gt;=$D$9,M$21&lt;$D$9+$G$9),$E$9/$G$9,0)</f>
        <v>0</v>
      </c>
      <c r="N40" s="249" t="n">
        <f>IF(AND($C$9="Ja",$F$9="Ja",$G$9&gt;0,N$21&gt;=$D$9,N$21&lt;$D$9+$G$9),$E$9/$G$9,0)</f>
        <v>0</v>
      </c>
      <c r="O40" s="249" t="n">
        <f>IF(AND($C$9="Ja",$F$9="Ja",$G$9&gt;0,O$21&gt;=$D$9,O$21&lt;$D$9+$G$9),$E$9/$G$9,0)</f>
        <v>0</v>
      </c>
      <c r="P40" s="249" t="n">
        <f>IF(AND($C$9="Ja",$F$9="Ja",$G$9&gt;0,P$21&gt;=$D$9,P$21&lt;$D$9+$G$9),$E$9/$G$9,0)</f>
        <v>0</v>
      </c>
      <c r="Q40" s="249" t="n">
        <f>IF(AND($C$9="Ja",$F$9="Ja",$G$9&gt;0,Q$21&gt;=$D$9,Q$21&lt;$D$9+$G$9),$E$9/$G$9,0)</f>
        <v>0</v>
      </c>
      <c r="R40" s="249" t="n">
        <f>IF(AND($C$9="Ja",$F$9="Ja",$G$9&gt;0,R$21&gt;=$D$9,R$21&lt;$D$9+$G$9),$E$9/$G$9,0)</f>
        <v>0</v>
      </c>
      <c r="S40" s="249" t="n">
        <f>IF(AND($C$9="Ja",$F$9="Ja",$G$9&gt;0,S$21&gt;=$D$9,S$21&lt;$D$9+$G$9),$E$9/$G$9,0)</f>
        <v>0</v>
      </c>
      <c r="T40" s="249" t="n">
        <f>IF(AND($C$9="Ja",$F$9="Ja",$G$9&gt;0,T$21&gt;=$D$9,T$21&lt;$D$9+$G$9),$E$9/$G$9,0)</f>
        <v>0</v>
      </c>
      <c r="U40" s="249" t="n">
        <f>IF(AND($C$9="Ja",$F$9="Ja",$G$9&gt;0,U$21&gt;=$D$9,U$21&lt;$D$9+$G$9),$E$9/$G$9,0)</f>
        <v>0</v>
      </c>
      <c r="V40" s="249" t="n">
        <f>IF(AND($C$9="Ja",$F$9="Ja",$G$9&gt;0,V$21&gt;=$D$9,V$21&lt;$D$9+$G$9),$E$9/$G$9,0)</f>
        <v>0</v>
      </c>
      <c r="W40" s="249" t="n">
        <f>IF(AND($C$9="Ja",$F$9="Ja",$G$9&gt;0,W$21&gt;=$D$9,W$21&lt;$D$9+$G$9),$E$9/$G$9,0)</f>
        <v>0</v>
      </c>
      <c r="X40" s="249" t="n">
        <f>IF(AND($C$9="Ja",$F$9="Ja",$G$9&gt;0,X$21&gt;=$D$9,X$21&lt;$D$9+$G$9),$E$9/$G$9,0)</f>
        <v>0</v>
      </c>
      <c r="Y40" s="249" t="n">
        <f>IF(AND($C$9="Ja",$F$9="Ja",$G$9&gt;0,Y$21&gt;=$D$9,Y$21&lt;$D$9+$G$9),$E$9/$G$9,0)</f>
        <v>0</v>
      </c>
      <c r="Z40" s="250" t="n">
        <f>IF(AND($C$9="Ja",$F$9="Ja",$G$9&gt;0,Z$21&gt;=$D$9,Z$21&lt;$D$9+$G$9),$E$9/$G$9,0)</f>
        <v>0</v>
      </c>
    </row>
    <row r="41" ht="15" customHeight="true">
      <c r="A41" s="321" t="str">
        <f>$A$10</f>
        <v>Åbnings- / lanceringsmarketing</v>
      </c>
      <c r="B41" s="84" t="s">
        <v>222</v>
      </c>
      <c r="C41" s="249" t="n">
        <f>IF(AND($C$10="Ja",$F$10="Ja",$G$10&gt;0,C$21&gt;=$D$10,C$21&lt;$D$10+$G$10),$E$10/$G$10,0)</f>
        <v>0</v>
      </c>
      <c r="D41" s="249" t="n">
        <f>IF(AND($C$10="Ja",$F$10="Ja",$G$10&gt;0,D$21&gt;=$D$10,D$21&lt;$D$10+$G$10),$E$10/$G$10,0)</f>
        <v>0</v>
      </c>
      <c r="E41" s="249" t="n">
        <f>IF(AND($C$10="Ja",$F$10="Ja",$G$10&gt;0,E$21&gt;=$D$10,E$21&lt;$D$10+$G$10),$E$10/$G$10,0)</f>
        <v>0</v>
      </c>
      <c r="F41" s="249" t="n">
        <f>IF(AND($C$10="Ja",$F$10="Ja",$G$10&gt;0,F$21&gt;=$D$10,F$21&lt;$D$10+$G$10),$E$10/$G$10,0)</f>
        <v>0</v>
      </c>
      <c r="G41" s="249" t="n">
        <f>IF(AND($C$10="Ja",$F$10="Ja",$G$10&gt;0,G$21&gt;=$D$10,G$21&lt;$D$10+$G$10),$E$10/$G$10,0)</f>
        <v>0</v>
      </c>
      <c r="H41" s="249" t="n">
        <f>IF(AND($C$10="Ja",$F$10="Ja",$G$10&gt;0,H$21&gt;=$D$10,H$21&lt;$D$10+$G$10),$E$10/$G$10,0)</f>
        <v>0</v>
      </c>
      <c r="I41" s="249" t="n">
        <f>IF(AND($C$10="Ja",$F$10="Ja",$G$10&gt;0,I$21&gt;=$D$10,I$21&lt;$D$10+$G$10),$E$10/$G$10,0)</f>
        <v>0</v>
      </c>
      <c r="J41" s="249" t="n">
        <f>IF(AND($C$10="Ja",$F$10="Ja",$G$10&gt;0,J$21&gt;=$D$10,J$21&lt;$D$10+$G$10),$E$10/$G$10,0)</f>
        <v>0</v>
      </c>
      <c r="K41" s="249" t="n">
        <f>IF(AND($C$10="Ja",$F$10="Ja",$G$10&gt;0,K$21&gt;=$D$10,K$21&lt;$D$10+$G$10),$E$10/$G$10,0)</f>
        <v>0</v>
      </c>
      <c r="L41" s="249" t="n">
        <f>IF(AND($C$10="Ja",$F$10="Ja",$G$10&gt;0,L$21&gt;=$D$10,L$21&lt;$D$10+$G$10),$E$10/$G$10,0)</f>
        <v>0</v>
      </c>
      <c r="M41" s="249" t="n">
        <f>IF(AND($C$10="Ja",$F$10="Ja",$G$10&gt;0,M$21&gt;=$D$10,M$21&lt;$D$10+$G$10),$E$10/$G$10,0)</f>
        <v>0</v>
      </c>
      <c r="N41" s="249" t="n">
        <f>IF(AND($C$10="Ja",$F$10="Ja",$G$10&gt;0,N$21&gt;=$D$10,N$21&lt;$D$10+$G$10),$E$10/$G$10,0)</f>
        <v>0</v>
      </c>
      <c r="O41" s="249" t="n">
        <f>IF(AND($C$10="Ja",$F$10="Ja",$G$10&gt;0,O$21&gt;=$D$10,O$21&lt;$D$10+$G$10),$E$10/$G$10,0)</f>
        <v>0</v>
      </c>
      <c r="P41" s="249" t="n">
        <f>IF(AND($C$10="Ja",$F$10="Ja",$G$10&gt;0,P$21&gt;=$D$10,P$21&lt;$D$10+$G$10),$E$10/$G$10,0)</f>
        <v>0</v>
      </c>
      <c r="Q41" s="249" t="n">
        <f>IF(AND($C$10="Ja",$F$10="Ja",$G$10&gt;0,Q$21&gt;=$D$10,Q$21&lt;$D$10+$G$10),$E$10/$G$10,0)</f>
        <v>0</v>
      </c>
      <c r="R41" s="249" t="n">
        <f>IF(AND($C$10="Ja",$F$10="Ja",$G$10&gt;0,R$21&gt;=$D$10,R$21&lt;$D$10+$G$10),$E$10/$G$10,0)</f>
        <v>0</v>
      </c>
      <c r="S41" s="249" t="n">
        <f>IF(AND($C$10="Ja",$F$10="Ja",$G$10&gt;0,S$21&gt;=$D$10,S$21&lt;$D$10+$G$10),$E$10/$G$10,0)</f>
        <v>0</v>
      </c>
      <c r="T41" s="249" t="n">
        <f>IF(AND($C$10="Ja",$F$10="Ja",$G$10&gt;0,T$21&gt;=$D$10,T$21&lt;$D$10+$G$10),$E$10/$G$10,0)</f>
        <v>0</v>
      </c>
      <c r="U41" s="249" t="n">
        <f>IF(AND($C$10="Ja",$F$10="Ja",$G$10&gt;0,U$21&gt;=$D$10,U$21&lt;$D$10+$G$10),$E$10/$G$10,0)</f>
        <v>0</v>
      </c>
      <c r="V41" s="249" t="n">
        <f>IF(AND($C$10="Ja",$F$10="Ja",$G$10&gt;0,V$21&gt;=$D$10,V$21&lt;$D$10+$G$10),$E$10/$G$10,0)</f>
        <v>0</v>
      </c>
      <c r="W41" s="249" t="n">
        <f>IF(AND($C$10="Ja",$F$10="Ja",$G$10&gt;0,W$21&gt;=$D$10,W$21&lt;$D$10+$G$10),$E$10/$G$10,0)</f>
        <v>0</v>
      </c>
      <c r="X41" s="249" t="n">
        <f>IF(AND($C$10="Ja",$F$10="Ja",$G$10&gt;0,X$21&gt;=$D$10,X$21&lt;$D$10+$G$10),$E$10/$G$10,0)</f>
        <v>0</v>
      </c>
      <c r="Y41" s="249" t="n">
        <f>IF(AND($C$10="Ja",$F$10="Ja",$G$10&gt;0,Y$21&gt;=$D$10,Y$21&lt;$D$10+$G$10),$E$10/$G$10,0)</f>
        <v>0</v>
      </c>
      <c r="Z41" s="250" t="n">
        <f>IF(AND($C$10="Ja",$F$10="Ja",$G$10&gt;0,Z$21&gt;=$D$10,Z$21&lt;$D$10+$G$10),$E$10/$G$10,0)</f>
        <v>0</v>
      </c>
    </row>
    <row r="42" ht="15" customHeight="true">
      <c r="A42" s="321" t="str">
        <f>$A$11</f>
        <v>Depositummer / forudbetalinger</v>
      </c>
      <c r="B42" s="84" t="s">
        <v>222</v>
      </c>
      <c r="C42" s="249" t="n">
        <f>IF(AND($C$11="Ja",$F$11="Ja",$G$11&gt;0,C$21&gt;=$D$11,C$21&lt;$D$11+$G$11),$E$11/$G$11,0)</f>
        <v>0</v>
      </c>
      <c r="D42" s="249" t="n">
        <f>IF(AND($C$11="Ja",$F$11="Ja",$G$11&gt;0,D$21&gt;=$D$11,D$21&lt;$D$11+$G$11),$E$11/$G$11,0)</f>
        <v>0</v>
      </c>
      <c r="E42" s="249" t="n">
        <f>IF(AND($C$11="Ja",$F$11="Ja",$G$11&gt;0,E$21&gt;=$D$11,E$21&lt;$D$11+$G$11),$E$11/$G$11,0)</f>
        <v>0</v>
      </c>
      <c r="F42" s="249" t="n">
        <f>IF(AND($C$11="Ja",$F$11="Ja",$G$11&gt;0,F$21&gt;=$D$11,F$21&lt;$D$11+$G$11),$E$11/$G$11,0)</f>
        <v>0</v>
      </c>
      <c r="G42" s="249" t="n">
        <f>IF(AND($C$11="Ja",$F$11="Ja",$G$11&gt;0,G$21&gt;=$D$11,G$21&lt;$D$11+$G$11),$E$11/$G$11,0)</f>
        <v>0</v>
      </c>
      <c r="H42" s="249" t="n">
        <f>IF(AND($C$11="Ja",$F$11="Ja",$G$11&gt;0,H$21&gt;=$D$11,H$21&lt;$D$11+$G$11),$E$11/$G$11,0)</f>
        <v>0</v>
      </c>
      <c r="I42" s="249" t="n">
        <f>IF(AND($C$11="Ja",$F$11="Ja",$G$11&gt;0,I$21&gt;=$D$11,I$21&lt;$D$11+$G$11),$E$11/$G$11,0)</f>
        <v>0</v>
      </c>
      <c r="J42" s="249" t="n">
        <f>IF(AND($C$11="Ja",$F$11="Ja",$G$11&gt;0,J$21&gt;=$D$11,J$21&lt;$D$11+$G$11),$E$11/$G$11,0)</f>
        <v>0</v>
      </c>
      <c r="K42" s="249" t="n">
        <f>IF(AND($C$11="Ja",$F$11="Ja",$G$11&gt;0,K$21&gt;=$D$11,K$21&lt;$D$11+$G$11),$E$11/$G$11,0)</f>
        <v>0</v>
      </c>
      <c r="L42" s="249" t="n">
        <f>IF(AND($C$11="Ja",$F$11="Ja",$G$11&gt;0,L$21&gt;=$D$11,L$21&lt;$D$11+$G$11),$E$11/$G$11,0)</f>
        <v>0</v>
      </c>
      <c r="M42" s="249" t="n">
        <f>IF(AND($C$11="Ja",$F$11="Ja",$G$11&gt;0,M$21&gt;=$D$11,M$21&lt;$D$11+$G$11),$E$11/$G$11,0)</f>
        <v>0</v>
      </c>
      <c r="N42" s="249" t="n">
        <f>IF(AND($C$11="Ja",$F$11="Ja",$G$11&gt;0,N$21&gt;=$D$11,N$21&lt;$D$11+$G$11),$E$11/$G$11,0)</f>
        <v>0</v>
      </c>
      <c r="O42" s="249" t="n">
        <f>IF(AND($C$11="Ja",$F$11="Ja",$G$11&gt;0,O$21&gt;=$D$11,O$21&lt;$D$11+$G$11),$E$11/$G$11,0)</f>
        <v>0</v>
      </c>
      <c r="P42" s="249" t="n">
        <f>IF(AND($C$11="Ja",$F$11="Ja",$G$11&gt;0,P$21&gt;=$D$11,P$21&lt;$D$11+$G$11),$E$11/$G$11,0)</f>
        <v>0</v>
      </c>
      <c r="Q42" s="249" t="n">
        <f>IF(AND($C$11="Ja",$F$11="Ja",$G$11&gt;0,Q$21&gt;=$D$11,Q$21&lt;$D$11+$G$11),$E$11/$G$11,0)</f>
        <v>0</v>
      </c>
      <c r="R42" s="249" t="n">
        <f>IF(AND($C$11="Ja",$F$11="Ja",$G$11&gt;0,R$21&gt;=$D$11,R$21&lt;$D$11+$G$11),$E$11/$G$11,0)</f>
        <v>0</v>
      </c>
      <c r="S42" s="249" t="n">
        <f>IF(AND($C$11="Ja",$F$11="Ja",$G$11&gt;0,S$21&gt;=$D$11,S$21&lt;$D$11+$G$11),$E$11/$G$11,0)</f>
        <v>0</v>
      </c>
      <c r="T42" s="249" t="n">
        <f>IF(AND($C$11="Ja",$F$11="Ja",$G$11&gt;0,T$21&gt;=$D$11,T$21&lt;$D$11+$G$11),$E$11/$G$11,0)</f>
        <v>0</v>
      </c>
      <c r="U42" s="249" t="n">
        <f>IF(AND($C$11="Ja",$F$11="Ja",$G$11&gt;0,U$21&gt;=$D$11,U$21&lt;$D$11+$G$11),$E$11/$G$11,0)</f>
        <v>0</v>
      </c>
      <c r="V42" s="249" t="n">
        <f>IF(AND($C$11="Ja",$F$11="Ja",$G$11&gt;0,V$21&gt;=$D$11,V$21&lt;$D$11+$G$11),$E$11/$G$11,0)</f>
        <v>0</v>
      </c>
      <c r="W42" s="249" t="n">
        <f>IF(AND($C$11="Ja",$F$11="Ja",$G$11&gt;0,W$21&gt;=$D$11,W$21&lt;$D$11+$G$11),$E$11/$G$11,0)</f>
        <v>0</v>
      </c>
      <c r="X42" s="249" t="n">
        <f>IF(AND($C$11="Ja",$F$11="Ja",$G$11&gt;0,X$21&gt;=$D$11,X$21&lt;$D$11+$G$11),$E$11/$G$11,0)</f>
        <v>0</v>
      </c>
      <c r="Y42" s="249" t="n">
        <f>IF(AND($C$11="Ja",$F$11="Ja",$G$11&gt;0,Y$21&gt;=$D$11,Y$21&lt;$D$11+$G$11),$E$11/$G$11,0)</f>
        <v>0</v>
      </c>
      <c r="Z42" s="250" t="n">
        <f>IF(AND($C$11="Ja",$F$11="Ja",$G$11&gt;0,Z$21&gt;=$D$11,Z$21&lt;$D$11+$G$11),$E$11/$G$11,0)</f>
        <v>0</v>
      </c>
    </row>
    <row r="43" ht="15" customHeight="true">
      <c r="A43" s="321" t="str">
        <f>$A$12</f>
        <v>Licenser / kvalifikationer</v>
      </c>
      <c r="B43" s="84" t="s">
        <v>222</v>
      </c>
      <c r="C43" s="249" t="n">
        <f>IF(AND($C$12="Ja",$F$12="Ja",$G$12&gt;0,C$21&gt;=$D$12,C$21&lt;$D$12+$G$12),$E$12/$G$12,0)</f>
        <v>0</v>
      </c>
      <c r="D43" s="249" t="n">
        <f>IF(AND($C$12="Ja",$F$12="Ja",$G$12&gt;0,D$21&gt;=$D$12,D$21&lt;$D$12+$G$12),$E$12/$G$12,0)</f>
        <v>0</v>
      </c>
      <c r="E43" s="249" t="n">
        <f>IF(AND($C$12="Ja",$F$12="Ja",$G$12&gt;0,E$21&gt;=$D$12,E$21&lt;$D$12+$G$12),$E$12/$G$12,0)</f>
        <v>0</v>
      </c>
      <c r="F43" s="249" t="n">
        <f>IF(AND($C$12="Ja",$F$12="Ja",$G$12&gt;0,F$21&gt;=$D$12,F$21&lt;$D$12+$G$12),$E$12/$G$12,0)</f>
        <v>0</v>
      </c>
      <c r="G43" s="249" t="n">
        <f>IF(AND($C$12="Ja",$F$12="Ja",$G$12&gt;0,G$21&gt;=$D$12,G$21&lt;$D$12+$G$12),$E$12/$G$12,0)</f>
        <v>0</v>
      </c>
      <c r="H43" s="249" t="n">
        <f>IF(AND($C$12="Ja",$F$12="Ja",$G$12&gt;0,H$21&gt;=$D$12,H$21&lt;$D$12+$G$12),$E$12/$G$12,0)</f>
        <v>0</v>
      </c>
      <c r="I43" s="249" t="n">
        <f>IF(AND($C$12="Ja",$F$12="Ja",$G$12&gt;0,I$21&gt;=$D$12,I$21&lt;$D$12+$G$12),$E$12/$G$12,0)</f>
        <v>0</v>
      </c>
      <c r="J43" s="249" t="n">
        <f>IF(AND($C$12="Ja",$F$12="Ja",$G$12&gt;0,J$21&gt;=$D$12,J$21&lt;$D$12+$G$12),$E$12/$G$12,0)</f>
        <v>0</v>
      </c>
      <c r="K43" s="249" t="n">
        <f>IF(AND($C$12="Ja",$F$12="Ja",$G$12&gt;0,K$21&gt;=$D$12,K$21&lt;$D$12+$G$12),$E$12/$G$12,0)</f>
        <v>0</v>
      </c>
      <c r="L43" s="249" t="n">
        <f>IF(AND($C$12="Ja",$F$12="Ja",$G$12&gt;0,L$21&gt;=$D$12,L$21&lt;$D$12+$G$12),$E$12/$G$12,0)</f>
        <v>0</v>
      </c>
      <c r="M43" s="249" t="n">
        <f>IF(AND($C$12="Ja",$F$12="Ja",$G$12&gt;0,M$21&gt;=$D$12,M$21&lt;$D$12+$G$12),$E$12/$G$12,0)</f>
        <v>0</v>
      </c>
      <c r="N43" s="249" t="n">
        <f>IF(AND($C$12="Ja",$F$12="Ja",$G$12&gt;0,N$21&gt;=$D$12,N$21&lt;$D$12+$G$12),$E$12/$G$12,0)</f>
        <v>0</v>
      </c>
      <c r="O43" s="249" t="n">
        <f>IF(AND($C$12="Ja",$F$12="Ja",$G$12&gt;0,O$21&gt;=$D$12,O$21&lt;$D$12+$G$12),$E$12/$G$12,0)</f>
        <v>0</v>
      </c>
      <c r="P43" s="249" t="n">
        <f>IF(AND($C$12="Ja",$F$12="Ja",$G$12&gt;0,P$21&gt;=$D$12,P$21&lt;$D$12+$G$12),$E$12/$G$12,0)</f>
        <v>0</v>
      </c>
      <c r="Q43" s="249" t="n">
        <f>IF(AND($C$12="Ja",$F$12="Ja",$G$12&gt;0,Q$21&gt;=$D$12,Q$21&lt;$D$12+$G$12),$E$12/$G$12,0)</f>
        <v>0</v>
      </c>
      <c r="R43" s="249" t="n">
        <f>IF(AND($C$12="Ja",$F$12="Ja",$G$12&gt;0,R$21&gt;=$D$12,R$21&lt;$D$12+$G$12),$E$12/$G$12,0)</f>
        <v>0</v>
      </c>
      <c r="S43" s="249" t="n">
        <f>IF(AND($C$12="Ja",$F$12="Ja",$G$12&gt;0,S$21&gt;=$D$12,S$21&lt;$D$12+$G$12),$E$12/$G$12,0)</f>
        <v>0</v>
      </c>
      <c r="T43" s="249" t="n">
        <f>IF(AND($C$12="Ja",$F$12="Ja",$G$12&gt;0,T$21&gt;=$D$12,T$21&lt;$D$12+$G$12),$E$12/$G$12,0)</f>
        <v>0</v>
      </c>
      <c r="U43" s="249" t="n">
        <f>IF(AND($C$12="Ja",$F$12="Ja",$G$12&gt;0,U$21&gt;=$D$12,U$21&lt;$D$12+$G$12),$E$12/$G$12,0)</f>
        <v>0</v>
      </c>
      <c r="V43" s="249" t="n">
        <f>IF(AND($C$12="Ja",$F$12="Ja",$G$12&gt;0,V$21&gt;=$D$12,V$21&lt;$D$12+$G$12),$E$12/$G$12,0)</f>
        <v>0</v>
      </c>
      <c r="W43" s="249" t="n">
        <f>IF(AND($C$12="Ja",$F$12="Ja",$G$12&gt;0,W$21&gt;=$D$12,W$21&lt;$D$12+$G$12),$E$12/$G$12,0)</f>
        <v>0</v>
      </c>
      <c r="X43" s="249" t="n">
        <f>IF(AND($C$12="Ja",$F$12="Ja",$G$12&gt;0,X$21&gt;=$D$12,X$21&lt;$D$12+$G$12),$E$12/$G$12,0)</f>
        <v>0</v>
      </c>
      <c r="Y43" s="249" t="n">
        <f>IF(AND($C$12="Ja",$F$12="Ja",$G$12&gt;0,Y$21&gt;=$D$12,Y$21&lt;$D$12+$G$12),$E$12/$G$12,0)</f>
        <v>0</v>
      </c>
      <c r="Z43" s="250" t="n">
        <f>IF(AND($C$12="Ja",$F$12="Ja",$G$12&gt;0,Z$21&gt;=$D$12,Z$21&lt;$D$12+$G$12),$E$12/$G$12,0)</f>
        <v>0</v>
      </c>
    </row>
    <row r="44" ht="15" customHeight="true">
      <c r="A44" s="321" t="str">
        <f>$A$13</f>
        <v>Rekruttering / træning</v>
      </c>
      <c r="B44" s="84" t="s">
        <v>222</v>
      </c>
      <c r="C44" s="249" t="n">
        <f>IF(AND($C$13="Ja",$F$13="Ja",$G$13&gt;0,C$21&gt;=$D$13,C$21&lt;$D$13+$G$13),$E$13/$G$13,0)</f>
        <v>0</v>
      </c>
      <c r="D44" s="249" t="n">
        <f>IF(AND($C$13="Ja",$F$13="Ja",$G$13&gt;0,D$21&gt;=$D$13,D$21&lt;$D$13+$G$13),$E$13/$G$13,0)</f>
        <v>0</v>
      </c>
      <c r="E44" s="249" t="n">
        <f>IF(AND($C$13="Ja",$F$13="Ja",$G$13&gt;0,E$21&gt;=$D$13,E$21&lt;$D$13+$G$13),$E$13/$G$13,0)</f>
        <v>0</v>
      </c>
      <c r="F44" s="249" t="n">
        <f>IF(AND($C$13="Ja",$F$13="Ja",$G$13&gt;0,F$21&gt;=$D$13,F$21&lt;$D$13+$G$13),$E$13/$G$13,0)</f>
        <v>0</v>
      </c>
      <c r="G44" s="249" t="n">
        <f>IF(AND($C$13="Ja",$F$13="Ja",$G$13&gt;0,G$21&gt;=$D$13,G$21&lt;$D$13+$G$13),$E$13/$G$13,0)</f>
        <v>0</v>
      </c>
      <c r="H44" s="249" t="n">
        <f>IF(AND($C$13="Ja",$F$13="Ja",$G$13&gt;0,H$21&gt;=$D$13,H$21&lt;$D$13+$G$13),$E$13/$G$13,0)</f>
        <v>0</v>
      </c>
      <c r="I44" s="249" t="n">
        <f>IF(AND($C$13="Ja",$F$13="Ja",$G$13&gt;0,I$21&gt;=$D$13,I$21&lt;$D$13+$G$13),$E$13/$G$13,0)</f>
        <v>0</v>
      </c>
      <c r="J44" s="249" t="n">
        <f>IF(AND($C$13="Ja",$F$13="Ja",$G$13&gt;0,J$21&gt;=$D$13,J$21&lt;$D$13+$G$13),$E$13/$G$13,0)</f>
        <v>0</v>
      </c>
      <c r="K44" s="249" t="n">
        <f>IF(AND($C$13="Ja",$F$13="Ja",$G$13&gt;0,K$21&gt;=$D$13,K$21&lt;$D$13+$G$13),$E$13/$G$13,0)</f>
        <v>0</v>
      </c>
      <c r="L44" s="249" t="n">
        <f>IF(AND($C$13="Ja",$F$13="Ja",$G$13&gt;0,L$21&gt;=$D$13,L$21&lt;$D$13+$G$13),$E$13/$G$13,0)</f>
        <v>0</v>
      </c>
      <c r="M44" s="249" t="n">
        <f>IF(AND($C$13="Ja",$F$13="Ja",$G$13&gt;0,M$21&gt;=$D$13,M$21&lt;$D$13+$G$13),$E$13/$G$13,0)</f>
        <v>0</v>
      </c>
      <c r="N44" s="249" t="n">
        <f>IF(AND($C$13="Ja",$F$13="Ja",$G$13&gt;0,N$21&gt;=$D$13,N$21&lt;$D$13+$G$13),$E$13/$G$13,0)</f>
        <v>0</v>
      </c>
      <c r="O44" s="249" t="n">
        <f>IF(AND($C$13="Ja",$F$13="Ja",$G$13&gt;0,O$21&gt;=$D$13,O$21&lt;$D$13+$G$13),$E$13/$G$13,0)</f>
        <v>0</v>
      </c>
      <c r="P44" s="249" t="n">
        <f>IF(AND($C$13="Ja",$F$13="Ja",$G$13&gt;0,P$21&gt;=$D$13,P$21&lt;$D$13+$G$13),$E$13/$G$13,0)</f>
        <v>0</v>
      </c>
      <c r="Q44" s="249" t="n">
        <f>IF(AND($C$13="Ja",$F$13="Ja",$G$13&gt;0,Q$21&gt;=$D$13,Q$21&lt;$D$13+$G$13),$E$13/$G$13,0)</f>
        <v>0</v>
      </c>
      <c r="R44" s="249" t="n">
        <f>IF(AND($C$13="Ja",$F$13="Ja",$G$13&gt;0,R$21&gt;=$D$13,R$21&lt;$D$13+$G$13),$E$13/$G$13,0)</f>
        <v>0</v>
      </c>
      <c r="S44" s="249" t="n">
        <f>IF(AND($C$13="Ja",$F$13="Ja",$G$13&gt;0,S$21&gt;=$D$13,S$21&lt;$D$13+$G$13),$E$13/$G$13,0)</f>
        <v>0</v>
      </c>
      <c r="T44" s="249" t="n">
        <f>IF(AND($C$13="Ja",$F$13="Ja",$G$13&gt;0,T$21&gt;=$D$13,T$21&lt;$D$13+$G$13),$E$13/$G$13,0)</f>
        <v>0</v>
      </c>
      <c r="U44" s="249" t="n">
        <f>IF(AND($C$13="Ja",$F$13="Ja",$G$13&gt;0,U$21&gt;=$D$13,U$21&lt;$D$13+$G$13),$E$13/$G$13,0)</f>
        <v>0</v>
      </c>
      <c r="V44" s="249" t="n">
        <f>IF(AND($C$13="Ja",$F$13="Ja",$G$13&gt;0,V$21&gt;=$D$13,V$21&lt;$D$13+$G$13),$E$13/$G$13,0)</f>
        <v>0</v>
      </c>
      <c r="W44" s="249" t="n">
        <f>IF(AND($C$13="Ja",$F$13="Ja",$G$13&gt;0,W$21&gt;=$D$13,W$21&lt;$D$13+$G$13),$E$13/$G$13,0)</f>
        <v>0</v>
      </c>
      <c r="X44" s="249" t="n">
        <f>IF(AND($C$13="Ja",$F$13="Ja",$G$13&gt;0,X$21&gt;=$D$13,X$21&lt;$D$13+$G$13),$E$13/$G$13,0)</f>
        <v>0</v>
      </c>
      <c r="Y44" s="249" t="n">
        <f>IF(AND($C$13="Ja",$F$13="Ja",$G$13&gt;0,Y$21&gt;=$D$13,Y$21&lt;$D$13+$G$13),$E$13/$G$13,0)</f>
        <v>0</v>
      </c>
      <c r="Z44" s="250" t="n">
        <f>IF(AND($C$13="Ja",$F$13="Ja",$G$13&gt;0,Z$21&gt;=$D$13,Z$21&lt;$D$13+$G$13),$E$13/$G$13,0)</f>
        <v>0</v>
      </c>
    </row>
    <row r="45" ht="15" customHeight="true">
      <c r="A45" s="321" t="str">
        <f>$A$14</f>
        <v>Andre reserver</v>
      </c>
      <c r="B45" s="84" t="s">
        <v>222</v>
      </c>
      <c r="C45" s="249" t="n">
        <f>IF(AND($C$14="Ja",$F$14="Ja",$G$14&gt;0,C$21&gt;=$D$14,C$21&lt;$D$14+$G$14),$E$14/$G$14,0)</f>
        <v>0</v>
      </c>
      <c r="D45" s="249" t="n">
        <f>IF(AND($C$14="Ja",$F$14="Ja",$G$14&gt;0,D$21&gt;=$D$14,D$21&lt;$D$14+$G$14),$E$14/$G$14,0)</f>
        <v>0</v>
      </c>
      <c r="E45" s="249" t="n">
        <f>IF(AND($C$14="Ja",$F$14="Ja",$G$14&gt;0,E$21&gt;=$D$14,E$21&lt;$D$14+$G$14),$E$14/$G$14,0)</f>
        <v>0</v>
      </c>
      <c r="F45" s="249" t="n">
        <f>IF(AND($C$14="Ja",$F$14="Ja",$G$14&gt;0,F$21&gt;=$D$14,F$21&lt;$D$14+$G$14),$E$14/$G$14,0)</f>
        <v>0</v>
      </c>
      <c r="G45" s="249" t="n">
        <f>IF(AND($C$14="Ja",$F$14="Ja",$G$14&gt;0,G$21&gt;=$D$14,G$21&lt;$D$14+$G$14),$E$14/$G$14,0)</f>
        <v>0</v>
      </c>
      <c r="H45" s="249" t="n">
        <f>IF(AND($C$14="Ja",$F$14="Ja",$G$14&gt;0,H$21&gt;=$D$14,H$21&lt;$D$14+$G$14),$E$14/$G$14,0)</f>
        <v>0</v>
      </c>
      <c r="I45" s="249" t="n">
        <f>IF(AND($C$14="Ja",$F$14="Ja",$G$14&gt;0,I$21&gt;=$D$14,I$21&lt;$D$14+$G$14),$E$14/$G$14,0)</f>
        <v>0</v>
      </c>
      <c r="J45" s="249" t="n">
        <f>IF(AND($C$14="Ja",$F$14="Ja",$G$14&gt;0,J$21&gt;=$D$14,J$21&lt;$D$14+$G$14),$E$14/$G$14,0)</f>
        <v>0</v>
      </c>
      <c r="K45" s="249" t="n">
        <f>IF(AND($C$14="Ja",$F$14="Ja",$G$14&gt;0,K$21&gt;=$D$14,K$21&lt;$D$14+$G$14),$E$14/$G$14,0)</f>
        <v>0</v>
      </c>
      <c r="L45" s="249" t="n">
        <f>IF(AND($C$14="Ja",$F$14="Ja",$G$14&gt;0,L$21&gt;=$D$14,L$21&lt;$D$14+$G$14),$E$14/$G$14,0)</f>
        <v>0</v>
      </c>
      <c r="M45" s="249" t="n">
        <f>IF(AND($C$14="Ja",$F$14="Ja",$G$14&gt;0,M$21&gt;=$D$14,M$21&lt;$D$14+$G$14),$E$14/$G$14,0)</f>
        <v>0</v>
      </c>
      <c r="N45" s="249" t="n">
        <f>IF(AND($C$14="Ja",$F$14="Ja",$G$14&gt;0,N$21&gt;=$D$14,N$21&lt;$D$14+$G$14),$E$14/$G$14,0)</f>
        <v>0</v>
      </c>
      <c r="O45" s="249" t="n">
        <f>IF(AND($C$14="Ja",$F$14="Ja",$G$14&gt;0,O$21&gt;=$D$14,O$21&lt;$D$14+$G$14),$E$14/$G$14,0)</f>
        <v>0</v>
      </c>
      <c r="P45" s="249" t="n">
        <f>IF(AND($C$14="Ja",$F$14="Ja",$G$14&gt;0,P$21&gt;=$D$14,P$21&lt;$D$14+$G$14),$E$14/$G$14,0)</f>
        <v>0</v>
      </c>
      <c r="Q45" s="249" t="n">
        <f>IF(AND($C$14="Ja",$F$14="Ja",$G$14&gt;0,Q$21&gt;=$D$14,Q$21&lt;$D$14+$G$14),$E$14/$G$14,0)</f>
        <v>0</v>
      </c>
      <c r="R45" s="249" t="n">
        <f>IF(AND($C$14="Ja",$F$14="Ja",$G$14&gt;0,R$21&gt;=$D$14,R$21&lt;$D$14+$G$14),$E$14/$G$14,0)</f>
        <v>0</v>
      </c>
      <c r="S45" s="249" t="n">
        <f>IF(AND($C$14="Ja",$F$14="Ja",$G$14&gt;0,S$21&gt;=$D$14,S$21&lt;$D$14+$G$14),$E$14/$G$14,0)</f>
        <v>0</v>
      </c>
      <c r="T45" s="249" t="n">
        <f>IF(AND($C$14="Ja",$F$14="Ja",$G$14&gt;0,T$21&gt;=$D$14,T$21&lt;$D$14+$G$14),$E$14/$G$14,0)</f>
        <v>0</v>
      </c>
      <c r="U45" s="249" t="n">
        <f>IF(AND($C$14="Ja",$F$14="Ja",$G$14&gt;0,U$21&gt;=$D$14,U$21&lt;$D$14+$G$14),$E$14/$G$14,0)</f>
        <v>0</v>
      </c>
      <c r="V45" s="249" t="n">
        <f>IF(AND($C$14="Ja",$F$14="Ja",$G$14&gt;0,V$21&gt;=$D$14,V$21&lt;$D$14+$G$14),$E$14/$G$14,0)</f>
        <v>0</v>
      </c>
      <c r="W45" s="249" t="n">
        <f>IF(AND($C$14="Ja",$F$14="Ja",$G$14&gt;0,W$21&gt;=$D$14,W$21&lt;$D$14+$G$14),$E$14/$G$14,0)</f>
        <v>0</v>
      </c>
      <c r="X45" s="249" t="n">
        <f>IF(AND($C$14="Ja",$F$14="Ja",$G$14&gt;0,X$21&gt;=$D$14,X$21&lt;$D$14+$G$14),$E$14/$G$14,0)</f>
        <v>0</v>
      </c>
      <c r="Y45" s="249" t="n">
        <f>IF(AND($C$14="Ja",$F$14="Ja",$G$14&gt;0,Y$21&gt;=$D$14,Y$21&lt;$D$14+$G$14),$E$14/$G$14,0)</f>
        <v>0</v>
      </c>
      <c r="Z45" s="250" t="n">
        <f>IF(AND($C$14="Ja",$F$14="Ja",$G$14&gt;0,Z$21&gt;=$D$14,Z$21&lt;$D$14+$G$14),$E$14/$G$14,0)</f>
        <v>0</v>
      </c>
    </row>
    <row r="46" ht="15" customHeight="true">
      <c r="A46" s="321"/>
      <c r="B46" s="84"/>
      <c r="C46" s="249"/>
      <c r="D46" s="249"/>
      <c r="E46" s="249"/>
      <c r="F46" s="249"/>
      <c r="G46" s="249"/>
      <c r="H46" s="249"/>
      <c r="I46" s="249"/>
      <c r="J46" s="249"/>
      <c r="K46" s="249"/>
      <c r="L46" s="249"/>
      <c r="M46" s="249"/>
      <c r="N46" s="249"/>
      <c r="O46" s="249"/>
      <c r="P46" s="249"/>
      <c r="Q46" s="249"/>
      <c r="R46" s="249"/>
      <c r="S46" s="249"/>
      <c r="T46" s="249"/>
      <c r="U46" s="249"/>
      <c r="V46" s="249"/>
      <c r="W46" s="249"/>
      <c r="X46" s="249"/>
      <c r="Y46" s="249"/>
      <c r="Z46" s="250"/>
    </row>
    <row r="47" ht="15" customHeight="true">
      <c r="A47" s="265" t="s">
        <v>223</v>
      </c>
      <c r="B47" s="242"/>
      <c r="C47" s="317" t="n">
        <f>SUM(C36:C45)</f>
        <v>9722.222222222223</v>
      </c>
      <c r="D47" s="317" t="n">
        <f>SUM(D36:D45)</f>
        <v>9722.222222222223</v>
      </c>
      <c r="E47" s="317" t="n">
        <f>SUM(E36:E45)</f>
        <v>9722.222222222223</v>
      </c>
      <c r="F47" s="317" t="n">
        <f>SUM(F36:F45)</f>
        <v>9722.222222222223</v>
      </c>
      <c r="G47" s="317" t="n">
        <f>SUM(G36:G45)</f>
        <v>9722.222222222223</v>
      </c>
      <c r="H47" s="317" t="n">
        <f>SUM(H36:H45)</f>
        <v>9722.222222222223</v>
      </c>
      <c r="I47" s="317" t="n">
        <f>SUM(I36:I45)</f>
        <v>9722.222222222223</v>
      </c>
      <c r="J47" s="317" t="n">
        <f>SUM(J36:J45)</f>
        <v>9722.222222222223</v>
      </c>
      <c r="K47" s="317" t="n">
        <f>SUM(K36:K45)</f>
        <v>9722.222222222223</v>
      </c>
      <c r="L47" s="317" t="n">
        <f>SUM(L36:L45)</f>
        <v>9722.222222222223</v>
      </c>
      <c r="M47" s="317" t="n">
        <f>SUM(M36:M45)</f>
        <v>9722.222222222223</v>
      </c>
      <c r="N47" s="317" t="n">
        <f>SUM(N36:N45)</f>
        <v>9722.222222222223</v>
      </c>
      <c r="O47" s="317" t="n">
        <f>SUM(O36:O45)</f>
        <v>9722.222222222223</v>
      </c>
      <c r="P47" s="317" t="n">
        <f>SUM(P36:P45)</f>
        <v>9722.222222222223</v>
      </c>
      <c r="Q47" s="317" t="n">
        <f>SUM(Q36:Q45)</f>
        <v>9722.222222222223</v>
      </c>
      <c r="R47" s="317" t="n">
        <f>SUM(R36:R45)</f>
        <v>9722.222222222223</v>
      </c>
      <c r="S47" s="317" t="n">
        <f>SUM(S36:S45)</f>
        <v>9722.222222222223</v>
      </c>
      <c r="T47" s="317" t="n">
        <f>SUM(T36:T45)</f>
        <v>9722.222222222223</v>
      </c>
      <c r="U47" s="317" t="n">
        <f>SUM(U36:U45)</f>
        <v>9722.222222222223</v>
      </c>
      <c r="V47" s="317" t="n">
        <f>SUM(V36:V45)</f>
        <v>9722.222222222223</v>
      </c>
      <c r="W47" s="317" t="n">
        <f>SUM(W36:W45)</f>
        <v>9722.222222222223</v>
      </c>
      <c r="X47" s="317" t="n">
        <f>SUM(X36:X45)</f>
        <v>9722.222222222223</v>
      </c>
      <c r="Y47" s="317" t="n">
        <f>SUM(Y36:Y45)</f>
        <v>9722.222222222223</v>
      </c>
      <c r="Z47" s="318" t="n">
        <f>SUM(Z36:Z45)</f>
        <v>9722.222222222223</v>
      </c>
    </row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false" sqref="C5:C14" type="list">
      <formula1>"Ja,Nej"</formula1>
    </dataValidation>
    <dataValidation allowBlank="false" sqref="F5:F14" type="list">
      <formula1>"Ja,Nej"</formula1>
    </dataValidation>
    <dataValidation allowBlank="false" sqref="B5:B14" type="list">
      <formula1>"Engangsudgift,Kapitaludstrømning,Arbejdskapital,Reserve,Andet"</formula1>
    </dataValidation>
  </dataValidations>
  <pageMargins left="0.7" right="0.7" top="0.75" bottom="0.75" header="0.3" footer="0.3"/>
</worksheet>
</file>

<file path=xl/worksheets/sheet8.xml><?xml version="1.0" encoding="utf-8"?>
<worksheet xmlns:x="http://schemas.openxmlformats.org/spreadsheetml/2006/main" xmlns="http://schemas.openxmlformats.org/spreadsheetml/2006/main">
  <sheetViews>
    <sheetView showGridLines="false" workbookViewId="0"/>
  </sheetViews>
  <sheetFormatPr defaultRowHeight="15"/>
  <cols>
    <col customWidth="true" max="1" min="1" width="24"/>
    <col customWidth="true" max="2" min="2" width="18"/>
    <col customWidth="true" max="26" min="3" width="12"/>
  </cols>
  <sheetData>
    <row r="1" ht="19.53125" customHeight="true">
      <c r="A1" s="4" t="s">
        <v>224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" customHeight="true">
      <c r="A2" s="6" t="s">
        <v>225</v>
      </c>
    </row>
    <row r="3"/>
    <row r="4" ht="15" customHeight="true">
      <c r="A4" s="201" t="s">
        <v>25</v>
      </c>
      <c r="B4" s="202"/>
      <c r="C4" s="281" t="n">
        <f>EDATE('Inputantagelser'!$B$6,0)</f>
        <v>46143</v>
      </c>
      <c r="D4" s="282" t="n">
        <f>EDATE('Inputantagelser'!$B$6,1)</f>
        <v>46174</v>
      </c>
      <c r="E4" s="282" t="n">
        <f>EDATE('Inputantagelser'!$B$6,2)</f>
        <v>46204</v>
      </c>
      <c r="F4" s="282" t="n">
        <f>EDATE('Inputantagelser'!$B$6,3)</f>
        <v>46235</v>
      </c>
      <c r="G4" s="282" t="n">
        <f>EDATE('Inputantagelser'!$B$6,4)</f>
        <v>46266</v>
      </c>
      <c r="H4" s="282" t="n">
        <f>EDATE('Inputantagelser'!$B$6,5)</f>
        <v>46296</v>
      </c>
      <c r="I4" s="282" t="n">
        <f>EDATE('Inputantagelser'!$B$6,6)</f>
        <v>46327</v>
      </c>
      <c r="J4" s="282" t="n">
        <f>EDATE('Inputantagelser'!$B$6,7)</f>
        <v>46357</v>
      </c>
      <c r="K4" s="282" t="n">
        <f>EDATE('Inputantagelser'!$B$6,8)</f>
        <v>46388</v>
      </c>
      <c r="L4" s="282" t="n">
        <f>EDATE('Inputantagelser'!$B$6,9)</f>
        <v>46419</v>
      </c>
      <c r="M4" s="282" t="n">
        <f>EDATE('Inputantagelser'!$B$6,10)</f>
        <v>46447</v>
      </c>
      <c r="N4" s="282" t="n">
        <f>EDATE('Inputantagelser'!$B$6,11)</f>
        <v>46478</v>
      </c>
      <c r="O4" s="282" t="n">
        <f>EDATE('Inputantagelser'!$B$6,12)</f>
        <v>46508</v>
      </c>
      <c r="P4" s="282" t="n">
        <f>EDATE('Inputantagelser'!$B$6,13)</f>
        <v>46539</v>
      </c>
      <c r="Q4" s="282" t="n">
        <f>EDATE('Inputantagelser'!$B$6,14)</f>
        <v>46569</v>
      </c>
      <c r="R4" s="282" t="n">
        <f>EDATE('Inputantagelser'!$B$6,15)</f>
        <v>46600</v>
      </c>
      <c r="S4" s="282" t="n">
        <f>EDATE('Inputantagelser'!$B$6,16)</f>
        <v>46631</v>
      </c>
      <c r="T4" s="282" t="n">
        <f>EDATE('Inputantagelser'!$B$6,17)</f>
        <v>46661</v>
      </c>
      <c r="U4" s="282" t="n">
        <f>EDATE('Inputantagelser'!$B$6,18)</f>
        <v>46692</v>
      </c>
      <c r="V4" s="282" t="n">
        <f>EDATE('Inputantagelser'!$B$6,19)</f>
        <v>46722</v>
      </c>
      <c r="W4" s="282" t="n">
        <f>EDATE('Inputantagelser'!$B$6,20)</f>
        <v>46753</v>
      </c>
      <c r="X4" s="282" t="n">
        <f>EDATE('Inputantagelser'!$B$6,21)</f>
        <v>46784</v>
      </c>
      <c r="Y4" s="282" t="n">
        <f>EDATE('Inputantagelser'!$B$6,22)</f>
        <v>46813</v>
      </c>
      <c r="Z4" s="283" t="n">
        <f>EDATE('Inputantagelser'!$B$6,23)</f>
        <v>46844</v>
      </c>
    </row>
    <row r="5" ht="15" customHeight="true">
      <c r="A5" s="203" t="s">
        <v>102</v>
      </c>
      <c r="B5" s="204"/>
      <c r="C5" s="284" t="n">
        <v>1</v>
      </c>
      <c r="D5" s="285" t="n">
        <v>2</v>
      </c>
      <c r="E5" s="285" t="n">
        <v>3</v>
      </c>
      <c r="F5" s="285" t="n">
        <v>4</v>
      </c>
      <c r="G5" s="285" t="n">
        <v>5</v>
      </c>
      <c r="H5" s="285" t="n">
        <v>6</v>
      </c>
      <c r="I5" s="285" t="n">
        <v>7</v>
      </c>
      <c r="J5" s="285" t="n">
        <v>8</v>
      </c>
      <c r="K5" s="285" t="n">
        <v>9</v>
      </c>
      <c r="L5" s="285" t="n">
        <v>10</v>
      </c>
      <c r="M5" s="285" t="n">
        <v>11</v>
      </c>
      <c r="N5" s="285" t="n">
        <v>12</v>
      </c>
      <c r="O5" s="285" t="n">
        <v>13</v>
      </c>
      <c r="P5" s="285" t="n">
        <v>14</v>
      </c>
      <c r="Q5" s="285" t="n">
        <v>15</v>
      </c>
      <c r="R5" s="285" t="n">
        <v>16</v>
      </c>
      <c r="S5" s="285" t="n">
        <v>17</v>
      </c>
      <c r="T5" s="285" t="n">
        <v>18</v>
      </c>
      <c r="U5" s="285" t="n">
        <v>19</v>
      </c>
      <c r="V5" s="285" t="n">
        <v>20</v>
      </c>
      <c r="W5" s="285" t="n">
        <v>21</v>
      </c>
      <c r="X5" s="285" t="n">
        <v>22</v>
      </c>
      <c r="Y5" s="285" t="n">
        <v>23</v>
      </c>
      <c r="Z5" s="286" t="n">
        <v>24</v>
      </c>
    </row>
    <row r="6" ht="15" customHeight="true">
      <c r="A6" s="30"/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31"/>
    </row>
    <row r="7" ht="15" customHeight="true">
      <c r="A7" s="235" t="s">
        <v>26</v>
      </c>
      <c r="B7" s="236"/>
      <c r="C7" s="329" t="n">
        <f>'Omsætningsprognose'!C$17</f>
        <v>177300</v>
      </c>
      <c r="D7" s="329" t="n">
        <f>'Omsætningsprognose'!D$17</f>
        <v>195552.05</v>
      </c>
      <c r="E7" s="329" t="n">
        <f>'Omsætningsprognose'!E$17</f>
        <v>214480.992</v>
      </c>
      <c r="F7" s="329" t="n">
        <f>'Omsætningsprognose'!F$17</f>
        <v>234108.42606500004</v>
      </c>
      <c r="G7" s="329" t="n">
        <f>'Omsætningsprognose'!G$17</f>
        <v>254456.61319500007</v>
      </c>
      <c r="H7" s="329" t="n">
        <f>'Omsætningsprognose'!H$17</f>
        <v>275548.49528238055</v>
      </c>
      <c r="I7" s="329" t="n">
        <f>'Omsætningsprognose'!I$17</f>
        <v>297407.7156692978</v>
      </c>
      <c r="J7" s="329" t="n">
        <f>'Omsætningsprognose'!J$17</f>
        <v>320058.640323107</v>
      </c>
      <c r="K7" s="329" t="n">
        <f>'Omsætningsprognose'!K$17</f>
        <v>343526.37964836776</v>
      </c>
      <c r="L7" s="329" t="n">
        <f>'Omsætningsprognose'!L$17</f>
        <v>367836.8109545421</v>
      </c>
      <c r="M7" s="329" t="n">
        <f>'Omsætningsprognose'!M$17</f>
        <v>393016.60159906873</v>
      </c>
      <c r="N7" s="329" t="n">
        <f>'Omsætningsprognose'!N$17</f>
        <v>419093.23282609024</v>
      </c>
      <c r="O7" s="329" t="n">
        <f>'Omsætningsprognose'!O$17</f>
        <v>446095.0243217128</v>
      </c>
      <c r="P7" s="329" t="n">
        <f>'Omsætningsprognose'!P$17</f>
        <v>474051.15950731246</v>
      </c>
      <c r="Q7" s="329" t="n">
        <f>'Omsætningsprognose'!Q$17</f>
        <v>502991.7115930396</v>
      </c>
      <c r="R7" s="329" t="n">
        <f>'Omsætningsprognose'!R$17</f>
        <v>532947.6704143437</v>
      </c>
      <c r="S7" s="329" t="n">
        <f>'Omsætningsprognose'!S$17</f>
        <v>563950.970075022</v>
      </c>
      <c r="T7" s="329" t="n">
        <f>'Omsætningsprognose'!T$17</f>
        <v>596034.517421003</v>
      </c>
      <c r="U7" s="329" t="n">
        <f>'Omsætningsprognose'!U$17</f>
        <v>629232.2213698007</v>
      </c>
      <c r="V7" s="329" t="n">
        <f>'Omsætningsprognose'!V$17</f>
        <v>663579.0231213243</v>
      </c>
      <c r="W7" s="329" t="n">
        <f>'Omsætningsprognose'!W$17</f>
        <v>699110.9272764977</v>
      </c>
      <c r="X7" s="329" t="n">
        <f>'Omsætningsprognose'!X$17</f>
        <v>735865.0338909415</v>
      </c>
      <c r="Y7" s="329" t="n">
        <f>'Omsætningsprognose'!Y$17</f>
        <v>773879.5714917803</v>
      </c>
      <c r="Z7" s="330" t="n">
        <f>'Omsætningsprognose'!Z$17</f>
        <v>813193.9310864855</v>
      </c>
    </row>
    <row r="8" ht="15" customHeight="true">
      <c r="A8" s="235" t="s">
        <v>226</v>
      </c>
      <c r="B8" s="236"/>
      <c r="C8" s="329" t="n">
        <f>'Omsætningsprognose'!C$29</f>
        <v>72000</v>
      </c>
      <c r="D8" s="329" t="n">
        <f>'Omsætningsprognose'!D$29</f>
        <v>79412</v>
      </c>
      <c r="E8" s="329" t="n">
        <f>'Omsætningsprognose'!E$29</f>
        <v>87098.88</v>
      </c>
      <c r="F8" s="329" t="n">
        <f>'Omsætningsprognose'!F$29</f>
        <v>95069.41160000002</v>
      </c>
      <c r="G8" s="329" t="n">
        <f>'Omsætningsprognose'!G$29</f>
        <v>103332.63480000003</v>
      </c>
      <c r="H8" s="329" t="n">
        <f>'Omsætningsprognose'!H$29</f>
        <v>111897.86610452004</v>
      </c>
      <c r="I8" s="329" t="n">
        <f>'Omsætningsprognose'!I$29</f>
        <v>120774.70687078085</v>
      </c>
      <c r="J8" s="329" t="n">
        <f>'Omsætningsprognose'!J$29</f>
        <v>129973.05190786072</v>
      </c>
      <c r="K8" s="329" t="n">
        <f>'Omsætningsprognose'!K$29</f>
        <v>139503.09833436256</v>
      </c>
      <c r="L8" s="329" t="n">
        <f>'Omsætningsprognose'!L$29</f>
        <v>149375.3547023521</v>
      </c>
      <c r="M8" s="329" t="n">
        <f>'Omsætningsprognose'!M$29</f>
        <v>159600.65039556092</v>
      </c>
      <c r="N8" s="329" t="n">
        <f>'Omsætningsprognose'!N$29</f>
        <v>170190.14531008742</v>
      </c>
      <c r="O8" s="329" t="n">
        <f>'Omsætningsprognose'!O$29</f>
        <v>181155.3398260763</v>
      </c>
      <c r="P8" s="329" t="n">
        <f>'Omsætningsprognose'!P$29</f>
        <v>192508.08507911165</v>
      </c>
      <c r="Q8" s="329" t="n">
        <f>'Omsætningsprognose'!Q$29</f>
        <v>204260.59354032067</v>
      </c>
      <c r="R8" s="329" t="n">
        <f>'Omsætningsprognose'!R$29</f>
        <v>216425.44991445428</v>
      </c>
      <c r="S8" s="329" t="n">
        <f>'Omsætningsprognose'!S$29</f>
        <v>229015.62236549114</v>
      </c>
      <c r="T8" s="329" t="n">
        <f>'Omsætningsprognose'!T$29</f>
        <v>242044.47407959512</v>
      </c>
      <c r="U8" s="329" t="n">
        <f>'Omsætningsprognose'!U$29</f>
        <v>255525.77517555363</v>
      </c>
      <c r="V8" s="329" t="n">
        <f>'Omsætningsprognose'!V$29</f>
        <v>269473.7149731266</v>
      </c>
      <c r="W8" s="329" t="n">
        <f>'Omsætningsprognose'!W$29</f>
        <v>283902.91463004984</v>
      </c>
      <c r="X8" s="329" t="n">
        <f>'Omsætningsprognose'!X$29</f>
        <v>298828.440158758</v>
      </c>
      <c r="Y8" s="329" t="n">
        <f>'Omsætningsprognose'!Y$29</f>
        <v>314265.81583422556</v>
      </c>
      <c r="Z8" s="330" t="n">
        <f>'Omsætningsprognose'!Z$29</f>
        <v>330231.0380046642</v>
      </c>
    </row>
    <row r="9" ht="15" customHeight="true">
      <c r="A9" s="235" t="s">
        <v>27</v>
      </c>
      <c r="B9" s="236"/>
      <c r="C9" s="251" t="n">
        <f>C7-C8</f>
        <v>105300</v>
      </c>
      <c r="D9" s="251" t="n">
        <f>D7-D8</f>
        <v>116140.04999999999</v>
      </c>
      <c r="E9" s="251" t="n">
        <f>E7-E8</f>
        <v>127382.112</v>
      </c>
      <c r="F9" s="251" t="n">
        <f>F7-F8</f>
        <v>139039.01446500001</v>
      </c>
      <c r="G9" s="251" t="n">
        <f>G7-G8</f>
        <v>151123.97839500004</v>
      </c>
      <c r="H9" s="251" t="n">
        <f>H7-H8</f>
        <v>163650.6291778605</v>
      </c>
      <c r="I9" s="251" t="n">
        <f>I7-I8</f>
        <v>176633.00879851694</v>
      </c>
      <c r="J9" s="251" t="n">
        <f>J7-J8</f>
        <v>190085.58841524628</v>
      </c>
      <c r="K9" s="251" t="n">
        <f>K7-K8</f>
        <v>204023.2813140052</v>
      </c>
      <c r="L9" s="251" t="n">
        <f>L7-L8</f>
        <v>218461.45625218996</v>
      </c>
      <c r="M9" s="251" t="n">
        <f>M7-M8</f>
        <v>233415.9512035078</v>
      </c>
      <c r="N9" s="251" t="n">
        <f>N7-N8</f>
        <v>248903.08751600282</v>
      </c>
      <c r="O9" s="251" t="n">
        <f>O7-O8</f>
        <v>264939.6844956365</v>
      </c>
      <c r="P9" s="251" t="n">
        <f>P7-P8</f>
        <v>281543.07442820084</v>
      </c>
      <c r="Q9" s="251" t="n">
        <f>Q7-Q8</f>
        <v>298731.1180527189</v>
      </c>
      <c r="R9" s="251" t="n">
        <f>R7-R8</f>
        <v>316522.22049988946</v>
      </c>
      <c r="S9" s="251" t="n">
        <f>S7-S8</f>
        <v>334935.34770953085</v>
      </c>
      <c r="T9" s="251" t="n">
        <f>T7-T8</f>
        <v>353990.04334140784</v>
      </c>
      <c r="U9" s="251" t="n">
        <f>U7-U8</f>
        <v>373706.4461942471</v>
      </c>
      <c r="V9" s="251" t="n">
        <f>V7-V8</f>
        <v>394105.30814819766</v>
      </c>
      <c r="W9" s="251" t="n">
        <f>W7-W8</f>
        <v>415208.01264644787</v>
      </c>
      <c r="X9" s="251" t="n">
        <f>X7-X8</f>
        <v>437036.5937321835</v>
      </c>
      <c r="Y9" s="251" t="n">
        <f>Y7-Y8</f>
        <v>459613.7556575548</v>
      </c>
      <c r="Z9" s="252" t="n">
        <f>Z7-Z8</f>
        <v>482962.8930818213</v>
      </c>
    </row>
    <row r="10" ht="15" customHeight="true">
      <c r="A10" s="235" t="s">
        <v>113</v>
      </c>
      <c r="B10" s="236"/>
      <c r="C10" s="323" t="n">
        <f>IFERROR(C9/C7,0)</f>
        <v>0.5939086294416244</v>
      </c>
      <c r="D10" s="323" t="n">
        <f>IFERROR(D9/D7,0)</f>
        <v>0.5939086294416244</v>
      </c>
      <c r="E10" s="323" t="n">
        <f>IFERROR(E9/E7,0)</f>
        <v>0.5939086294416244</v>
      </c>
      <c r="F10" s="323" t="n">
        <f>IFERROR(F9/F7,0)</f>
        <v>0.5939086294416244</v>
      </c>
      <c r="G10" s="323" t="n">
        <f>IFERROR(G9/G7,0)</f>
        <v>0.5939086294416244</v>
      </c>
      <c r="H10" s="323" t="n">
        <f>IFERROR(H9/H7,0)</f>
        <v>0.5939086294416243</v>
      </c>
      <c r="I10" s="323" t="n">
        <f>IFERROR(I9/I7,0)</f>
        <v>0.5939086294416243</v>
      </c>
      <c r="J10" s="323" t="n">
        <f>IFERROR(J9/J7,0)</f>
        <v>0.5939086294416244</v>
      </c>
      <c r="K10" s="323" t="n">
        <f>IFERROR(K9/K7,0)</f>
        <v>0.5939086294416244</v>
      </c>
      <c r="L10" s="323" t="n">
        <f>IFERROR(L9/L7,0)</f>
        <v>0.5939086294416244</v>
      </c>
      <c r="M10" s="323" t="n">
        <f>IFERROR(M9/M7,0)</f>
        <v>0.5939086294416244</v>
      </c>
      <c r="N10" s="323" t="n">
        <f>IFERROR(N9/N7,0)</f>
        <v>0.5939086294416244</v>
      </c>
      <c r="O10" s="323" t="n">
        <f>IFERROR(O9/O7,0)</f>
        <v>0.5939086294416243</v>
      </c>
      <c r="P10" s="323" t="n">
        <f>IFERROR(P9/P7,0)</f>
        <v>0.5939086294416245</v>
      </c>
      <c r="Q10" s="323" t="n">
        <f>IFERROR(Q9/Q7,0)</f>
        <v>0.5939086294416243</v>
      </c>
      <c r="R10" s="323" t="n">
        <f>IFERROR(R9/R7,0)</f>
        <v>0.5939086294416245</v>
      </c>
      <c r="S10" s="323" t="n">
        <f>IFERROR(S9/S7,0)</f>
        <v>0.5939086294416245</v>
      </c>
      <c r="T10" s="323" t="n">
        <f>IFERROR(T9/T7,0)</f>
        <v>0.5939086294416244</v>
      </c>
      <c r="U10" s="323" t="n">
        <f>IFERROR(U9/U7,0)</f>
        <v>0.5939086294416244</v>
      </c>
      <c r="V10" s="323" t="n">
        <f>IFERROR(V9/V7,0)</f>
        <v>0.5939086294416244</v>
      </c>
      <c r="W10" s="323" t="n">
        <f>IFERROR(W9/W7,0)</f>
        <v>0.5939086294416244</v>
      </c>
      <c r="X10" s="323" t="n">
        <f>IFERROR(X9/X7,0)</f>
        <v>0.5939086294416243</v>
      </c>
      <c r="Y10" s="323" t="n">
        <f>IFERROR(Y9/Y7,0)</f>
        <v>0.5939086294416243</v>
      </c>
      <c r="Z10" s="324" t="n">
        <f>IFERROR(Z9/Z7,0)</f>
        <v>0.5939086294416244</v>
      </c>
    </row>
    <row r="11" ht="15" customHeight="true">
      <c r="A11" s="30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31"/>
    </row>
    <row r="12" ht="15" customHeight="true">
      <c r="A12" s="30" t="s">
        <v>227</v>
      </c>
      <c r="B12" s="84"/>
      <c r="C12" s="333" t="n">
        <f>'Bemanding og kompensation'!C$39</f>
        <v>221800</v>
      </c>
      <c r="D12" s="333" t="n">
        <f>'Bemanding og kompensation'!D$39</f>
        <v>221800</v>
      </c>
      <c r="E12" s="333" t="n">
        <f>'Bemanding og kompensation'!E$39</f>
        <v>221800</v>
      </c>
      <c r="F12" s="333" t="n">
        <f>'Bemanding og kompensation'!F$39</f>
        <v>221800</v>
      </c>
      <c r="G12" s="333" t="n">
        <f>'Bemanding og kompensation'!G$39</f>
        <v>221800</v>
      </c>
      <c r="H12" s="333" t="n">
        <f>'Bemanding og kompensation'!H$39</f>
        <v>221800</v>
      </c>
      <c r="I12" s="333" t="n">
        <f>'Bemanding og kompensation'!I$39</f>
        <v>271140</v>
      </c>
      <c r="J12" s="333" t="n">
        <f>'Bemanding og kompensation'!J$39</f>
        <v>271140</v>
      </c>
      <c r="K12" s="333" t="n">
        <f>'Bemanding og kompensation'!K$39</f>
        <v>271140</v>
      </c>
      <c r="L12" s="333" t="n">
        <f>'Bemanding og kompensation'!L$39</f>
        <v>271140</v>
      </c>
      <c r="M12" s="333" t="n">
        <f>'Bemanding og kompensation'!M$39</f>
        <v>271140</v>
      </c>
      <c r="N12" s="333" t="n">
        <f>'Bemanding og kompensation'!N$39</f>
        <v>271140</v>
      </c>
      <c r="O12" s="333" t="n">
        <f>'Bemanding og kompensation'!O$39</f>
        <v>337519.2</v>
      </c>
      <c r="P12" s="333" t="n">
        <f>'Bemanding og kompensation'!P$39</f>
        <v>337519.2</v>
      </c>
      <c r="Q12" s="333" t="n">
        <f>'Bemanding og kompensation'!Q$39</f>
        <v>337519.2</v>
      </c>
      <c r="R12" s="333" t="n">
        <f>'Bemanding og kompensation'!R$39</f>
        <v>337519.2</v>
      </c>
      <c r="S12" s="333" t="n">
        <f>'Bemanding og kompensation'!S$39</f>
        <v>337519.2</v>
      </c>
      <c r="T12" s="333" t="n">
        <f>'Bemanding og kompensation'!T$39</f>
        <v>337519.2</v>
      </c>
      <c r="U12" s="333" t="n">
        <f>'Bemanding og kompensation'!U$39</f>
        <v>389551.2</v>
      </c>
      <c r="V12" s="333" t="n">
        <f>'Bemanding og kompensation'!V$39</f>
        <v>389551.2</v>
      </c>
      <c r="W12" s="333" t="n">
        <f>'Bemanding og kompensation'!W$39</f>
        <v>389551.2</v>
      </c>
      <c r="X12" s="333" t="n">
        <f>'Bemanding og kompensation'!X$39</f>
        <v>389551.2</v>
      </c>
      <c r="Y12" s="333" t="n">
        <f>'Bemanding og kompensation'!Y$39</f>
        <v>389551.2</v>
      </c>
      <c r="Z12" s="334" t="n">
        <f>'Bemanding og kompensation'!Z$39</f>
        <v>389551.2</v>
      </c>
    </row>
    <row r="13" ht="15" customHeight="true">
      <c r="A13" s="30" t="s">
        <v>228</v>
      </c>
      <c r="B13" s="84"/>
      <c r="C13" s="333" t="n">
        <f>'Omkostningsopsætning'!C$38</f>
        <v>157006</v>
      </c>
      <c r="D13" s="333" t="n">
        <f>'Omkostningsopsætning'!D$38</f>
        <v>162201.451</v>
      </c>
      <c r="E13" s="333" t="n">
        <f>'Omkostningsopsætning'!E$38</f>
        <v>167557.61823999998</v>
      </c>
      <c r="F13" s="333" t="n">
        <f>'Omkostningsopsætning'!F$38</f>
        <v>173079.3717343</v>
      </c>
      <c r="G13" s="333" t="n">
        <f>'Omkostningsopsætning'!G$38</f>
        <v>178771.72808290002</v>
      </c>
      <c r="H13" s="333" t="n">
        <f>'Omkostningsopsætning'!H$38</f>
        <v>184639.85487392376</v>
      </c>
      <c r="I13" s="333" t="n">
        <f>'Omkostningsopsætning'!I$38</f>
        <v>190689.07521816355</v>
      </c>
      <c r="J13" s="333" t="n">
        <f>'Omkostningsopsætning'!J$38</f>
        <v>196924.87241971068</v>
      </c>
      <c r="K13" s="333" t="n">
        <f>'Omkostningsopsætning'!K$38</f>
        <v>203352.8947867544</v>
      </c>
      <c r="L13" s="333" t="n">
        <f>'Omkostningsopsætning'!L$38</f>
        <v>209978.96058675388</v>
      </c>
      <c r="M13" s="333" t="n">
        <f>'Omkostningsopsætning'!M$38</f>
        <v>216809.06315031732</v>
      </c>
      <c r="N13" s="333" t="n">
        <f>'Omkostningsopsætning'!N$38</f>
        <v>223849.37612824718</v>
      </c>
      <c r="O13" s="333" t="n">
        <f>'Omkostningsopsætning'!O$38</f>
        <v>231106.25890634928</v>
      </c>
      <c r="P13" s="333" t="n">
        <f>'Omkostningsopsætning'!P$38</f>
        <v>238586.26218273686</v>
      </c>
      <c r="Q13" s="333" t="n">
        <f>'Omkostningsopsætning'!Q$38</f>
        <v>246296.13371250822</v>
      </c>
      <c r="R13" s="333" t="n">
        <f>'Omkostningsopsætning'!R$38</f>
        <v>254242.82422481538</v>
      </c>
      <c r="S13" s="333" t="n">
        <f>'Omkostningsopsætning'!S$38</f>
        <v>262433.49351750134</v>
      </c>
      <c r="T13" s="333" t="n">
        <f>'Omkostningsopsætning'!T$38</f>
        <v>270875.51673462713</v>
      </c>
      <c r="U13" s="333" t="n">
        <f>'Omkostningsopsætning'!U$38</f>
        <v>279576.4908323827</v>
      </c>
      <c r="V13" s="333" t="n">
        <f>'Omkostningsopsætning'!V$38</f>
        <v>288544.24123902805</v>
      </c>
      <c r="W13" s="333" t="n">
        <f>'Omkostningsopsætning'!W$38</f>
        <v>297786.8287146896</v>
      </c>
      <c r="X13" s="333" t="n">
        <f>'Omkostningsopsætning'!X$38</f>
        <v>307312.5564170059</v>
      </c>
      <c r="Y13" s="333" t="n">
        <f>'Omkostningsopsætning'!Y$38</f>
        <v>317129.9771788003</v>
      </c>
      <c r="Z13" s="334" t="n">
        <f>'Omkostningsopsætning'!Z$38</f>
        <v>327247.90100414155</v>
      </c>
    </row>
    <row r="14" ht="15" customHeight="true">
      <c r="A14" s="30" t="s">
        <v>222</v>
      </c>
      <c r="B14" s="84"/>
      <c r="C14" s="333" t="n">
        <f>'Startup-investering'!C$47</f>
        <v>9722.222222222223</v>
      </c>
      <c r="D14" s="333" t="n">
        <f>'Startup-investering'!D$47</f>
        <v>9722.222222222223</v>
      </c>
      <c r="E14" s="333" t="n">
        <f>'Startup-investering'!E$47</f>
        <v>9722.222222222223</v>
      </c>
      <c r="F14" s="333" t="n">
        <f>'Startup-investering'!F$47</f>
        <v>9722.222222222223</v>
      </c>
      <c r="G14" s="333" t="n">
        <f>'Startup-investering'!G$47</f>
        <v>9722.222222222223</v>
      </c>
      <c r="H14" s="333" t="n">
        <f>'Startup-investering'!H$47</f>
        <v>9722.222222222223</v>
      </c>
      <c r="I14" s="333" t="n">
        <f>'Startup-investering'!I$47</f>
        <v>9722.222222222223</v>
      </c>
      <c r="J14" s="333" t="n">
        <f>'Startup-investering'!J$47</f>
        <v>9722.222222222223</v>
      </c>
      <c r="K14" s="333" t="n">
        <f>'Startup-investering'!K$47</f>
        <v>9722.222222222223</v>
      </c>
      <c r="L14" s="333" t="n">
        <f>'Startup-investering'!L$47</f>
        <v>9722.222222222223</v>
      </c>
      <c r="M14" s="333" t="n">
        <f>'Startup-investering'!M$47</f>
        <v>9722.222222222223</v>
      </c>
      <c r="N14" s="333" t="n">
        <f>'Startup-investering'!N$47</f>
        <v>9722.222222222223</v>
      </c>
      <c r="O14" s="333" t="n">
        <f>'Startup-investering'!O$47</f>
        <v>9722.222222222223</v>
      </c>
      <c r="P14" s="333" t="n">
        <f>'Startup-investering'!P$47</f>
        <v>9722.222222222223</v>
      </c>
      <c r="Q14" s="333" t="n">
        <f>'Startup-investering'!Q$47</f>
        <v>9722.222222222223</v>
      </c>
      <c r="R14" s="333" t="n">
        <f>'Startup-investering'!R$47</f>
        <v>9722.222222222223</v>
      </c>
      <c r="S14" s="333" t="n">
        <f>'Startup-investering'!S$47</f>
        <v>9722.222222222223</v>
      </c>
      <c r="T14" s="333" t="n">
        <f>'Startup-investering'!T$47</f>
        <v>9722.222222222223</v>
      </c>
      <c r="U14" s="333" t="n">
        <f>'Startup-investering'!U$47</f>
        <v>9722.222222222223</v>
      </c>
      <c r="V14" s="333" t="n">
        <f>'Startup-investering'!V$47</f>
        <v>9722.222222222223</v>
      </c>
      <c r="W14" s="333" t="n">
        <f>'Startup-investering'!W$47</f>
        <v>9722.222222222223</v>
      </c>
      <c r="X14" s="333" t="n">
        <f>'Startup-investering'!X$47</f>
        <v>9722.222222222223</v>
      </c>
      <c r="Y14" s="333" t="n">
        <f>'Startup-investering'!Y$47</f>
        <v>9722.222222222223</v>
      </c>
      <c r="Z14" s="334" t="n">
        <f>'Startup-investering'!Z$47</f>
        <v>9722.222222222223</v>
      </c>
    </row>
    <row r="15" ht="15" customHeight="true">
      <c r="A15" s="235" t="str">
        <v>EBITDA</v>
      </c>
      <c r="B15" s="236"/>
      <c r="C15" s="251" t="n">
        <f>C9-C12-C13</f>
        <v>-273506</v>
      </c>
      <c r="D15" s="251" t="n">
        <f>D9-D12-D13</f>
        <v>-267861.401</v>
      </c>
      <c r="E15" s="251" t="n">
        <f>E9-E12-E13</f>
        <v>-261975.50624</v>
      </c>
      <c r="F15" s="251" t="n">
        <f>F9-F12-F13</f>
        <v>-255840.35726929997</v>
      </c>
      <c r="G15" s="251" t="n">
        <f>G9-G12-G13</f>
        <v>-249447.74968789998</v>
      </c>
      <c r="H15" s="251" t="n">
        <f>H9-H12-H13</f>
        <v>-242789.22569606325</v>
      </c>
      <c r="I15" s="251" t="n">
        <f>I9-I12-I13</f>
        <v>-285196.0664196466</v>
      </c>
      <c r="J15" s="251" t="n">
        <f>J9-J12-J13</f>
        <v>-277979.2840044644</v>
      </c>
      <c r="K15" s="251" t="n">
        <f>K9-K12-K13</f>
        <v>-270469.6134727492</v>
      </c>
      <c r="L15" s="251" t="n">
        <f>L9-L12-L13</f>
        <v>-262657.5043345639</v>
      </c>
      <c r="M15" s="251" t="n">
        <f>M9-M12-M13</f>
        <v>-254533.1119468095</v>
      </c>
      <c r="N15" s="251" t="n">
        <f>N9-N12-N13</f>
        <v>-246086.28861224436</v>
      </c>
      <c r="O15" s="251" t="n">
        <f>O9-O12-O13</f>
        <v>-303685.77441071277</v>
      </c>
      <c r="P15" s="251" t="n">
        <f>P9-P12-P13</f>
        <v>-294562.387754536</v>
      </c>
      <c r="Q15" s="251" t="n">
        <f>Q9-Q12-Q13</f>
        <v>-285084.2156597893</v>
      </c>
      <c r="R15" s="251" t="n">
        <f>R9-R12-R13</f>
        <v>-275239.80372492597</v>
      </c>
      <c r="S15" s="251" t="n">
        <f>S9-S12-S13</f>
        <v>-265017.3458079705</v>
      </c>
      <c r="T15" s="251" t="n">
        <f>T9-T12-T13</f>
        <v>-254404.6733932193</v>
      </c>
      <c r="U15" s="251" t="n">
        <f>U9-U12-U13</f>
        <v>-295421.2446381356</v>
      </c>
      <c r="V15" s="251" t="n">
        <f>V9-V12-V13</f>
        <v>-283990.1330908304</v>
      </c>
      <c r="W15" s="251" t="n">
        <f>W9-W12-W13</f>
        <v>-272130.01606824173</v>
      </c>
      <c r="X15" s="251" t="n">
        <f>X9-X12-X13</f>
        <v>-259827.1626848224</v>
      </c>
      <c r="Y15" s="251" t="n">
        <f>Y9-Y12-Y13</f>
        <v>-247067.42152124556</v>
      </c>
      <c r="Z15" s="252" t="n">
        <f>Z9-Z12-Z13</f>
        <v>-233836.20792232023</v>
      </c>
    </row>
    <row r="16" ht="15" customHeight="true">
      <c r="A16" s="235" t="str">
        <v>EBIT</v>
      </c>
      <c r="B16" s="236"/>
      <c r="C16" s="251" t="n">
        <f>C15-C14</f>
        <v>-283228.22222222225</v>
      </c>
      <c r="D16" s="251" t="n">
        <f>D15-D14</f>
        <v>-277583.62322222226</v>
      </c>
      <c r="E16" s="251" t="n">
        <f>E15-E14</f>
        <v>-271697.7284622222</v>
      </c>
      <c r="F16" s="251" t="n">
        <f>F15-F14</f>
        <v>-265562.5794915222</v>
      </c>
      <c r="G16" s="251" t="n">
        <f>G15-G14</f>
        <v>-259169.9719101222</v>
      </c>
      <c r="H16" s="251" t="n">
        <f>H15-H14</f>
        <v>-252511.44791828547</v>
      </c>
      <c r="I16" s="251" t="n">
        <f>I15-I14</f>
        <v>-294918.28864186886</v>
      </c>
      <c r="J16" s="251" t="n">
        <f>J15-J14</f>
        <v>-287701.50622668664</v>
      </c>
      <c r="K16" s="251" t="n">
        <f>K15-K14</f>
        <v>-280191.83569497144</v>
      </c>
      <c r="L16" s="251" t="n">
        <f>L15-L14</f>
        <v>-272379.72655678616</v>
      </c>
      <c r="M16" s="251" t="n">
        <f>M15-M14</f>
        <v>-264255.33416903176</v>
      </c>
      <c r="N16" s="251" t="n">
        <f>N15-N14</f>
        <v>-255808.51083446658</v>
      </c>
      <c r="O16" s="251" t="n">
        <f>O15-O14</f>
        <v>-313407.996632935</v>
      </c>
      <c r="P16" s="251" t="n">
        <f>P15-P14</f>
        <v>-304284.60997675825</v>
      </c>
      <c r="Q16" s="251" t="n">
        <f>Q15-Q14</f>
        <v>-294806.4378820115</v>
      </c>
      <c r="R16" s="251" t="n">
        <f>R15-R14</f>
        <v>-284962.0259471482</v>
      </c>
      <c r="S16" s="251" t="n">
        <f>S15-S14</f>
        <v>-274739.56803019275</v>
      </c>
      <c r="T16" s="251" t="n">
        <f>T15-T14</f>
        <v>-264126.89561544155</v>
      </c>
      <c r="U16" s="251" t="n">
        <f>U15-U14</f>
        <v>-305143.46686035785</v>
      </c>
      <c r="V16" s="251" t="n">
        <f>V15-V14</f>
        <v>-293712.35531305266</v>
      </c>
      <c r="W16" s="251" t="n">
        <f>W15-W14</f>
        <v>-281852.238290464</v>
      </c>
      <c r="X16" s="251" t="n">
        <f>X15-X14</f>
        <v>-269549.38490704464</v>
      </c>
      <c r="Y16" s="251" t="n">
        <f>Y15-Y14</f>
        <v>-256789.64374346778</v>
      </c>
      <c r="Z16" s="252" t="n">
        <f>Z15-Z14</f>
        <v>-243558.43014454245</v>
      </c>
    </row>
    <row r="17" ht="15" customHeight="true">
      <c r="A17" s="235" t="s">
        <v>229</v>
      </c>
      <c r="B17" s="236"/>
      <c r="C17" s="251" t="n">
        <f>MAX(0,C16*'Inputantagelser'!$B$12)</f>
        <v>0</v>
      </c>
      <c r="D17" s="251" t="n">
        <f>MAX(0,D16*'Inputantagelser'!$B$12)</f>
        <v>0</v>
      </c>
      <c r="E17" s="251" t="n">
        <f>MAX(0,E16*'Inputantagelser'!$B$12)</f>
        <v>0</v>
      </c>
      <c r="F17" s="251" t="n">
        <f>MAX(0,F16*'Inputantagelser'!$B$12)</f>
        <v>0</v>
      </c>
      <c r="G17" s="251" t="n">
        <f>MAX(0,G16*'Inputantagelser'!$B$12)</f>
        <v>0</v>
      </c>
      <c r="H17" s="251" t="n">
        <f>MAX(0,H16*'Inputantagelser'!$B$12)</f>
        <v>0</v>
      </c>
      <c r="I17" s="251" t="n">
        <f>MAX(0,I16*'Inputantagelser'!$B$12)</f>
        <v>0</v>
      </c>
      <c r="J17" s="251" t="n">
        <f>MAX(0,J16*'Inputantagelser'!$B$12)</f>
        <v>0</v>
      </c>
      <c r="K17" s="251" t="n">
        <f>MAX(0,K16*'Inputantagelser'!$B$12)</f>
        <v>0</v>
      </c>
      <c r="L17" s="251" t="n">
        <f>MAX(0,L16*'Inputantagelser'!$B$12)</f>
        <v>0</v>
      </c>
      <c r="M17" s="251" t="n">
        <f>MAX(0,M16*'Inputantagelser'!$B$12)</f>
        <v>0</v>
      </c>
      <c r="N17" s="251" t="n">
        <f>MAX(0,N16*'Inputantagelser'!$B$12)</f>
        <v>0</v>
      </c>
      <c r="O17" s="251" t="n">
        <f>MAX(0,O16*'Inputantagelser'!$B$12)</f>
        <v>0</v>
      </c>
      <c r="P17" s="251" t="n">
        <f>MAX(0,P16*'Inputantagelser'!$B$12)</f>
        <v>0</v>
      </c>
      <c r="Q17" s="251" t="n">
        <f>MAX(0,Q16*'Inputantagelser'!$B$12)</f>
        <v>0</v>
      </c>
      <c r="R17" s="251" t="n">
        <f>MAX(0,R16*'Inputantagelser'!$B$12)</f>
        <v>0</v>
      </c>
      <c r="S17" s="251" t="n">
        <f>MAX(0,S16*'Inputantagelser'!$B$12)</f>
        <v>0</v>
      </c>
      <c r="T17" s="251" t="n">
        <f>MAX(0,T16*'Inputantagelser'!$B$12)</f>
        <v>0</v>
      </c>
      <c r="U17" s="251" t="n">
        <f>MAX(0,U16*'Inputantagelser'!$B$12)</f>
        <v>0</v>
      </c>
      <c r="V17" s="251" t="n">
        <f>MAX(0,V16*'Inputantagelser'!$B$12)</f>
        <v>0</v>
      </c>
      <c r="W17" s="251" t="n">
        <f>MAX(0,W16*'Inputantagelser'!$B$12)</f>
        <v>0</v>
      </c>
      <c r="X17" s="251" t="n">
        <f>MAX(0,X16*'Inputantagelser'!$B$12)</f>
        <v>0</v>
      </c>
      <c r="Y17" s="251" t="n">
        <f>MAX(0,Y16*'Inputantagelser'!$B$12)</f>
        <v>0</v>
      </c>
      <c r="Z17" s="252" t="n">
        <f>MAX(0,Z16*'Inputantagelser'!$B$12)</f>
        <v>0</v>
      </c>
    </row>
    <row r="18" ht="15" customHeight="true">
      <c r="A18" s="235" t="s">
        <v>28</v>
      </c>
      <c r="B18" s="236"/>
      <c r="C18" s="251" t="n">
        <f>C16-C17</f>
        <v>-283228.22222222225</v>
      </c>
      <c r="D18" s="251" t="n">
        <f>D16-D17</f>
        <v>-277583.62322222226</v>
      </c>
      <c r="E18" s="251" t="n">
        <f>E16-E17</f>
        <v>-271697.7284622222</v>
      </c>
      <c r="F18" s="251" t="n">
        <f>F16-F17</f>
        <v>-265562.5794915222</v>
      </c>
      <c r="G18" s="251" t="n">
        <f>G16-G17</f>
        <v>-259169.9719101222</v>
      </c>
      <c r="H18" s="251" t="n">
        <f>H16-H17</f>
        <v>-252511.44791828547</v>
      </c>
      <c r="I18" s="251" t="n">
        <f>I16-I17</f>
        <v>-294918.28864186886</v>
      </c>
      <c r="J18" s="251" t="n">
        <f>J16-J17</f>
        <v>-287701.50622668664</v>
      </c>
      <c r="K18" s="251" t="n">
        <f>K16-K17</f>
        <v>-280191.83569497144</v>
      </c>
      <c r="L18" s="251" t="n">
        <f>L16-L17</f>
        <v>-272379.72655678616</v>
      </c>
      <c r="M18" s="251" t="n">
        <f>M16-M17</f>
        <v>-264255.33416903176</v>
      </c>
      <c r="N18" s="251" t="n">
        <f>N16-N17</f>
        <v>-255808.51083446658</v>
      </c>
      <c r="O18" s="251" t="n">
        <f>O16-O17</f>
        <v>-313407.996632935</v>
      </c>
      <c r="P18" s="251" t="n">
        <f>P16-P17</f>
        <v>-304284.60997675825</v>
      </c>
      <c r="Q18" s="251" t="n">
        <f>Q16-Q17</f>
        <v>-294806.4378820115</v>
      </c>
      <c r="R18" s="251" t="n">
        <f>R16-R17</f>
        <v>-284962.0259471482</v>
      </c>
      <c r="S18" s="251" t="n">
        <f>S16-S17</f>
        <v>-274739.56803019275</v>
      </c>
      <c r="T18" s="251" t="n">
        <f>T16-T17</f>
        <v>-264126.89561544155</v>
      </c>
      <c r="U18" s="251" t="n">
        <f>U16-U17</f>
        <v>-305143.46686035785</v>
      </c>
      <c r="V18" s="251" t="n">
        <f>V16-V17</f>
        <v>-293712.35531305266</v>
      </c>
      <c r="W18" s="251" t="n">
        <f>W16-W17</f>
        <v>-281852.238290464</v>
      </c>
      <c r="X18" s="251" t="n">
        <f>X16-X17</f>
        <v>-269549.38490704464</v>
      </c>
      <c r="Y18" s="251" t="n">
        <f>Y16-Y17</f>
        <v>-256789.64374346778</v>
      </c>
      <c r="Z18" s="252" t="n">
        <f>Z16-Z17</f>
        <v>-243558.43014454245</v>
      </c>
    </row>
    <row r="19" ht="15" customHeight="true">
      <c r="A19" s="235" t="s">
        <v>230</v>
      </c>
      <c r="B19" s="236"/>
      <c r="C19" s="323" t="n">
        <f>IFERROR(C18/C7,0)</f>
        <v>-1.5974519019865892</v>
      </c>
      <c r="D19" s="323" t="n">
        <f>IFERROR(D18/D7,0)</f>
        <v>-1.4194871555794086</v>
      </c>
      <c r="E19" s="323" t="n">
        <f>IFERROR(E18/E7,0)</f>
        <v>-1.2667683319099075</v>
      </c>
      <c r="F19" s="323" t="n">
        <f>IFERROR(F18/F7,0)</f>
        <v>-1.1343572034343992</v>
      </c>
      <c r="G19" s="323" t="n">
        <f>IFERROR(G18/G7,0)</f>
        <v>-1.0185232313514685</v>
      </c>
      <c r="H19" s="323" t="n">
        <f>IFERROR(H18/H7,0)</f>
        <v>-0.9163956698784116</v>
      </c>
      <c r="I19" s="323" t="n">
        <f>IFERROR(I18/I7,0)</f>
        <v>-0.9916295815600257</v>
      </c>
      <c r="J19" s="323" t="n">
        <f>IFERROR(J18/J7,0)</f>
        <v>-0.8989024821709076</v>
      </c>
      <c r="K19" s="323" t="n">
        <f>IFERROR(K18/K7,0)</f>
        <v>-0.8156341180603792</v>
      </c>
      <c r="L19" s="323" t="n">
        <f>IFERROR(L18/L7,0)</f>
        <v>-0.7404906698977644</v>
      </c>
      <c r="M19" s="323" t="n">
        <f>IFERROR(M18/M7,0)</f>
        <v>-0.6723770270615915</v>
      </c>
      <c r="N19" s="323" t="n">
        <f>IFERROR(N18/N7,0)</f>
        <v>-0.6103856869972859</v>
      </c>
      <c r="O19" s="323" t="n">
        <f>IFERROR(O18/O7,0)</f>
        <v>-0.7025588261368118</v>
      </c>
      <c r="P19" s="323" t="n">
        <f>IFERROR(P18/P7,0)</f>
        <v>-0.6418813747718816</v>
      </c>
      <c r="Q19" s="323" t="n">
        <f>IFERROR(Q18/Q7,0)</f>
        <v>-0.5861059557985986</v>
      </c>
      <c r="R19" s="323" t="n">
        <f>IFERROR(R18/R7,0)</f>
        <v>-0.5346904429202263</v>
      </c>
      <c r="S19" s="323" t="n">
        <f>IFERROR(S18/S7,0)</f>
        <v>-0.48716924450656474</v>
      </c>
      <c r="T19" s="323" t="n">
        <f>IFERROR(T18/T7,0)</f>
        <v>-0.44314026771184156</v>
      </c>
      <c r="U19" s="323" t="n">
        <f>IFERROR(U18/U7,0)</f>
        <v>-0.48494571081576027</v>
      </c>
      <c r="V19" s="323" t="n">
        <f>IFERROR(V18/V7,0)</f>
        <v>-0.44261850522564256</v>
      </c>
      <c r="W19" s="323" t="n">
        <f>IFERROR(W18/W7,0)</f>
        <v>-0.4031581073814223</v>
      </c>
      <c r="X19" s="323" t="n">
        <f>IFERROR(X18/X7,0)</f>
        <v>-0.36630274913564254</v>
      </c>
      <c r="Y19" s="323" t="n">
        <f>IFERROR(Y18/Y7,0)</f>
        <v>-0.3318211944120239</v>
      </c>
      <c r="Z19" s="324" t="n">
        <f>IFERROR(Z18/Z7,0)</f>
        <v>-0.2995084208500313</v>
      </c>
    </row>
    <row r="20" ht="15" customHeight="true">
      <c r="A20" s="30"/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31"/>
    </row>
    <row r="21" ht="15" customHeight="true">
      <c r="A21" s="30" t="s">
        <v>231</v>
      </c>
      <c r="B21" s="84"/>
      <c r="C21" s="249" t="n">
        <f>IF(C$5&lt;='Inputantagelser'!$B$13,0,INDEX($C$7:$Z$7,1,C$5-'Inputantagelser'!$B$13))</f>
        <v>0</v>
      </c>
      <c r="D21" s="249" t="n">
        <f>IF(D$5&lt;='Inputantagelser'!$B$13,0,INDEX($C$7:$Z$7,1,D$5-'Inputantagelser'!$B$13))</f>
        <v>177300</v>
      </c>
      <c r="E21" s="249" t="n">
        <f>IF(E$5&lt;='Inputantagelser'!$B$13,0,INDEX($C$7:$Z$7,1,E$5-'Inputantagelser'!$B$13))</f>
        <v>195552.05</v>
      </c>
      <c r="F21" s="249" t="n">
        <f>IF(F$5&lt;='Inputantagelser'!$B$13,0,INDEX($C$7:$Z$7,1,F$5-'Inputantagelser'!$B$13))</f>
        <v>214480.992</v>
      </c>
      <c r="G21" s="249" t="n">
        <f>IF(G$5&lt;='Inputantagelser'!$B$13,0,INDEX($C$7:$Z$7,1,G$5-'Inputantagelser'!$B$13))</f>
        <v>234108.42606500004</v>
      </c>
      <c r="H21" s="249" t="n">
        <f>IF(H$5&lt;='Inputantagelser'!$B$13,0,INDEX($C$7:$Z$7,1,H$5-'Inputantagelser'!$B$13))</f>
        <v>254456.61319500007</v>
      </c>
      <c r="I21" s="249" t="n">
        <f>IF(I$5&lt;='Inputantagelser'!$B$13,0,INDEX($C$7:$Z$7,1,I$5-'Inputantagelser'!$B$13))</f>
        <v>275548.49528238055</v>
      </c>
      <c r="J21" s="249" t="n">
        <f>IF(J$5&lt;='Inputantagelser'!$B$13,0,INDEX($C$7:$Z$7,1,J$5-'Inputantagelser'!$B$13))</f>
        <v>297407.7156692978</v>
      </c>
      <c r="K21" s="249" t="n">
        <f>IF(K$5&lt;='Inputantagelser'!$B$13,0,INDEX($C$7:$Z$7,1,K$5-'Inputantagelser'!$B$13))</f>
        <v>320058.640323107</v>
      </c>
      <c r="L21" s="249" t="n">
        <f>IF(L$5&lt;='Inputantagelser'!$B$13,0,INDEX($C$7:$Z$7,1,L$5-'Inputantagelser'!$B$13))</f>
        <v>343526.37964836776</v>
      </c>
      <c r="M21" s="249" t="n">
        <f>IF(M$5&lt;='Inputantagelser'!$B$13,0,INDEX($C$7:$Z$7,1,M$5-'Inputantagelser'!$B$13))</f>
        <v>367836.8109545421</v>
      </c>
      <c r="N21" s="249" t="n">
        <f>IF(N$5&lt;='Inputantagelser'!$B$13,0,INDEX($C$7:$Z$7,1,N$5-'Inputantagelser'!$B$13))</f>
        <v>393016.60159906873</v>
      </c>
      <c r="O21" s="249" t="n">
        <f>IF(O$5&lt;='Inputantagelser'!$B$13,0,INDEX($C$7:$Z$7,1,O$5-'Inputantagelser'!$B$13))</f>
        <v>419093.23282609024</v>
      </c>
      <c r="P21" s="249" t="n">
        <f>IF(P$5&lt;='Inputantagelser'!$B$13,0,INDEX($C$7:$Z$7,1,P$5-'Inputantagelser'!$B$13))</f>
        <v>446095.0243217128</v>
      </c>
      <c r="Q21" s="249" t="n">
        <f>IF(Q$5&lt;='Inputantagelser'!$B$13,0,INDEX($C$7:$Z$7,1,Q$5-'Inputantagelser'!$B$13))</f>
        <v>474051.15950731246</v>
      </c>
      <c r="R21" s="249" t="n">
        <f>IF(R$5&lt;='Inputantagelser'!$B$13,0,INDEX($C$7:$Z$7,1,R$5-'Inputantagelser'!$B$13))</f>
        <v>502991.7115930396</v>
      </c>
      <c r="S21" s="249" t="n">
        <f>IF(S$5&lt;='Inputantagelser'!$B$13,0,INDEX($C$7:$Z$7,1,S$5-'Inputantagelser'!$B$13))</f>
        <v>532947.6704143437</v>
      </c>
      <c r="T21" s="249" t="n">
        <f>IF(T$5&lt;='Inputantagelser'!$B$13,0,INDEX($C$7:$Z$7,1,T$5-'Inputantagelser'!$B$13))</f>
        <v>563950.970075022</v>
      </c>
      <c r="U21" s="249" t="n">
        <f>IF(U$5&lt;='Inputantagelser'!$B$13,0,INDEX($C$7:$Z$7,1,U$5-'Inputantagelser'!$B$13))</f>
        <v>596034.517421003</v>
      </c>
      <c r="V21" s="249" t="n">
        <f>IF(V$5&lt;='Inputantagelser'!$B$13,0,INDEX($C$7:$Z$7,1,V$5-'Inputantagelser'!$B$13))</f>
        <v>629232.2213698007</v>
      </c>
      <c r="W21" s="249" t="n">
        <f>IF(W$5&lt;='Inputantagelser'!$B$13,0,INDEX($C$7:$Z$7,1,W$5-'Inputantagelser'!$B$13))</f>
        <v>663579.0231213243</v>
      </c>
      <c r="X21" s="249" t="n">
        <f>IF(X$5&lt;='Inputantagelser'!$B$13,0,INDEX($C$7:$Z$7,1,X$5-'Inputantagelser'!$B$13))</f>
        <v>699110.9272764977</v>
      </c>
      <c r="Y21" s="249" t="n">
        <f>IF(Y$5&lt;='Inputantagelser'!$B$13,0,INDEX($C$7:$Z$7,1,Y$5-'Inputantagelser'!$B$13))</f>
        <v>735865.0338909415</v>
      </c>
      <c r="Z21" s="250" t="n">
        <f>IF(Z$5&lt;='Inputantagelser'!$B$13,0,INDEX($C$7:$Z$7,1,Z$5-'Inputantagelser'!$B$13))</f>
        <v>773879.5714917803</v>
      </c>
    </row>
    <row r="22" ht="15" customHeight="true">
      <c r="A22" s="30" t="s">
        <v>232</v>
      </c>
      <c r="B22" s="84"/>
      <c r="C22" s="249" t="n">
        <f>C8+C12+C13</f>
        <v>450806</v>
      </c>
      <c r="D22" s="249" t="n">
        <f>D8+D12+D13</f>
        <v>463413.451</v>
      </c>
      <c r="E22" s="249" t="n">
        <f>E8+E12+E13</f>
        <v>476456.49824</v>
      </c>
      <c r="F22" s="249" t="n">
        <f>F8+F12+F13</f>
        <v>489948.7833343</v>
      </c>
      <c r="G22" s="249" t="n">
        <f>G8+G12+G13</f>
        <v>503904.36288290005</v>
      </c>
      <c r="H22" s="249" t="n">
        <f>H8+H12+H13</f>
        <v>518337.7209784438</v>
      </c>
      <c r="I22" s="249" t="n">
        <f>I8+I12+I13</f>
        <v>582603.7820889445</v>
      </c>
      <c r="J22" s="249" t="n">
        <f>J8+J12+J13</f>
        <v>598037.9243275714</v>
      </c>
      <c r="K22" s="249" t="n">
        <f>K8+K12+K13</f>
        <v>613995.9931211169</v>
      </c>
      <c r="L22" s="249" t="n">
        <f>L8+L12+L13</f>
        <v>630494.315289106</v>
      </c>
      <c r="M22" s="249" t="n">
        <f>M8+M12+M13</f>
        <v>647549.7135458782</v>
      </c>
      <c r="N22" s="249" t="n">
        <f>N8+N12+N13</f>
        <v>665179.5214383346</v>
      </c>
      <c r="O22" s="249" t="n">
        <f>O8+O12+O13</f>
        <v>749780.7987324256</v>
      </c>
      <c r="P22" s="249" t="n">
        <f>P8+P12+P13</f>
        <v>768613.5472618486</v>
      </c>
      <c r="Q22" s="249" t="n">
        <f>Q8+Q12+Q13</f>
        <v>788075.927252829</v>
      </c>
      <c r="R22" s="249" t="n">
        <f>R8+R12+R13</f>
        <v>808187.4741392697</v>
      </c>
      <c r="S22" s="249" t="n">
        <f>S8+S12+S13</f>
        <v>828968.3158829925</v>
      </c>
      <c r="T22" s="249" t="n">
        <f>T8+T12+T13</f>
        <v>850439.1908142222</v>
      </c>
      <c r="U22" s="249" t="n">
        <f>U8+U12+U13</f>
        <v>924653.4660079364</v>
      </c>
      <c r="V22" s="249" t="n">
        <f>V8+V12+V13</f>
        <v>947569.1562121547</v>
      </c>
      <c r="W22" s="249" t="n">
        <f>W8+W12+W13</f>
        <v>971240.9433447394</v>
      </c>
      <c r="X22" s="249" t="n">
        <f>X8+X12+X13</f>
        <v>995692.1965757639</v>
      </c>
      <c r="Y22" s="249" t="n">
        <f>Y8+Y12+Y13</f>
        <v>1020946.993013026</v>
      </c>
      <c r="Z22" s="250" t="n">
        <f>Z8+Z12+Z13</f>
        <v>1047030.1390088057</v>
      </c>
    </row>
    <row r="23" ht="15" customHeight="true">
      <c r="A23" s="30" t="s">
        <v>233</v>
      </c>
      <c r="B23" s="84"/>
      <c r="C23" s="249" t="n">
        <f>IF(C$5&lt;='Inputantagelser'!$B$14,0,INDEX($C$22:$Z$22,1,C$5-'Inputantagelser'!$B$14))</f>
        <v>0</v>
      </c>
      <c r="D23" s="249" t="n">
        <f>IF(D$5&lt;='Inputantagelser'!$B$14,0,INDEX($C$22:$Z$22,1,D$5-'Inputantagelser'!$B$14))</f>
        <v>450806</v>
      </c>
      <c r="E23" s="249" t="n">
        <f>IF(E$5&lt;='Inputantagelser'!$B$14,0,INDEX($C$22:$Z$22,1,E$5-'Inputantagelser'!$B$14))</f>
        <v>463413.451</v>
      </c>
      <c r="F23" s="249" t="n">
        <f>IF(F$5&lt;='Inputantagelser'!$B$14,0,INDEX($C$22:$Z$22,1,F$5-'Inputantagelser'!$B$14))</f>
        <v>476456.49824</v>
      </c>
      <c r="G23" s="249" t="n">
        <f>IF(G$5&lt;='Inputantagelser'!$B$14,0,INDEX($C$22:$Z$22,1,G$5-'Inputantagelser'!$B$14))</f>
        <v>489948.7833343</v>
      </c>
      <c r="H23" s="249" t="n">
        <f>IF(H$5&lt;='Inputantagelser'!$B$14,0,INDEX($C$22:$Z$22,1,H$5-'Inputantagelser'!$B$14))</f>
        <v>503904.36288290005</v>
      </c>
      <c r="I23" s="249" t="n">
        <f>IF(I$5&lt;='Inputantagelser'!$B$14,0,INDEX($C$22:$Z$22,1,I$5-'Inputantagelser'!$B$14))</f>
        <v>518337.7209784438</v>
      </c>
      <c r="J23" s="249" t="n">
        <f>IF(J$5&lt;='Inputantagelser'!$B$14,0,INDEX($C$22:$Z$22,1,J$5-'Inputantagelser'!$B$14))</f>
        <v>582603.7820889445</v>
      </c>
      <c r="K23" s="249" t="n">
        <f>IF(K$5&lt;='Inputantagelser'!$B$14,0,INDEX($C$22:$Z$22,1,K$5-'Inputantagelser'!$B$14))</f>
        <v>598037.9243275714</v>
      </c>
      <c r="L23" s="249" t="n">
        <f>IF(L$5&lt;='Inputantagelser'!$B$14,0,INDEX($C$22:$Z$22,1,L$5-'Inputantagelser'!$B$14))</f>
        <v>613995.9931211169</v>
      </c>
      <c r="M23" s="249" t="n">
        <f>IF(M$5&lt;='Inputantagelser'!$B$14,0,INDEX($C$22:$Z$22,1,M$5-'Inputantagelser'!$B$14))</f>
        <v>630494.315289106</v>
      </c>
      <c r="N23" s="249" t="n">
        <f>IF(N$5&lt;='Inputantagelser'!$B$14,0,INDEX($C$22:$Z$22,1,N$5-'Inputantagelser'!$B$14))</f>
        <v>647549.7135458782</v>
      </c>
      <c r="O23" s="249" t="n">
        <f>IF(O$5&lt;='Inputantagelser'!$B$14,0,INDEX($C$22:$Z$22,1,O$5-'Inputantagelser'!$B$14))</f>
        <v>665179.5214383346</v>
      </c>
      <c r="P23" s="249" t="n">
        <f>IF(P$5&lt;='Inputantagelser'!$B$14,0,INDEX($C$22:$Z$22,1,P$5-'Inputantagelser'!$B$14))</f>
        <v>749780.7987324256</v>
      </c>
      <c r="Q23" s="249" t="n">
        <f>IF(Q$5&lt;='Inputantagelser'!$B$14,0,INDEX($C$22:$Z$22,1,Q$5-'Inputantagelser'!$B$14))</f>
        <v>768613.5472618486</v>
      </c>
      <c r="R23" s="249" t="n">
        <f>IF(R$5&lt;='Inputantagelser'!$B$14,0,INDEX($C$22:$Z$22,1,R$5-'Inputantagelser'!$B$14))</f>
        <v>788075.927252829</v>
      </c>
      <c r="S23" s="249" t="n">
        <f>IF(S$5&lt;='Inputantagelser'!$B$14,0,INDEX($C$22:$Z$22,1,S$5-'Inputantagelser'!$B$14))</f>
        <v>808187.4741392697</v>
      </c>
      <c r="T23" s="249" t="n">
        <f>IF(T$5&lt;='Inputantagelser'!$B$14,0,INDEX($C$22:$Z$22,1,T$5-'Inputantagelser'!$B$14))</f>
        <v>828968.3158829925</v>
      </c>
      <c r="U23" s="249" t="n">
        <f>IF(U$5&lt;='Inputantagelser'!$B$14,0,INDEX($C$22:$Z$22,1,U$5-'Inputantagelser'!$B$14))</f>
        <v>850439.1908142222</v>
      </c>
      <c r="V23" s="249" t="n">
        <f>IF(V$5&lt;='Inputantagelser'!$B$14,0,INDEX($C$22:$Z$22,1,V$5-'Inputantagelser'!$B$14))</f>
        <v>924653.4660079364</v>
      </c>
      <c r="W23" s="249" t="n">
        <f>IF(W$5&lt;='Inputantagelser'!$B$14,0,INDEX($C$22:$Z$22,1,W$5-'Inputantagelser'!$B$14))</f>
        <v>947569.1562121547</v>
      </c>
      <c r="X23" s="249" t="n">
        <f>IF(X$5&lt;='Inputantagelser'!$B$14,0,INDEX($C$22:$Z$22,1,X$5-'Inputantagelser'!$B$14))</f>
        <v>971240.9433447394</v>
      </c>
      <c r="Y23" s="249" t="n">
        <f>IF(Y$5&lt;='Inputantagelser'!$B$14,0,INDEX($C$22:$Z$22,1,Y$5-'Inputantagelser'!$B$14))</f>
        <v>995692.1965757639</v>
      </c>
      <c r="Z23" s="250" t="n">
        <f>IF(Z$5&lt;='Inputantagelser'!$B$14,0,INDEX($C$22:$Z$22,1,Z$5-'Inputantagelser'!$B$14))</f>
        <v>1020946.993013026</v>
      </c>
    </row>
    <row r="24" ht="15" customHeight="true">
      <c r="A24" s="30" t="s">
        <v>234</v>
      </c>
      <c r="B24" s="84"/>
      <c r="C24" s="333" t="n">
        <f>'Startup-investering'!C$34</f>
        <v>700000</v>
      </c>
      <c r="D24" s="333" t="n">
        <f>'Startup-investering'!D$34</f>
        <v>60000</v>
      </c>
      <c r="E24" s="333" t="n">
        <f>'Startup-investering'!E$34</f>
        <v>0</v>
      </c>
      <c r="F24" s="333" t="n">
        <f>'Startup-investering'!F$34</f>
        <v>0</v>
      </c>
      <c r="G24" s="333" t="n">
        <f>'Startup-investering'!G$34</f>
        <v>0</v>
      </c>
      <c r="H24" s="333" t="n">
        <f>'Startup-investering'!H$34</f>
        <v>0</v>
      </c>
      <c r="I24" s="333" t="n">
        <f>'Startup-investering'!I$34</f>
        <v>0</v>
      </c>
      <c r="J24" s="333" t="n">
        <f>'Startup-investering'!J$34</f>
        <v>0</v>
      </c>
      <c r="K24" s="333" t="n">
        <f>'Startup-investering'!K$34</f>
        <v>0</v>
      </c>
      <c r="L24" s="333" t="n">
        <f>'Startup-investering'!L$34</f>
        <v>0</v>
      </c>
      <c r="M24" s="333" t="n">
        <f>'Startup-investering'!M$34</f>
        <v>0</v>
      </c>
      <c r="N24" s="333" t="n">
        <f>'Startup-investering'!N$34</f>
        <v>0</v>
      </c>
      <c r="O24" s="333" t="n">
        <f>'Startup-investering'!O$34</f>
        <v>0</v>
      </c>
      <c r="P24" s="333" t="n">
        <f>'Startup-investering'!P$34</f>
        <v>0</v>
      </c>
      <c r="Q24" s="333" t="n">
        <f>'Startup-investering'!Q$34</f>
        <v>0</v>
      </c>
      <c r="R24" s="333" t="n">
        <f>'Startup-investering'!R$34</f>
        <v>0</v>
      </c>
      <c r="S24" s="333" t="n">
        <f>'Startup-investering'!S$34</f>
        <v>0</v>
      </c>
      <c r="T24" s="333" t="n">
        <f>'Startup-investering'!T$34</f>
        <v>0</v>
      </c>
      <c r="U24" s="333" t="n">
        <f>'Startup-investering'!U$34</f>
        <v>0</v>
      </c>
      <c r="V24" s="333" t="n">
        <f>'Startup-investering'!V$34</f>
        <v>0</v>
      </c>
      <c r="W24" s="333" t="n">
        <f>'Startup-investering'!W$34</f>
        <v>0</v>
      </c>
      <c r="X24" s="333" t="n">
        <f>'Startup-investering'!X$34</f>
        <v>0</v>
      </c>
      <c r="Y24" s="333" t="n">
        <f>'Startup-investering'!Y$34</f>
        <v>0</v>
      </c>
      <c r="Z24" s="334" t="n">
        <f>'Startup-investering'!Z$34</f>
        <v>0</v>
      </c>
    </row>
    <row r="25" ht="15" customHeight="true">
      <c r="A25" s="30" t="s">
        <v>235</v>
      </c>
      <c r="B25" s="84"/>
      <c r="C25" s="249" t="n">
        <f>C17</f>
        <v>0</v>
      </c>
      <c r="D25" s="249" t="n">
        <f>D17</f>
        <v>0</v>
      </c>
      <c r="E25" s="249" t="n">
        <f>E17</f>
        <v>0</v>
      </c>
      <c r="F25" s="249" t="n">
        <f>F17</f>
        <v>0</v>
      </c>
      <c r="G25" s="249" t="n">
        <f>G17</f>
        <v>0</v>
      </c>
      <c r="H25" s="249" t="n">
        <f>H17</f>
        <v>0</v>
      </c>
      <c r="I25" s="249" t="n">
        <f>I17</f>
        <v>0</v>
      </c>
      <c r="J25" s="249" t="n">
        <f>J17</f>
        <v>0</v>
      </c>
      <c r="K25" s="249" t="n">
        <f>K17</f>
        <v>0</v>
      </c>
      <c r="L25" s="249" t="n">
        <f>L17</f>
        <v>0</v>
      </c>
      <c r="M25" s="249" t="n">
        <f>M17</f>
        <v>0</v>
      </c>
      <c r="N25" s="249" t="n">
        <f>N17</f>
        <v>0</v>
      </c>
      <c r="O25" s="249" t="n">
        <f>O17</f>
        <v>0</v>
      </c>
      <c r="P25" s="249" t="n">
        <f>P17</f>
        <v>0</v>
      </c>
      <c r="Q25" s="249" t="n">
        <f>Q17</f>
        <v>0</v>
      </c>
      <c r="R25" s="249" t="n">
        <f>R17</f>
        <v>0</v>
      </c>
      <c r="S25" s="249" t="n">
        <f>S17</f>
        <v>0</v>
      </c>
      <c r="T25" s="249" t="n">
        <f>T17</f>
        <v>0</v>
      </c>
      <c r="U25" s="249" t="n">
        <f>U17</f>
        <v>0</v>
      </c>
      <c r="V25" s="249" t="n">
        <f>V17</f>
        <v>0</v>
      </c>
      <c r="W25" s="249" t="n">
        <f>W17</f>
        <v>0</v>
      </c>
      <c r="X25" s="249" t="n">
        <f>X17</f>
        <v>0</v>
      </c>
      <c r="Y25" s="249" t="n">
        <f>Y17</f>
        <v>0</v>
      </c>
      <c r="Z25" s="250" t="n">
        <f>Z17</f>
        <v>0</v>
      </c>
    </row>
    <row r="26" ht="15" customHeight="true">
      <c r="A26" s="235" t="s">
        <v>236</v>
      </c>
      <c r="B26" s="236"/>
      <c r="C26" s="251" t="n">
        <f>C21-C23-C24-C25</f>
        <v>-700000</v>
      </c>
      <c r="D26" s="251" t="n">
        <f>D21-D23-D24-D25</f>
        <v>-333506</v>
      </c>
      <c r="E26" s="251" t="n">
        <f>E21-E23-E24-E25</f>
        <v>-267861.401</v>
      </c>
      <c r="F26" s="251" t="n">
        <f>F21-F23-F24-F25</f>
        <v>-261975.50624</v>
      </c>
      <c r="G26" s="251" t="n">
        <f>G21-G23-G24-G25</f>
        <v>-255840.35726929994</v>
      </c>
      <c r="H26" s="251" t="n">
        <f>H21-H23-H24-H25</f>
        <v>-249447.74968789998</v>
      </c>
      <c r="I26" s="251" t="n">
        <f>I21-I23-I24-I25</f>
        <v>-242789.22569606325</v>
      </c>
      <c r="J26" s="251" t="n">
        <f>J21-J23-J24-J25</f>
        <v>-285196.06641964667</v>
      </c>
      <c r="K26" s="251" t="n">
        <f>K21-K23-K24-K25</f>
        <v>-277979.2840044644</v>
      </c>
      <c r="L26" s="251" t="n">
        <f>L21-L23-L24-L25</f>
        <v>-270469.61347274913</v>
      </c>
      <c r="M26" s="251" t="n">
        <f>M21-M23-M24-M25</f>
        <v>-262657.5043345639</v>
      </c>
      <c r="N26" s="251" t="n">
        <f>N21-N23-N24-N25</f>
        <v>-254533.11194680945</v>
      </c>
      <c r="O26" s="251" t="n">
        <f>O21-O23-O24-O25</f>
        <v>-246086.28861224436</v>
      </c>
      <c r="P26" s="251" t="n">
        <f>P21-P23-P24-P25</f>
        <v>-303685.77441071277</v>
      </c>
      <c r="Q26" s="251" t="n">
        <f>Q21-Q23-Q24-Q25</f>
        <v>-294562.3877545361</v>
      </c>
      <c r="R26" s="251" t="n">
        <f>R21-R23-R24-R25</f>
        <v>-285084.21565978933</v>
      </c>
      <c r="S26" s="251" t="n">
        <f>S21-S23-S24-S25</f>
        <v>-275239.80372492597</v>
      </c>
      <c r="T26" s="251" t="n">
        <f>T21-T23-T24-T25</f>
        <v>-265017.3458079705</v>
      </c>
      <c r="U26" s="251" t="n">
        <f>U21-U23-U24-U25</f>
        <v>-254404.67339321924</v>
      </c>
      <c r="V26" s="251" t="n">
        <f>V21-V23-V24-V25</f>
        <v>-295421.24463813566</v>
      </c>
      <c r="W26" s="251" t="n">
        <f>W21-W23-W24-W25</f>
        <v>-283990.1330908304</v>
      </c>
      <c r="X26" s="251" t="n">
        <f>X21-X23-X24-X25</f>
        <v>-272130.0160682417</v>
      </c>
      <c r="Y26" s="251" t="n">
        <f>Y21-Y23-Y24-Y25</f>
        <v>-259827.16268482234</v>
      </c>
      <c r="Z26" s="252" t="n">
        <f>Z21-Z23-Z24-Z25</f>
        <v>-247067.42152124562</v>
      </c>
    </row>
    <row r="27" ht="15" customHeight="true">
      <c r="A27" s="235" t="s">
        <v>29</v>
      </c>
      <c r="B27" s="236"/>
      <c r="C27" s="251" t="n">
        <f>'Inputantagelser'!$B$11+C26</f>
        <v>2300000</v>
      </c>
      <c r="D27" s="251" t="n">
        <f>C27+D26</f>
        <v>1966494</v>
      </c>
      <c r="E27" s="251" t="n">
        <f>D27+E26</f>
        <v>1698632.599</v>
      </c>
      <c r="F27" s="251" t="n">
        <f>E27+F26</f>
        <v>1436657.09276</v>
      </c>
      <c r="G27" s="251" t="n">
        <f>F27+G26</f>
        <v>1180816.7354907</v>
      </c>
      <c r="H27" s="251" t="n">
        <f>G27+H26</f>
        <v>931368.9858028</v>
      </c>
      <c r="I27" s="251" t="n">
        <f>H27+I26</f>
        <v>688579.7601067368</v>
      </c>
      <c r="J27" s="251" t="n">
        <f>I27+J26</f>
        <v>403383.6936870901</v>
      </c>
      <c r="K27" s="251" t="n">
        <f>J27+K26</f>
        <v>125404.40968262573</v>
      </c>
      <c r="L27" s="251" t="n">
        <f>K27+L26</f>
        <v>-145065.2037901234</v>
      </c>
      <c r="M27" s="251" t="n">
        <f>L27+M26</f>
        <v>-407722.7081246873</v>
      </c>
      <c r="N27" s="251" t="n">
        <f>M27+N26</f>
        <v>-662255.8200714968</v>
      </c>
      <c r="O27" s="251" t="n">
        <f>N27+O26</f>
        <v>-908342.1086837412</v>
      </c>
      <c r="P27" s="251" t="n">
        <f>O27+P26</f>
        <v>-1212027.883094454</v>
      </c>
      <c r="Q27" s="251" t="n">
        <f>P27+Q26</f>
        <v>-1506590.27084899</v>
      </c>
      <c r="R27" s="251" t="n">
        <f>Q27+R26</f>
        <v>-1791674.4865087792</v>
      </c>
      <c r="S27" s="251" t="n">
        <f>R27+S26</f>
        <v>-2066914.2902337052</v>
      </c>
      <c r="T27" s="251" t="n">
        <f>S27+T26</f>
        <v>-2331931.6360416757</v>
      </c>
      <c r="U27" s="251" t="n">
        <f>T27+U26</f>
        <v>-2586336.309434895</v>
      </c>
      <c r="V27" s="251" t="n">
        <f>U27+V26</f>
        <v>-2881757.5540730306</v>
      </c>
      <c r="W27" s="251" t="n">
        <f>V27+W26</f>
        <v>-3165747.687163861</v>
      </c>
      <c r="X27" s="251" t="n">
        <f>W27+X26</f>
        <v>-3437877.7032321026</v>
      </c>
      <c r="Y27" s="251" t="n">
        <f>X27+Y26</f>
        <v>-3697704.865916925</v>
      </c>
      <c r="Z27" s="252" t="n">
        <f>Y27+Z26</f>
        <v>-3944772.2874381705</v>
      </c>
    </row>
    <row r="28" ht="15" customHeight="true">
      <c r="A28" s="235" t="s">
        <v>237</v>
      </c>
      <c r="B28" s="236"/>
      <c r="C28" s="236" t="str">
        <f>IF(C27&lt;0,"Utilstrækkelige midler",IF(C27&lt;'Inputantagelser'!$B$15,"Under advarsel","Normal"))</f>
        <v>Normal</v>
      </c>
      <c r="D28" s="236" t="str">
        <f>IF(D27&lt;0,"Utilstrækkelige midler",IF(D27&lt;'Inputantagelser'!$B$15,"Under advarsel","Normal"))</f>
        <v>Normal</v>
      </c>
      <c r="E28" s="236" t="str">
        <f>IF(E27&lt;0,"Utilstrækkelige midler",IF(E27&lt;'Inputantagelser'!$B$15,"Under advarsel","Normal"))</f>
        <v>Normal</v>
      </c>
      <c r="F28" s="236" t="str">
        <f>IF(F27&lt;0,"Utilstrækkelige midler",IF(F27&lt;'Inputantagelser'!$B$15,"Under advarsel","Normal"))</f>
        <v>Normal</v>
      </c>
      <c r="G28" s="236" t="str">
        <f>IF(G27&lt;0,"Utilstrækkelige midler",IF(G27&lt;'Inputantagelser'!$B$15,"Under advarsel","Normal"))</f>
        <v>Normal</v>
      </c>
      <c r="H28" s="236" t="str">
        <f>IF(H27&lt;0,"Utilstrækkelige midler",IF(H27&lt;'Inputantagelser'!$B$15,"Under advarsel","Normal"))</f>
        <v>Normal</v>
      </c>
      <c r="I28" s="236" t="str">
        <f>IF(I27&lt;0,"Utilstrækkelige midler",IF(I27&lt;'Inputantagelser'!$B$15,"Under advarsel","Normal"))</f>
        <v>Normal</v>
      </c>
      <c r="J28" s="236" t="str">
        <f>IF(J27&lt;0,"Utilstrækkelige midler",IF(J27&lt;'Inputantagelser'!$B$15,"Under advarsel","Normal"))</f>
        <v>Normal</v>
      </c>
      <c r="K28" s="236" t="str">
        <f>IF(K27&lt;0,"Utilstrækkelige midler",IF(K27&lt;'Inputantagelser'!$B$15,"Under advarsel","Normal"))</f>
        <v>Normal</v>
      </c>
      <c r="L28" s="236" t="str">
        <f>IF(L27&lt;0,"Utilstrækkelige midler",IF(L27&lt;'Inputantagelser'!$B$15,"Under advarsel","Normal"))</f>
        <v>Utilstrækkelige midler</v>
      </c>
      <c r="M28" s="236" t="str">
        <f>IF(M27&lt;0,"Utilstrækkelige midler",IF(M27&lt;'Inputantagelser'!$B$15,"Under advarsel","Normal"))</f>
        <v>Utilstrækkelige midler</v>
      </c>
      <c r="N28" s="236" t="str">
        <f>IF(N27&lt;0,"Utilstrækkelige midler",IF(N27&lt;'Inputantagelser'!$B$15,"Under advarsel","Normal"))</f>
        <v>Utilstrækkelige midler</v>
      </c>
      <c r="O28" s="236" t="str">
        <f>IF(O27&lt;0,"Utilstrækkelige midler",IF(O27&lt;'Inputantagelser'!$B$15,"Under advarsel","Normal"))</f>
        <v>Utilstrækkelige midler</v>
      </c>
      <c r="P28" s="236" t="str">
        <f>IF(P27&lt;0,"Utilstrækkelige midler",IF(P27&lt;'Inputantagelser'!$B$15,"Under advarsel","Normal"))</f>
        <v>Utilstrækkelige midler</v>
      </c>
      <c r="Q28" s="236" t="str">
        <f>IF(Q27&lt;0,"Utilstrækkelige midler",IF(Q27&lt;'Inputantagelser'!$B$15,"Under advarsel","Normal"))</f>
        <v>Utilstrækkelige midler</v>
      </c>
      <c r="R28" s="236" t="str">
        <f>IF(R27&lt;0,"Utilstrækkelige midler",IF(R27&lt;'Inputantagelser'!$B$15,"Under advarsel","Normal"))</f>
        <v>Utilstrækkelige midler</v>
      </c>
      <c r="S28" s="236" t="str">
        <f>IF(S27&lt;0,"Utilstrækkelige midler",IF(S27&lt;'Inputantagelser'!$B$15,"Under advarsel","Normal"))</f>
        <v>Utilstrækkelige midler</v>
      </c>
      <c r="T28" s="236" t="str">
        <f>IF(T27&lt;0,"Utilstrækkelige midler",IF(T27&lt;'Inputantagelser'!$B$15,"Under advarsel","Normal"))</f>
        <v>Utilstrækkelige midler</v>
      </c>
      <c r="U28" s="236" t="str">
        <f>IF(U27&lt;0,"Utilstrækkelige midler",IF(U27&lt;'Inputantagelser'!$B$15,"Under advarsel","Normal"))</f>
        <v>Utilstrækkelige midler</v>
      </c>
      <c r="V28" s="236" t="str">
        <f>IF(V27&lt;0,"Utilstrækkelige midler",IF(V27&lt;'Inputantagelser'!$B$15,"Under advarsel","Normal"))</f>
        <v>Utilstrækkelige midler</v>
      </c>
      <c r="W28" s="236" t="str">
        <f>IF(W27&lt;0,"Utilstrækkelige midler",IF(W27&lt;'Inputantagelser'!$B$15,"Under advarsel","Normal"))</f>
        <v>Utilstrækkelige midler</v>
      </c>
      <c r="X28" s="236" t="str">
        <f>IF(X27&lt;0,"Utilstrækkelige midler",IF(X27&lt;'Inputantagelser'!$B$15,"Under advarsel","Normal"))</f>
        <v>Utilstrækkelige midler</v>
      </c>
      <c r="Y28" s="236" t="str">
        <f>IF(Y27&lt;0,"Utilstrækkelige midler",IF(Y27&lt;'Inputantagelser'!$B$15,"Under advarsel","Normal"))</f>
        <v>Utilstrækkelige midler</v>
      </c>
      <c r="Z28" s="237" t="str">
        <f>IF(Z27&lt;0,"Utilstrækkelige midler",IF(Z27&lt;'Inputantagelser'!$B$15,"Under advarsel","Normal"))</f>
        <v>Utilstrækkelige midler</v>
      </c>
    </row>
    <row r="29" ht="15" customHeight="true">
      <c r="A29" s="30"/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31"/>
    </row>
    <row r="30" ht="15" customHeight="true">
      <c r="A30" s="30" t="s">
        <v>238</v>
      </c>
      <c r="B30" s="84"/>
      <c r="C30" s="84" t="str">
        <f>IF(C18&gt;=0,"Resultat","Tab")</f>
        <v>Tab</v>
      </c>
      <c r="D30" s="84" t="str">
        <f>IF(D18&gt;=0,"Resultat","Tab")</f>
        <v>Tab</v>
      </c>
      <c r="E30" s="84" t="str">
        <f>IF(E18&gt;=0,"Resultat","Tab")</f>
        <v>Tab</v>
      </c>
      <c r="F30" s="84" t="str">
        <f>IF(F18&gt;=0,"Resultat","Tab")</f>
        <v>Tab</v>
      </c>
      <c r="G30" s="84" t="str">
        <f>IF(G18&gt;=0,"Resultat","Tab")</f>
        <v>Tab</v>
      </c>
      <c r="H30" s="84" t="str">
        <f>IF(H18&gt;=0,"Resultat","Tab")</f>
        <v>Tab</v>
      </c>
      <c r="I30" s="84" t="str">
        <f>IF(I18&gt;=0,"Resultat","Tab")</f>
        <v>Tab</v>
      </c>
      <c r="J30" s="84" t="str">
        <f>IF(J18&gt;=0,"Resultat","Tab")</f>
        <v>Tab</v>
      </c>
      <c r="K30" s="84" t="str">
        <f>IF(K18&gt;=0,"Resultat","Tab")</f>
        <v>Tab</v>
      </c>
      <c r="L30" s="84" t="str">
        <f>IF(L18&gt;=0,"Resultat","Tab")</f>
        <v>Tab</v>
      </c>
      <c r="M30" s="84" t="str">
        <f>IF(M18&gt;=0,"Resultat","Tab")</f>
        <v>Tab</v>
      </c>
      <c r="N30" s="84" t="str">
        <f>IF(N18&gt;=0,"Resultat","Tab")</f>
        <v>Tab</v>
      </c>
      <c r="O30" s="84" t="str">
        <f>IF(O18&gt;=0,"Resultat","Tab")</f>
        <v>Tab</v>
      </c>
      <c r="P30" s="84" t="str">
        <f>IF(P18&gt;=0,"Resultat","Tab")</f>
        <v>Tab</v>
      </c>
      <c r="Q30" s="84" t="str">
        <f>IF(Q18&gt;=0,"Resultat","Tab")</f>
        <v>Tab</v>
      </c>
      <c r="R30" s="84" t="str">
        <f>IF(R18&gt;=0,"Resultat","Tab")</f>
        <v>Tab</v>
      </c>
      <c r="S30" s="84" t="str">
        <f>IF(S18&gt;=0,"Resultat","Tab")</f>
        <v>Tab</v>
      </c>
      <c r="T30" s="84" t="str">
        <f>IF(T18&gt;=0,"Resultat","Tab")</f>
        <v>Tab</v>
      </c>
      <c r="U30" s="84" t="str">
        <f>IF(U18&gt;=0,"Resultat","Tab")</f>
        <v>Tab</v>
      </c>
      <c r="V30" s="84" t="str">
        <f>IF(V18&gt;=0,"Resultat","Tab")</f>
        <v>Tab</v>
      </c>
      <c r="W30" s="84" t="str">
        <f>IF(W18&gt;=0,"Resultat","Tab")</f>
        <v>Tab</v>
      </c>
      <c r="X30" s="84" t="str">
        <f>IF(X18&gt;=0,"Resultat","Tab")</f>
        <v>Tab</v>
      </c>
      <c r="Y30" s="84" t="str">
        <f>IF(Y18&gt;=0,"Resultat","Tab")</f>
        <v>Tab</v>
      </c>
      <c r="Z30" s="31" t="str">
        <f>IF(Z18&gt;=0,"Resultat","Tab")</f>
        <v>Tab</v>
      </c>
    </row>
    <row r="31" ht="15" customHeight="true">
      <c r="A31" s="30"/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31"/>
    </row>
    <row r="32" ht="15" customHeight="true">
      <c r="A32" s="32" t="s">
        <v>41</v>
      </c>
      <c r="B32" s="85"/>
      <c r="C32" s="91" t="n">
        <v>0</v>
      </c>
      <c r="D32" s="91" t="n">
        <f>IFERROR(D7/C7-1,0)</f>
        <v>0.10294444444444428</v>
      </c>
      <c r="E32" s="91" t="n">
        <f>IFERROR(E7/D7-1,0)</f>
        <v>0.09679746134085532</v>
      </c>
      <c r="F32" s="91" t="n">
        <f>IFERROR(F7/E7-1,0)</f>
        <v>0.09151129842312566</v>
      </c>
      <c r="G32" s="91" t="n">
        <f>IFERROR(G7/F7-1,0)</f>
        <v>0.08691779049571835</v>
      </c>
      <c r="H32" s="91" t="n">
        <f>IFERROR(H7/G7-1,0)</f>
        <v>0.08288989554072601</v>
      </c>
      <c r="I32" s="91" t="n">
        <f>IFERROR(I7/H7-1,0)</f>
        <v>0.07932984850639824</v>
      </c>
      <c r="J32" s="91" t="n">
        <f>IFERROR(J7/I7-1,0)</f>
        <v>0.07616118701841579</v>
      </c>
      <c r="K32" s="91" t="n">
        <f>IFERROR(K7/J7-1,0)</f>
        <v>0.0733232488320561</v>
      </c>
      <c r="L32" s="91" t="n">
        <f>IFERROR(L7/K7-1,0)</f>
        <v>0.07076729109146829</v>
      </c>
      <c r="M32" s="91" t="n">
        <f>IFERROR(M7/L7-1,0)</f>
        <v>0.06845369983277294</v>
      </c>
      <c r="N32" s="91" t="n">
        <f>IFERROR(N7/M7-1,0)</f>
        <v>0.06634994837603148</v>
      </c>
      <c r="O32" s="91" t="n">
        <f>IFERROR(O7/N7-1,0)</f>
        <v>0.06442908016800986</v>
      </c>
      <c r="P32" s="91" t="n">
        <f>IFERROR(P7/O7-1,0)</f>
        <v>0.06266856535355214</v>
      </c>
      <c r="Q32" s="91" t="n">
        <f>IFERROR(Q7/P7-1,0)</f>
        <v>0.061049427905218945</v>
      </c>
      <c r="R32" s="91" t="n">
        <f>IFERROR(R7/Q7-1,0)</f>
        <v>0.059555571455501166</v>
      </c>
      <c r="S32" s="91" t="n">
        <f>IFERROR(S7/R7-1,0)</f>
        <v>0.058173252988561686</v>
      </c>
      <c r="T32" s="91" t="n">
        <f>IFERROR(T7/S7-1,0)</f>
        <v>0.056890667892127045</v>
      </c>
      <c r="U32" s="91" t="n">
        <f>IFERROR(U7/T7-1,0)</f>
        <v>0.05569761981645249</v>
      </c>
      <c r="V32" s="91" t="n">
        <f>IFERROR(V7/U7-1,0)</f>
        <v>0.05458525578482387</v>
      </c>
      <c r="W32" s="91" t="n">
        <f>IFERROR(W7/V7-1,0)</f>
        <v>0.05354585198917161</v>
      </c>
      <c r="X32" s="91" t="n">
        <f>IFERROR(X7/W7-1,0)</f>
        <v>0.05257263930579015</v>
      </c>
      <c r="Y32" s="91" t="n">
        <f>IFERROR(Y7/X7-1,0)</f>
        <v>0.05165966019588408</v>
      </c>
      <c r="Z32" s="327" t="n">
        <f>IFERROR(Z7/Y7-1,0)</f>
        <v>0.05080165059651365</v>
      </c>
    </row>
  </sheetData>
  <conditionalFormatting sqref="C18:Z18">
    <cfRule type="cellIs" dxfId="0" priority="1" operator="lessThan">
      <formula>0</formula>
    </cfRule>
  </conditionalFormatting>
  <conditionalFormatting sqref="C27:Z27">
    <cfRule type="expression" dxfId="1" priority="2">
      <formula>C27&lt;'Inputantagelser'!$B$15</formula>
    </cfRule>
  </conditionalFormatting>
  <conditionalFormatting sqref="C28:Z28">
    <cfRule type="containsText" dxfId="2" priority="3" operator="containsText" text="Utilstrækkelige midler">
      <formula>NOT(ISERROR(SEARCH("Utilstrækkelige midler",C28)))</formula>
    </cfRule>
    <cfRule type="containsText" dxfId="3" priority="4" operator="containsText" text="Under advarsel">
      <formula>NOT(ISERROR(SEARCH("Under advarsel",C28)))</formula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pageMargins left="0.7" right="0.7" top="0.75" bottom="0.75" header="0.3" footer="0.3"/>
</worksheet>
</file>

<file path=xl/worksheets/sheet9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showGridLines="false" workbookViewId="0"/>
  </sheetViews>
  <sheetFormatPr defaultRowHeight="15"/>
  <cols>
    <col customWidth="true" max="4" min="1" width="14"/>
    <col customWidth="true" max="5" min="5" width="4"/>
    <col customWidth="true" max="8" min="6" width="14"/>
    <col customWidth="true" max="9" min="9" width="4"/>
    <col customWidth="true" max="12" min="10" width="14"/>
  </cols>
  <sheetData>
    <row r="1" ht="19.53125" customHeight="true">
      <c r="A1" s="4" t="s">
        <v>239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" customHeight="true">
      <c r="A2" s="6" t="s">
        <v>240</v>
      </c>
    </row>
    <row r="3"/>
    <row r="4"/>
    <row r="5" ht="15" customHeight="true">
      <c r="A5" s="72" t="s">
        <v>241</v>
      </c>
      <c r="B5" s="73" t="s">
        <v>37</v>
      </c>
      <c r="C5" s="73" t="s">
        <v>38</v>
      </c>
      <c r="D5" s="74" t="s">
        <v>39</v>
      </c>
    </row>
    <row r="6" ht="15" customHeight="true">
      <c r="A6" s="28" t="s">
        <v>41</v>
      </c>
      <c r="B6" s="403" t="n">
        <f>'Inputantagelser'!E6</f>
        <v>0.04</v>
      </c>
      <c r="C6" s="403" t="n">
        <f>'Inputantagelser'!F6</f>
        <v>0.08</v>
      </c>
      <c r="D6" s="404" t="n">
        <f>'Inputantagelser'!G6</f>
        <v>0.12</v>
      </c>
    </row>
    <row r="7" ht="15" customHeight="true">
      <c r="A7" s="30" t="s">
        <v>44</v>
      </c>
      <c r="B7" s="405" t="n">
        <f>'Inputantagelser'!E7</f>
        <v>0.08</v>
      </c>
      <c r="C7" s="405" t="n">
        <f>'Inputantagelser'!F7</f>
        <v>0.05</v>
      </c>
      <c r="D7" s="406" t="n">
        <f>'Inputantagelser'!G7</f>
        <v>0.03</v>
      </c>
    </row>
    <row r="8" ht="15" customHeight="true">
      <c r="A8" s="30" t="s">
        <v>46</v>
      </c>
      <c r="B8" s="405" t="n">
        <f>'Inputantagelser'!E8</f>
        <v>0.45</v>
      </c>
      <c r="C8" s="405" t="n">
        <f>'Inputantagelser'!F8</f>
        <v>0.6</v>
      </c>
      <c r="D8" s="406" t="n">
        <f>'Inputantagelser'!G8</f>
        <v>0.7</v>
      </c>
    </row>
    <row r="9" ht="15" customHeight="true">
      <c r="A9" s="30" t="s">
        <v>48</v>
      </c>
      <c r="B9" s="405" t="n">
        <f>'Inputantagelser'!E9</f>
        <v>0.18</v>
      </c>
      <c r="C9" s="405" t="n">
        <f>'Inputantagelser'!F9</f>
        <v>0.15</v>
      </c>
      <c r="D9" s="406" t="n">
        <f>'Inputantagelser'!G9</f>
        <v>0.12</v>
      </c>
    </row>
    <row r="10" ht="15" customHeight="true">
      <c r="A10" s="30" t="s">
        <v>52</v>
      </c>
      <c r="B10" s="405" t="n">
        <f>'Inputantagelser'!E10</f>
        <v>0.015</v>
      </c>
      <c r="C10" s="405" t="n">
        <f>'Inputantagelser'!F10</f>
        <v>0.01</v>
      </c>
      <c r="D10" s="406" t="n">
        <f>'Inputantagelser'!G10</f>
        <v>0.007</v>
      </c>
    </row>
    <row r="11" ht="15" customHeight="true">
      <c r="A11" s="30" t="s">
        <v>55</v>
      </c>
      <c r="B11" s="405" t="n">
        <f>'Inputantagelser'!E11</f>
        <v>0.7</v>
      </c>
      <c r="C11" s="405" t="n">
        <f>'Inputantagelser'!F11</f>
        <v>1</v>
      </c>
      <c r="D11" s="406" t="n">
        <f>'Inputantagelser'!G11</f>
        <v>1.3</v>
      </c>
    </row>
    <row r="12" ht="15" customHeight="true">
      <c r="A12" s="30" t="s">
        <v>58</v>
      </c>
      <c r="B12" s="405" t="n">
        <f>'Inputantagelser'!E12</f>
        <v>0</v>
      </c>
      <c r="C12" s="405" t="n">
        <f>'Inputantagelser'!F12</f>
        <v>0.01</v>
      </c>
      <c r="D12" s="406" t="n">
        <f>'Inputantagelser'!G12</f>
        <v>0.02</v>
      </c>
    </row>
    <row r="13" ht="15" customHeight="true">
      <c r="A13" s="32" t="s">
        <v>61</v>
      </c>
      <c r="B13" s="407" t="n">
        <f>'Inputantagelser'!E13</f>
        <v>0.03</v>
      </c>
      <c r="C13" s="407" t="n">
        <f>'Inputantagelser'!F13</f>
        <v>0.015</v>
      </c>
      <c r="D13" s="408" t="n">
        <f>'Inputantagelser'!G13</f>
        <v>0.005</v>
      </c>
    </row>
    <row r="14"/>
    <row r="15"/>
    <row r="16" ht="15" customHeight="true">
      <c r="A16" s="72" t="s">
        <v>25</v>
      </c>
      <c r="B16" s="73" t="s">
        <v>242</v>
      </c>
      <c r="C16" s="73" t="s">
        <v>243</v>
      </c>
      <c r="D16" s="74" t="s">
        <v>244</v>
      </c>
      <c r="F16" s="72" t="s">
        <v>245</v>
      </c>
      <c r="G16" s="73" t="s">
        <v>246</v>
      </c>
      <c r="H16" s="74" t="s">
        <v>247</v>
      </c>
      <c r="J16" s="72" t="s">
        <v>248</v>
      </c>
      <c r="K16" s="73" t="s">
        <v>249</v>
      </c>
      <c r="L16" s="74" t="s">
        <v>250</v>
      </c>
    </row>
    <row r="17" ht="15" customHeight="true">
      <c r="A17" s="28" t="n">
        <v>1</v>
      </c>
      <c r="B17" s="247" t="n">
        <f>'Omsætningsopsætning'!$D$14</f>
        <v>180000</v>
      </c>
      <c r="C17" s="247" t="n">
        <f>'Omsætningsopsætning'!$D$14</f>
        <v>180000</v>
      </c>
      <c r="D17" s="248" t="n">
        <f>'Omsætningsopsætning'!$D$14</f>
        <v>180000</v>
      </c>
      <c r="F17" s="415" t="n">
        <f>IF((B17*(1-B$13)*B$8)-('Bemanding og kompensation'!$J$13*(1+0.02*B$11)^($A17-1))-('Omkostningsopsætning'!$D$18*(1+B$10)^($A17-1))-(B17*(1-B$13)*('Omkostningsopsætning'!$E$18+B$9))&gt;0,(B17*(1-B$13)*B$8)-('Bemanding og kompensation'!$J$13*(1+0.02*B$11)^($A17-1))-('Omkostningsopsætning'!$D$18*(1+B$10)^($A17-1))-(B17*(1-B$13)*('Omkostningsopsætning'!$E$18+B$9))*(1-'Inputantagelser'!$B$12),(B17*(1-B$13)*B$8)-('Bemanding og kompensation'!$J$13*(1+0.02*B$11)^($A17-1))-('Omkostningsopsætning'!$D$18*(1+B$10)^($A17-1))-(B17*(1-B$13)*('Omkostningsopsætning'!$E$18+B$9)))</f>
        <v>-304880</v>
      </c>
      <c r="G17" s="247" t="n">
        <f>IF((C17*(1-C$13)*C$8)-('Bemanding og kompensation'!$J$13*(1+0.02*C$11)^($A17-1))-('Omkostningsopsætning'!$D$18*(1+C$10)^($A17-1))-(C17*(1-C$13)*('Omkostningsopsætning'!$E$18+C$9))&gt;0,(C17*(1-C$13)*C$8)-('Bemanding og kompensation'!$J$13*(1+0.02*C$11)^($A17-1))-('Omkostningsopsætning'!$D$18*(1+C$10)^($A17-1))-(C17*(1-C$13)*('Omkostningsopsætning'!$E$18+C$9))*(1-'Inputantagelser'!$B$12),(C17*(1-C$13)*C$8)-('Bemanding og kompensation'!$J$13*(1+0.02*C$11)^($A17-1))-('Omkostningsopsætning'!$D$18*(1+C$10)^($A17-1))-(C17*(1-C$13)*('Omkostningsopsætning'!$E$18+C$9)))</f>
        <v>-272426</v>
      </c>
      <c r="H17" s="248" t="n">
        <f>IF((D17*(1-D$13)*D$8)-('Bemanding og kompensation'!$J$13*(1+0.02*D$11)^($A17-1))-('Omkostningsopsætning'!$D$18*(1+D$10)^($A17-1))-(D17*(1-D$13)*('Omkostningsopsætning'!$E$18+D$9))&gt;0,(D17*(1-D$13)*D$8)-('Bemanding og kompensation'!$J$13*(1+0.02*D$11)^($A17-1))-('Omkostningsopsætning'!$D$18*(1+D$10)^($A17-1))-(D17*(1-D$13)*('Omkostningsopsætning'!$E$18+D$9))*(1-'Inputantagelser'!$B$12),(D17*(1-D$13)*D$8)-('Bemanding og kompensation'!$J$13*(1+0.02*D$11)^($A17-1))-('Omkostningsopsætning'!$D$18*(1+D$10)^($A17-1))-(D17*(1-D$13)*('Omkostningsopsætning'!$E$18+D$9)))</f>
        <v>-248459</v>
      </c>
      <c r="J17" s="415" t="n">
        <f>'Inputantagelser'!$B$11+F17-INDEX('Startup-investering'!$C$34:$Z$34,1,$A17)</f>
        <v>1995120</v>
      </c>
      <c r="K17" s="247" t="n">
        <f>'Inputantagelser'!$B$11+G17-INDEX('Startup-investering'!$C$34:$Z$34,1,$A17)</f>
        <v>2027574</v>
      </c>
      <c r="L17" s="248" t="n">
        <f>'Inputantagelser'!$B$11+H17-INDEX('Startup-investering'!$C$34:$Z$34,1,$A17)</f>
        <v>2051541</v>
      </c>
    </row>
    <row r="18" ht="15" customHeight="true">
      <c r="A18" s="30" t="n">
        <v>2</v>
      </c>
      <c r="B18" s="249" t="n">
        <f>B17*(1+B$6-B$7)+'Omsætningsopsætning'!$L$14*(1+B$12)^($A18-1)</f>
        <v>185800</v>
      </c>
      <c r="C18" s="249" t="n">
        <f>C17*(1+C$6-C$7)+'Omsætningsopsætning'!$L$14*(1+C$12)^($A18-1)</f>
        <v>198530</v>
      </c>
      <c r="D18" s="250" t="n">
        <f>D17*(1+D$6-D$7)+'Omsætningsopsætning'!$L$14*(1+D$12)^($A18-1)</f>
        <v>209460</v>
      </c>
      <c r="F18" s="416" t="n">
        <f>IF((B18*(1-B$13)*B$8)-('Bemanding og kompensation'!$J$13*(1+0.02*B$11)^($A18-1))-('Omkostningsopsætning'!$D$18*(1+B$10)^($A18-1))-(B18*(1-B$13)*('Omkostningsopsætning'!$E$18+B$9))&gt;0,(B18*(1-B$13)*B$8)-('Bemanding og kompensation'!$J$13*(1+0.02*B$11)^($A18-1))-('Omkostningsopsætning'!$D$18*(1+B$10)^($A18-1))-(B18*(1-B$13)*('Omkostningsopsætning'!$E$18+B$9))*(1-'Inputantagelser'!$B$12),(B18*(1-B$13)*B$8)-('Bemanding og kompensation'!$J$13*(1+0.02*B$11)^($A18-1))-('Omkostningsopsætning'!$D$18*(1+B$10)^($A18-1))-(B18*(1-B$13)*('Omkostningsopsætning'!$E$18+B$9)))</f>
        <v>-308630</v>
      </c>
      <c r="G18" s="249" t="n">
        <f>IF((C18*(1-C$13)*C$8)-('Bemanding og kompensation'!$J$13*(1+0.02*C$11)^($A18-1))-('Omkostningsopsætning'!$D$18*(1+C$10)^($A18-1))-(C18*(1-C$13)*('Omkostningsopsætning'!$E$18+C$9))&gt;0,(C18*(1-C$13)*C$8)-('Bemanding og kompensation'!$J$13*(1+0.02*C$11)^($A18-1))-('Omkostningsopsætning'!$D$18*(1+C$10)^($A18-1))-(C18*(1-C$13)*('Omkostningsopsætning'!$E$18+C$9))*(1-'Inputantagelser'!$B$12),(C18*(1-C$13)*C$8)-('Bemanding og kompensation'!$J$13*(1+0.02*C$11)^($A18-1))-('Omkostningsopsætning'!$D$18*(1+C$10)^($A18-1))-(C18*(1-C$13)*('Omkostningsopsætning'!$E$18+C$9)))</f>
        <v>-271106.221</v>
      </c>
      <c r="H18" s="250" t="n">
        <f>IF((D18*(1-D$13)*D$8)-('Bemanding og kompensation'!$J$13*(1+0.02*D$11)^($A18-1))-('Omkostningsopsætning'!$D$18*(1+D$10)^($A18-1))-(D18*(1-D$13)*('Omkostningsopsætning'!$E$18+D$9))&gt;0,(D18*(1-D$13)*D$8)-('Bemanding og kompensation'!$J$13*(1+0.02*D$11)^($A18-1))-('Omkostningsopsætning'!$D$18*(1+D$10)^($A18-1))-(D18*(1-D$13)*('Omkostningsopsætning'!$E$18+D$9))*(1-'Inputantagelser'!$B$12),(D18*(1-D$13)*D$8)-('Bemanding og kompensation'!$J$13*(1+0.02*D$11)^($A18-1))-('Omkostningsopsætning'!$D$18*(1+D$10)^($A18-1))-(D18*(1-D$13)*('Omkostningsopsætning'!$E$18+D$9)))</f>
        <v>-240102.32300000003</v>
      </c>
      <c r="J18" s="416" t="n">
        <f>J17+F18-INDEX('Startup-investering'!$C$34:$Z$34,1,$A18)</f>
        <v>1626490</v>
      </c>
      <c r="K18" s="249" t="n">
        <f>K17+G18-INDEX('Startup-investering'!$C$34:$Z$34,1,$A18)</f>
        <v>1696467.779</v>
      </c>
      <c r="L18" s="250" t="n">
        <f>L17+H18-INDEX('Startup-investering'!$C$34:$Z$34,1,$A18)</f>
        <v>1751438.677</v>
      </c>
    </row>
    <row r="19" ht="15" customHeight="true">
      <c r="A19" s="30" t="n">
        <v>3</v>
      </c>
      <c r="B19" s="249" t="n">
        <f>B18*(1+B$6-B$7)+'Omsætningsopsætning'!$L$14*(1+B$12)^($A19-1)</f>
        <v>191368</v>
      </c>
      <c r="C19" s="249" t="n">
        <f>C18*(1+C$6-C$7)+'Omsætningsopsætning'!$L$14*(1+C$12)^($A19-1)</f>
        <v>217747.19999999998</v>
      </c>
      <c r="D19" s="250" t="n">
        <f>D18*(1+D$6-D$7)+'Omsætningsopsætning'!$L$14*(1+D$12)^($A19-1)</f>
        <v>241836.60000000003</v>
      </c>
      <c r="F19" s="416" t="n">
        <f>IF((B19*(1-B$13)*B$8)-('Bemanding og kompensation'!$J$13*(1+0.02*B$11)^($A19-1))-('Omkostningsopsætning'!$D$18*(1+B$10)^($A19-1))-(B19*(1-B$13)*('Omkostningsopsætning'!$E$18+B$9))&gt;0,(B19*(1-B$13)*B$8)-('Bemanding og kompensation'!$J$13*(1+0.02*B$11)^($A19-1))-('Omkostningsopsætning'!$D$18*(1+B$10)^($A19-1))-(B19*(1-B$13)*('Omkostningsopsætning'!$E$18+B$9))*(1-'Inputantagelser'!$B$12),(B19*(1-B$13)*B$8)-('Bemanding og kompensation'!$J$13*(1+0.02*B$11)^($A19-1))-('Omkostningsopsætning'!$D$18*(1+B$10)^($A19-1))-(B19*(1-B$13)*('Omkostningsopsætning'!$E$18+B$9)))</f>
        <v>-312495.0308</v>
      </c>
      <c r="G19" s="249" t="n">
        <f>IF((C19*(1-C$13)*C$8)-('Bemanding og kompensation'!$J$13*(1+0.02*C$11)^($A19-1))-('Omkostningsopsætning'!$D$18*(1+C$10)^($A19-1))-(C19*(1-C$13)*('Omkostningsopsætning'!$E$18+C$9))&gt;0,(C19*(1-C$13)*C$8)-('Bemanding og kompensation'!$J$13*(1+0.02*C$11)^($A19-1))-('Omkostningsopsætning'!$D$18*(1+C$10)^($A19-1))-(C19*(1-C$13)*('Omkostningsopsætning'!$E$18+C$9))*(1-'Inputantagelser'!$B$12),(C19*(1-C$13)*C$8)-('Bemanding og kompensation'!$J$13*(1+0.02*C$11)^($A19-1))-('Omkostningsopsætning'!$D$18*(1+C$10)^($A19-1))-(C19*(1-C$13)*('Omkostningsopsætning'!$E$18+C$9)))</f>
        <v>-269629.74304000003</v>
      </c>
      <c r="H19" s="250" t="n">
        <f>IF((D19*(1-D$13)*D$8)-('Bemanding og kompensation'!$J$13*(1+0.02*D$11)^($A19-1))-('Omkostningsopsætning'!$D$18*(1+D$10)^($A19-1))-(D19*(1-D$13)*('Omkostningsopsætning'!$E$18+D$9))&gt;0,(D19*(1-D$13)*D$8)-('Bemanding og kompensation'!$J$13*(1+0.02*D$11)^($A19-1))-('Omkostningsopsætning'!$D$18*(1+D$10)^($A19-1))-(D19*(1-D$13)*('Omkostningsopsætning'!$E$18+D$9))*(1-'Inputantagelser'!$B$12),(D19*(1-D$13)*D$8)-('Bemanding og kompensation'!$J$13*(1+0.02*D$11)^($A19-1))-('Omkostningsopsætning'!$D$18*(1+D$10)^($A19-1))-(D19*(1-D$13)*('Omkostningsopsætning'!$E$18+D$9)))</f>
        <v>-230421.33612999995</v>
      </c>
      <c r="J19" s="416" t="n">
        <f>J18+F19-INDEX('Startup-investering'!$C$34:$Z$34,1,$A19)</f>
        <v>1313994.9692</v>
      </c>
      <c r="K19" s="249" t="n">
        <f>K18+G19-INDEX('Startup-investering'!$C$34:$Z$34,1,$A19)</f>
        <v>1426838.03596</v>
      </c>
      <c r="L19" s="250" t="n">
        <f>L18+H19-INDEX('Startup-investering'!$C$34:$Z$34,1,$A19)</f>
        <v>1521017.34087</v>
      </c>
    </row>
    <row r="20" ht="15" customHeight="true">
      <c r="A20" s="30" t="n">
        <v>4</v>
      </c>
      <c r="B20" s="249" t="n">
        <f>B19*(1+B$6-B$7)+'Omsætningsopsætning'!$L$14*(1+B$12)^($A20-1)</f>
        <v>196713.28000000003</v>
      </c>
      <c r="C20" s="249" t="n">
        <f>C19*(1+C$6-C$7)+'Omsætningsopsætning'!$L$14*(1+C$12)^($A20-1)</f>
        <v>237673.52899999998</v>
      </c>
      <c r="D20" s="250" t="n">
        <f>D19*(1+D$6-D$7)+'Omsætningsopsætning'!$L$14*(1+D$12)^($A20-1)</f>
        <v>277397.59800000006</v>
      </c>
      <c r="F20" s="416" t="n">
        <f>IF((B20*(1-B$13)*B$8)-('Bemanding og kompensation'!$J$13*(1+0.02*B$11)^($A20-1))-('Omkostningsopsætning'!$D$18*(1+B$10)^($A20-1))-(B20*(1-B$13)*('Omkostningsopsætning'!$E$18+B$9))&gt;0,(B20*(1-B$13)*B$8)-('Bemanding og kompensation'!$J$13*(1+0.02*B$11)^($A20-1))-('Omkostningsopsætning'!$D$18*(1+B$10)^($A20-1))-(B20*(1-B$13)*('Omkostningsopsætning'!$E$18+B$9))*(1-'Inputantagelser'!$B$12),(B20*(1-B$13)*B$8)-('Bemanding og kompensation'!$J$13*(1+0.02*B$11)^($A20-1))-('Omkostningsopsætning'!$D$18*(1+B$10)^($A20-1))-(B20*(1-B$13)*('Omkostningsopsætning'!$E$18+B$9)))</f>
        <v>-316474.29894919996</v>
      </c>
      <c r="G20" s="249" t="n">
        <f>IF((C20*(1-C$13)*C$8)-('Bemanding og kompensation'!$J$13*(1+0.02*C$11)^($A20-1))-('Omkostningsopsætning'!$D$18*(1+C$10)^($A20-1))-(C20*(1-C$13)*('Omkostningsopsætning'!$E$18+C$9))&gt;0,(C20*(1-C$13)*C$8)-('Bemanding og kompensation'!$J$13*(1+0.02*C$11)^($A20-1))-('Omkostningsopsætning'!$D$18*(1+C$10)^($A20-1))-(C20*(1-C$13)*('Omkostningsopsætning'!$E$18+C$9))*(1-'Inputantagelser'!$B$12),(C20*(1-C$13)*C$8)-('Bemanding og kompensation'!$J$13*(1+0.02*C$11)^($A20-1))-('Omkostningsopsætning'!$D$18*(1+C$10)^($A20-1))-(C20*(1-C$13)*('Omkostningsopsætning'!$E$18+C$9)))</f>
        <v>-267990.25049530005</v>
      </c>
      <c r="H20" s="250" t="n">
        <f>IF((D20*(1-D$13)*D$8)-('Bemanding og kompensation'!$J$13*(1+0.02*D$11)^($A20-1))-('Omkostningsopsætning'!$D$18*(1+D$10)^($A20-1))-(D20*(1-D$13)*('Omkostningsopsætning'!$E$18+D$9))&gt;0,(D20*(1-D$13)*D$8)-('Bemanding og kompensation'!$J$13*(1+0.02*D$11)^($A20-1))-('Omkostningsopsætning'!$D$18*(1+D$10)^($A20-1))-(D20*(1-D$13)*('Omkostningsopsætning'!$E$18+D$9))*(1-'Inputantagelser'!$B$12),(D20*(1-D$13)*D$8)-('Bemanding og kompensation'!$J$13*(1+0.02*D$11)^($A20-1))-('Omkostningsopsætning'!$D$18*(1+D$10)^($A20-1))-(D20*(1-D$13)*('Omkostningsopsætning'!$E$18+D$9)))</f>
        <v>-219284.08412569994</v>
      </c>
      <c r="J20" s="416" t="n">
        <f>J19+F20-INDEX('Startup-investering'!$C$34:$Z$34,1,$A20)</f>
        <v>997520.6702508</v>
      </c>
      <c r="K20" s="249" t="n">
        <f>K19+G20-INDEX('Startup-investering'!$C$34:$Z$34,1,$A20)</f>
        <v>1158847.7854646998</v>
      </c>
      <c r="L20" s="250" t="n">
        <f>L19+H20-INDEX('Startup-investering'!$C$34:$Z$34,1,$A20)</f>
        <v>1301733.2567443</v>
      </c>
    </row>
    <row r="21" ht="15" customHeight="true">
      <c r="A21" s="30" t="n">
        <v>5</v>
      </c>
      <c r="B21" s="249" t="n">
        <f>B20*(1+B$6-B$7)+'Omsætningsopsætning'!$L$14*(1+B$12)^($A21-1)</f>
        <v>201844.74880000003</v>
      </c>
      <c r="C21" s="249" t="n">
        <f>C20*(1+C$6-C$7)+'Omsætningsopsætning'!$L$14*(1+C$12)^($A21-1)</f>
        <v>258331.587</v>
      </c>
      <c r="D21" s="250" t="n">
        <f>D20*(1+D$6-D$7)+'Omsætningsopsætning'!$L$14*(1+D$12)^($A21-1)</f>
        <v>316434.99990000005</v>
      </c>
      <c r="F21" s="416" t="n">
        <f>IF((B21*(1-B$13)*B$8)-('Bemanding og kompensation'!$J$13*(1+0.02*B$11)^($A21-1))-('Omkostningsopsætning'!$D$18*(1+B$10)^($A21-1))-(B21*(1-B$13)*('Omkostningsopsætning'!$E$18+B$9))&gt;0,(B21*(1-B$13)*B$8)-('Bemanding og kompensation'!$J$13*(1+0.02*B$11)^($A21-1))-('Omkostningsopsætning'!$D$18*(1+B$10)^($A21-1))-(B21*(1-B$13)*('Omkostningsopsætning'!$E$18+B$9))*(1-'Inputantagelser'!$B$12),(B21*(1-B$13)*B$8)-('Bemanding og kompensation'!$J$13*(1+0.02*B$11)^($A21-1))-('Omkostningsopsætning'!$D$18*(1+B$10)^($A21-1))-(B21*(1-B$13)*('Omkostningsopsætning'!$E$18+B$9)))</f>
        <v>-320567.09750401875</v>
      </c>
      <c r="G21" s="249" t="n">
        <f>IF((C21*(1-C$13)*C$8)-('Bemanding og kompensation'!$J$13*(1+0.02*C$11)^($A21-1))-('Omkostningsopsætning'!$D$18*(1+C$10)^($A21-1))-(C21*(1-C$13)*('Omkostningsopsætning'!$E$18+C$9))&gt;0,(C21*(1-C$13)*C$8)-('Bemanding og kompensation'!$J$13*(1+0.02*C$11)^($A21-1))-('Omkostningsopsætning'!$D$18*(1+C$10)^($A21-1))-(C21*(1-C$13)*('Omkostningsopsætning'!$E$18+C$9))*(1-'Inputantagelser'!$B$12),(C21*(1-C$13)*C$8)-('Bemanding og kompensation'!$J$13*(1+0.02*C$11)^($A21-1))-('Omkostningsopsætning'!$D$18*(1+C$10)^($A21-1))-(C21*(1-C$13)*('Omkostningsopsætning'!$E$18+C$9)))</f>
        <v>-266181.2132539</v>
      </c>
      <c r="H21" s="250" t="n">
        <f>IF((D21*(1-D$13)*D$8)-('Bemanding og kompensation'!$J$13*(1+0.02*D$11)^($A21-1))-('Omkostningsopsætning'!$D$18*(1+D$10)^($A21-1))-(D21*(1-D$13)*('Omkostningsopsætning'!$E$18+D$9))&gt;0,(D21*(1-D$13)*D$8)-('Bemanding og kompensation'!$J$13*(1+0.02*D$11)^($A21-1))-('Omkostningsopsætning'!$D$18*(1+D$10)^($A21-1))-(D21*(1-D$13)*('Omkostningsopsætning'!$E$18+D$9))*(1-'Inputantagelser'!$B$12),(D21*(1-D$13)*D$8)-('Bemanding og kompensation'!$J$13*(1+0.02*D$11)^($A21-1))-('Omkostningsopsætning'!$D$18*(1+D$10)^($A21-1))-(D21*(1-D$13)*('Omkostningsopsætning'!$E$18+D$9)))</f>
        <v>-206546.42906453973</v>
      </c>
      <c r="J21" s="416" t="n">
        <f>J20+F21-INDEX('Startup-investering'!$C$34:$Z$34,1,$A21)</f>
        <v>676953.5727467812</v>
      </c>
      <c r="K21" s="249" t="n">
        <f>K20+G21-INDEX('Startup-investering'!$C$34:$Z$34,1,$A21)</f>
        <v>892666.5722107999</v>
      </c>
      <c r="L21" s="250" t="n">
        <f>L20+H21-INDEX('Startup-investering'!$C$34:$Z$34,1,$A21)</f>
        <v>1095186.8276797603</v>
      </c>
    </row>
    <row r="22" ht="15" customHeight="true">
      <c r="A22" s="30" t="n">
        <v>6</v>
      </c>
      <c r="B22" s="249" t="n">
        <f>B21*(1+B$6-B$7)+'Omsætningsopsætning'!$L$14*(1+B$12)^($A22-1)</f>
        <v>206770.95884800004</v>
      </c>
      <c r="C22" s="249" t="n">
        <f>C21*(1+C$6-C$7)+'Omsætningsopsætning'!$L$14*(1+C$12)^($A22-1)</f>
        <v>279744.66526130005</v>
      </c>
      <c r="D22" s="250" t="n">
        <f>D21*(1+D$6-D$7)+'Omsætningsopsætning'!$L$14*(1+D$12)^($A22-1)</f>
        <v>359267.20033260004</v>
      </c>
      <c r="F22" s="416" t="n">
        <f>IF((B22*(1-B$13)*B$8)-('Bemanding og kompensation'!$J$13*(1+0.02*B$11)^($A22-1))-('Omkostningsopsætning'!$D$18*(1+B$10)^($A22-1))-(B22*(1-B$13)*('Omkostningsopsætning'!$E$18+B$9))&gt;0,(B22*(1-B$13)*B$8)-('Bemanding og kompensation'!$J$13*(1+0.02*B$11)^($A22-1))-('Omkostningsopsætning'!$D$18*(1+B$10)^($A22-1))-(B22*(1-B$13)*('Omkostningsopsætning'!$E$18+B$9))*(1-'Inputantagelser'!$B$12),(B22*(1-B$13)*B$8)-('Bemanding og kompensation'!$J$13*(1+0.02*B$11)^($A22-1))-('Omkostningsopsætning'!$D$18*(1+B$10)^($A22-1))-(B22*(1-B$13)*('Omkostningsopsætning'!$E$18+B$9)))</f>
        <v>-324772.8033564776</v>
      </c>
      <c r="G22" s="249" t="n">
        <f>IF((C22*(1-C$13)*C$8)-('Bemanding og kompensation'!$J$13*(1+0.02*C$11)^($A22-1))-('Omkostningsopsætning'!$D$18*(1+C$10)^($A22-1))-(C22*(1-C$13)*('Omkostningsopsætning'!$E$18+C$9))&gt;0,(C22*(1-C$13)*C$8)-('Bemanding og kompensation'!$J$13*(1+0.02*C$11)^($A22-1))-('Omkostningsopsætning'!$D$18*(1+C$10)^($A22-1))-(C22*(1-C$13)*('Omkostningsopsætning'!$E$18+C$9))*(1-'Inputantagelser'!$B$12),(C22*(1-C$13)*C$8)-('Bemanding og kompensation'!$J$13*(1+0.02*C$11)^($A22-1))-('Omkostningsopsætning'!$D$18*(1+C$10)^($A22-1))-(C22*(1-C$13)*('Omkostningsopsætning'!$E$18+C$9)))</f>
        <v>-264195.87985425536</v>
      </c>
      <c r="H22" s="250" t="n">
        <f>IF((D22*(1-D$13)*D$8)-('Bemanding og kompensation'!$J$13*(1+0.02*D$11)^($A22-1))-('Omkostningsopsætning'!$D$18*(1+D$10)^($A22-1))-(D22*(1-D$13)*('Omkostningsopsætning'!$E$18+D$9))&gt;0,(D22*(1-D$13)*D$8)-('Bemanding og kompensation'!$J$13*(1+0.02*D$11)^($A22-1))-('Omkostningsopsætning'!$D$18*(1+D$10)^($A22-1))-(D22*(1-D$13)*('Omkostningsopsætning'!$E$18+D$9))*(1-'Inputantagelser'!$B$12),(D22*(1-D$13)*D$8)-('Bemanding og kompensation'!$J$13*(1+0.02*D$11)^($A22-1))-('Omkostningsopsætning'!$D$18*(1+D$10)^($A22-1))-(D22*(1-D$13)*('Omkostningsopsætning'!$E$18+D$9)))</f>
        <v>-192050.94633946853</v>
      </c>
      <c r="J22" s="416" t="n">
        <f>J21+F22-INDEX('Startup-investering'!$C$34:$Z$34,1,$A22)</f>
        <v>352180.7693903036</v>
      </c>
      <c r="K22" s="249" t="n">
        <f>K21+G22-INDEX('Startup-investering'!$C$34:$Z$34,1,$A22)</f>
        <v>628470.6923565445</v>
      </c>
      <c r="L22" s="250" t="n">
        <f>L21+H22-INDEX('Startup-investering'!$C$34:$Z$34,1,$A22)</f>
        <v>903135.8813402918</v>
      </c>
    </row>
    <row r="23" ht="15" customHeight="true">
      <c r="A23" s="30" t="n">
        <v>7</v>
      </c>
      <c r="B23" s="249" t="n">
        <f>B22*(1+B$6-B$7)+'Omsætningsopsætning'!$L$14*(1+B$12)^($A23-1)</f>
        <v>211500.12049408004</v>
      </c>
      <c r="C23" s="249" t="n">
        <f>C22*(1+C$6-C$7)+'Omsætningsopsætning'!$L$14*(1+C$12)^($A23-1)</f>
        <v>301936.76717695204</v>
      </c>
      <c r="D23" s="250" t="n">
        <f>D22*(1+D$6-D$7)+'Omsætningsopsætning'!$L$14*(1+D$12)^($A23-1)</f>
        <v>406241.3598129661</v>
      </c>
      <c r="F23" s="416" t="n">
        <f>IF((B23*(1-B$13)*B$8)-('Bemanding og kompensation'!$J$13*(1+0.02*B$11)^($A23-1))-('Omkostningsopsætning'!$D$18*(1+B$10)^($A23-1))-(B23*(1-B$13)*('Omkostningsopsætning'!$E$18+B$9))&gt;0,(B23*(1-B$13)*B$8)-('Bemanding og kompensation'!$J$13*(1+0.02*B$11)^($A23-1))-('Omkostningsopsætning'!$D$18*(1+B$10)^($A23-1))-(B23*(1-B$13)*('Omkostningsopsætning'!$E$18+B$9))*(1-'Inputantagelser'!$B$12),(B23*(1-B$13)*B$8)-('Bemanding og kompensation'!$J$13*(1+0.02*B$11)^($A23-1))-('Omkostningsopsætning'!$D$18*(1+B$10)^($A23-1))-(B23*(1-B$13)*('Omkostningsopsætning'!$E$18+B$9)))</f>
        <v>-329090.87468081823</v>
      </c>
      <c r="G23" s="249" t="n">
        <f>IF((C23*(1-C$13)*C$8)-('Bemanding og kompensation'!$J$13*(1+0.02*C$11)^($A23-1))-('Omkostningsopsætning'!$D$18*(1+C$10)^($A23-1))-(C23*(1-C$13)*('Omkostningsopsætning'!$E$18+C$9))&gt;0,(C23*(1-C$13)*C$8)-('Bemanding og kompensation'!$J$13*(1+0.02*C$11)^($A23-1))-('Omkostningsopsætning'!$D$18*(1+C$10)^($A23-1))-(C23*(1-C$13)*('Omkostningsopsætning'!$E$18+C$9))*(1-'Inputantagelser'!$B$12),(C23*(1-C$13)*C$8)-('Bemanding og kompensation'!$J$13*(1+0.02*C$11)^($A23-1))-('Omkostningsopsætning'!$D$18*(1+C$10)^($A23-1))-(C23*(1-C$13)*('Omkostningsopsætning'!$E$18+C$9)))</f>
        <v>-262027.2704093401</v>
      </c>
      <c r="H23" s="250" t="n">
        <f>IF((D23*(1-D$13)*D$8)-('Bemanding og kompensation'!$J$13*(1+0.02*D$11)^($A23-1))-('Omkostningsopsætning'!$D$18*(1+D$10)^($A23-1))-(D23*(1-D$13)*('Omkostningsopsætning'!$E$18+D$9))&gt;0,(D23*(1-D$13)*D$8)-('Bemanding og kompensation'!$J$13*(1+0.02*D$11)^($A23-1))-('Omkostningsopsætning'!$D$18*(1+D$10)^($A23-1))-(D23*(1-D$13)*('Omkostningsopsætning'!$E$18+D$9))*(1-'Inputantagelser'!$B$12),(D23*(1-D$13)*D$8)-('Bemanding og kompensation'!$J$13*(1+0.02*D$11)^($A23-1))-('Omkostningsopsætning'!$D$18*(1+D$10)^($A23-1))-(D23*(1-D$13)*('Omkostningsopsætning'!$E$18+D$9)))</f>
        <v>-175625.72107999818</v>
      </c>
      <c r="J23" s="416" t="n">
        <f>J22+F23-INDEX('Startup-investering'!$C$34:$Z$34,1,$A23)</f>
        <v>23089.89470948535</v>
      </c>
      <c r="K23" s="249" t="n">
        <f>K22+G23-INDEX('Startup-investering'!$C$34:$Z$34,1,$A23)</f>
        <v>366443.42194720445</v>
      </c>
      <c r="L23" s="250" t="n">
        <f>L22+H23-INDEX('Startup-investering'!$C$34:$Z$34,1,$A23)</f>
        <v>727510.1602602936</v>
      </c>
    </row>
    <row r="24" ht="15" customHeight="true">
      <c r="A24" s="30" t="n">
        <v>8</v>
      </c>
      <c r="B24" s="249" t="n">
        <f>B23*(1+B$6-B$7)+'Omsætningsopsætning'!$L$14*(1+B$12)^($A24-1)</f>
        <v>216040.11567431685</v>
      </c>
      <c r="C24" s="249" t="n">
        <f>C23*(1+C$6-C$7)+'Omsætningsopsætning'!$L$14*(1+C$12)^($A24-1)</f>
        <v>324932.62976965174</v>
      </c>
      <c r="D24" s="250" t="n">
        <f>D23*(1+D$6-D$7)+'Omsætningsopsætning'!$L$14*(1+D$12)^($A24-1)</f>
        <v>457735.99587557366</v>
      </c>
      <c r="F24" s="416" t="n">
        <f>IF((B24*(1-B$13)*B$8)-('Bemanding og kompensation'!$J$13*(1+0.02*B$11)^($A24-1))-('Omkostningsopsætning'!$D$18*(1+B$10)^($A24-1))-(B24*(1-B$13)*('Omkostningsopsætning'!$E$18+B$9))&gt;0,(B24*(1-B$13)*B$8)-('Bemanding og kompensation'!$J$13*(1+0.02*B$11)^($A24-1))-('Omkostningsopsætning'!$D$18*(1+B$10)^($A24-1))-(B24*(1-B$13)*('Omkostningsopsætning'!$E$18+B$9))*(1-'Inputantagelser'!$B$12),(B24*(1-B$13)*B$8)-('Bemanding og kompensation'!$J$13*(1+0.02*B$11)^($A24-1))-('Omkostningsopsætning'!$D$18*(1+B$10)^($A24-1))-(B24*(1-B$13)*('Omkostningsopsætning'!$E$18+B$9)))</f>
        <v>-333520.8484937909</v>
      </c>
      <c r="G24" s="249" t="n">
        <f>IF((C24*(1-C$13)*C$8)-('Bemanding og kompensation'!$J$13*(1+0.02*C$11)^($A24-1))-('Omkostningsopsætning'!$D$18*(1+C$10)^($A24-1))-(C24*(1-C$13)*('Omkostningsopsætning'!$E$18+C$9))&gt;0,(C24*(1-C$13)*C$8)-('Bemanding og kompensation'!$J$13*(1+0.02*C$11)^($A24-1))-('Omkostningsopsætning'!$D$18*(1+C$10)^($A24-1))-(C24*(1-C$13)*('Omkostningsopsætning'!$E$18+C$9))*(1-'Inputantagelser'!$B$12),(C24*(1-C$13)*C$8)-('Bemanding og kompensation'!$J$13*(1+0.02*C$11)^($A24-1))-('Omkostningsopsætning'!$D$18*(1+C$10)^($A24-1))-(C24*(1-C$13)*('Omkostningsopsætning'!$E$18+C$9)))</f>
        <v>-259668.16931045678</v>
      </c>
      <c r="H24" s="250" t="n">
        <f>IF((D24*(1-D$13)*D$8)-('Bemanding og kompensation'!$J$13*(1+0.02*D$11)^($A24-1))-('Omkostningsopsætning'!$D$18*(1+D$10)^($A24-1))-(D24*(1-D$13)*('Omkostningsopsætning'!$E$18+D$9))&gt;0,(D24*(1-D$13)*D$8)-('Bemanding og kompensation'!$J$13*(1+0.02*D$11)^($A24-1))-('Omkostningsopsætning'!$D$18*(1+D$10)^($A24-1))-(D24*(1-D$13)*('Omkostningsopsætning'!$E$18+D$9))*(1-'Inputantagelser'!$B$12),(D24*(1-D$13)*D$8)-('Bemanding og kompensation'!$J$13*(1+0.02*D$11)^($A24-1))-('Omkostningsopsætning'!$D$18*(1+D$10)^($A24-1))-(D24*(1-D$13)*('Omkostningsopsætning'!$E$18+D$9)))</f>
        <v>-157083.03605598025</v>
      </c>
      <c r="J24" s="416" t="n">
        <f>J23+F24-INDEX('Startup-investering'!$C$34:$Z$34,1,$A24)</f>
        <v>-310430.95378430554</v>
      </c>
      <c r="K24" s="249" t="n">
        <f>K23+G24-INDEX('Startup-investering'!$C$34:$Z$34,1,$A24)</f>
        <v>106775.25263674767</v>
      </c>
      <c r="L24" s="250" t="n">
        <f>L23+H24-INDEX('Startup-investering'!$C$34:$Z$34,1,$A24)</f>
        <v>570427.1242043134</v>
      </c>
    </row>
    <row r="25" ht="15" customHeight="true">
      <c r="A25" s="30" t="n">
        <v>9</v>
      </c>
      <c r="B25" s="249" t="n">
        <f>B24*(1+B$6-B$7)+'Omsætningsopsætning'!$L$14*(1+B$12)^($A25-1)</f>
        <v>220398.5110473442</v>
      </c>
      <c r="C25" s="249" t="n">
        <f>C24*(1+C$6-C$7)+'Omsætningsopsætning'!$L$14*(1+C$12)^($A25-1)</f>
        <v>348757.74583590636</v>
      </c>
      <c r="D25" s="250" t="n">
        <f>D24*(1+D$6-D$7)+'Omsætningsopsætning'!$L$14*(1+D$12)^($A25-1)</f>
        <v>514163.80745740474</v>
      </c>
      <c r="F25" s="416" t="n">
        <f>IF((B25*(1-B$13)*B$8)-('Bemanding og kompensation'!$J$13*(1+0.02*B$11)^($A25-1))-('Omkostningsopsætning'!$D$18*(1+B$10)^($A25-1))-(B25*(1-B$13)*('Omkostningsopsætning'!$E$18+B$9))&gt;0,(B25*(1-B$13)*B$8)-('Bemanding og kompensation'!$J$13*(1+0.02*B$11)^($A25-1))-('Omkostningsopsætning'!$D$18*(1+B$10)^($A25-1))-(B25*(1-B$13)*('Omkostningsopsætning'!$E$18+B$9))*(1-'Inputantagelser'!$B$12),(B25*(1-B$13)*B$8)-('Bemanding og kompensation'!$J$13*(1+0.02*B$11)^($A25-1))-('Omkostningsopsætning'!$D$18*(1+B$10)^($A25-1))-(B25*(1-B$13)*('Omkostningsopsætning'!$E$18+B$9)))</f>
        <v>-338062.3383242306</v>
      </c>
      <c r="G25" s="249" t="n">
        <f>IF((C25*(1-C$13)*C$8)-('Bemanding og kompensation'!$J$13*(1+0.02*C$11)^($A25-1))-('Omkostningsopsætning'!$D$18*(1+C$10)^($A25-1))-(C25*(1-C$13)*('Omkostningsopsætning'!$E$18+C$9))&gt;0,(C25*(1-C$13)*C$8)-('Bemanding og kompensation'!$J$13*(1+0.02*C$11)^($A25-1))-('Omkostningsopsætning'!$D$18*(1+C$10)^($A25-1))-(C25*(1-C$13)*('Omkostningsopsætning'!$E$18+C$9))*(1-'Inputantagelser'!$B$12),(C25*(1-C$13)*C$8)-('Bemanding og kompensation'!$J$13*(1+0.02*C$11)^($A25-1))-('Omkostningsopsætning'!$D$18*(1+C$10)^($A25-1))-(C25*(1-C$13)*('Omkostningsopsætning'!$E$18+C$9)))</f>
        <v>-257111.11770403624</v>
      </c>
      <c r="H25" s="250" t="n">
        <f>IF((D25*(1-D$13)*D$8)-('Bemanding og kompensation'!$J$13*(1+0.02*D$11)^($A25-1))-('Omkostningsopsætning'!$D$18*(1+D$10)^($A25-1))-(D25*(1-D$13)*('Omkostningsopsætning'!$E$18+D$9))&gt;0,(D25*(1-D$13)*D$8)-('Bemanding og kompensation'!$J$13*(1+0.02*D$11)^($A25-1))-('Omkostningsopsætning'!$D$18*(1+D$10)^($A25-1))-(D25*(1-D$13)*('Omkostningsopsætning'!$E$18+D$9))*(1-'Inputantagelser'!$B$12),(D25*(1-D$13)*D$8)-('Bemanding og kompensation'!$J$13*(1+0.02*D$11)^($A25-1))-('Omkostningsopsætning'!$D$18*(1+D$10)^($A25-1))-(D25*(1-D$13)*('Omkostningsopsætning'!$E$18+D$9)))</f>
        <v>-136217.9412926095</v>
      </c>
      <c r="J25" s="416" t="n">
        <f>J24+F25-INDEX('Startup-investering'!$C$34:$Z$34,1,$A25)</f>
        <v>-648493.2921085361</v>
      </c>
      <c r="K25" s="249" t="n">
        <f>K24+G25-INDEX('Startup-investering'!$C$34:$Z$34,1,$A25)</f>
        <v>-150335.86506728857</v>
      </c>
      <c r="L25" s="250" t="n">
        <f>L24+H25-INDEX('Startup-investering'!$C$34:$Z$34,1,$A25)</f>
        <v>434209.1829117039</v>
      </c>
    </row>
    <row r="26" ht="15" customHeight="true">
      <c r="A26" s="30" t="n">
        <v>10</v>
      </c>
      <c r="B26" s="249" t="n">
        <f>B25*(1+B$6-B$7)+'Omsætningsopsætning'!$L$14*(1+B$12)^($A26-1)</f>
        <v>224582.57060545043</v>
      </c>
      <c r="C26" s="249" t="n">
        <f>C25*(1+C$6-C$7)+'Omsætningsopsætning'!$L$14*(1+C$12)^($A26-1)</f>
        <v>373438.38675588026</v>
      </c>
      <c r="D26" s="250" t="n">
        <f>D25*(1+D$6-D$7)+'Omsætningsopsætning'!$L$14*(1+D$12)^($A26-1)</f>
        <v>575974.7535206613</v>
      </c>
      <c r="F26" s="416" t="n">
        <f>IF((B26*(1-B$13)*B$8)-('Bemanding og kompensation'!$J$13*(1+0.02*B$11)^($A26-1))-('Omkostningsopsætning'!$D$18*(1+B$10)^($A26-1))-(B26*(1-B$13)*('Omkostningsopsætning'!$E$18+B$9))&gt;0,(B26*(1-B$13)*B$8)-('Bemanding og kompensation'!$J$13*(1+0.02*B$11)^($A26-1))-('Omkostningsopsætning'!$D$18*(1+B$10)^($A26-1))-(B26*(1-B$13)*('Omkostningsopsætning'!$E$18+B$9))*(1-'Inputantagelser'!$B$12),(B26*(1-B$13)*B$8)-('Bemanding og kompensation'!$J$13*(1+0.02*B$11)^($A26-1))-('Omkostningsopsætning'!$D$18*(1+B$10)^($A26-1))-(B26*(1-B$13)*('Omkostningsopsætning'!$E$18+B$9)))</f>
        <v>-342715.03198772005</v>
      </c>
      <c r="G26" s="249" t="n">
        <f>IF((C26*(1-C$13)*C$8)-('Bemanding og kompensation'!$J$13*(1+0.02*C$11)^($A26-1))-('Omkostningsopsætning'!$D$18*(1+C$10)^($A26-1))-(C26*(1-C$13)*('Omkostningsopsætning'!$E$18+C$9))&gt;0,(C26*(1-C$13)*C$8)-('Bemanding og kompensation'!$J$13*(1+0.02*C$11)^($A26-1))-('Omkostningsopsætning'!$D$18*(1+C$10)^($A26-1))-(C26*(1-C$13)*('Omkostningsopsætning'!$E$18+C$9))*(1-'Inputantagelser'!$B$12),(C26*(1-C$13)*C$8)-('Bemanding og kompensation'!$J$13*(1+0.02*C$11)^($A26-1))-('Omkostningsopsætning'!$D$18*(1+C$10)^($A26-1))-(C26*(1-C$13)*('Omkostningsopsætning'!$E$18+C$9)))</f>
        <v>-254348.4057344572</v>
      </c>
      <c r="H26" s="250" t="n">
        <f>IF((D26*(1-D$13)*D$8)-('Bemanding og kompensation'!$J$13*(1+0.02*D$11)^($A26-1))-('Omkostningsopsætning'!$D$18*(1+D$10)^($A26-1))-(D26*(1-D$13)*('Omkostningsopsætning'!$E$18+D$9))&gt;0,(D26*(1-D$13)*D$8)-('Bemanding og kompensation'!$J$13*(1+0.02*D$11)^($A26-1))-('Omkostningsopsætning'!$D$18*(1+D$10)^($A26-1))-(D26*(1-D$13)*('Omkostningsopsætning'!$E$18+D$9))*(1-'Inputantagelser'!$B$12),(D26*(1-D$13)*D$8)-('Bemanding og kompensation'!$J$13*(1+0.02*D$11)^($A26-1))-('Omkostningsopsætning'!$D$18*(1+D$10)^($A26-1))-(D26*(1-D$13)*('Omkostningsopsætning'!$E$18+D$9)))</f>
        <v>-112806.69474560207</v>
      </c>
      <c r="J26" s="416" t="n">
        <f>J25+F26-INDEX('Startup-investering'!$C$34:$Z$34,1,$A26)</f>
        <v>-991208.3240962562</v>
      </c>
      <c r="K26" s="249" t="n">
        <f>K25+G26-INDEX('Startup-investering'!$C$34:$Z$34,1,$A26)</f>
        <v>-404684.27080174576</v>
      </c>
      <c r="L26" s="250" t="n">
        <f>L25+H26-INDEX('Startup-investering'!$C$34:$Z$34,1,$A26)</f>
        <v>321402.4881661018</v>
      </c>
    </row>
    <row r="27" ht="15" customHeight="true">
      <c r="A27" s="30" t="n">
        <v>11</v>
      </c>
      <c r="B27" s="249" t="n">
        <f>B26*(1+B$6-B$7)+'Omsætningsopsætning'!$L$14*(1+B$12)^($A27-1)</f>
        <v>228599.26778123243</v>
      </c>
      <c r="C27" s="249" t="n">
        <f>C26*(1+C$6-C$7)+'Omsætningsopsætning'!$L$14*(1+C$12)^($A27-1)</f>
        <v>399001.62598890235</v>
      </c>
      <c r="D27" s="250" t="n">
        <f>D26*(1+D$6-D$7)+'Omsætningsopsætning'!$L$14*(1+D$12)^($A27-1)</f>
        <v>643659.4087974527</v>
      </c>
      <c r="F27" s="416" t="n">
        <f>IF((B27*(1-B$13)*B$8)-('Bemanding og kompensation'!$J$13*(1+0.02*B$11)^($A27-1))-('Omkostningsopsætning'!$D$18*(1+B$10)^($A27-1))-(B27*(1-B$13)*('Omkostningsopsætning'!$E$18+B$9))&gt;0,(B27*(1-B$13)*B$8)-('Bemanding og kompensation'!$J$13*(1+0.02*B$11)^($A27-1))-('Omkostningsopsætning'!$D$18*(1+B$10)^($A27-1))-(B27*(1-B$13)*('Omkostningsopsætning'!$E$18+B$9))*(1-'Inputantagelser'!$B$12),(B27*(1-B$13)*B$8)-('Bemanding og kompensation'!$J$13*(1+0.02*B$11)^($A27-1))-('Omkostningsopsætning'!$D$18*(1+B$10)^($A27-1))-(B27*(1-B$13)*('Omkostningsopsætning'!$E$18+B$9)))</f>
        <v>-347478.6894623074</v>
      </c>
      <c r="G27" s="249" t="n">
        <f>IF((C27*(1-C$13)*C$8)-('Bemanding og kompensation'!$J$13*(1+0.02*C$11)^($A27-1))-('Omkostningsopsætning'!$D$18*(1+C$10)^($A27-1))-(C27*(1-C$13)*('Omkostningsopsætning'!$E$18+C$9))&gt;0,(C27*(1-C$13)*C$8)-('Bemanding og kompensation'!$J$13*(1+0.02*C$11)^($A27-1))-('Omkostningsopsætning'!$D$18*(1+C$10)^($A27-1))-(C27*(1-C$13)*('Omkostningsopsætning'!$E$18+C$9))*(1-'Inputantagelser'!$B$12),(C27*(1-C$13)*C$8)-('Bemanding og kompensation'!$J$13*(1+0.02*C$11)^($A27-1))-('Omkostningsopsætning'!$D$18*(1+C$10)^($A27-1))-(C27*(1-C$13)*('Omkostningsopsætning'!$E$18+C$9)))</f>
        <v>-251372.06454571313</v>
      </c>
      <c r="H27" s="250" t="n">
        <f>IF((D27*(1-D$13)*D$8)-('Bemanding og kompensation'!$J$13*(1+0.02*D$11)^($A27-1))-('Omkostningsopsætning'!$D$18*(1+D$10)^($A27-1))-(D27*(1-D$13)*('Omkostningsopsætning'!$E$18+D$9))&gt;0,(D27*(1-D$13)*D$8)-('Bemanding og kompensation'!$J$13*(1+0.02*D$11)^($A27-1))-('Omkostningsopsætning'!$D$18*(1+D$10)^($A27-1))-(D27*(1-D$13)*('Omkostningsopsætning'!$E$18+D$9))*(1-'Inputantagelser'!$B$12),(D27*(1-D$13)*D$8)-('Bemanding og kompensation'!$J$13*(1+0.02*D$11)^($A27-1))-('Omkostningsopsætning'!$D$18*(1+D$10)^($A27-1))-(D27*(1-D$13)*('Omkostningsopsætning'!$E$18+D$9)))</f>
        <v>-86605.0624267681</v>
      </c>
      <c r="J27" s="416" t="n">
        <f>J26+F27-INDEX('Startup-investering'!$C$34:$Z$34,1,$A27)</f>
        <v>-1338687.0135585635</v>
      </c>
      <c r="K27" s="249" t="n">
        <f>K26+G27-INDEX('Startup-investering'!$C$34:$Z$34,1,$A27)</f>
        <v>-656056.335347459</v>
      </c>
      <c r="L27" s="250" t="n">
        <f>L26+H27-INDEX('Startup-investering'!$C$34:$Z$34,1,$A27)</f>
        <v>234797.4257393337</v>
      </c>
    </row>
    <row r="28" ht="15" customHeight="true">
      <c r="A28" s="30" t="n">
        <v>12</v>
      </c>
      <c r="B28" s="249" t="n">
        <f>B27*(1+B$6-B$7)+'Omsætningsopsætning'!$L$14*(1+B$12)^($A28-1)</f>
        <v>232455.29706998315</v>
      </c>
      <c r="C28" s="249" t="n">
        <f>C27*(1+C$6-C$7)+'Omsætningsopsætning'!$L$14*(1+C$12)^($A28-1)</f>
        <v>425475.3632752185</v>
      </c>
      <c r="D28" s="250" t="n">
        <f>D27*(1+D$6-D$7)+'Omsætningsopsætning'!$L$14*(1+D$12)^($A28-1)</f>
        <v>717752.621598354</v>
      </c>
      <c r="F28" s="416" t="n">
        <f>IF((B28*(1-B$13)*B$8)-('Bemanding og kompensation'!$J$13*(1+0.02*B$11)^($A28-1))-('Omkostningsopsætning'!$D$18*(1+B$10)^($A28-1))-(B28*(1-B$13)*('Omkostningsopsætning'!$E$18+B$9))&gt;0,(B28*(1-B$13)*B$8)-('Bemanding og kompensation'!$J$13*(1+0.02*B$11)^($A28-1))-('Omkostningsopsætning'!$D$18*(1+B$10)^($A28-1))-(B28*(1-B$13)*('Omkostningsopsætning'!$E$18+B$9))*(1-'Inputantagelser'!$B$12),(B28*(1-B$13)*B$8)-('Bemanding og kompensation'!$J$13*(1+0.02*B$11)^($A28-1))-('Omkostningsopsætning'!$D$18*(1+B$10)^($A28-1))-(B28*(1-B$13)*('Omkostningsopsætning'!$E$18+B$9)))</f>
        <v>-352353.1408614088</v>
      </c>
      <c r="G28" s="249" t="n">
        <f>IF((C28*(1-C$13)*C$8)-('Bemanding og kompensation'!$J$13*(1+0.02*C$11)^($A28-1))-('Omkostningsopsætning'!$D$18*(1+C$10)^($A28-1))-(C28*(1-C$13)*('Omkostningsopsætning'!$E$18+C$9))&gt;0,(C28*(1-C$13)*C$8)-('Bemanding og kompensation'!$J$13*(1+0.02*C$11)^($A28-1))-('Omkostningsopsætning'!$D$18*(1+C$10)^($A28-1))-(C28*(1-C$13)*('Omkostningsopsætning'!$E$18+C$9))*(1-'Inputantagelser'!$B$12),(C28*(1-C$13)*C$8)-('Bemanding og kompensation'!$J$13*(1+0.02*C$11)^($A28-1))-('Omkostningsopsætning'!$D$18*(1+C$10)^($A28-1))-(C28*(1-C$13)*('Omkostningsopsætning'!$E$18+C$9)))</f>
        <v>-248173.85803452687</v>
      </c>
      <c r="H28" s="250" t="n">
        <f>IF((D28*(1-D$13)*D$8)-('Bemanding og kompensation'!$J$13*(1+0.02*D$11)^($A28-1))-('Omkostningsopsætning'!$D$18*(1+D$10)^($A28-1))-(D28*(1-D$13)*('Omkostningsopsætning'!$E$18+D$9))&gt;0,(D28*(1-D$13)*D$8)-('Bemanding og kompensation'!$J$13*(1+0.02*D$11)^($A28-1))-('Omkostningsopsætning'!$D$18*(1+D$10)^($A28-1))-(D28*(1-D$13)*('Omkostningsopsætning'!$E$18+D$9))*(1-'Inputantagelser'!$B$12),(D28*(1-D$13)*D$8)-('Bemanding og kompensation'!$J$13*(1+0.02*D$11)^($A28-1))-('Omkostningsopsætning'!$D$18*(1+D$10)^($A28-1))-(D28*(1-D$13)*('Omkostningsopsætning'!$E$18+D$9)))</f>
        <v>-57346.46532518757</v>
      </c>
      <c r="J28" s="416" t="n">
        <f>J27+F28-INDEX('Startup-investering'!$C$34:$Z$34,1,$A28)</f>
        <v>-1691040.1544199723</v>
      </c>
      <c r="K28" s="249" t="n">
        <f>K27+G28-INDEX('Startup-investering'!$C$34:$Z$34,1,$A28)</f>
        <v>-904230.1933819859</v>
      </c>
      <c r="L28" s="250" t="n">
        <f>L27+H28-INDEX('Startup-investering'!$C$34:$Z$34,1,$A28)</f>
        <v>177450.96041414613</v>
      </c>
    </row>
    <row r="29" ht="15" customHeight="true">
      <c r="A29" s="30" t="n">
        <v>13</v>
      </c>
      <c r="B29" s="249" t="n">
        <f>B28*(1+B$6-B$7)+'Omsætningsopsætning'!$L$14*(1+B$12)^($A29-1)</f>
        <v>236157.08518718384</v>
      </c>
      <c r="C29" s="249" t="n">
        <f>C28*(1+C$6-C$7)+'Omsætningsopsætning'!$L$14*(1+C$12)^($A29-1)</f>
        <v>452888.34956519067</v>
      </c>
      <c r="D29" s="250" t="n">
        <f>D28*(1+D$6-D$7)+'Omsætningsopsætning'!$L$14*(1+D$12)^($A29-1)</f>
        <v>798837.500871519</v>
      </c>
      <c r="F29" s="416" t="n">
        <f>IF((B29*(1-B$13)*B$8)-('Bemanding og kompensation'!$J$13*(1+0.02*B$11)^($A29-1))-('Omkostningsopsætning'!$D$18*(1+B$10)^($A29-1))-(B29*(1-B$13)*('Omkostningsopsætning'!$E$18+B$9))&gt;0,(B29*(1-B$13)*B$8)-('Bemanding og kompensation'!$J$13*(1+0.02*B$11)^($A29-1))-('Omkostningsopsætning'!$D$18*(1+B$10)^($A29-1))-(B29*(1-B$13)*('Omkostningsopsætning'!$E$18+B$9))*(1-'Inputantagelser'!$B$12),(B29*(1-B$13)*B$8)-('Bemanding og kompensation'!$J$13*(1+0.02*B$11)^($A29-1))-('Omkostningsopsætning'!$D$18*(1+B$10)^($A29-1))-(B29*(1-B$13)*('Omkostningsopsætning'!$E$18+B$9)))</f>
        <v>-357338.28450018686</v>
      </c>
      <c r="G29" s="249" t="n">
        <f>IF((C29*(1-C$13)*C$8)-('Bemanding og kompensation'!$J$13*(1+0.02*C$11)^($A29-1))-('Omkostningsopsætning'!$D$18*(1+C$10)^($A29-1))-(C29*(1-C$13)*('Omkostningsopsætning'!$E$18+C$9))&gt;0,(C29*(1-C$13)*C$8)-('Bemanding og kompensation'!$J$13*(1+0.02*C$11)^($A29-1))-('Omkostningsopsætning'!$D$18*(1+C$10)^($A29-1))-(C29*(1-C$13)*('Omkostningsopsætning'!$E$18+C$9))*(1-'Inputantagelser'!$B$12),(C29*(1-C$13)*C$8)-('Bemanding og kompensation'!$J$13*(1+0.02*C$11)^($A29-1))-('Omkostningsopsætning'!$D$18*(1+C$10)^($A29-1))-(C29*(1-C$13)*('Omkostningsopsætning'!$E$18+C$9)))</f>
        <v>-244745.27434729412</v>
      </c>
      <c r="H29" s="250" t="n">
        <f>IF((D29*(1-D$13)*D$8)-('Bemanding og kompensation'!$J$13*(1+0.02*D$11)^($A29-1))-('Omkostningsopsætning'!$D$18*(1+D$10)^($A29-1))-(D29*(1-D$13)*('Omkostningsopsætning'!$E$18+D$9))&gt;0,(D29*(1-D$13)*D$8)-('Bemanding og kompensation'!$J$13*(1+0.02*D$11)^($A29-1))-('Omkostningsopsætning'!$D$18*(1+D$10)^($A29-1))-(D29*(1-D$13)*('Omkostningsopsætning'!$E$18+D$9))*(1-'Inputantagelser'!$B$12),(D29*(1-D$13)*D$8)-('Bemanding og kompensation'!$J$13*(1+0.02*D$11)^($A29-1))-('Omkostningsopsætning'!$D$18*(1+D$10)^($A29-1))-(D29*(1-D$13)*('Omkostningsopsætning'!$E$18+D$9)))</f>
        <v>-24739.959330131896</v>
      </c>
      <c r="J29" s="416" t="n">
        <f>J28+F29-INDEX('Startup-investering'!$C$34:$Z$34,1,$A29)</f>
        <v>-2048378.4389201591</v>
      </c>
      <c r="K29" s="249" t="n">
        <f>K28+G29-INDEX('Startup-investering'!$C$34:$Z$34,1,$A29)</f>
        <v>-1148975.46772928</v>
      </c>
      <c r="L29" s="250" t="n">
        <f>L28+H29-INDEX('Startup-investering'!$C$34:$Z$34,1,$A29)</f>
        <v>152711.00108401425</v>
      </c>
    </row>
    <row r="30" ht="15" customHeight="true">
      <c r="A30" s="30" t="n">
        <v>14</v>
      </c>
      <c r="B30" s="249" t="n">
        <f>B29*(1+B$6-B$7)+'Omsætningsopsætning'!$L$14*(1+B$12)^($A30-1)</f>
        <v>239710.8017796965</v>
      </c>
      <c r="C30" s="249" t="n">
        <f>C29*(1+C$6-C$7)+'Omsætningsopsætning'!$L$14*(1+C$12)^($A30-1)</f>
        <v>481270.2126977791</v>
      </c>
      <c r="D30" s="250" t="n">
        <f>D29*(1+D$6-D$7)+'Omsætningsopsætning'!$L$14*(1+D$12)^($A30-1)</f>
        <v>887549.7621458551</v>
      </c>
      <c r="F30" s="416" t="n">
        <f>IF((B30*(1-B$13)*B$8)-('Bemanding og kompensation'!$J$13*(1+0.02*B$11)^($A30-1))-('Omkostningsopsætning'!$D$18*(1+B$10)^($A30-1))-(B30*(1-B$13)*('Omkostningsopsætning'!$E$18+B$9))&gt;0,(B30*(1-B$13)*B$8)-('Bemanding og kompensation'!$J$13*(1+0.02*B$11)^($A30-1))-('Omkostningsopsætning'!$D$18*(1+B$10)^($A30-1))-(B30*(1-B$13)*('Omkostningsopsætning'!$E$18+B$9))*(1-'Inputantagelser'!$B$12),(B30*(1-B$13)*B$8)-('Bemanding og kompensation'!$J$13*(1+0.02*B$11)^($A30-1))-('Omkostningsopsætning'!$D$18*(1+B$10)^($A30-1))-(B30*(1-B$13)*('Omkostningsopsætning'!$E$18+B$9)))</f>
        <v>-362434.0850518429</v>
      </c>
      <c r="G30" s="249" t="n">
        <f>IF((C30*(1-C$13)*C$8)-('Bemanding og kompensation'!$J$13*(1+0.02*C$11)^($A30-1))-('Omkostningsopsætning'!$D$18*(1+C$10)^($A30-1))-(C30*(1-C$13)*('Omkostningsopsætning'!$E$18+C$9))&gt;0,(C30*(1-C$13)*C$8)-('Bemanding og kompensation'!$J$13*(1+0.02*C$11)^($A30-1))-('Omkostningsopsætning'!$D$18*(1+C$10)^($A30-1))-(C30*(1-C$13)*('Omkostningsopsætning'!$E$18+C$9))*(1-'Inputantagelser'!$B$12),(C30*(1-C$13)*C$8)-('Bemanding og kompensation'!$J$13*(1+0.02*C$11)^($A30-1))-('Omkostningsopsætning'!$D$18*(1+C$10)^($A30-1))-(C30*(1-C$13)*('Omkostningsopsætning'!$E$18+C$9)))</f>
        <v>-241077.51711300144</v>
      </c>
      <c r="H30" s="250" t="n">
        <f>IF((D30*(1-D$13)*D$8)-('Bemanding og kompensation'!$J$13*(1+0.02*D$11)^($A30-1))-('Omkostningsopsætning'!$D$18*(1+D$10)^($A30-1))-(D30*(1-D$13)*('Omkostningsopsætning'!$E$18+D$9))&gt;0,(D30*(1-D$13)*D$8)-('Bemanding og kompensation'!$J$13*(1+0.02*D$11)^($A30-1))-('Omkostningsopsætning'!$D$18*(1+D$10)^($A30-1))-(D30*(1-D$13)*('Omkostningsopsætning'!$E$18+D$9))*(1-'Inputantagelser'!$B$12),(D30*(1-D$13)*D$8)-('Bemanding og kompensation'!$J$13*(1+0.02*D$11)^($A30-1))-('Omkostningsopsætning'!$D$18*(1+D$10)^($A30-1))-(D30*(1-D$13)*('Omkostningsopsætning'!$E$18+D$9)))</f>
        <v>53479.78751313104</v>
      </c>
      <c r="J30" s="416" t="n">
        <f>J29+F30-INDEX('Startup-investering'!$C$34:$Z$34,1,$A30)</f>
        <v>-2410812.523972002</v>
      </c>
      <c r="K30" s="249" t="n">
        <f>K29+G30-INDEX('Startup-investering'!$C$34:$Z$34,1,$A30)</f>
        <v>-1390052.9848422813</v>
      </c>
      <c r="L30" s="250" t="n">
        <f>L29+H30-INDEX('Startup-investering'!$C$34:$Z$34,1,$A30)</f>
        <v>206190.7885971453</v>
      </c>
    </row>
    <row r="31" ht="15" customHeight="true">
      <c r="A31" s="30" t="n">
        <v>15</v>
      </c>
      <c r="B31" s="249" t="n">
        <f>B30*(1+B$6-B$7)+'Omsætningsopsætning'!$L$14*(1+B$12)^($A31-1)</f>
        <v>243122.36970850866</v>
      </c>
      <c r="C31" s="249" t="n">
        <f>C30*(1+C$6-C$7)+'Omsætningsopsætning'!$L$14*(1+C$12)^($A31-1)</f>
        <v>510651.4838508016</v>
      </c>
      <c r="D31" s="250" t="n">
        <f>D30*(1+D$6-D$7)+'Omsætningsopsætning'!$L$14*(1+D$12)^($A31-1)</f>
        <v>984582.4646587995</v>
      </c>
      <c r="F31" s="416" t="n">
        <f>IF((B31*(1-B$13)*B$8)-('Bemanding og kompensation'!$J$13*(1+0.02*B$11)^($A31-1))-('Omkostningsopsætning'!$D$18*(1+B$10)^($A31-1))-(B31*(1-B$13)*('Omkostningsopsætning'!$E$18+B$9))&gt;0,(B31*(1-B$13)*B$8)-('Bemanding og kompensation'!$J$13*(1+0.02*B$11)^($A31-1))-('Omkostningsopsætning'!$D$18*(1+B$10)^($A31-1))-(B31*(1-B$13)*('Omkostningsopsætning'!$E$18+B$9))*(1-'Inputantagelser'!$B$12),(B31*(1-B$13)*B$8)-('Bemanding og kompensation'!$J$13*(1+0.02*B$11)^($A31-1))-('Omkostningsopsætning'!$D$18*(1+B$10)^($A31-1))-(B31*(1-B$13)*('Omkostningsopsætning'!$E$18+B$9)))</f>
        <v>-367640.57179040875</v>
      </c>
      <c r="G31" s="249" t="n">
        <f>IF((C31*(1-C$13)*C$8)-('Bemanding og kompensation'!$J$13*(1+0.02*C$11)^($A31-1))-('Omkostningsopsætning'!$D$18*(1+C$10)^($A31-1))-(C31*(1-C$13)*('Omkostningsopsætning'!$E$18+C$9))&gt;0,(C31*(1-C$13)*C$8)-('Bemanding og kompensation'!$J$13*(1+0.02*C$11)^($A31-1))-('Omkostningsopsætning'!$D$18*(1+C$10)^($A31-1))-(C31*(1-C$13)*('Omkostningsopsætning'!$E$18+C$9))*(1-'Inputantagelser'!$B$12),(C31*(1-C$13)*C$8)-('Bemanding og kompensation'!$J$13*(1+0.02*C$11)^($A31-1))-('Omkostningsopsætning'!$D$18*(1+C$10)^($A31-1))-(C31*(1-C$13)*('Omkostningsopsætning'!$E$18+C$9)))</f>
        <v>-237161.49640402955</v>
      </c>
      <c r="H31" s="250" t="n">
        <f>IF((D31*(1-D$13)*D$8)-('Bemanding og kompensation'!$J$13*(1+0.02*D$11)^($A31-1))-('Omkostningsopsætning'!$D$18*(1+D$10)^($A31-1))-(D31*(1-D$13)*('Omkostningsopsætning'!$E$18+D$9))&gt;0,(D31*(1-D$13)*D$8)-('Bemanding og kompensation'!$J$13*(1+0.02*D$11)^($A31-1))-('Omkostningsopsætning'!$D$18*(1+D$10)^($A31-1))-(D31*(1-D$13)*('Omkostningsopsætning'!$E$18+D$9))*(1-'Inputantagelser'!$B$12),(D31*(1-D$13)*D$8)-('Bemanding og kompensation'!$J$13*(1+0.02*D$11)^($A31-1))-('Omkostningsopsætning'!$D$18*(1+D$10)^($A31-1))-(D31*(1-D$13)*('Omkostningsopsætning'!$E$18+D$9)))</f>
        <v>98349.62110543411</v>
      </c>
      <c r="J31" s="416" t="n">
        <f>J30+F31-INDEX('Startup-investering'!$C$34:$Z$34,1,$A31)</f>
        <v>-2778453.0957624107</v>
      </c>
      <c r="K31" s="249" t="n">
        <f>K30+G31-INDEX('Startup-investering'!$C$34:$Z$34,1,$A31)</f>
        <v>-1627214.4812463108</v>
      </c>
      <c r="L31" s="250" t="n">
        <f>L30+H31-INDEX('Startup-investering'!$C$34:$Z$34,1,$A31)</f>
        <v>304540.4097025794</v>
      </c>
    </row>
    <row r="32" ht="15" customHeight="true">
      <c r="A32" s="30" t="n">
        <v>16</v>
      </c>
      <c r="B32" s="249" t="n">
        <f>B31*(1+B$6-B$7)+'Omsætningsopsætning'!$L$14*(1+B$12)^($A32-1)</f>
        <v>246397.47492016834</v>
      </c>
      <c r="C32" s="249" t="n">
        <f>C31*(1+C$6-C$7)+'Omsætningsopsætning'!$L$14*(1+C$12)^($A32-1)</f>
        <v>541063.6247861356</v>
      </c>
      <c r="D32" s="250" t="n">
        <f>D31*(1+D$6-D$7)+'Omsætningsopsætning'!$L$14*(1+D$12)^($A32-1)</f>
        <v>1090691.1748763053</v>
      </c>
      <c r="F32" s="416" t="n">
        <f>IF((B32*(1-B$13)*B$8)-('Bemanding og kompensation'!$J$13*(1+0.02*B$11)^($A32-1))-('Omkostningsopsætning'!$D$18*(1+B$10)^($A32-1))-(B32*(1-B$13)*('Omkostningsopsætning'!$E$18+B$9))&gt;0,(B32*(1-B$13)*B$8)-('Bemanding og kompensation'!$J$13*(1+0.02*B$11)^($A32-1))-('Omkostningsopsætning'!$D$18*(1+B$10)^($A32-1))-(B32*(1-B$13)*('Omkostningsopsætning'!$E$18+B$9))*(1-'Inputantagelser'!$B$12),(B32*(1-B$13)*B$8)-('Bemanding og kompensation'!$J$13*(1+0.02*B$11)^($A32-1))-('Omkostningsopsætning'!$D$18*(1+B$10)^($A32-1))-(B32*(1-B$13)*('Omkostningsopsætning'!$E$18+B$9)))</f>
        <v>-372957.8369167627</v>
      </c>
      <c r="G32" s="249" t="n">
        <f>IF((C32*(1-C$13)*C$8)-('Bemanding og kompensation'!$J$13*(1+0.02*C$11)^($A32-1))-('Omkostningsopsætning'!$D$18*(1+C$10)^($A32-1))-(C32*(1-C$13)*('Omkostningsopsætning'!$E$18+C$9))&gt;0,(C32*(1-C$13)*C$8)-('Bemanding og kompensation'!$J$13*(1+0.02*C$11)^($A32-1))-('Omkostningsopsætning'!$D$18*(1+C$10)^($A32-1))-(C32*(1-C$13)*('Omkostningsopsætning'!$E$18+C$9))*(1-'Inputantagelser'!$B$12),(C32*(1-C$13)*C$8)-('Bemanding og kompensation'!$J$13*(1+0.02*C$11)^($A32-1))-('Omkostningsopsætning'!$D$18*(1+C$10)^($A32-1))-(C32*(1-C$13)*('Omkostningsopsætning'!$E$18+C$9)))</f>
        <v>-232987.8194165011</v>
      </c>
      <c r="H32" s="250" t="n">
        <f>IF((D32*(1-D$13)*D$8)-('Bemanding og kompensation'!$J$13*(1+0.02*D$11)^($A32-1))-('Omkostningsopsætning'!$D$18*(1+D$10)^($A32-1))-(D32*(1-D$13)*('Omkostningsopsætning'!$E$18+D$9))&gt;0,(D32*(1-D$13)*D$8)-('Bemanding og kompensation'!$J$13*(1+0.02*D$11)^($A32-1))-('Omkostningsopsætning'!$D$18*(1+D$10)^($A32-1))-(D32*(1-D$13)*('Omkostningsopsætning'!$E$18+D$9))*(1-'Inputantagelser'!$B$12),(D32*(1-D$13)*D$8)-('Bemanding og kompensation'!$J$13*(1+0.02*D$11)^($A32-1))-('Omkostningsopsætning'!$D$18*(1+D$10)^($A32-1))-(D32*(1-D$13)*('Omkostningsopsætning'!$E$18+D$9)))</f>
        <v>148038.37242044596</v>
      </c>
      <c r="J32" s="416" t="n">
        <f>J31+F32-INDEX('Startup-investering'!$C$34:$Z$34,1,$A32)</f>
        <v>-3151410.9326791735</v>
      </c>
      <c r="K32" s="249" t="n">
        <f>K31+G32-INDEX('Startup-investering'!$C$34:$Z$34,1,$A32)</f>
        <v>-1860202.3006628118</v>
      </c>
      <c r="L32" s="250" t="n">
        <f>L31+H32-INDEX('Startup-investering'!$C$34:$Z$34,1,$A32)</f>
        <v>452578.78212302533</v>
      </c>
    </row>
    <row r="33" ht="15" customHeight="true">
      <c r="A33" s="30" t="n">
        <v>17</v>
      </c>
      <c r="B33" s="249" t="n">
        <f>B32*(1+B$6-B$7)+'Omsætningsopsætning'!$L$14*(1+B$12)^($A33-1)</f>
        <v>249541.57592336164</v>
      </c>
      <c r="C33" s="249" t="n">
        <f>C32*(1+C$6-C$7)+'Omsætningsopsætning'!$L$14*(1+C$12)^($A33-1)</f>
        <v>572539.0559137277</v>
      </c>
      <c r="D33" s="250" t="n">
        <f>D32*(1+D$6-D$7)+'Omsætningsopsætning'!$L$14*(1+D$12)^($A33-1)</f>
        <v>1206699.5947813508</v>
      </c>
      <c r="F33" s="416" t="n">
        <f>IF((B33*(1-B$13)*B$8)-('Bemanding og kompensation'!$J$13*(1+0.02*B$11)^($A33-1))-('Omkostningsopsætning'!$D$18*(1+B$10)^($A33-1))-(B33*(1-B$13)*('Omkostningsopsætning'!$E$18+B$9))&gt;0,(B33*(1-B$13)*B$8)-('Bemanding og kompensation'!$J$13*(1+0.02*B$11)^($A33-1))-('Omkostningsopsætning'!$D$18*(1+B$10)^($A33-1))-(B33*(1-B$13)*('Omkostningsopsætning'!$E$18+B$9))*(1-'Inputantagelser'!$B$12),(B33*(1-B$13)*B$8)-('Bemanding og kompensation'!$J$13*(1+0.02*B$11)^($A33-1))-('Omkostningsopsætning'!$D$18*(1+B$10)^($A33-1))-(B33*(1-B$13)*('Omkostningsopsætning'!$E$18+B$9)))</f>
        <v>-378386.0339647263</v>
      </c>
      <c r="G33" s="249" t="n">
        <f>IF((C33*(1-C$13)*C$8)-('Bemanding og kompensation'!$J$13*(1+0.02*C$11)^($A33-1))-('Omkostningsopsætning'!$D$18*(1+C$10)^($A33-1))-(C33*(1-C$13)*('Omkostningsopsætning'!$E$18+C$9))&gt;0,(C33*(1-C$13)*C$8)-('Bemanding og kompensation'!$J$13*(1+0.02*C$11)^($A33-1))-('Omkostningsopsætning'!$D$18*(1+C$10)^($A33-1))-(C33*(1-C$13)*('Omkostningsopsætning'!$E$18+C$9))*(1-'Inputantagelser'!$B$12),(C33*(1-C$13)*C$8)-('Bemanding og kompensation'!$J$13*(1+0.02*C$11)^($A33-1))-('Omkostningsopsætning'!$D$18*(1+C$10)^($A33-1))-(C33*(1-C$13)*('Omkostningsopsætning'!$E$18+C$9)))</f>
        <v>-228546.78086158592</v>
      </c>
      <c r="H33" s="250" t="n">
        <f>IF((D33*(1-D$13)*D$8)-('Bemanding og kompensation'!$J$13*(1+0.02*D$11)^($A33-1))-('Omkostningsopsætning'!$D$18*(1+D$10)^($A33-1))-(D33*(1-D$13)*('Omkostningsopsætning'!$E$18+D$9))&gt;0,(D33*(1-D$13)*D$8)-('Bemanding og kompensation'!$J$13*(1+0.02*D$11)^($A33-1))-('Omkostningsopsætning'!$D$18*(1+D$10)^($A33-1))-(D33*(1-D$13)*('Omkostningsopsætning'!$E$18+D$9))*(1-'Inputantagelser'!$B$12),(D33*(1-D$13)*D$8)-('Bemanding og kompensation'!$J$13*(1+0.02*D$11)^($A33-1))-('Omkostningsopsætning'!$D$18*(1+D$10)^($A33-1))-(D33*(1-D$13)*('Omkostningsopsætning'!$E$18+D$9)))</f>
        <v>202997.4724430935</v>
      </c>
      <c r="J33" s="416" t="n">
        <f>J32+F33-INDEX('Startup-investering'!$C$34:$Z$34,1,$A33)</f>
        <v>-3529796.9666438997</v>
      </c>
      <c r="K33" s="249" t="n">
        <f>K32+G33-INDEX('Startup-investering'!$C$34:$Z$34,1,$A33)</f>
        <v>-2088749.0815243977</v>
      </c>
      <c r="L33" s="250" t="n">
        <f>L32+H33-INDEX('Startup-investering'!$C$34:$Z$34,1,$A33)</f>
        <v>655576.2545661188</v>
      </c>
    </row>
    <row r="34" ht="15" customHeight="true">
      <c r="A34" s="30" t="n">
        <v>18</v>
      </c>
      <c r="B34" s="249" t="n">
        <f>B33*(1+B$6-B$7)+'Omsætningsopsætning'!$L$14*(1+B$12)^($A34-1)</f>
        <v>252559.9128864272</v>
      </c>
      <c r="C34" s="249" t="n">
        <f>C33*(1+C$6-C$7)+'Omsætningsopsætning'!$L$14*(1+C$12)^($A34-1)</f>
        <v>605111.1851989878</v>
      </c>
      <c r="D34" s="250" t="n">
        <f>D33*(1+D$6-D$7)+'Omsætningsopsætning'!$L$14*(1+D$12)^($A34-1)</f>
        <v>1333505.696761174</v>
      </c>
      <c r="F34" s="416" t="n">
        <f>IF((B34*(1-B$13)*B$8)-('Bemanding og kompensation'!$J$13*(1+0.02*B$11)^($A34-1))-('Omkostningsopsætning'!$D$18*(1+B$10)^($A34-1))-(B34*(1-B$13)*('Omkostningsopsætning'!$E$18+B$9))&gt;0,(B34*(1-B$13)*B$8)-('Bemanding og kompensation'!$J$13*(1+0.02*B$11)^($A34-1))-('Omkostningsopsætning'!$D$18*(1+B$10)^($A34-1))-(B34*(1-B$13)*('Omkostningsopsætning'!$E$18+B$9))*(1-'Inputantagelser'!$B$12),(B34*(1-B$13)*B$8)-('Bemanding og kompensation'!$J$13*(1+0.02*B$11)^($A34-1))-('Omkostningsopsætning'!$D$18*(1+B$10)^($A34-1))-(B34*(1-B$13)*('Omkostningsopsætning'!$E$18+B$9)))</f>
        <v>-383925.37628422875</v>
      </c>
      <c r="G34" s="249" t="n">
        <f>IF((C34*(1-C$13)*C$8)-('Bemanding og kompensation'!$J$13*(1+0.02*C$11)^($A34-1))-('Omkostningsopsætning'!$D$18*(1+C$10)^($A34-1))-(C34*(1-C$13)*('Omkostningsopsætning'!$E$18+C$9))&gt;0,(C34*(1-C$13)*C$8)-('Bemanding og kompensation'!$J$13*(1+0.02*C$11)^($A34-1))-('Omkostningsopsætning'!$D$18*(1+C$10)^($A34-1))-(C34*(1-C$13)*('Omkostningsopsætning'!$E$18+C$9))*(1-'Inputantagelser'!$B$12),(C34*(1-C$13)*C$8)-('Bemanding og kompensation'!$J$13*(1+0.02*C$11)^($A34-1))-('Omkostningsopsætning'!$D$18*(1+C$10)^($A34-1))-(C34*(1-C$13)*('Omkostningsopsætning'!$E$18+C$9)))</f>
        <v>-223828.35305890505</v>
      </c>
      <c r="H34" s="250" t="n">
        <f>IF((D34*(1-D$13)*D$8)-('Bemanding og kompensation'!$J$13*(1+0.02*D$11)^($A34-1))-('Omkostningsopsætning'!$D$18*(1+D$10)^($A34-1))-(D34*(1-D$13)*('Omkostningsopsætning'!$E$18+D$9))&gt;0,(D34*(1-D$13)*D$8)-('Bemanding og kompensation'!$J$13*(1+0.02*D$11)^($A34-1))-('Omkostningsopsætning'!$D$18*(1+D$10)^($A34-1))-(D34*(1-D$13)*('Omkostningsopsætning'!$E$18+D$9))*(1-'Inputantagelser'!$B$12),(D34*(1-D$13)*D$8)-('Bemanding og kompensation'!$J$13*(1+0.02*D$11)^($A34-1))-('Omkostningsopsætning'!$D$18*(1+D$10)^($A34-1))-(D34*(1-D$13)*('Omkostningsopsætning'!$E$18+D$9)))</f>
        <v>263719.4090650946</v>
      </c>
      <c r="J34" s="416" t="n">
        <f>J33+F34-INDEX('Startup-investering'!$C$34:$Z$34,1,$A34)</f>
        <v>-3913722.3429281283</v>
      </c>
      <c r="K34" s="249" t="n">
        <f>K33+G34-INDEX('Startup-investering'!$C$34:$Z$34,1,$A34)</f>
        <v>-2312577.4345833026</v>
      </c>
      <c r="L34" s="250" t="n">
        <f>L33+H34-INDEX('Startup-investering'!$C$34:$Z$34,1,$A34)</f>
        <v>919295.6636312134</v>
      </c>
    </row>
    <row r="35" ht="15" customHeight="true">
      <c r="A35" s="30" t="n">
        <v>19</v>
      </c>
      <c r="B35" s="249" t="n">
        <f>B34*(1+B$6-B$7)+'Omsætningsopsætning'!$L$14*(1+B$12)^($A35-1)</f>
        <v>255457.51637097012</v>
      </c>
      <c r="C35" s="249" t="n">
        <f>C34*(1+C$6-C$7)+'Omsætningsopsætning'!$L$14*(1+C$12)^($A35-1)</f>
        <v>638814.4379388841</v>
      </c>
      <c r="D35" s="250" t="n">
        <f>D34*(1+D$6-D$7)+'Omsætningsopsætning'!$L$14*(1+D$12)^($A35-1)</f>
        <v>1472088.4106881714</v>
      </c>
      <c r="F35" s="416" t="n">
        <f>IF((B35*(1-B$13)*B$8)-('Bemanding og kompensation'!$J$13*(1+0.02*B$11)^($A35-1))-('Omkostningsopsætning'!$D$18*(1+B$10)^($A35-1))-(B35*(1-B$13)*('Omkostningsopsætning'!$E$18+B$9))&gt;0,(B35*(1-B$13)*B$8)-('Bemanding og kompensation'!$J$13*(1+0.02*B$11)^($A35-1))-('Omkostningsopsætning'!$D$18*(1+B$10)^($A35-1))-(B35*(1-B$13)*('Omkostningsopsætning'!$E$18+B$9))*(1-'Inputantagelser'!$B$12),(B35*(1-B$13)*B$8)-('Bemanding og kompensation'!$J$13*(1+0.02*B$11)^($A35-1))-('Omkostningsopsætning'!$D$18*(1+B$10)^($A35-1))-(B35*(1-B$13)*('Omkostningsopsætning'!$E$18+B$9)))</f>
        <v>-389576.13559864875</v>
      </c>
      <c r="G35" s="249" t="n">
        <f>IF((C35*(1-C$13)*C$8)-('Bemanding og kompensation'!$J$13*(1+0.02*C$11)^($A35-1))-('Omkostningsopsætning'!$D$18*(1+C$10)^($A35-1))-(C35*(1-C$13)*('Omkostningsopsætning'!$E$18+C$9))&gt;0,(C35*(1-C$13)*C$8)-('Bemanding og kompensation'!$J$13*(1+0.02*C$11)^($A35-1))-('Omkostningsopsætning'!$D$18*(1+C$10)^($A35-1))-(C35*(1-C$13)*('Omkostningsopsætning'!$E$18+C$9))*(1-'Inputantagelser'!$B$12),(C35*(1-C$13)*C$8)-('Bemanding og kompensation'!$J$13*(1+0.02*C$11)^($A35-1))-('Omkostningsopsætning'!$D$18*(1+C$10)^($A35-1))-(C35*(1-C$13)*('Omkostningsopsætning'!$E$18+C$9)))</f>
        <v>-218822.17572291946</v>
      </c>
      <c r="H35" s="250" t="n">
        <f>IF((D35*(1-D$13)*D$8)-('Bemanding og kompensation'!$J$13*(1+0.02*D$11)^($A35-1))-('Omkostningsopsætning'!$D$18*(1+D$10)^($A35-1))-(D35*(1-D$13)*('Omkostningsopsætning'!$E$18+D$9))&gt;0,(D35*(1-D$13)*D$8)-('Bemanding og kompensation'!$J$13*(1+0.02*D$11)^($A35-1))-('Omkostningsopsætning'!$D$18*(1+D$10)^($A35-1))-(D35*(1-D$13)*('Omkostningsopsætning'!$E$18+D$9))*(1-'Inputantagelser'!$B$12),(D35*(1-D$13)*D$8)-('Bemanding og kompensation'!$J$13*(1+0.02*D$11)^($A35-1))-('Omkostningsopsætning'!$D$18*(1+D$10)^($A35-1))-(D35*(1-D$13)*('Omkostningsopsætning'!$E$18+D$9)))</f>
        <v>330741.4328110287</v>
      </c>
      <c r="J35" s="416" t="n">
        <f>J34+F35-INDEX('Startup-investering'!$C$34:$Z$34,1,$A35)</f>
        <v>-4303298.478526777</v>
      </c>
      <c r="K35" s="249" t="n">
        <f>K34+G35-INDEX('Startup-investering'!$C$34:$Z$34,1,$A35)</f>
        <v>-2531399.610306222</v>
      </c>
      <c r="L35" s="250" t="n">
        <f>L34+H35-INDEX('Startup-investering'!$C$34:$Z$34,1,$A35)</f>
        <v>1250037.0964422422</v>
      </c>
    </row>
    <row r="36" ht="15" customHeight="true">
      <c r="A36" s="30" t="n">
        <v>20</v>
      </c>
      <c r="B36" s="249" t="n">
        <f>B35*(1+B$6-B$7)+'Omsætningsopsætning'!$L$14*(1+B$12)^($A36-1)</f>
        <v>258239.21571613132</v>
      </c>
      <c r="C36" s="249" t="n">
        <f>C35*(1+C$6-C$7)+'Omsætningsopsætning'!$L$14*(1+C$12)^($A36-1)</f>
        <v>673684.2874328166</v>
      </c>
      <c r="D36" s="250" t="n">
        <f>D35*(1+D$6-D$7)+'Omsætningsopsætning'!$L$14*(1+D$12)^($A36-1)</f>
        <v>1623514.9128929684</v>
      </c>
      <c r="F36" s="416" t="n">
        <f>IF((B36*(1-B$13)*B$8)-('Bemanding og kompensation'!$J$13*(1+0.02*B$11)^($A36-1))-('Omkostningsopsætning'!$D$18*(1+B$10)^($A36-1))-(B36*(1-B$13)*('Omkostningsopsætning'!$E$18+B$9))&gt;0,(B36*(1-B$13)*B$8)-('Bemanding og kompensation'!$J$13*(1+0.02*B$11)^($A36-1))-('Omkostningsopsætning'!$D$18*(1+B$10)^($A36-1))-(B36*(1-B$13)*('Omkostningsopsætning'!$E$18+B$9))*(1-'Inputantagelser'!$B$12),(B36*(1-B$13)*B$8)-('Bemanding og kompensation'!$J$13*(1+0.02*B$11)^($A36-1))-('Omkostningsopsætning'!$D$18*(1+B$10)^($A36-1))-(B36*(1-B$13)*('Omkostningsopsætning'!$E$18+B$9)))</f>
        <v>-395338.6406335603</v>
      </c>
      <c r="G36" s="249" t="n">
        <f>IF((C36*(1-C$13)*C$8)-('Bemanding og kompensation'!$J$13*(1+0.02*C$11)^($A36-1))-('Omkostningsopsætning'!$D$18*(1+C$10)^($A36-1))-(C36*(1-C$13)*('Omkostningsopsætning'!$E$18+C$9))&gt;0,(C36*(1-C$13)*C$8)-('Bemanding og kompensation'!$J$13*(1+0.02*C$11)^($A36-1))-('Omkostningsopsætning'!$D$18*(1+C$10)^($A36-1))-(C36*(1-C$13)*('Omkostningsopsætning'!$E$18+C$9))*(1-'Inputantagelser'!$B$12),(C36*(1-C$13)*C$8)-('Bemanding og kompensation'!$J$13*(1+0.02*C$11)^($A36-1))-('Omkostningsopsætning'!$D$18*(1+C$10)^($A36-1))-(C36*(1-C$13)*('Omkostningsopsætning'!$E$18+C$9)))</f>
        <v>-213517.54543289912</v>
      </c>
      <c r="H36" s="250" t="n">
        <f>IF((D36*(1-D$13)*D$8)-('Bemanding og kompensation'!$J$13*(1+0.02*D$11)^($A36-1))-('Omkostningsopsætning'!$D$18*(1+D$10)^($A36-1))-(D36*(1-D$13)*('Omkostningsopsætning'!$E$18+D$9))&gt;0,(D36*(1-D$13)*D$8)-('Bemanding og kompensation'!$J$13*(1+0.02*D$11)^($A36-1))-('Omkostningsopsætning'!$D$18*(1+D$10)^($A36-1))-(D36*(1-D$13)*('Omkostningsopsætning'!$E$18+D$9))*(1-'Inputantagelser'!$B$12),(D36*(1-D$13)*D$8)-('Bemanding og kompensation'!$J$13*(1+0.02*D$11)^($A36-1))-('Omkostningsopsætning'!$D$18*(1+D$10)^($A36-1))-(D36*(1-D$13)*('Omkostningsopsætning'!$E$18+D$9)))</f>
        <v>404649.5963458473</v>
      </c>
      <c r="J36" s="416" t="n">
        <f>J35+F36-INDEX('Startup-investering'!$C$34:$Z$34,1,$A36)</f>
        <v>-4698637.119160337</v>
      </c>
      <c r="K36" s="249" t="n">
        <f>K35+G36-INDEX('Startup-investering'!$C$34:$Z$34,1,$A36)</f>
        <v>-2744917.155739121</v>
      </c>
      <c r="L36" s="250" t="n">
        <f>L35+H36-INDEX('Startup-investering'!$C$34:$Z$34,1,$A36)</f>
        <v>1654686.6927880894</v>
      </c>
    </row>
    <row r="37" ht="15" customHeight="true">
      <c r="A37" s="30" t="n">
        <v>21</v>
      </c>
      <c r="B37" s="249" t="n">
        <f>B36*(1+B$6-B$7)+'Omsætningsopsætning'!$L$14*(1+B$12)^($A37-1)</f>
        <v>260909.64708748608</v>
      </c>
      <c r="C37" s="249" t="n">
        <f>C36*(1+C$6-C$7)+'Omsætningsopsætning'!$L$14*(1+C$12)^($A37-1)</f>
        <v>709757.2865751247</v>
      </c>
      <c r="D37" s="250" t="n">
        <f>D36*(1+D$6-D$7)+'Omsætningsopsætning'!$L$14*(1+D$12)^($A37-1)</f>
        <v>1788948.5712010541</v>
      </c>
      <c r="F37" s="416" t="n">
        <f>IF((B37*(1-B$13)*B$8)-('Bemanding og kompensation'!$J$13*(1+0.02*B$11)^($A37-1))-('Omkostningsopsætning'!$D$18*(1+B$10)^($A37-1))-(B37*(1-B$13)*('Omkostningsopsætning'!$E$18+B$9))&gt;0,(B37*(1-B$13)*B$8)-('Bemanding og kompensation'!$J$13*(1+0.02*B$11)^($A37-1))-('Omkostningsopsætning'!$D$18*(1+B$10)^($A37-1))-(B37*(1-B$13)*('Omkostningsopsætning'!$E$18+B$9))*(1-'Inputantagelser'!$B$12),(B37*(1-B$13)*B$8)-('Bemanding og kompensation'!$J$13*(1+0.02*B$11)^($A37-1))-('Omkostningsopsætning'!$D$18*(1+B$10)^($A37-1))-(B37*(1-B$13)*('Omkostningsopsætning'!$E$18+B$9)))</f>
        <v>-401213.2758142259</v>
      </c>
      <c r="G37" s="249" t="n">
        <f>IF((C37*(1-C$13)*C$8)-('Bemanding og kompensation'!$J$13*(1+0.02*C$11)^($A37-1))-('Omkostningsopsætning'!$D$18*(1+C$10)^($A37-1))-(C37*(1-C$13)*('Omkostningsopsætning'!$E$18+C$9))&gt;0,(C37*(1-C$13)*C$8)-('Bemanding og kompensation'!$J$13*(1+0.02*C$11)^($A37-1))-('Omkostningsopsætning'!$D$18*(1+C$10)^($A37-1))-(C37*(1-C$13)*('Omkostningsopsætning'!$E$18+C$9))*(1-'Inputantagelser'!$B$12),(C37*(1-C$13)*C$8)-('Bemanding og kompensation'!$J$13*(1+0.02*C$11)^($A37-1))-('Omkostningsopsætning'!$D$18*(1+C$10)^($A37-1))-(C37*(1-C$13)*('Omkostningsopsætning'!$E$18+C$9)))</f>
        <v>-207903.40477678995</v>
      </c>
      <c r="H37" s="250" t="n">
        <f>IF((D37*(1-D$13)*D$8)-('Bemanding og kompensation'!$J$13*(1+0.02*D$11)^($A37-1))-('Omkostningsopsætning'!$D$18*(1+D$10)^($A37-1))-(D37*(1-D$13)*('Omkostningsopsætning'!$E$18+D$9))&gt;0,(D37*(1-D$13)*D$8)-('Bemanding og kompensation'!$J$13*(1+0.02*D$11)^($A37-1))-('Omkostningsopsætning'!$D$18*(1+D$10)^($A37-1))-(D37*(1-D$13)*('Omkostningsopsætning'!$E$18+D$9))*(1-'Inputantagelser'!$B$12),(D37*(1-D$13)*D$8)-('Bemanding og kompensation'!$J$13*(1+0.02*D$11)^($A37-1))-('Omkostningsopsætning'!$D$18*(1+D$10)^($A37-1))-(D37*(1-D$13)*('Omkostningsopsætning'!$E$18+D$9)))</f>
        <v>486083.15781088534</v>
      </c>
      <c r="J37" s="416" t="n">
        <f>J36+F37-INDEX('Startup-investering'!$C$34:$Z$34,1,$A37)</f>
        <v>-5099850.394974563</v>
      </c>
      <c r="K37" s="249" t="n">
        <f>K36+G37-INDEX('Startup-investering'!$C$34:$Z$34,1,$A37)</f>
        <v>-2952820.5605159113</v>
      </c>
      <c r="L37" s="250" t="n">
        <f>L36+H37-INDEX('Startup-investering'!$C$34:$Z$34,1,$A37)</f>
        <v>2140769.8505989746</v>
      </c>
    </row>
    <row r="38" ht="15" customHeight="true">
      <c r="A38" s="30" t="n">
        <v>22</v>
      </c>
      <c r="B38" s="249" t="n">
        <f>B37*(1+B$6-B$7)+'Omsætningsopsætning'!$L$14*(1+B$12)^($A38-1)</f>
        <v>263473.26120398665</v>
      </c>
      <c r="C38" s="249" t="n">
        <f>C37*(1+C$6-C$7)+'Omsætningsopsætning'!$L$14*(1+C$12)^($A38-1)</f>
        <v>747071.1003968953</v>
      </c>
      <c r="D38" s="250" t="n">
        <f>D37*(1+D$6-D$7)+'Omsætningsopsætning'!$L$14*(1+D$12)^($A38-1)</f>
        <v>1969657.6050798222</v>
      </c>
      <c r="F38" s="416" t="n">
        <f>IF((B38*(1-B$13)*B$8)-('Bemanding og kompensation'!$J$13*(1+0.02*B$11)^($A38-1))-('Omkostningsopsætning'!$D$18*(1+B$10)^($A38-1))-(B38*(1-B$13)*('Omkostningsopsætning'!$E$18+B$9))&gt;0,(B38*(1-B$13)*B$8)-('Bemanding og kompensation'!$J$13*(1+0.02*B$11)^($A38-1))-('Omkostningsopsætning'!$D$18*(1+B$10)^($A38-1))-(B38*(1-B$13)*('Omkostningsopsætning'!$E$18+B$9))*(1-'Inputantagelser'!$B$12),(B38*(1-B$13)*B$8)-('Bemanding og kompensation'!$J$13*(1+0.02*B$11)^($A38-1))-('Omkostningsopsætning'!$D$18*(1+B$10)^($A38-1))-(B38*(1-B$13)*('Omkostningsopsætning'!$E$18+B$9)))</f>
        <v>-407200.4800292865</v>
      </c>
      <c r="G38" s="249" t="n">
        <f>IF((C38*(1-C$13)*C$8)-('Bemanding og kompensation'!$J$13*(1+0.02*C$11)^($A38-1))-('Omkostningsopsætning'!$D$18*(1+C$10)^($A38-1))-(C38*(1-C$13)*('Omkostningsopsætning'!$E$18+C$9))&gt;0,(C38*(1-C$13)*C$8)-('Bemanding og kompensation'!$J$13*(1+0.02*C$11)^($A38-1))-('Omkostningsopsætning'!$D$18*(1+C$10)^($A38-1))-(C38*(1-C$13)*('Omkostningsopsætning'!$E$18+C$9))*(1-'Inputantagelser'!$B$12),(C38*(1-C$13)*C$8)-('Bemanding og kompensation'!$J$13*(1+0.02*C$11)^($A38-1))-('Omkostningsopsætning'!$D$18*(1+C$10)^($A38-1))-(C38*(1-C$13)*('Omkostningsopsætning'!$E$18+C$9)))</f>
        <v>-201968.33115899973</v>
      </c>
      <c r="H38" s="250" t="n">
        <f>IF((D38*(1-D$13)*D$8)-('Bemanding og kompensation'!$J$13*(1+0.02*D$11)^($A38-1))-('Omkostningsopsætning'!$D$18*(1+D$10)^($A38-1))-(D38*(1-D$13)*('Omkostningsopsætning'!$E$18+D$9))&gt;0,(D38*(1-D$13)*D$8)-('Bemanding og kompensation'!$J$13*(1+0.02*D$11)^($A38-1))-('Omkostningsopsætning'!$D$18*(1+D$10)^($A38-1))-(D38*(1-D$13)*('Omkostningsopsætning'!$E$18+D$9))*(1-'Inputantagelser'!$B$12),(D38*(1-D$13)*D$8)-('Bemanding og kompensation'!$J$13*(1+0.02*D$11)^($A38-1))-('Omkostningsopsætning'!$D$18*(1+D$10)^($A38-1))-(D38*(1-D$13)*('Omkostningsopsætning'!$E$18+D$9)))</f>
        <v>575739.3807398404</v>
      </c>
      <c r="J38" s="416" t="n">
        <f>J37+F38-INDEX('Startup-investering'!$C$34:$Z$34,1,$A38)</f>
        <v>-5507050.87500385</v>
      </c>
      <c r="K38" s="249" t="n">
        <f>K37+G38-INDEX('Startup-investering'!$C$34:$Z$34,1,$A38)</f>
        <v>-3154788.891674911</v>
      </c>
      <c r="L38" s="250" t="n">
        <f>L37+H38-INDEX('Startup-investering'!$C$34:$Z$34,1,$A38)</f>
        <v>2716509.231338815</v>
      </c>
    </row>
    <row r="39" ht="15" customHeight="true">
      <c r="A39" s="30" t="n">
        <v>23</v>
      </c>
      <c r="B39" s="249" t="n">
        <f>B38*(1+B$6-B$7)+'Omsætningsopsætning'!$L$14*(1+B$12)^($A39-1)</f>
        <v>265934.3307558272</v>
      </c>
      <c r="C39" s="249" t="n">
        <f>C38*(1+C$6-C$7)+'Omsætningsopsætning'!$L$14*(1+C$12)^($A39-1)</f>
        <v>785664.5395855642</v>
      </c>
      <c r="D39" s="250" t="n">
        <f>D38*(1+D$6-D$7)+'Omsætningsopsætning'!$L$14*(1+D$12)^($A39-1)</f>
        <v>2167024.525257093</v>
      </c>
      <c r="F39" s="416" t="n">
        <f>IF((B39*(1-B$13)*B$8)-('Bemanding og kompensation'!$J$13*(1+0.02*B$11)^($A39-1))-('Omkostningsopsætning'!$D$18*(1+B$10)^($A39-1))-(B39*(1-B$13)*('Omkostningsopsætning'!$E$18+B$9))&gt;0,(B39*(1-B$13)*B$8)-('Bemanding og kompensation'!$J$13*(1+0.02*B$11)^($A39-1))-('Omkostningsopsætning'!$D$18*(1+B$10)^($A39-1))-(B39*(1-B$13)*('Omkostningsopsætning'!$E$18+B$9))*(1-'Inputantagelser'!$B$12),(B39*(1-B$13)*B$8)-('Bemanding og kompensation'!$J$13*(1+0.02*B$11)^($A39-1))-('Omkostningsopsætning'!$D$18*(1+B$10)^($A39-1))-(B39*(1-B$13)*('Omkostningsopsætning'!$E$18+B$9)))</f>
        <v>-413300.7454582039</v>
      </c>
      <c r="G39" s="249" t="n">
        <f>IF((C39*(1-C$13)*C$8)-('Bemanding og kompensation'!$J$13*(1+0.02*C$11)^($A39-1))-('Omkostningsopsætning'!$D$18*(1+C$10)^($A39-1))-(C39*(1-C$13)*('Omkostningsopsætning'!$E$18+C$9))&gt;0,(C39*(1-C$13)*C$8)-('Bemanding og kompensation'!$J$13*(1+0.02*C$11)^($A39-1))-('Omkostningsopsætning'!$D$18*(1+C$10)^($A39-1))-(C39*(1-C$13)*('Omkostningsopsætning'!$E$18+C$9))*(1-'Inputantagelser'!$B$12),(C39*(1-C$13)*C$8)-('Bemanding og kompensation'!$J$13*(1+0.02*C$11)^($A39-1))-('Omkostningsopsætning'!$D$18*(1+C$10)^($A39-1))-(C39*(1-C$13)*('Omkostningsopsætning'!$E$18+C$9)))</f>
        <v>-195700.5252618222</v>
      </c>
      <c r="H39" s="250" t="n">
        <f>IF((D39*(1-D$13)*D$8)-('Bemanding og kompensation'!$J$13*(1+0.02*D$11)^($A39-1))-('Omkostningsopsætning'!$D$18*(1+D$10)^($A39-1))-(D39*(1-D$13)*('Omkostningsopsætning'!$E$18+D$9))&gt;0,(D39*(1-D$13)*D$8)-('Bemanding og kompensation'!$J$13*(1+0.02*D$11)^($A39-1))-('Omkostningsopsætning'!$D$18*(1+D$10)^($A39-1))-(D39*(1-D$13)*('Omkostningsopsætning'!$E$18+D$9))*(1-'Inputantagelser'!$B$12),(D39*(1-D$13)*D$8)-('Bemanding og kompensation'!$J$13*(1+0.02*D$11)^($A39-1))-('Omkostningsopsætning'!$D$18*(1+D$10)^($A39-1))-(D39*(1-D$13)*('Omkostningsopsætning'!$E$18+D$9)))</f>
        <v>674378.7662540002</v>
      </c>
      <c r="J39" s="416" t="n">
        <f>J38+F39-INDEX('Startup-investering'!$C$34:$Z$34,1,$A39)</f>
        <v>-5920351.620462054</v>
      </c>
      <c r="K39" s="249" t="n">
        <f>K38+G39-INDEX('Startup-investering'!$C$34:$Z$34,1,$A39)</f>
        <v>-3350489.4169367333</v>
      </c>
      <c r="L39" s="250" t="n">
        <f>L38+H39-INDEX('Startup-investering'!$C$34:$Z$34,1,$A39)</f>
        <v>3390887.997592815</v>
      </c>
    </row>
    <row r="40" ht="15" customHeight="true">
      <c r="A40" s="32" t="n">
        <v>24</v>
      </c>
      <c r="B40" s="313" t="n">
        <f>B39*(1+B$6-B$7)+'Omsætningsopsætning'!$L$14*(1+B$12)^($A40-1)</f>
        <v>268296.95752559416</v>
      </c>
      <c r="C40" s="313" t="n">
        <f>C39*(1+C$6-C$7)+'Omsætningsopsætning'!$L$14*(1+C$12)^($A40-1)</f>
        <v>825577.5950116607</v>
      </c>
      <c r="D40" s="314" t="n">
        <f>D39*(1+D$6-D$7)+'Omsætningsopsætning'!$L$14*(1+D$12)^($A40-1)</f>
        <v>2382556.4229647196</v>
      </c>
      <c r="F40" s="417" t="n">
        <f>IF((B40*(1-B$13)*B$8)-('Bemanding og kompensation'!$J$13*(1+0.02*B$11)^($A40-1))-('Omkostningsopsætning'!$D$18*(1+B$10)^($A40-1))-(B40*(1-B$13)*('Omkostningsopsætning'!$E$18+B$9))&gt;0,(B40*(1-B$13)*B$8)-('Bemanding og kompensation'!$J$13*(1+0.02*B$11)^($A40-1))-('Omkostningsopsætning'!$D$18*(1+B$10)^($A40-1))-(B40*(1-B$13)*('Omkostningsopsætning'!$E$18+B$9))*(1-'Inputantagelser'!$B$12),(B40*(1-B$13)*B$8)-('Bemanding og kompensation'!$J$13*(1+0.02*B$11)^($A40-1))-('Omkostningsopsætning'!$D$18*(1+B$10)^($A40-1))-(B40*(1-B$13)*('Omkostningsopsætning'!$E$18+B$9)))</f>
        <v>-419514.6164601133</v>
      </c>
      <c r="G40" s="313" t="n">
        <f>IF((C40*(1-C$13)*C$8)-('Bemanding og kompensation'!$J$13*(1+0.02*C$11)^($A40-1))-('Omkostningsopsætning'!$D$18*(1+C$10)^($A40-1))-(C40*(1-C$13)*('Omkostningsopsætning'!$E$18+C$9))&gt;0,(C40*(1-C$13)*C$8)-('Bemanding og kompensation'!$J$13*(1+0.02*C$11)^($A40-1))-('Omkostningsopsætning'!$D$18*(1+C$10)^($A40-1))-(C40*(1-C$13)*('Omkostningsopsætning'!$E$18+C$9))*(1-'Inputantagelser'!$B$12),(C40*(1-C$13)*C$8)-('Bemanding og kompensation'!$J$13*(1+0.02*C$11)^($A40-1))-('Omkostningsopsætning'!$D$18*(1+C$10)^($A40-1))-(C40*(1-C$13)*('Omkostningsopsætning'!$E$18+C$9)))</f>
        <v>-189087.79914990213</v>
      </c>
      <c r="H40" s="314" t="n">
        <f>IF((D40*(1-D$13)*D$8)-('Bemanding og kompensation'!$J$13*(1+0.02*D$11)^($A40-1))-('Omkostningsopsætning'!$D$18*(1+D$10)^($A40-1))-(D40*(1-D$13)*('Omkostningsopsætning'!$E$18+D$9))&gt;0,(D40*(1-D$13)*D$8)-('Bemanding og kompensation'!$J$13*(1+0.02*D$11)^($A40-1))-('Omkostningsopsætning'!$D$18*(1+D$10)^($A40-1))-(D40*(1-D$13)*('Omkostningsopsætning'!$E$18+D$9))*(1-'Inputantagelser'!$B$12),(D40*(1-D$13)*D$8)-('Bemanding og kompensation'!$J$13*(1+0.02*D$11)^($A40-1))-('Omkostningsopsætning'!$D$18*(1+D$10)^($A40-1))-(D40*(1-D$13)*('Omkostningsopsætning'!$E$18+D$9)))</f>
        <v>782830.7564491036</v>
      </c>
      <c r="J40" s="417" t="n">
        <f>J39+F40-INDEX('Startup-investering'!$C$34:$Z$34,1,$A40)</f>
        <v>-6339866.236922167</v>
      </c>
      <c r="K40" s="313" t="n">
        <f>K39+G40-INDEX('Startup-investering'!$C$34:$Z$34,1,$A40)</f>
        <v>-3539577.2160866354</v>
      </c>
      <c r="L40" s="314" t="n">
        <f>L39+H40-INDEX('Startup-investering'!$C$34:$Z$34,1,$A40)</f>
        <v>4173718.7540419186</v>
      </c>
    </row>
  </sheetData>
  <conditionalFormatting sqref="F17:H40">
    <cfRule type="cellIs" dxfId="6" priority="1" operator="lessThan">
      <formula>0</formula>
    </cfRule>
  </conditionalFormatting>
  <conditionalFormatting sqref="J17:L40">
    <cfRule type="expression" dxfId="7" priority="2">
      <formula>J17&lt;'Inputantagelser'!$B$15</formula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pageMargins left="0.7" right="0.7" top="0.75" bottom="0.75" header="0.3" footer="0.3"/>
  <drawing r:id="Rf3fca27e3c2d461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Skabelon til startup-driftsomkostninger og resultatprognose</dc:title>
  <dc:creator>Finite Field</dc:creator>
  <dc:description>Spor antagelser, omsætningsopsætning, bemanding, driftsomkostninger, startup-investering, resultat og scenariesammenligning i én projektmappe.</dc:description>
  <lastModifiedBy/>
  <category>Finance</category>
</coreProperties>
</file>