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Relationships xmlns="http://schemas.openxmlformats.org/package/2006/relationships"><Relationship Id="R338162336911464e"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sheets>
    <sheet name="使い方" sheetId="1" r:id="R40fae1684e3648ac"/>
    <sheet name="会計マスタ" sheetId="2" r:id="R6fec2ee83cad4f74"/>
    <sheet name="月次入力" sheetId="3" r:id="R5ad16336c8fa48c4"/>
    <sheet name="損益計算書" sheetId="4" r:id="R891d11e7917a4439"/>
    <sheet name="年間集計" sheetId="5" r:id="Raf264d7a2fa548d6"/>
    <sheet name="ダッシュボード" sheetId="6" r:id="Rf4e8ffde7bfd4248"/>
  </sheets>
</workbook>
</file>

<file path=xl/sharedStrings.xml><?xml version="1.0" encoding="utf-8"?>
<sst xmlns="http://schemas.openxmlformats.org/spreadsheetml/2006/main" count="134" uniqueCount="134">
  <si>
    <t>汎用損益計算書テンプレート</t>
  </si>
  <si>
    <t>サービス業、小売、EC、製造、プロジェクト型企業など幅広い業態に対応します。まず会計項目を整え、その後に月次金額を入力すると、損益計算書とダッシュボードが自動集計されます。</t>
  </si>
  <si>
    <t>使い方</t>
  </si>
  <si>
    <t>説明</t>
  </si>
  <si>
    <t>1. 会社名と年度を設定します</t>
  </si>
  <si>
    <t>「損益計算書」シートの上部で会社名と年度を変更します。</t>
  </si>
  <si>
    <t>2. 会計項目を管理します</t>
  </si>
  <si>
    <t>「会計項目設定」シートで売上、原価、費用、税金などの会計項目を管理します。</t>
  </si>
  <si>
    <t>3. 月次データを入力します</t>
  </si>
  <si>
    <t>「月次入力」シートで月、部門、事業ライン、案件、会計項目ごとに金額を入力します。</t>
  </si>
  <si>
    <t>4. 損益計算書を確認します</t>
  </si>
  <si>
    <t>売上高、売上原価、売上総利益、営業利益、当期純利益などが自動で集計されます。</t>
  </si>
  <si>
    <t>5. 集計ダッシュボードを確認します</t>
  </si>
  <si>
    <t>年間集計とダッシュボードにより、重要な経営指標が自動表示されます。</t>
  </si>
  <si>
    <t>6. 必要に応じて拡張します</t>
  </si>
  <si>
    <t>部門、事業ライン、顧客/案件、会計項目を追プラスして、さまざまな会社に合わせて拡張できます。</t>
  </si>
  <si>
    <t>入力ルール: 売上、原価、費用、税金はすべて正の数で入力します。テンプレート側で損益計算書の区分に応じて自動でプラス算・減算されます。</t>
  </si>
  <si>
    <t>勘定コード</t>
  </si>
  <si>
    <t>会計項目名</t>
  </si>
  <si>
    <t>損益区分</t>
  </si>
  <si>
    <t>符号</t>
  </si>
  <si>
    <t>主要項目か</t>
  </si>
  <si>
    <t>適用業務シーン</t>
  </si>
  <si>
    <t>備考</t>
  </si>
  <si>
    <t>有効</t>
  </si>
  <si>
    <t>主力事業売上</t>
  </si>
  <si>
    <t>売上高</t>
  </si>
  <si>
    <t>プラス</t>
  </si>
  <si>
    <t>はい</t>
  </si>
  <si>
    <t>汎用・サービス・小売・EC・製造</t>
  </si>
  <si>
    <t>主要な販売・サービス収入</t>
  </si>
  <si>
    <t>その他事業収入</t>
  </si>
  <si>
    <t>いいえ</t>
  </si>
  <si>
    <t>複数事業ライン</t>
  </si>
  <si>
    <t>主力ではないが継続的な収入</t>
  </si>
  <si>
    <t>商品・材料原価</t>
  </si>
  <si>
    <t>売上原価</t>
  </si>
  <si>
    <t>減算</t>
  </si>
  <si>
    <t>小売 / EC / 製造</t>
  </si>
  <si>
    <t>販売商品または生産材料の原価</t>
  </si>
  <si>
    <t>外注サービス原価</t>
  </si>
  <si>
    <t>サービス・プロジェクト型</t>
  </si>
  <si>
    <t>案件外注・導入サービス原価</t>
  </si>
  <si>
    <t>販売費</t>
  </si>
  <si>
    <t>汎用</t>
  </si>
  <si>
    <t>広告費、手数料、チャネル費</t>
  </si>
  <si>
    <t>管理費</t>
  </si>
  <si>
    <t>事務、管理、人事、管理関連支出</t>
  </si>
  <si>
    <t>研究開発費</t>
  </si>
  <si>
    <t>テック・製造</t>
  </si>
  <si>
    <t>研究開発人員、テスト、クラウド資源など</t>
  </si>
  <si>
    <t>財務費用</t>
  </si>
  <si>
    <t>利息、手数料、為替差損益</t>
  </si>
  <si>
    <t>その他収益</t>
  </si>
  <si>
    <t>補助金、政府助成金など</t>
  </si>
  <si>
    <t>営業外収益</t>
  </si>
  <si>
    <t>営業外損益</t>
  </si>
  <si>
    <t>非経常収入</t>
  </si>
  <si>
    <t>営業外費用</t>
  </si>
  <si>
    <t>罰金、寄付、損失など</t>
  </si>
  <si>
    <t>法人税等</t>
  </si>
  <si>
    <t>法人法人税</t>
  </si>
  <si>
    <t>月次損益データ入力</t>
  </si>
  <si>
    <t>日付</t>
  </si>
  <si>
    <t>年度</t>
  </si>
  <si>
    <t>月</t>
  </si>
  <si>
    <t>部門</t>
  </si>
  <si>
    <t>事業ライン</t>
  </si>
  <si>
    <t>顧客・案件</t>
  </si>
  <si>
    <t>金額</t>
  </si>
  <si>
    <t>入力者</t>
  </si>
  <si>
    <t>営業部</t>
  </si>
  <si>
    <t>オンライン事業</t>
  </si>
  <si>
    <t>ECモール売上</t>
  </si>
  <si>
    <t>売上サンプル</t>
  </si>
  <si>
    <t>経理</t>
  </si>
  <si>
    <t>店舗事業</t>
  </si>
  <si>
    <t>店舗売上</t>
  </si>
  <si>
    <t>オペレーション部</t>
  </si>
  <si>
    <t>購買</t>
  </si>
  <si>
    <t>原価サンプル</t>
  </si>
  <si>
    <t>広告投下</t>
  </si>
  <si>
    <t>費用サンプル</t>
  </si>
  <si>
    <t>本部</t>
  </si>
  <si>
    <t>総務業務</t>
  </si>
  <si>
    <t>開発部</t>
  </si>
  <si>
    <t>製品ラインA</t>
  </si>
  <si>
    <t>研究開発投資</t>
  </si>
  <si>
    <t>財務部</t>
  </si>
  <si>
    <t>銀行手数料</t>
  </si>
  <si>
    <t>法人税</t>
  </si>
  <si>
    <t>税金サンプル</t>
  </si>
  <si>
    <t>損益計算書（月次）</t>
  </si>
  <si>
    <t>会社名</t>
  </si>
  <si>
    <t>青峰商事</t>
  </si>
  <si>
    <t>項目</t>
  </si>
  <si>
    <t>年間合計</t>
  </si>
  <si>
    <t>売上総利益</t>
  </si>
  <si>
    <t>売上総利益率</t>
  </si>
  <si>
    <t>営業利益</t>
  </si>
  <si>
    <t>営業利益率</t>
  </si>
  <si>
    <t>税引前利益</t>
  </si>
  <si>
    <t>当期純利益</t>
  </si>
  <si>
    <t>当期純利益率</t>
  </si>
  <si>
    <t>年間集計分析</t>
  </si>
  <si>
    <t>指標</t>
  </si>
  <si>
    <t>金額・比率</t>
  </si>
  <si>
    <t>計算ロジック</t>
  </si>
  <si>
    <t>年間売上合計</t>
  </si>
  <si>
    <t>会社規模と成長基盤を把握します</t>
  </si>
  <si>
    <t>年間原価合計</t>
  </si>
  <si>
    <t>粗利計算に使用</t>
  </si>
  <si>
    <t>売上 - 原価</t>
  </si>
  <si>
    <t>主な営業余地</t>
  </si>
  <si>
    <t>粗利 ÷ 売上</t>
  </si>
  <si>
    <t>製品・サービスの収益力</t>
  </si>
  <si>
    <t>粗利 - 期間費用</t>
  </si>
  <si>
    <t>主力事業の成果</t>
  </si>
  <si>
    <t>営業利益 ÷ 売上</t>
  </si>
  <si>
    <t>営業効率</t>
  </si>
  <si>
    <t>税引前利益 - 法人税</t>
  </si>
  <si>
    <t>最終利益</t>
  </si>
  <si>
    <t>当期純利益 ÷ 売上</t>
  </si>
  <si>
    <t>最終収益力</t>
  </si>
  <si>
    <t>損益計算ダッシュボード</t>
  </si>
  <si>
    <t>主要指標</t>
  </si>
  <si>
    <t>当年数</t>
  </si>
  <si>
    <t>管理メモ</t>
  </si>
  <si>
    <t>1. 売上高、粗利率、純利益率を継続的に比較し、売上成長が本当に利益につながっているかをすばやく見極めます。</t>
  </si>
  <si>
    <t>2. 原価や販売費が異常に増えた場合は、事業ライン、部門、顧客/案件ごとに遡って確認します。</t>
  </si>
  <si>
    <t>3. プロジェクト型、小売、EC、製造の会社では、月次入力に事業ラインの次元を追プラスできます。</t>
  </si>
  <si>
    <t>4. 毎月の締め後は当月データをロックし、過去の集計口径が何度も変わらないようにします。</t>
  </si>
  <si>
    <t>5. 本テンプレートは管理用の汎用モデルであり、会計基準に合わせて会計項目をさらに細分化できます。</t>
  </si>
  <si>
    <t>このリンクはローカルアドレスのため、現在の環境ではページ内容を読み取れません。本テンプレートは金融経費精算記録の共通項目、内部統制要件、複数の業務シーンに基づいて構成しています。</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</si>
</sst>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2">
    <numFmt numFmtId="200" formatCode="¥#,##0;[Red]-¥#,##0;¥0"/>
    <numFmt numFmtId="201" formatCode="0.0%"/>
  </numFmts>
  <fonts count="1">
    <font>
      <sz val="11"/>
      <name val="Carlito"/>
    </font>
  </fonts>
  <fills count="4">
    <fill>
      <patternFill patternType="none"/>
    </fill>
    <fill>
      <patternFill patternType="gray125"/>
    </fill>
    <fill>
      <patternFill patternType="solid">
        <fgColor rgb="EAF2FF"/>
      </patternFill>
    </fill>
    <fill>
      <patternFill patternType="solid">
        <fgColor rgb="FFF7ED"/>
      </patternFill>
    </fill>
  </fills>
  <borders count="2">
    <border/>
    <border/>
  </borders>
  <cellStyleXfs count="1">
    <xf numFmtId="0" fontId="0" fillId="0" borderId="0"/>
  </cellStyleXfs>
  <cellXfs count="16">
    <xf numFmtId="0" fontId="0" fillId="0" borderId="0" xfId="0"/>
    <xf numFmtId="0" fontId="0" fillId="0" borderId="1" xfId="0" applyNumberFormat="true" applyFont="true" applyFill="true" applyBorder="true"/>
    <xf numFmtId="0" fontId="0" fillId="2" borderId="0" xfId="0" applyNumberFormat="true" applyFont="true" applyFill="true" applyBorder="true"/>
    <xf numFmtId="0" fontId="0" fillId="2" borderId="0" xfId="0" applyNumberFormat="true" applyFont="true" applyFill="true" applyBorder="true" applyAlignment="true">
      <alignment horizontal="center"/>
    </xf>
    <xf numFmtId="0" fontId="0" fillId="2" borderId="0" xfId="0" applyNumberFormat="true" applyFont="true" applyFill="true" applyBorder="true" applyAlignment="true">
      <alignment horizontal="center" vertical="center"/>
    </xf>
    <xf numFmtId="0" fontId="0" fillId="2" borderId="1" xfId="0" applyNumberFormat="true" applyFont="true" applyFill="true" applyBorder="true"/>
    <xf numFmtId="0" fontId="0" fillId="2" borderId="1" xfId="0" applyNumberFormat="true" applyFont="true" applyFill="true" applyBorder="true" applyAlignment="true">
      <alignment horizontal="center"/>
    </xf>
    <xf numFmtId="0" fontId="0" fillId="2" borderId="1" xfId="0" applyNumberFormat="true" applyFont="true" applyFill="true" applyBorder="true" applyAlignment="true">
      <alignment horizontal="center" vertical="center"/>
    </xf>
    <xf numFmtId="0" fontId="0" fillId="3" borderId="0" xfId="0" applyNumberFormat="true" applyFont="true" applyFill="true" applyBorder="true"/>
    <xf numFmtId="0" fontId="0" fillId="3" borderId="1" xfId="0" applyNumberFormat="true" applyFont="true" applyFill="true" applyBorder="true"/>
    <xf numFmtId="200" fontId="0" fillId="0" borderId="0" xfId="0" applyNumberFormat="true" applyFont="true" applyFill="true" applyBorder="true"/>
    <xf numFmtId="200" fontId="0" fillId="0" borderId="1" xfId="0" applyNumberFormat="true" applyFont="true" applyFill="true" applyBorder="true"/>
    <xf numFmtId="201" fontId="0" fillId="0" borderId="0" xfId="0" applyNumberFormat="true" applyFont="true" applyFill="true" applyBorder="true"/>
    <xf numFmtId="201" fontId="0" fillId="0" borderId="1" xfId="0" applyNumberFormat="true" applyFont="true" applyFill="true" applyBorder="true"/>
    <xf numFmtId="0" fontId="0" fillId="0" borderId="0" xfId="0" applyNumberFormat="true" applyFont="true" applyFill="true" applyBorder="true" applyAlignment="true">
      <alignment vertical="center"/>
    </xf>
    <xf numFmtId="0" fontId="0" fillId="0" borderId="1" xfId="0" applyNumberFormat="true" applyFont="true" applyFill="true" applyBorder="true" applyAlignment="true">
      <alignment vertical="center"/>
    </xf>
  </cellXfs>
  <cellStyles count="1">
    <cellStyle name="Normal" xfId="0"/>
  </cellStyles>
</styleSheet>
</file>

<file path=xl/_rels/workbook.xml.rels><?xml version="1.0" encoding="UTF-8"?>
<Relationships xmlns="http://schemas.openxmlformats.org/package/2006/relationships"><Relationship Id="Rf9bd8966f8fc461d" Target="/xl/styles.xml" Type="http://schemas.openxmlformats.org/officeDocument/2006/relationships/styles"></Relationship><Relationship Id="Rd8c44b28154c4822" Target="/xl/theme/theme1.xml" Type="http://schemas.openxmlformats.org/officeDocument/2006/relationships/theme"></Relationship><Relationship Id="R13d8c58a06924560" Target="/xl/sharedStrings.xml" Type="http://schemas.openxmlformats.org/officeDocument/2006/relationships/sharedStrings"></Relationship><Relationship Id="R40fae1684e3648ac" Target="/xl/worksheets/sheet1.xml" Type="http://schemas.openxmlformats.org/officeDocument/2006/relationships/worksheet"></Relationship><Relationship Id="R6fec2ee83cad4f74" Target="/xl/worksheets/sheet2.xml" Type="http://schemas.openxmlformats.org/officeDocument/2006/relationships/worksheet"></Relationship><Relationship Id="R5ad16336c8fa48c4" Target="/xl/worksheets/sheet3.xml" Type="http://schemas.openxmlformats.org/officeDocument/2006/relationships/worksheet"></Relationship><Relationship Id="R891d11e7917a4439" Target="/xl/worksheets/sheet4.xml" Type="http://schemas.openxmlformats.org/officeDocument/2006/relationships/worksheet"></Relationship><Relationship Id="Raf264d7a2fa548d6" Target="/xl/worksheets/sheet5.xml" Type="http://schemas.openxmlformats.org/officeDocument/2006/relationships/worksheet"></Relationship><Relationship Id="Rf4e8ffde7bfd4248" Target="/xl/worksheets/sheet6.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x="http://schemas.openxmlformats.org/spreadsheetml/2006/main" xmlns="http://schemas.openxmlformats.org/spreadsheetml/2006/main">
  <sheetFormatPr defaultRowHeight="15"/>
  <cols>
    <col customWidth="true" max="1" min="1" width="18"/>
    <col customWidth="true" max="2" min="2" width="80"/>
  </cols>
  <sheetData>
    <row r="1">
      <c r="A1" s="14" t="s">
        <v>0</v>
      </c>
      <c r="B1" s="14"/>
      <c r="C1" s="14"/>
      <c r="D1" s="14"/>
      <c r="E1" s="14"/>
      <c r="F1" s="14"/>
      <c r="G1" s="14"/>
      <c r="H1" s="14"/>
      <c r="I1" s="14"/>
      <c r="J1" s="14"/>
      <c r="K1" s="14"/>
      <c r="L1" s="14"/>
      <c r="M1" s="14"/>
      <c r="N1" s="14"/>
      <c r="O1" s="14"/>
      <c r="P1" s="14"/>
      <c r="Q1" s="14"/>
      <c r="R1" s="14"/>
      <c r="S1" s="14"/>
      <c r="T1" s="14"/>
      <c r="U1" s="14"/>
      <c r="V1" s="14"/>
      <c r="W1" s="14"/>
      <c r="X1" s="14"/>
      <c r="Y1" s="14"/>
      <c r="Z1" s="14"/>
    </row>
    <row r="2"/>
    <row r="3">
      <c r="A3" t="s">
        <v>1</v>
      </c>
    </row>
    <row r="4"/>
    <row r="5">
      <c r="A5" s="4" t="s">
        <v>2</v>
      </c>
      <c r="B5" s="4" t="s">
        <v>3</v>
      </c>
    </row>
    <row r="6">
      <c r="A6" t="s">
        <v>4</v>
      </c>
      <c r="B6" t="s">
        <v>5</v>
      </c>
    </row>
    <row r="7">
      <c r="A7" t="s">
        <v>6</v>
      </c>
      <c r="B7" t="s">
        <v>7</v>
      </c>
    </row>
    <row r="8">
      <c r="A8" t="s">
        <v>8</v>
      </c>
      <c r="B8" t="s">
        <v>9</v>
      </c>
    </row>
    <row r="9">
      <c r="A9" t="s">
        <v>10</v>
      </c>
      <c r="B9" t="s">
        <v>11</v>
      </c>
    </row>
    <row r="10">
      <c r="A10" t="s">
        <v>12</v>
      </c>
      <c r="B10" t="s">
        <v>13</v>
      </c>
    </row>
    <row r="11">
      <c r="A11" t="s">
        <v>14</v>
      </c>
      <c r="B11" t="s">
        <v>15</v>
      </c>
    </row>
    <row r="12"/>
    <row r="13">
      <c r="A13" s="8" t="s">
        <v>16</v>
      </c>
    </row>
    <row r="14">
      <c r="B14" t="s">
        <v>133</v>
      </c>
    </row>
  </sheetData>
  <mergeCells count="3">
    <mergeCell ref="A1:F1"/>
    <mergeCell ref="A3:F3"/>
    <mergeCell ref="A13:F13"/>
  </mergeCells>
  <pageMargins left="0.7" right="0.7" top="0.75" bottom="0.75" header="0.3" footer="0.3"/>
</worksheet>
</file>

<file path=xl/worksheets/sheet2.xml><?xml version="1.0" encoding="utf-8"?>
<worksheet xmlns:x="http://schemas.openxmlformats.org/spreadsheetml/2006/main" xmlns="http://schemas.openxmlformats.org/spreadsheetml/2006/main">
  <sheetFormatPr defaultRowHeight="15"/>
  <cols>
    <col customWidth="true" max="8" min="1" width="16"/>
  </cols>
  <sheetData>
    <row r="1">
      <c r="A1" s="14" t="str">
        <v>会計マスタ</v>
      </c>
      <c r="B1" s="14"/>
      <c r="C1" s="14"/>
      <c r="D1" s="14"/>
      <c r="E1" s="14"/>
      <c r="F1" s="14"/>
      <c r="G1" s="14"/>
      <c r="H1" s="14"/>
      <c r="I1" s="14"/>
      <c r="J1" s="14"/>
      <c r="K1" s="14"/>
      <c r="L1" s="14"/>
      <c r="M1" s="14"/>
      <c r="N1" s="14"/>
      <c r="O1" s="14"/>
      <c r="P1" s="14"/>
      <c r="Q1" s="14"/>
      <c r="R1" s="14"/>
      <c r="S1" s="14"/>
      <c r="T1" s="14"/>
      <c r="U1" s="14"/>
      <c r="V1" s="14"/>
      <c r="W1" s="14"/>
      <c r="X1" s="14"/>
      <c r="Y1" s="14"/>
      <c r="Z1" s="14"/>
    </row>
    <row r="2"/>
    <row r="3">
      <c r="A3" s="4" t="s">
        <v>17</v>
      </c>
      <c r="B3" s="4" t="s">
        <v>18</v>
      </c>
      <c r="C3" s="4" t="s">
        <v>19</v>
      </c>
      <c r="D3" s="4" t="s">
        <v>20</v>
      </c>
      <c r="E3" s="4" t="s">
        <v>21</v>
      </c>
      <c r="F3" s="4" t="s">
        <v>22</v>
      </c>
      <c r="G3" s="4" t="s">
        <v>23</v>
      </c>
      <c r="H3" s="4" t="s">
        <v>24</v>
      </c>
    </row>
    <row r="4">
      <c r="A4" t="str">
        <v>REV-001</v>
      </c>
      <c r="B4" t="s">
        <v>25</v>
      </c>
      <c r="C4" t="s">
        <v>26</v>
      </c>
      <c r="D4" t="s">
        <v>27</v>
      </c>
      <c r="E4" t="s">
        <v>28</v>
      </c>
      <c r="F4" t="s">
        <v>29</v>
      </c>
      <c r="G4" t="s">
        <v>30</v>
      </c>
      <c r="H4" t="s">
        <v>28</v>
      </c>
    </row>
    <row r="5">
      <c r="A5" t="str">
        <v>REV-002</v>
      </c>
      <c r="B5" t="s">
        <v>31</v>
      </c>
      <c r="C5" t="s">
        <v>26</v>
      </c>
      <c r="D5" t="s">
        <v>27</v>
      </c>
      <c r="E5" t="s">
        <v>32</v>
      </c>
      <c r="F5" t="s">
        <v>33</v>
      </c>
      <c r="G5" t="s">
        <v>34</v>
      </c>
      <c r="H5" t="s">
        <v>28</v>
      </c>
    </row>
    <row r="6">
      <c r="A6" t="str">
        <v>COGS-001</v>
      </c>
      <c r="B6" t="s">
        <v>35</v>
      </c>
      <c r="C6" t="s">
        <v>36</v>
      </c>
      <c r="D6" t="s">
        <v>37</v>
      </c>
      <c r="E6" t="s">
        <v>28</v>
      </c>
      <c r="F6" t="s">
        <v>38</v>
      </c>
      <c r="G6" t="s">
        <v>39</v>
      </c>
      <c r="H6" t="s">
        <v>28</v>
      </c>
    </row>
    <row r="7">
      <c r="A7" t="str">
        <v>COGS-002</v>
      </c>
      <c r="B7" t="s">
        <v>40</v>
      </c>
      <c r="C7" t="s">
        <v>36</v>
      </c>
      <c r="D7" t="s">
        <v>37</v>
      </c>
      <c r="E7" t="s">
        <v>32</v>
      </c>
      <c r="F7" t="s">
        <v>41</v>
      </c>
      <c r="G7" t="s">
        <v>42</v>
      </c>
      <c r="H7" t="s">
        <v>28</v>
      </c>
    </row>
    <row r="8">
      <c r="A8" t="str">
        <v>OPEX-001</v>
      </c>
      <c r="B8" t="s">
        <v>43</v>
      </c>
      <c r="C8" t="s">
        <v>43</v>
      </c>
      <c r="D8" t="s">
        <v>37</v>
      </c>
      <c r="E8" t="s">
        <v>28</v>
      </c>
      <c r="F8" t="s">
        <v>44</v>
      </c>
      <c r="G8" t="s">
        <v>45</v>
      </c>
      <c r="H8" t="s">
        <v>28</v>
      </c>
    </row>
    <row r="9">
      <c r="A9" t="str">
        <v>OPEX-002</v>
      </c>
      <c r="B9" t="s">
        <v>46</v>
      </c>
      <c r="C9" t="s">
        <v>46</v>
      </c>
      <c r="D9" t="s">
        <v>37</v>
      </c>
      <c r="E9" t="s">
        <v>28</v>
      </c>
      <c r="F9" t="s">
        <v>44</v>
      </c>
      <c r="G9" t="s">
        <v>47</v>
      </c>
      <c r="H9" t="s">
        <v>28</v>
      </c>
    </row>
    <row r="10">
      <c r="A10" t="str">
        <v>OPEX-003</v>
      </c>
      <c r="B10" t="s">
        <v>48</v>
      </c>
      <c r="C10" t="s">
        <v>48</v>
      </c>
      <c r="D10" t="s">
        <v>37</v>
      </c>
      <c r="E10" t="s">
        <v>32</v>
      </c>
      <c r="F10" t="s">
        <v>49</v>
      </c>
      <c r="G10" t="s">
        <v>50</v>
      </c>
      <c r="H10" t="s">
        <v>28</v>
      </c>
    </row>
    <row r="11">
      <c r="A11" t="str">
        <v>OPEX-004</v>
      </c>
      <c r="B11" t="s">
        <v>51</v>
      </c>
      <c r="C11" t="s">
        <v>51</v>
      </c>
      <c r="D11" t="s">
        <v>37</v>
      </c>
      <c r="E11" t="s">
        <v>32</v>
      </c>
      <c r="F11" t="s">
        <v>44</v>
      </c>
      <c r="G11" t="s">
        <v>52</v>
      </c>
      <c r="H11" t="s">
        <v>28</v>
      </c>
    </row>
    <row r="12">
      <c r="A12" t="str">
        <v>OTHER-001</v>
      </c>
      <c r="B12" t="s">
        <v>53</v>
      </c>
      <c r="C12" t="s">
        <v>53</v>
      </c>
      <c r="D12" t="s">
        <v>27</v>
      </c>
      <c r="E12" t="s">
        <v>32</v>
      </c>
      <c r="F12" t="s">
        <v>44</v>
      </c>
      <c r="G12" t="s">
        <v>54</v>
      </c>
      <c r="H12" t="s">
        <v>28</v>
      </c>
    </row>
    <row r="13">
      <c r="A13" t="str">
        <v>OTHER-002</v>
      </c>
      <c r="B13" t="s">
        <v>55</v>
      </c>
      <c r="C13" t="s">
        <v>56</v>
      </c>
      <c r="D13" t="s">
        <v>27</v>
      </c>
      <c r="E13" t="s">
        <v>32</v>
      </c>
      <c r="F13" t="s">
        <v>44</v>
      </c>
      <c r="G13" t="s">
        <v>57</v>
      </c>
      <c r="H13" t="s">
        <v>28</v>
      </c>
    </row>
    <row r="14">
      <c r="A14" t="str">
        <v>OTHER-003</v>
      </c>
      <c r="B14" t="s">
        <v>58</v>
      </c>
      <c r="C14" t="s">
        <v>56</v>
      </c>
      <c r="D14" t="s">
        <v>37</v>
      </c>
      <c r="E14" t="s">
        <v>32</v>
      </c>
      <c r="F14" t="s">
        <v>44</v>
      </c>
      <c r="G14" t="s">
        <v>59</v>
      </c>
      <c r="H14" t="s">
        <v>28</v>
      </c>
    </row>
    <row r="15">
      <c r="A15" t="str">
        <v>TAX-001</v>
      </c>
      <c r="B15" t="s">
        <v>60</v>
      </c>
      <c r="C15" t="s">
        <v>60</v>
      </c>
      <c r="D15" t="s">
        <v>37</v>
      </c>
      <c r="E15" t="s">
        <v>28</v>
      </c>
      <c r="F15" t="s">
        <v>44</v>
      </c>
      <c r="G15" t="s">
        <v>61</v>
      </c>
      <c r="H15" t="s">
        <v>28</v>
      </c>
    </row>
  </sheetData>
  <mergeCells count="1">
    <mergeCell ref="A1:H1"/>
  </mergeCells>
  <pageMargins left="0.7" right="0.7" top="0.75" bottom="0.75" header="0.3" footer="0.3"/>
</worksheet>
</file>

<file path=xl/worksheets/sheet3.xml><?xml version="1.0" encoding="utf-8"?>
<worksheet xmlns:x="http://schemas.openxmlformats.org/spreadsheetml/2006/main" xmlns="http://schemas.openxmlformats.org/spreadsheetml/2006/main">
  <sheetFormatPr defaultRowHeight="15"/>
  <cols>
    <col customWidth="true" max="1" min="1" width="13"/>
    <col customWidth="true" max="3" min="2" width="4.139999866485596"/>
    <col customWidth="true" max="9" min="4" width="15"/>
    <col customWidth="true" max="12" min="10" width="13"/>
  </cols>
  <sheetData>
    <row r="1">
      <c r="A1" s="14" t="s">
        <v>62</v>
      </c>
      <c r="B1" s="14"/>
      <c r="C1" s="14"/>
      <c r="D1" s="14"/>
      <c r="E1" s="14"/>
      <c r="F1" s="14"/>
      <c r="G1" s="14"/>
      <c r="H1" s="14"/>
      <c r="I1" s="14"/>
      <c r="J1" s="14"/>
      <c r="K1" s="14"/>
      <c r="L1" s="14"/>
      <c r="M1" s="14"/>
      <c r="N1" s="14"/>
      <c r="O1" s="14"/>
      <c r="P1" s="14"/>
      <c r="Q1" s="14"/>
      <c r="R1" s="14"/>
      <c r="S1" s="14"/>
      <c r="T1" s="14"/>
      <c r="U1" s="14"/>
      <c r="V1" s="14"/>
      <c r="W1" s="14"/>
      <c r="X1" s="14"/>
      <c r="Y1" s="14"/>
      <c r="Z1" s="14"/>
    </row>
    <row r="2"/>
    <row r="3">
      <c r="A3" s="4" t="s">
        <v>63</v>
      </c>
      <c r="B3" s="4" t="s">
        <v>64</v>
      </c>
      <c r="C3" s="4" t="s">
        <v>65</v>
      </c>
      <c r="D3" s="4" t="s">
        <v>66</v>
      </c>
      <c r="E3" s="4" t="s">
        <v>67</v>
      </c>
      <c r="F3" s="4" t="s">
        <v>68</v>
      </c>
      <c r="G3" s="4" t="s">
        <v>17</v>
      </c>
      <c r="H3" s="4" t="s">
        <v>18</v>
      </c>
      <c r="I3" s="4" t="s">
        <v>19</v>
      </c>
      <c r="J3" s="4" t="s">
        <v>69</v>
      </c>
      <c r="K3" s="4" t="s">
        <v>23</v>
      </c>
      <c r="L3" s="4" t="s">
        <v>70</v>
      </c>
    </row>
    <row r="4">
      <c r="A4" t="str">
        <v>2026-01-31</v>
      </c>
      <c r="B4" t="n">
        <v>2026</v>
      </c>
      <c r="C4" t="n">
        <v>1</v>
      </c>
      <c r="D4" t="s">
        <v>71</v>
      </c>
      <c r="E4" t="s">
        <v>72</v>
      </c>
      <c r="F4" t="s">
        <v>73</v>
      </c>
      <c r="G4" t="str">
        <v>REV-001</v>
      </c>
      <c r="H4" t="s">
        <v>25</v>
      </c>
      <c r="I4" t="s">
        <v>26</v>
      </c>
      <c r="J4" s="10" t="n">
        <v>320000</v>
      </c>
      <c r="K4" t="s">
        <v>74</v>
      </c>
      <c r="L4" t="s">
        <v>75</v>
      </c>
    </row>
    <row r="5">
      <c r="A5" t="str">
        <v>2026-01-31</v>
      </c>
      <c r="B5" t="n">
        <v>2026</v>
      </c>
      <c r="C5" t="n">
        <v>1</v>
      </c>
      <c r="D5" t="s">
        <v>71</v>
      </c>
      <c r="E5" t="s">
        <v>76</v>
      </c>
      <c r="F5" t="s">
        <v>77</v>
      </c>
      <c r="G5" t="str">
        <v>REV-001</v>
      </c>
      <c r="H5" t="s">
        <v>25</v>
      </c>
      <c r="I5" t="s">
        <v>26</v>
      </c>
      <c r="J5" s="10" t="n">
        <v>180000</v>
      </c>
      <c r="K5" t="s">
        <v>74</v>
      </c>
      <c r="L5" t="s">
        <v>75</v>
      </c>
    </row>
    <row r="6">
      <c r="A6" t="str">
        <v>2026-01-31</v>
      </c>
      <c r="B6" t="n">
        <v>2026</v>
      </c>
      <c r="C6" t="n">
        <v>1</v>
      </c>
      <c r="D6" t="s">
        <v>78</v>
      </c>
      <c r="E6" t="s">
        <v>72</v>
      </c>
      <c r="F6" t="s">
        <v>79</v>
      </c>
      <c r="G6" t="str">
        <v>COGS-001</v>
      </c>
      <c r="H6" t="s">
        <v>35</v>
      </c>
      <c r="I6" t="s">
        <v>36</v>
      </c>
      <c r="J6" s="10" t="n">
        <v>210000</v>
      </c>
      <c r="K6" t="s">
        <v>80</v>
      </c>
      <c r="L6" t="s">
        <v>75</v>
      </c>
    </row>
    <row r="7">
      <c r="A7" t="str">
        <v>2026-01-31</v>
      </c>
      <c r="B7" t="n">
        <v>2026</v>
      </c>
      <c r="C7" t="n">
        <v>1</v>
      </c>
      <c r="D7" t="s">
        <v>71</v>
      </c>
      <c r="E7" t="s">
        <v>72</v>
      </c>
      <c r="F7" t="s">
        <v>81</v>
      </c>
      <c r="G7" t="str">
        <v>OPEX-001</v>
      </c>
      <c r="H7" t="s">
        <v>43</v>
      </c>
      <c r="I7" t="s">
        <v>43</v>
      </c>
      <c r="J7" s="10" t="n">
        <v>52000</v>
      </c>
      <c r="K7" t="s">
        <v>82</v>
      </c>
      <c r="L7" t="s">
        <v>75</v>
      </c>
    </row>
    <row r="8">
      <c r="A8" t="str">
        <v>2026-01-31</v>
      </c>
      <c r="B8" t="n">
        <v>2026</v>
      </c>
      <c r="C8" t="n">
        <v>1</v>
      </c>
      <c r="D8" t="str">
        <v>管理部</v>
      </c>
      <c r="E8" t="s">
        <v>83</v>
      </c>
      <c r="F8" t="s">
        <v>84</v>
      </c>
      <c r="G8" t="str">
        <v>OPEX-002</v>
      </c>
      <c r="H8" t="s">
        <v>46</v>
      </c>
      <c r="I8" t="s">
        <v>46</v>
      </c>
      <c r="J8" s="10" t="n">
        <v>46000</v>
      </c>
      <c r="K8" t="s">
        <v>82</v>
      </c>
      <c r="L8" t="s">
        <v>75</v>
      </c>
    </row>
    <row r="9">
      <c r="A9" t="str">
        <v>2026-01-31</v>
      </c>
      <c r="B9" t="n">
        <v>2026</v>
      </c>
      <c r="C9" t="n">
        <v>1</v>
      </c>
      <c r="D9" t="s">
        <v>85</v>
      </c>
      <c r="E9" t="s">
        <v>86</v>
      </c>
      <c r="F9" t="s">
        <v>87</v>
      </c>
      <c r="G9" t="str">
        <v>OPEX-003</v>
      </c>
      <c r="H9" t="s">
        <v>48</v>
      </c>
      <c r="I9" t="s">
        <v>48</v>
      </c>
      <c r="J9" s="10" t="n">
        <v>38000</v>
      </c>
      <c r="K9" t="s">
        <v>82</v>
      </c>
      <c r="L9" t="s">
        <v>75</v>
      </c>
    </row>
    <row r="10">
      <c r="A10" t="str">
        <v>2026-01-31</v>
      </c>
      <c r="B10" t="n">
        <v>2026</v>
      </c>
      <c r="C10" t="n">
        <v>1</v>
      </c>
      <c r="D10" t="s">
        <v>88</v>
      </c>
      <c r="E10" t="s">
        <v>83</v>
      </c>
      <c r="F10" t="s">
        <v>89</v>
      </c>
      <c r="G10" t="str">
        <v>OPEX-004</v>
      </c>
      <c r="H10" t="s">
        <v>51</v>
      </c>
      <c r="I10" t="s">
        <v>51</v>
      </c>
      <c r="J10" s="10" t="n">
        <v>3500</v>
      </c>
      <c r="K10" t="s">
        <v>82</v>
      </c>
      <c r="L10" t="s">
        <v>75</v>
      </c>
    </row>
    <row r="11">
      <c r="A11" t="str">
        <v>2026-01-31</v>
      </c>
      <c r="B11" t="n">
        <v>2026</v>
      </c>
      <c r="C11" t="n">
        <v>1</v>
      </c>
      <c r="D11" t="s">
        <v>88</v>
      </c>
      <c r="E11" t="s">
        <v>83</v>
      </c>
      <c r="F11" t="s">
        <v>90</v>
      </c>
      <c r="G11" t="str">
        <v>TAX-001</v>
      </c>
      <c r="H11" t="s">
        <v>60</v>
      </c>
      <c r="I11" t="s">
        <v>60</v>
      </c>
      <c r="J11" s="10" t="n">
        <v>18000</v>
      </c>
      <c r="K11" t="s">
        <v>91</v>
      </c>
      <c r="L11" t="s">
        <v>75</v>
      </c>
    </row>
    <row r="12">
      <c r="A12" t="str">
        <v>2026-02-28</v>
      </c>
      <c r="B12" t="n">
        <v>2026</v>
      </c>
      <c r="C12" t="n">
        <v>2</v>
      </c>
      <c r="D12" t="s">
        <v>71</v>
      </c>
      <c r="E12" t="s">
        <v>72</v>
      </c>
      <c r="F12" t="s">
        <v>73</v>
      </c>
      <c r="G12" t="str">
        <v>REV-001</v>
      </c>
      <c r="H12" t="s">
        <v>25</v>
      </c>
      <c r="I12" t="s">
        <v>26</v>
      </c>
      <c r="J12" s="10" t="n">
        <v>330000</v>
      </c>
      <c r="K12" t="s">
        <v>74</v>
      </c>
      <c r="L12" t="s">
        <v>75</v>
      </c>
    </row>
    <row r="13">
      <c r="A13" t="str">
        <v>2026-02-28</v>
      </c>
      <c r="B13" t="n">
        <v>2026</v>
      </c>
      <c r="C13" t="n">
        <v>2</v>
      </c>
      <c r="D13" t="s">
        <v>78</v>
      </c>
      <c r="E13" t="s">
        <v>72</v>
      </c>
      <c r="F13" t="s">
        <v>79</v>
      </c>
      <c r="G13" t="str">
        <v>COGS-001</v>
      </c>
      <c r="H13" t="s">
        <v>35</v>
      </c>
      <c r="I13" t="s">
        <v>36</v>
      </c>
      <c r="J13" s="10" t="n">
        <v>138600</v>
      </c>
      <c r="K13" t="s">
        <v>80</v>
      </c>
      <c r="L13" t="s">
        <v>75</v>
      </c>
    </row>
    <row r="14">
      <c r="A14" t="str">
        <v>2026-02-28</v>
      </c>
      <c r="B14" t="n">
        <v>2026</v>
      </c>
      <c r="C14" t="n">
        <v>2</v>
      </c>
      <c r="D14" t="s">
        <v>71</v>
      </c>
      <c r="E14" t="s">
        <v>72</v>
      </c>
      <c r="F14" t="s">
        <v>81</v>
      </c>
      <c r="G14" t="str">
        <v>OPEX-001</v>
      </c>
      <c r="H14" t="s">
        <v>43</v>
      </c>
      <c r="I14" t="s">
        <v>43</v>
      </c>
      <c r="J14" s="10" t="n">
        <v>33000</v>
      </c>
      <c r="K14" t="s">
        <v>82</v>
      </c>
      <c r="L14" t="s">
        <v>75</v>
      </c>
    </row>
    <row r="15">
      <c r="A15" t="str">
        <v>2026-02-28</v>
      </c>
      <c r="B15" t="n">
        <v>2026</v>
      </c>
      <c r="C15" t="n">
        <v>2</v>
      </c>
      <c r="D15" t="str">
        <v>管理部</v>
      </c>
      <c r="E15" t="s">
        <v>83</v>
      </c>
      <c r="F15" t="s">
        <v>84</v>
      </c>
      <c r="G15" t="str">
        <v>OPEX-002</v>
      </c>
      <c r="H15" t="s">
        <v>46</v>
      </c>
      <c r="I15" t="s">
        <v>46</v>
      </c>
      <c r="J15" s="10" t="n">
        <v>46400</v>
      </c>
      <c r="K15" t="s">
        <v>82</v>
      </c>
      <c r="L15" t="s">
        <v>75</v>
      </c>
    </row>
    <row r="16">
      <c r="A16" t="str">
        <v>2026-02-28</v>
      </c>
      <c r="B16" t="n">
        <v>2026</v>
      </c>
      <c r="C16" t="n">
        <v>2</v>
      </c>
      <c r="D16" t="s">
        <v>85</v>
      </c>
      <c r="E16" t="s">
        <v>86</v>
      </c>
      <c r="F16" t="s">
        <v>87</v>
      </c>
      <c r="G16" t="str">
        <v>OPEX-003</v>
      </c>
      <c r="H16" t="s">
        <v>48</v>
      </c>
      <c r="I16" t="s">
        <v>48</v>
      </c>
      <c r="J16" s="10" t="n">
        <v>37800</v>
      </c>
      <c r="K16" t="s">
        <v>82</v>
      </c>
      <c r="L16" t="s">
        <v>75</v>
      </c>
    </row>
    <row r="17">
      <c r="A17" t="str">
        <v>2026-02-28</v>
      </c>
      <c r="B17" t="n">
        <v>2026</v>
      </c>
      <c r="C17" t="n">
        <v>2</v>
      </c>
      <c r="D17" t="s">
        <v>88</v>
      </c>
      <c r="E17" t="s">
        <v>83</v>
      </c>
      <c r="F17" t="s">
        <v>90</v>
      </c>
      <c r="G17" t="str">
        <v>TAX-001</v>
      </c>
      <c r="H17" t="s">
        <v>60</v>
      </c>
      <c r="I17" t="s">
        <v>60</v>
      </c>
      <c r="J17" s="10" t="n">
        <v>17000</v>
      </c>
      <c r="K17" t="s">
        <v>91</v>
      </c>
      <c r="L17" t="s">
        <v>75</v>
      </c>
    </row>
    <row r="18">
      <c r="A18" t="str">
        <v>2026-03-28</v>
      </c>
      <c r="B18" t="n">
        <v>2026</v>
      </c>
      <c r="C18" t="n">
        <v>3</v>
      </c>
      <c r="D18" t="s">
        <v>71</v>
      </c>
      <c r="E18" t="s">
        <v>72</v>
      </c>
      <c r="F18" t="s">
        <v>73</v>
      </c>
      <c r="G18" t="str">
        <v>REV-001</v>
      </c>
      <c r="H18" t="s">
        <v>25</v>
      </c>
      <c r="I18" t="s">
        <v>26</v>
      </c>
      <c r="J18" s="10" t="n">
        <v>345000</v>
      </c>
      <c r="K18" t="s">
        <v>74</v>
      </c>
      <c r="L18" t="s">
        <v>75</v>
      </c>
    </row>
    <row r="19">
      <c r="A19" t="str">
        <v>2026-03-28</v>
      </c>
      <c r="B19" t="n">
        <v>2026</v>
      </c>
      <c r="C19" t="n">
        <v>3</v>
      </c>
      <c r="D19" t="s">
        <v>78</v>
      </c>
      <c r="E19" t="s">
        <v>72</v>
      </c>
      <c r="F19" t="s">
        <v>79</v>
      </c>
      <c r="G19" t="str">
        <v>COGS-001</v>
      </c>
      <c r="H19" t="s">
        <v>35</v>
      </c>
      <c r="I19" t="s">
        <v>36</v>
      </c>
      <c r="J19" s="10" t="n">
        <v>144900</v>
      </c>
      <c r="K19" t="s">
        <v>80</v>
      </c>
      <c r="L19" t="s">
        <v>75</v>
      </c>
    </row>
    <row r="20">
      <c r="A20" t="str">
        <v>2026-03-28</v>
      </c>
      <c r="B20" t="n">
        <v>2026</v>
      </c>
      <c r="C20" t="n">
        <v>3</v>
      </c>
      <c r="D20" t="s">
        <v>71</v>
      </c>
      <c r="E20" t="s">
        <v>72</v>
      </c>
      <c r="F20" t="s">
        <v>81</v>
      </c>
      <c r="G20" t="str">
        <v>OPEX-001</v>
      </c>
      <c r="H20" t="s">
        <v>43</v>
      </c>
      <c r="I20" t="s">
        <v>43</v>
      </c>
      <c r="J20" s="10" t="n">
        <v>34500</v>
      </c>
      <c r="K20" t="s">
        <v>82</v>
      </c>
      <c r="L20" t="s">
        <v>75</v>
      </c>
    </row>
    <row r="21">
      <c r="A21" t="str">
        <v>2026-03-28</v>
      </c>
      <c r="B21" t="n">
        <v>2026</v>
      </c>
      <c r="C21" t="n">
        <v>3</v>
      </c>
      <c r="D21" t="str">
        <v>管理部</v>
      </c>
      <c r="E21" t="s">
        <v>83</v>
      </c>
      <c r="F21" t="s">
        <v>84</v>
      </c>
      <c r="G21" t="str">
        <v>OPEX-002</v>
      </c>
      <c r="H21" t="s">
        <v>46</v>
      </c>
      <c r="I21" t="s">
        <v>46</v>
      </c>
      <c r="J21" s="10" t="n">
        <v>47100</v>
      </c>
      <c r="K21" t="s">
        <v>82</v>
      </c>
      <c r="L21" t="s">
        <v>75</v>
      </c>
    </row>
    <row r="22">
      <c r="A22" t="str">
        <v>2026-03-28</v>
      </c>
      <c r="B22" t="n">
        <v>2026</v>
      </c>
      <c r="C22" t="n">
        <v>3</v>
      </c>
      <c r="D22" t="s">
        <v>85</v>
      </c>
      <c r="E22" t="s">
        <v>86</v>
      </c>
      <c r="F22" t="s">
        <v>87</v>
      </c>
      <c r="G22" t="str">
        <v>OPEX-003</v>
      </c>
      <c r="H22" t="s">
        <v>48</v>
      </c>
      <c r="I22" t="s">
        <v>48</v>
      </c>
      <c r="J22" s="10" t="n">
        <v>38700</v>
      </c>
      <c r="K22" t="s">
        <v>82</v>
      </c>
      <c r="L22" t="s">
        <v>75</v>
      </c>
    </row>
    <row r="23">
      <c r="A23" t="str">
        <v>2026-03-28</v>
      </c>
      <c r="B23" t="n">
        <v>2026</v>
      </c>
      <c r="C23" t="n">
        <v>3</v>
      </c>
      <c r="D23" t="s">
        <v>88</v>
      </c>
      <c r="E23" t="s">
        <v>83</v>
      </c>
      <c r="F23" t="s">
        <v>90</v>
      </c>
      <c r="G23" t="str">
        <v>TAX-001</v>
      </c>
      <c r="H23" t="s">
        <v>60</v>
      </c>
      <c r="I23" t="s">
        <v>60</v>
      </c>
      <c r="J23" s="10" t="n">
        <v>18000</v>
      </c>
      <c r="K23" t="s">
        <v>91</v>
      </c>
      <c r="L23" t="s">
        <v>75</v>
      </c>
    </row>
    <row r="24">
      <c r="A24" t="str">
        <v>2026-04-28</v>
      </c>
      <c r="B24" t="n">
        <v>2026</v>
      </c>
      <c r="C24" t="n">
        <v>4</v>
      </c>
      <c r="D24" t="s">
        <v>71</v>
      </c>
      <c r="E24" t="s">
        <v>72</v>
      </c>
      <c r="F24" t="s">
        <v>73</v>
      </c>
      <c r="G24" t="str">
        <v>REV-001</v>
      </c>
      <c r="H24" t="s">
        <v>25</v>
      </c>
      <c r="I24" t="s">
        <v>26</v>
      </c>
      <c r="J24" s="10" t="n">
        <v>360000</v>
      </c>
      <c r="K24" t="s">
        <v>74</v>
      </c>
      <c r="L24" t="s">
        <v>75</v>
      </c>
    </row>
    <row r="25">
      <c r="A25" t="str">
        <v>2026-04-28</v>
      </c>
      <c r="B25" t="n">
        <v>2026</v>
      </c>
      <c r="C25" t="n">
        <v>4</v>
      </c>
      <c r="D25" t="s">
        <v>78</v>
      </c>
      <c r="E25" t="s">
        <v>72</v>
      </c>
      <c r="F25" t="s">
        <v>79</v>
      </c>
      <c r="G25" t="str">
        <v>COGS-001</v>
      </c>
      <c r="H25" t="s">
        <v>35</v>
      </c>
      <c r="I25" t="s">
        <v>36</v>
      </c>
      <c r="J25" s="10" t="n">
        <v>151200</v>
      </c>
      <c r="K25" t="s">
        <v>80</v>
      </c>
      <c r="L25" t="s">
        <v>75</v>
      </c>
    </row>
    <row r="26">
      <c r="A26" t="str">
        <v>2026-04-28</v>
      </c>
      <c r="B26" t="n">
        <v>2026</v>
      </c>
      <c r="C26" t="n">
        <v>4</v>
      </c>
      <c r="D26" t="s">
        <v>71</v>
      </c>
      <c r="E26" t="s">
        <v>72</v>
      </c>
      <c r="F26" t="s">
        <v>81</v>
      </c>
      <c r="G26" t="str">
        <v>OPEX-001</v>
      </c>
      <c r="H26" t="s">
        <v>43</v>
      </c>
      <c r="I26" t="s">
        <v>43</v>
      </c>
      <c r="J26" s="10" t="n">
        <v>36000</v>
      </c>
      <c r="K26" t="s">
        <v>82</v>
      </c>
      <c r="L26" t="s">
        <v>75</v>
      </c>
    </row>
    <row r="27">
      <c r="A27" t="str">
        <v>2026-04-28</v>
      </c>
      <c r="B27" t="n">
        <v>2026</v>
      </c>
      <c r="C27" t="n">
        <v>4</v>
      </c>
      <c r="D27" t="str">
        <v>管理部</v>
      </c>
      <c r="E27" t="s">
        <v>83</v>
      </c>
      <c r="F27" t="s">
        <v>84</v>
      </c>
      <c r="G27" t="str">
        <v>OPEX-002</v>
      </c>
      <c r="H27" t="s">
        <v>46</v>
      </c>
      <c r="I27" t="s">
        <v>46</v>
      </c>
      <c r="J27" s="10" t="n">
        <v>47800</v>
      </c>
      <c r="K27" t="s">
        <v>82</v>
      </c>
      <c r="L27" t="s">
        <v>75</v>
      </c>
    </row>
    <row r="28">
      <c r="A28" t="str">
        <v>2026-04-28</v>
      </c>
      <c r="B28" t="n">
        <v>2026</v>
      </c>
      <c r="C28" t="n">
        <v>4</v>
      </c>
      <c r="D28" t="s">
        <v>85</v>
      </c>
      <c r="E28" t="s">
        <v>86</v>
      </c>
      <c r="F28" t="s">
        <v>87</v>
      </c>
      <c r="G28" t="str">
        <v>OPEX-003</v>
      </c>
      <c r="H28" t="s">
        <v>48</v>
      </c>
      <c r="I28" t="s">
        <v>48</v>
      </c>
      <c r="J28" s="10" t="n">
        <v>39600</v>
      </c>
      <c r="K28" t="s">
        <v>82</v>
      </c>
      <c r="L28" t="s">
        <v>75</v>
      </c>
    </row>
    <row r="29">
      <c r="A29" t="str">
        <v>2026-04-28</v>
      </c>
      <c r="B29" t="n">
        <v>2026</v>
      </c>
      <c r="C29" t="n">
        <v>4</v>
      </c>
      <c r="D29" t="s">
        <v>88</v>
      </c>
      <c r="E29" t="s">
        <v>83</v>
      </c>
      <c r="F29" t="s">
        <v>90</v>
      </c>
      <c r="G29" t="str">
        <v>TAX-001</v>
      </c>
      <c r="H29" t="s">
        <v>60</v>
      </c>
      <c r="I29" t="s">
        <v>60</v>
      </c>
      <c r="J29" s="10" t="n">
        <v>19000</v>
      </c>
      <c r="K29" t="s">
        <v>91</v>
      </c>
      <c r="L29" t="s">
        <v>75</v>
      </c>
    </row>
    <row r="30">
      <c r="A30" t="str">
        <v>2026-05-28</v>
      </c>
      <c r="B30" t="n">
        <v>2026</v>
      </c>
      <c r="C30" t="n">
        <v>5</v>
      </c>
      <c r="D30" t="s">
        <v>71</v>
      </c>
      <c r="E30" t="s">
        <v>72</v>
      </c>
      <c r="F30" t="s">
        <v>73</v>
      </c>
      <c r="G30" t="str">
        <v>REV-001</v>
      </c>
      <c r="H30" t="s">
        <v>25</v>
      </c>
      <c r="I30" t="s">
        <v>26</v>
      </c>
      <c r="J30" s="10" t="n">
        <v>375000</v>
      </c>
      <c r="K30" t="s">
        <v>74</v>
      </c>
      <c r="L30" t="s">
        <v>75</v>
      </c>
    </row>
    <row r="31">
      <c r="A31" t="str">
        <v>2026-05-28</v>
      </c>
      <c r="B31" t="n">
        <v>2026</v>
      </c>
      <c r="C31" t="n">
        <v>5</v>
      </c>
      <c r="D31" t="s">
        <v>78</v>
      </c>
      <c r="E31" t="s">
        <v>72</v>
      </c>
      <c r="F31" t="s">
        <v>79</v>
      </c>
      <c r="G31" t="str">
        <v>COGS-001</v>
      </c>
      <c r="H31" t="s">
        <v>35</v>
      </c>
      <c r="I31" t="s">
        <v>36</v>
      </c>
      <c r="J31" s="10" t="n">
        <v>157500</v>
      </c>
      <c r="K31" t="s">
        <v>80</v>
      </c>
      <c r="L31" t="s">
        <v>75</v>
      </c>
    </row>
    <row r="32">
      <c r="A32" t="str">
        <v>2026-05-28</v>
      </c>
      <c r="B32" t="n">
        <v>2026</v>
      </c>
      <c r="C32" t="n">
        <v>5</v>
      </c>
      <c r="D32" t="s">
        <v>71</v>
      </c>
      <c r="E32" t="s">
        <v>72</v>
      </c>
      <c r="F32" t="s">
        <v>81</v>
      </c>
      <c r="G32" t="str">
        <v>OPEX-001</v>
      </c>
      <c r="H32" t="s">
        <v>43</v>
      </c>
      <c r="I32" t="s">
        <v>43</v>
      </c>
      <c r="J32" s="10" t="n">
        <v>37500</v>
      </c>
      <c r="K32" t="s">
        <v>82</v>
      </c>
      <c r="L32" t="s">
        <v>75</v>
      </c>
    </row>
    <row r="33">
      <c r="A33" t="str">
        <v>2026-05-28</v>
      </c>
      <c r="B33" t="n">
        <v>2026</v>
      </c>
      <c r="C33" t="n">
        <v>5</v>
      </c>
      <c r="D33" t="str">
        <v>管理部</v>
      </c>
      <c r="E33" t="s">
        <v>83</v>
      </c>
      <c r="F33" t="s">
        <v>84</v>
      </c>
      <c r="G33" t="str">
        <v>OPEX-002</v>
      </c>
      <c r="H33" t="s">
        <v>46</v>
      </c>
      <c r="I33" t="s">
        <v>46</v>
      </c>
      <c r="J33" s="10" t="n">
        <v>48500</v>
      </c>
      <c r="K33" t="s">
        <v>82</v>
      </c>
      <c r="L33" t="s">
        <v>75</v>
      </c>
    </row>
    <row r="34">
      <c r="A34" t="str">
        <v>2026-05-28</v>
      </c>
      <c r="B34" t="n">
        <v>2026</v>
      </c>
      <c r="C34" t="n">
        <v>5</v>
      </c>
      <c r="D34" t="s">
        <v>85</v>
      </c>
      <c r="E34" t="s">
        <v>86</v>
      </c>
      <c r="F34" t="s">
        <v>87</v>
      </c>
      <c r="G34" t="str">
        <v>OPEX-003</v>
      </c>
      <c r="H34" t="s">
        <v>48</v>
      </c>
      <c r="I34" t="s">
        <v>48</v>
      </c>
      <c r="J34" s="10" t="n">
        <v>40500</v>
      </c>
      <c r="K34" t="s">
        <v>82</v>
      </c>
      <c r="L34" t="s">
        <v>75</v>
      </c>
    </row>
    <row r="35">
      <c r="A35" t="str">
        <v>2026-05-28</v>
      </c>
      <c r="B35" t="n">
        <v>2026</v>
      </c>
      <c r="C35" t="n">
        <v>5</v>
      </c>
      <c r="D35" t="s">
        <v>88</v>
      </c>
      <c r="E35" t="s">
        <v>83</v>
      </c>
      <c r="F35" t="s">
        <v>90</v>
      </c>
      <c r="G35" t="str">
        <v>TAX-001</v>
      </c>
      <c r="H35" t="s">
        <v>60</v>
      </c>
      <c r="I35" t="s">
        <v>60</v>
      </c>
      <c r="J35" s="10" t="n">
        <v>20000</v>
      </c>
      <c r="K35" t="s">
        <v>91</v>
      </c>
      <c r="L35" t="s">
        <v>75</v>
      </c>
    </row>
    <row r="36">
      <c r="A36" t="str">
        <v>2026-06-28</v>
      </c>
      <c r="B36" t="n">
        <v>2026</v>
      </c>
      <c r="C36" t="n">
        <v>6</v>
      </c>
      <c r="D36" t="s">
        <v>71</v>
      </c>
      <c r="E36" t="s">
        <v>72</v>
      </c>
      <c r="F36" t="s">
        <v>73</v>
      </c>
      <c r="G36" t="str">
        <v>REV-001</v>
      </c>
      <c r="H36" t="s">
        <v>25</v>
      </c>
      <c r="I36" t="s">
        <v>26</v>
      </c>
      <c r="J36" s="10" t="n">
        <v>390000</v>
      </c>
      <c r="K36" t="s">
        <v>74</v>
      </c>
      <c r="L36" t="s">
        <v>75</v>
      </c>
    </row>
    <row r="37">
      <c r="A37" t="str">
        <v>2026-06-28</v>
      </c>
      <c r="B37" t="n">
        <v>2026</v>
      </c>
      <c r="C37" t="n">
        <v>6</v>
      </c>
      <c r="D37" t="s">
        <v>78</v>
      </c>
      <c r="E37" t="s">
        <v>72</v>
      </c>
      <c r="F37" t="s">
        <v>79</v>
      </c>
      <c r="G37" t="str">
        <v>COGS-001</v>
      </c>
      <c r="H37" t="s">
        <v>35</v>
      </c>
      <c r="I37" t="s">
        <v>36</v>
      </c>
      <c r="J37" s="10" t="n">
        <v>163800</v>
      </c>
      <c r="K37" t="s">
        <v>80</v>
      </c>
      <c r="L37" t="s">
        <v>75</v>
      </c>
    </row>
    <row r="38">
      <c r="A38" t="str">
        <v>2026-06-28</v>
      </c>
      <c r="B38" t="n">
        <v>2026</v>
      </c>
      <c r="C38" t="n">
        <v>6</v>
      </c>
      <c r="D38" t="s">
        <v>71</v>
      </c>
      <c r="E38" t="s">
        <v>72</v>
      </c>
      <c r="F38" t="s">
        <v>81</v>
      </c>
      <c r="G38" t="str">
        <v>OPEX-001</v>
      </c>
      <c r="H38" t="s">
        <v>43</v>
      </c>
      <c r="I38" t="s">
        <v>43</v>
      </c>
      <c r="J38" s="10" t="n">
        <v>39000</v>
      </c>
      <c r="K38" t="s">
        <v>82</v>
      </c>
      <c r="L38" t="s">
        <v>75</v>
      </c>
    </row>
    <row r="39">
      <c r="A39" t="str">
        <v>2026-06-28</v>
      </c>
      <c r="B39" t="n">
        <v>2026</v>
      </c>
      <c r="C39" t="n">
        <v>6</v>
      </c>
      <c r="D39" t="str">
        <v>管理部</v>
      </c>
      <c r="E39" t="s">
        <v>83</v>
      </c>
      <c r="F39" t="s">
        <v>84</v>
      </c>
      <c r="G39" t="str">
        <v>OPEX-002</v>
      </c>
      <c r="H39" t="s">
        <v>46</v>
      </c>
      <c r="I39" t="s">
        <v>46</v>
      </c>
      <c r="J39" s="10" t="n">
        <v>49200</v>
      </c>
      <c r="K39" t="s">
        <v>82</v>
      </c>
      <c r="L39" t="s">
        <v>75</v>
      </c>
    </row>
    <row r="40">
      <c r="A40" t="str">
        <v>2026-06-28</v>
      </c>
      <c r="B40" t="n">
        <v>2026</v>
      </c>
      <c r="C40" t="n">
        <v>6</v>
      </c>
      <c r="D40" t="s">
        <v>85</v>
      </c>
      <c r="E40" t="s">
        <v>86</v>
      </c>
      <c r="F40" t="s">
        <v>87</v>
      </c>
      <c r="G40" t="str">
        <v>OPEX-003</v>
      </c>
      <c r="H40" t="s">
        <v>48</v>
      </c>
      <c r="I40" t="s">
        <v>48</v>
      </c>
      <c r="J40" s="10" t="n">
        <v>41400</v>
      </c>
      <c r="K40" t="s">
        <v>82</v>
      </c>
      <c r="L40" t="s">
        <v>75</v>
      </c>
    </row>
    <row r="41">
      <c r="A41" t="str">
        <v>2026-06-28</v>
      </c>
      <c r="B41" t="n">
        <v>2026</v>
      </c>
      <c r="C41" t="n">
        <v>6</v>
      </c>
      <c r="D41" t="s">
        <v>88</v>
      </c>
      <c r="E41" t="s">
        <v>83</v>
      </c>
      <c r="F41" t="s">
        <v>90</v>
      </c>
      <c r="G41" t="str">
        <v>TAX-001</v>
      </c>
      <c r="H41" t="s">
        <v>60</v>
      </c>
      <c r="I41" t="s">
        <v>60</v>
      </c>
      <c r="J41" s="10" t="n">
        <v>21000</v>
      </c>
      <c r="K41" t="s">
        <v>91</v>
      </c>
      <c r="L41" t="s">
        <v>75</v>
      </c>
    </row>
    <row r="42">
      <c r="A42" t="str">
        <v>2026-07-28</v>
      </c>
      <c r="B42" t="n">
        <v>2026</v>
      </c>
      <c r="C42" t="n">
        <v>7</v>
      </c>
      <c r="D42" t="s">
        <v>71</v>
      </c>
      <c r="E42" t="s">
        <v>72</v>
      </c>
      <c r="F42" t="s">
        <v>73</v>
      </c>
      <c r="G42" t="str">
        <v>REV-001</v>
      </c>
      <c r="H42" t="s">
        <v>25</v>
      </c>
      <c r="I42" t="s">
        <v>26</v>
      </c>
      <c r="J42" s="10" t="n">
        <v>405000</v>
      </c>
      <c r="K42" t="s">
        <v>74</v>
      </c>
      <c r="L42" t="s">
        <v>75</v>
      </c>
    </row>
    <row r="43">
      <c r="A43" t="str">
        <v>2026-07-28</v>
      </c>
      <c r="B43" t="n">
        <v>2026</v>
      </c>
      <c r="C43" t="n">
        <v>7</v>
      </c>
      <c r="D43" t="s">
        <v>78</v>
      </c>
      <c r="E43" t="s">
        <v>72</v>
      </c>
      <c r="F43" t="s">
        <v>79</v>
      </c>
      <c r="G43" t="str">
        <v>COGS-001</v>
      </c>
      <c r="H43" t="s">
        <v>35</v>
      </c>
      <c r="I43" t="s">
        <v>36</v>
      </c>
      <c r="J43" s="10" t="n">
        <v>170100</v>
      </c>
      <c r="K43" t="s">
        <v>80</v>
      </c>
      <c r="L43" t="s">
        <v>75</v>
      </c>
    </row>
    <row r="44">
      <c r="A44" t="str">
        <v>2026-07-28</v>
      </c>
      <c r="B44" t="n">
        <v>2026</v>
      </c>
      <c r="C44" t="n">
        <v>7</v>
      </c>
      <c r="D44" t="s">
        <v>71</v>
      </c>
      <c r="E44" t="s">
        <v>72</v>
      </c>
      <c r="F44" t="s">
        <v>81</v>
      </c>
      <c r="G44" t="str">
        <v>OPEX-001</v>
      </c>
      <c r="H44" t="s">
        <v>43</v>
      </c>
      <c r="I44" t="s">
        <v>43</v>
      </c>
      <c r="J44" s="10" t="n">
        <v>40500</v>
      </c>
      <c r="K44" t="s">
        <v>82</v>
      </c>
      <c r="L44" t="s">
        <v>75</v>
      </c>
    </row>
    <row r="45">
      <c r="A45" t="str">
        <v>2026-07-28</v>
      </c>
      <c r="B45" t="n">
        <v>2026</v>
      </c>
      <c r="C45" t="n">
        <v>7</v>
      </c>
      <c r="D45" t="str">
        <v>管理部</v>
      </c>
      <c r="E45" t="s">
        <v>83</v>
      </c>
      <c r="F45" t="s">
        <v>84</v>
      </c>
      <c r="G45" t="str">
        <v>OPEX-002</v>
      </c>
      <c r="H45" t="s">
        <v>46</v>
      </c>
      <c r="I45" t="s">
        <v>46</v>
      </c>
      <c r="J45" s="10" t="n">
        <v>49900</v>
      </c>
      <c r="K45" t="s">
        <v>82</v>
      </c>
      <c r="L45" t="s">
        <v>75</v>
      </c>
    </row>
    <row r="46">
      <c r="A46" t="str">
        <v>2026-07-28</v>
      </c>
      <c r="B46" t="n">
        <v>2026</v>
      </c>
      <c r="C46" t="n">
        <v>7</v>
      </c>
      <c r="D46" t="s">
        <v>85</v>
      </c>
      <c r="E46" t="s">
        <v>86</v>
      </c>
      <c r="F46" t="s">
        <v>87</v>
      </c>
      <c r="G46" t="str">
        <v>OPEX-003</v>
      </c>
      <c r="H46" t="s">
        <v>48</v>
      </c>
      <c r="I46" t="s">
        <v>48</v>
      </c>
      <c r="J46" s="10" t="n">
        <v>42300</v>
      </c>
      <c r="K46" t="s">
        <v>82</v>
      </c>
      <c r="L46" t="s">
        <v>75</v>
      </c>
    </row>
    <row r="47">
      <c r="A47" t="str">
        <v>2026-07-28</v>
      </c>
      <c r="B47" t="n">
        <v>2026</v>
      </c>
      <c r="C47" t="n">
        <v>7</v>
      </c>
      <c r="D47" t="s">
        <v>88</v>
      </c>
      <c r="E47" t="s">
        <v>83</v>
      </c>
      <c r="F47" t="s">
        <v>90</v>
      </c>
      <c r="G47" t="str">
        <v>TAX-001</v>
      </c>
      <c r="H47" t="s">
        <v>60</v>
      </c>
      <c r="I47" t="s">
        <v>60</v>
      </c>
      <c r="J47" s="10" t="n">
        <v>22000</v>
      </c>
      <c r="K47" t="s">
        <v>91</v>
      </c>
      <c r="L47" t="s">
        <v>75</v>
      </c>
    </row>
    <row r="48">
      <c r="A48" t="str">
        <v>2026-08-28</v>
      </c>
      <c r="B48" t="n">
        <v>2026</v>
      </c>
      <c r="C48" t="n">
        <v>8</v>
      </c>
      <c r="D48" t="s">
        <v>71</v>
      </c>
      <c r="E48" t="s">
        <v>72</v>
      </c>
      <c r="F48" t="s">
        <v>73</v>
      </c>
      <c r="G48" t="str">
        <v>REV-001</v>
      </c>
      <c r="H48" t="s">
        <v>25</v>
      </c>
      <c r="I48" t="s">
        <v>26</v>
      </c>
      <c r="J48" s="10" t="n">
        <v>420000</v>
      </c>
      <c r="K48" t="s">
        <v>74</v>
      </c>
      <c r="L48" t="s">
        <v>75</v>
      </c>
    </row>
    <row r="49">
      <c r="A49" t="str">
        <v>2026-08-28</v>
      </c>
      <c r="B49" t="n">
        <v>2026</v>
      </c>
      <c r="C49" t="n">
        <v>8</v>
      </c>
      <c r="D49" t="s">
        <v>78</v>
      </c>
      <c r="E49" t="s">
        <v>72</v>
      </c>
      <c r="F49" t="s">
        <v>79</v>
      </c>
      <c r="G49" t="str">
        <v>COGS-001</v>
      </c>
      <c r="H49" t="s">
        <v>35</v>
      </c>
      <c r="I49" t="s">
        <v>36</v>
      </c>
      <c r="J49" s="10" t="n">
        <v>176400</v>
      </c>
      <c r="K49" t="s">
        <v>80</v>
      </c>
      <c r="L49" t="s">
        <v>75</v>
      </c>
    </row>
    <row r="50">
      <c r="A50" t="str">
        <v>2026-08-28</v>
      </c>
      <c r="B50" t="n">
        <v>2026</v>
      </c>
      <c r="C50" t="n">
        <v>8</v>
      </c>
      <c r="D50" t="s">
        <v>71</v>
      </c>
      <c r="E50" t="s">
        <v>72</v>
      </c>
      <c r="F50" t="s">
        <v>81</v>
      </c>
      <c r="G50" t="str">
        <v>OPEX-001</v>
      </c>
      <c r="H50" t="s">
        <v>43</v>
      </c>
      <c r="I50" t="s">
        <v>43</v>
      </c>
      <c r="J50" s="10" t="n">
        <v>42000</v>
      </c>
      <c r="K50" t="s">
        <v>82</v>
      </c>
      <c r="L50" t="s">
        <v>75</v>
      </c>
    </row>
    <row r="51">
      <c r="A51" t="str">
        <v>2026-08-28</v>
      </c>
      <c r="B51" t="n">
        <v>2026</v>
      </c>
      <c r="C51" t="n">
        <v>8</v>
      </c>
      <c r="D51" t="str">
        <v>管理部</v>
      </c>
      <c r="E51" t="s">
        <v>83</v>
      </c>
      <c r="F51" t="s">
        <v>84</v>
      </c>
      <c r="G51" t="str">
        <v>OPEX-002</v>
      </c>
      <c r="H51" t="s">
        <v>46</v>
      </c>
      <c r="I51" t="s">
        <v>46</v>
      </c>
      <c r="J51" s="10" t="n">
        <v>50600</v>
      </c>
      <c r="K51" t="s">
        <v>82</v>
      </c>
      <c r="L51" t="s">
        <v>75</v>
      </c>
    </row>
    <row r="52">
      <c r="A52" t="str">
        <v>2026-08-28</v>
      </c>
      <c r="B52" t="n">
        <v>2026</v>
      </c>
      <c r="C52" t="n">
        <v>8</v>
      </c>
      <c r="D52" t="s">
        <v>85</v>
      </c>
      <c r="E52" t="s">
        <v>86</v>
      </c>
      <c r="F52" t="s">
        <v>87</v>
      </c>
      <c r="G52" t="str">
        <v>OPEX-003</v>
      </c>
      <c r="H52" t="s">
        <v>48</v>
      </c>
      <c r="I52" t="s">
        <v>48</v>
      </c>
      <c r="J52" s="10" t="n">
        <v>43200</v>
      </c>
      <c r="K52" t="s">
        <v>82</v>
      </c>
      <c r="L52" t="s">
        <v>75</v>
      </c>
    </row>
    <row r="53">
      <c r="A53" t="str">
        <v>2026-08-28</v>
      </c>
      <c r="B53" t="n">
        <v>2026</v>
      </c>
      <c r="C53" t="n">
        <v>8</v>
      </c>
      <c r="D53" t="s">
        <v>88</v>
      </c>
      <c r="E53" t="s">
        <v>83</v>
      </c>
      <c r="F53" t="s">
        <v>90</v>
      </c>
      <c r="G53" t="str">
        <v>TAX-001</v>
      </c>
      <c r="H53" t="s">
        <v>60</v>
      </c>
      <c r="I53" t="s">
        <v>60</v>
      </c>
      <c r="J53" s="10" t="n">
        <v>23000</v>
      </c>
      <c r="K53" t="s">
        <v>91</v>
      </c>
      <c r="L53" t="s">
        <v>75</v>
      </c>
    </row>
    <row r="54">
      <c r="A54" t="str">
        <v>2026-09-28</v>
      </c>
      <c r="B54" t="n">
        <v>2026</v>
      </c>
      <c r="C54" t="n">
        <v>9</v>
      </c>
      <c r="D54" t="s">
        <v>71</v>
      </c>
      <c r="E54" t="s">
        <v>72</v>
      </c>
      <c r="F54" t="s">
        <v>73</v>
      </c>
      <c r="G54" t="str">
        <v>REV-001</v>
      </c>
      <c r="H54" t="s">
        <v>25</v>
      </c>
      <c r="I54" t="s">
        <v>26</v>
      </c>
      <c r="J54" s="10" t="n">
        <v>435000</v>
      </c>
      <c r="K54" t="s">
        <v>74</v>
      </c>
      <c r="L54" t="s">
        <v>75</v>
      </c>
    </row>
    <row r="55">
      <c r="A55" t="str">
        <v>2026-09-28</v>
      </c>
      <c r="B55" t="n">
        <v>2026</v>
      </c>
      <c r="C55" t="n">
        <v>9</v>
      </c>
      <c r="D55" t="s">
        <v>78</v>
      </c>
      <c r="E55" t="s">
        <v>72</v>
      </c>
      <c r="F55" t="s">
        <v>79</v>
      </c>
      <c r="G55" t="str">
        <v>COGS-001</v>
      </c>
      <c r="H55" t="s">
        <v>35</v>
      </c>
      <c r="I55" t="s">
        <v>36</v>
      </c>
      <c r="J55" s="10" t="n">
        <v>182700</v>
      </c>
      <c r="K55" t="s">
        <v>80</v>
      </c>
      <c r="L55" t="s">
        <v>75</v>
      </c>
    </row>
    <row r="56">
      <c r="A56" t="str">
        <v>2026-09-28</v>
      </c>
      <c r="B56" t="n">
        <v>2026</v>
      </c>
      <c r="C56" t="n">
        <v>9</v>
      </c>
      <c r="D56" t="s">
        <v>71</v>
      </c>
      <c r="E56" t="s">
        <v>72</v>
      </c>
      <c r="F56" t="s">
        <v>81</v>
      </c>
      <c r="G56" t="str">
        <v>OPEX-001</v>
      </c>
      <c r="H56" t="s">
        <v>43</v>
      </c>
      <c r="I56" t="s">
        <v>43</v>
      </c>
      <c r="J56" s="10" t="n">
        <v>43500</v>
      </c>
      <c r="K56" t="s">
        <v>82</v>
      </c>
      <c r="L56" t="s">
        <v>75</v>
      </c>
    </row>
    <row r="57">
      <c r="A57" t="str">
        <v>2026-09-28</v>
      </c>
      <c r="B57" t="n">
        <v>2026</v>
      </c>
      <c r="C57" t="n">
        <v>9</v>
      </c>
      <c r="D57" t="str">
        <v>管理部</v>
      </c>
      <c r="E57" t="s">
        <v>83</v>
      </c>
      <c r="F57" t="s">
        <v>84</v>
      </c>
      <c r="G57" t="str">
        <v>OPEX-002</v>
      </c>
      <c r="H57" t="s">
        <v>46</v>
      </c>
      <c r="I57" t="s">
        <v>46</v>
      </c>
      <c r="J57" s="10" t="n">
        <v>51300</v>
      </c>
      <c r="K57" t="s">
        <v>82</v>
      </c>
      <c r="L57" t="s">
        <v>75</v>
      </c>
    </row>
    <row r="58">
      <c r="A58" t="str">
        <v>2026-09-28</v>
      </c>
      <c r="B58" t="n">
        <v>2026</v>
      </c>
      <c r="C58" t="n">
        <v>9</v>
      </c>
      <c r="D58" t="s">
        <v>85</v>
      </c>
      <c r="E58" t="s">
        <v>86</v>
      </c>
      <c r="F58" t="s">
        <v>87</v>
      </c>
      <c r="G58" t="str">
        <v>OPEX-003</v>
      </c>
      <c r="H58" t="s">
        <v>48</v>
      </c>
      <c r="I58" t="s">
        <v>48</v>
      </c>
      <c r="J58" s="10" t="n">
        <v>44100</v>
      </c>
      <c r="K58" t="s">
        <v>82</v>
      </c>
      <c r="L58" t="s">
        <v>75</v>
      </c>
    </row>
    <row r="59">
      <c r="A59" t="str">
        <v>2026-09-28</v>
      </c>
      <c r="B59" t="n">
        <v>2026</v>
      </c>
      <c r="C59" t="n">
        <v>9</v>
      </c>
      <c r="D59" t="s">
        <v>88</v>
      </c>
      <c r="E59" t="s">
        <v>83</v>
      </c>
      <c r="F59" t="s">
        <v>90</v>
      </c>
      <c r="G59" t="str">
        <v>TAX-001</v>
      </c>
      <c r="H59" t="s">
        <v>60</v>
      </c>
      <c r="I59" t="s">
        <v>60</v>
      </c>
      <c r="J59" s="10" t="n">
        <v>24000</v>
      </c>
      <c r="K59" t="s">
        <v>91</v>
      </c>
      <c r="L59" t="s">
        <v>75</v>
      </c>
    </row>
    <row r="60">
      <c r="A60" t="str">
        <v>2026-10-28</v>
      </c>
      <c r="B60" t="n">
        <v>2026</v>
      </c>
      <c r="C60" t="n">
        <v>10</v>
      </c>
      <c r="D60" t="s">
        <v>71</v>
      </c>
      <c r="E60" t="s">
        <v>72</v>
      </c>
      <c r="F60" t="s">
        <v>73</v>
      </c>
      <c r="G60" t="str">
        <v>REV-001</v>
      </c>
      <c r="H60" t="s">
        <v>25</v>
      </c>
      <c r="I60" t="s">
        <v>26</v>
      </c>
      <c r="J60" s="10" t="n">
        <v>450000</v>
      </c>
      <c r="K60" t="s">
        <v>74</v>
      </c>
      <c r="L60" t="s">
        <v>75</v>
      </c>
    </row>
    <row r="61">
      <c r="A61" t="str">
        <v>2026-10-28</v>
      </c>
      <c r="B61" t="n">
        <v>2026</v>
      </c>
      <c r="C61" t="n">
        <v>10</v>
      </c>
      <c r="D61" t="s">
        <v>78</v>
      </c>
      <c r="E61" t="s">
        <v>72</v>
      </c>
      <c r="F61" t="s">
        <v>79</v>
      </c>
      <c r="G61" t="str">
        <v>COGS-001</v>
      </c>
      <c r="H61" t="s">
        <v>35</v>
      </c>
      <c r="I61" t="s">
        <v>36</v>
      </c>
      <c r="J61" s="10" t="n">
        <v>189000</v>
      </c>
      <c r="K61" t="s">
        <v>80</v>
      </c>
      <c r="L61" t="s">
        <v>75</v>
      </c>
    </row>
    <row r="62">
      <c r="A62" t="str">
        <v>2026-10-28</v>
      </c>
      <c r="B62" t="n">
        <v>2026</v>
      </c>
      <c r="C62" t="n">
        <v>10</v>
      </c>
      <c r="D62" t="s">
        <v>71</v>
      </c>
      <c r="E62" t="s">
        <v>72</v>
      </c>
      <c r="F62" t="s">
        <v>81</v>
      </c>
      <c r="G62" t="str">
        <v>OPEX-001</v>
      </c>
      <c r="H62" t="s">
        <v>43</v>
      </c>
      <c r="I62" t="s">
        <v>43</v>
      </c>
      <c r="J62" s="10" t="n">
        <v>45000</v>
      </c>
      <c r="K62" t="s">
        <v>82</v>
      </c>
      <c r="L62" t="s">
        <v>75</v>
      </c>
    </row>
    <row r="63">
      <c r="A63" t="str">
        <v>2026-10-28</v>
      </c>
      <c r="B63" t="n">
        <v>2026</v>
      </c>
      <c r="C63" t="n">
        <v>10</v>
      </c>
      <c r="D63" t="str">
        <v>管理部</v>
      </c>
      <c r="E63" t="s">
        <v>83</v>
      </c>
      <c r="F63" t="s">
        <v>84</v>
      </c>
      <c r="G63" t="str">
        <v>OPEX-002</v>
      </c>
      <c r="H63" t="s">
        <v>46</v>
      </c>
      <c r="I63" t="s">
        <v>46</v>
      </c>
      <c r="J63" s="10" t="n">
        <v>52000</v>
      </c>
      <c r="K63" t="s">
        <v>82</v>
      </c>
      <c r="L63" t="s">
        <v>75</v>
      </c>
    </row>
    <row r="64">
      <c r="A64" t="str">
        <v>2026-10-28</v>
      </c>
      <c r="B64" t="n">
        <v>2026</v>
      </c>
      <c r="C64" t="n">
        <v>10</v>
      </c>
      <c r="D64" t="s">
        <v>85</v>
      </c>
      <c r="E64" t="s">
        <v>86</v>
      </c>
      <c r="F64" t="s">
        <v>87</v>
      </c>
      <c r="G64" t="str">
        <v>OPEX-003</v>
      </c>
      <c r="H64" t="s">
        <v>48</v>
      </c>
      <c r="I64" t="s">
        <v>48</v>
      </c>
      <c r="J64" s="10" t="n">
        <v>45000</v>
      </c>
      <c r="K64" t="s">
        <v>82</v>
      </c>
      <c r="L64" t="s">
        <v>75</v>
      </c>
    </row>
    <row r="65">
      <c r="A65" t="str">
        <v>2026-10-28</v>
      </c>
      <c r="B65" t="n">
        <v>2026</v>
      </c>
      <c r="C65" t="n">
        <v>10</v>
      </c>
      <c r="D65" t="s">
        <v>88</v>
      </c>
      <c r="E65" t="s">
        <v>83</v>
      </c>
      <c r="F65" t="s">
        <v>90</v>
      </c>
      <c r="G65" t="str">
        <v>TAX-001</v>
      </c>
      <c r="H65" t="s">
        <v>60</v>
      </c>
      <c r="I65" t="s">
        <v>60</v>
      </c>
      <c r="J65" s="10" t="n">
        <v>25000</v>
      </c>
      <c r="K65" t="s">
        <v>91</v>
      </c>
      <c r="L65" t="s">
        <v>75</v>
      </c>
    </row>
    <row r="66">
      <c r="A66" t="str">
        <v>2026-11-28</v>
      </c>
      <c r="B66" t="n">
        <v>2026</v>
      </c>
      <c r="C66" t="n">
        <v>11</v>
      </c>
      <c r="D66" t="s">
        <v>71</v>
      </c>
      <c r="E66" t="s">
        <v>72</v>
      </c>
      <c r="F66" t="s">
        <v>73</v>
      </c>
      <c r="G66" t="str">
        <v>REV-001</v>
      </c>
      <c r="H66" t="s">
        <v>25</v>
      </c>
      <c r="I66" t="s">
        <v>26</v>
      </c>
      <c r="J66" s="10" t="n">
        <v>465000</v>
      </c>
      <c r="K66" t="s">
        <v>74</v>
      </c>
      <c r="L66" t="s">
        <v>75</v>
      </c>
    </row>
    <row r="67">
      <c r="A67" t="str">
        <v>2026-11-28</v>
      </c>
      <c r="B67" t="n">
        <v>2026</v>
      </c>
      <c r="C67" t="n">
        <v>11</v>
      </c>
      <c r="D67" t="s">
        <v>78</v>
      </c>
      <c r="E67" t="s">
        <v>72</v>
      </c>
      <c r="F67" t="s">
        <v>79</v>
      </c>
      <c r="G67" t="str">
        <v>COGS-001</v>
      </c>
      <c r="H67" t="s">
        <v>35</v>
      </c>
      <c r="I67" t="s">
        <v>36</v>
      </c>
      <c r="J67" s="10" t="n">
        <v>195300</v>
      </c>
      <c r="K67" t="s">
        <v>80</v>
      </c>
      <c r="L67" t="s">
        <v>75</v>
      </c>
    </row>
    <row r="68">
      <c r="A68" t="str">
        <v>2026-11-28</v>
      </c>
      <c r="B68" t="n">
        <v>2026</v>
      </c>
      <c r="C68" t="n">
        <v>11</v>
      </c>
      <c r="D68" t="s">
        <v>71</v>
      </c>
      <c r="E68" t="s">
        <v>72</v>
      </c>
      <c r="F68" t="s">
        <v>81</v>
      </c>
      <c r="G68" t="str">
        <v>OPEX-001</v>
      </c>
      <c r="H68" t="s">
        <v>43</v>
      </c>
      <c r="I68" t="s">
        <v>43</v>
      </c>
      <c r="J68" s="10" t="n">
        <v>46500</v>
      </c>
      <c r="K68" t="s">
        <v>82</v>
      </c>
      <c r="L68" t="s">
        <v>75</v>
      </c>
    </row>
    <row r="69">
      <c r="A69" t="str">
        <v>2026-11-28</v>
      </c>
      <c r="B69" t="n">
        <v>2026</v>
      </c>
      <c r="C69" t="n">
        <v>11</v>
      </c>
      <c r="D69" t="str">
        <v>管理部</v>
      </c>
      <c r="E69" t="s">
        <v>83</v>
      </c>
      <c r="F69" t="s">
        <v>84</v>
      </c>
      <c r="G69" t="str">
        <v>OPEX-002</v>
      </c>
      <c r="H69" t="s">
        <v>46</v>
      </c>
      <c r="I69" t="s">
        <v>46</v>
      </c>
      <c r="J69" s="10" t="n">
        <v>52700</v>
      </c>
      <c r="K69" t="s">
        <v>82</v>
      </c>
      <c r="L69" t="s">
        <v>75</v>
      </c>
    </row>
    <row r="70">
      <c r="A70" t="str">
        <v>2026-11-28</v>
      </c>
      <c r="B70" t="n">
        <v>2026</v>
      </c>
      <c r="C70" t="n">
        <v>11</v>
      </c>
      <c r="D70" t="s">
        <v>85</v>
      </c>
      <c r="E70" t="s">
        <v>86</v>
      </c>
      <c r="F70" t="s">
        <v>87</v>
      </c>
      <c r="G70" t="str">
        <v>OPEX-003</v>
      </c>
      <c r="H70" t="s">
        <v>48</v>
      </c>
      <c r="I70" t="s">
        <v>48</v>
      </c>
      <c r="J70" s="10" t="n">
        <v>45900</v>
      </c>
      <c r="K70" t="s">
        <v>82</v>
      </c>
      <c r="L70" t="s">
        <v>75</v>
      </c>
    </row>
    <row r="71">
      <c r="A71" t="str">
        <v>2026-11-28</v>
      </c>
      <c r="B71" t="n">
        <v>2026</v>
      </c>
      <c r="C71" t="n">
        <v>11</v>
      </c>
      <c r="D71" t="s">
        <v>88</v>
      </c>
      <c r="E71" t="s">
        <v>83</v>
      </c>
      <c r="F71" t="s">
        <v>90</v>
      </c>
      <c r="G71" t="str">
        <v>TAX-001</v>
      </c>
      <c r="H71" t="s">
        <v>60</v>
      </c>
      <c r="I71" t="s">
        <v>60</v>
      </c>
      <c r="J71" s="10" t="n">
        <v>26000</v>
      </c>
      <c r="K71" t="s">
        <v>91</v>
      </c>
      <c r="L71" t="s">
        <v>75</v>
      </c>
    </row>
    <row r="72">
      <c r="A72" t="str">
        <v>2026-12-28</v>
      </c>
      <c r="B72" t="n">
        <v>2026</v>
      </c>
      <c r="C72" t="n">
        <v>12</v>
      </c>
      <c r="D72" t="s">
        <v>71</v>
      </c>
      <c r="E72" t="s">
        <v>72</v>
      </c>
      <c r="F72" t="s">
        <v>73</v>
      </c>
      <c r="G72" t="str">
        <v>REV-001</v>
      </c>
      <c r="H72" t="s">
        <v>25</v>
      </c>
      <c r="I72" t="s">
        <v>26</v>
      </c>
      <c r="J72" s="10" t="n">
        <v>480000</v>
      </c>
      <c r="K72" t="s">
        <v>74</v>
      </c>
      <c r="L72" t="s">
        <v>75</v>
      </c>
    </row>
    <row r="73">
      <c r="A73" t="str">
        <v>2026-12-28</v>
      </c>
      <c r="B73" t="n">
        <v>2026</v>
      </c>
      <c r="C73" t="n">
        <v>12</v>
      </c>
      <c r="D73" t="s">
        <v>78</v>
      </c>
      <c r="E73" t="s">
        <v>72</v>
      </c>
      <c r="F73" t="s">
        <v>79</v>
      </c>
      <c r="G73" t="str">
        <v>COGS-001</v>
      </c>
      <c r="H73" t="s">
        <v>35</v>
      </c>
      <c r="I73" t="s">
        <v>36</v>
      </c>
      <c r="J73" s="10" t="n">
        <v>201600</v>
      </c>
      <c r="K73" t="s">
        <v>80</v>
      </c>
      <c r="L73" t="s">
        <v>75</v>
      </c>
    </row>
    <row r="74">
      <c r="A74" t="str">
        <v>2026-12-28</v>
      </c>
      <c r="B74" t="n">
        <v>2026</v>
      </c>
      <c r="C74" t="n">
        <v>12</v>
      </c>
      <c r="D74" t="s">
        <v>71</v>
      </c>
      <c r="E74" t="s">
        <v>72</v>
      </c>
      <c r="F74" t="s">
        <v>81</v>
      </c>
      <c r="G74" t="str">
        <v>OPEX-001</v>
      </c>
      <c r="H74" t="s">
        <v>43</v>
      </c>
      <c r="I74" t="s">
        <v>43</v>
      </c>
      <c r="J74" s="10" t="n">
        <v>48000</v>
      </c>
      <c r="K74" t="s">
        <v>82</v>
      </c>
      <c r="L74" t="s">
        <v>75</v>
      </c>
    </row>
    <row r="75">
      <c r="A75" t="str">
        <v>2026-12-28</v>
      </c>
      <c r="B75" t="n">
        <v>2026</v>
      </c>
      <c r="C75" t="n">
        <v>12</v>
      </c>
      <c r="D75" t="str">
        <v>管理部</v>
      </c>
      <c r="E75" t="s">
        <v>83</v>
      </c>
      <c r="F75" t="s">
        <v>84</v>
      </c>
      <c r="G75" t="str">
        <v>OPEX-002</v>
      </c>
      <c r="H75" t="s">
        <v>46</v>
      </c>
      <c r="I75" t="s">
        <v>46</v>
      </c>
      <c r="J75" s="10" t="n">
        <v>53400</v>
      </c>
      <c r="K75" t="s">
        <v>82</v>
      </c>
      <c r="L75" t="s">
        <v>75</v>
      </c>
    </row>
    <row r="76">
      <c r="A76" t="str">
        <v>2026-12-28</v>
      </c>
      <c r="B76" t="n">
        <v>2026</v>
      </c>
      <c r="C76" t="n">
        <v>12</v>
      </c>
      <c r="D76" t="s">
        <v>85</v>
      </c>
      <c r="E76" t="s">
        <v>86</v>
      </c>
      <c r="F76" t="s">
        <v>87</v>
      </c>
      <c r="G76" t="str">
        <v>OPEX-003</v>
      </c>
      <c r="H76" t="s">
        <v>48</v>
      </c>
      <c r="I76" t="s">
        <v>48</v>
      </c>
      <c r="J76" s="10" t="n">
        <v>46800</v>
      </c>
      <c r="K76" t="s">
        <v>82</v>
      </c>
      <c r="L76" t="s">
        <v>75</v>
      </c>
    </row>
    <row r="77">
      <c r="A77" t="str">
        <v>2026-12-28</v>
      </c>
      <c r="B77" t="n">
        <v>2026</v>
      </c>
      <c r="C77" t="n">
        <v>12</v>
      </c>
      <c r="D77" t="s">
        <v>88</v>
      </c>
      <c r="E77" t="s">
        <v>83</v>
      </c>
      <c r="F77" t="s">
        <v>90</v>
      </c>
      <c r="G77" t="str">
        <v>TAX-001</v>
      </c>
      <c r="H77" t="s">
        <v>60</v>
      </c>
      <c r="I77" t="s">
        <v>60</v>
      </c>
      <c r="J77" s="10" t="n">
        <v>27000</v>
      </c>
      <c r="K77" t="s">
        <v>91</v>
      </c>
      <c r="L77" t="s">
        <v>75</v>
      </c>
    </row>
  </sheetData>
  <mergeCells count="1">
    <mergeCell ref="A1:L1"/>
  </mergeCells>
  <pageMargins left="0.7" right="0.7" top="0.75" bottom="0.75" header="0.3" footer="0.3"/>
</worksheet>
</file>

<file path=xl/worksheets/sheet4.xml><?xml version="1.0" encoding="utf-8"?>
<worksheet xmlns:x="http://schemas.openxmlformats.org/spreadsheetml/2006/main" xmlns="http://schemas.openxmlformats.org/spreadsheetml/2006/main">
  <sheetFormatPr defaultRowHeight="15"/>
  <cols>
    <col customWidth="true" max="1" min="1" width="16"/>
    <col customWidth="true" max="14" min="2" width="12"/>
  </cols>
  <sheetData>
    <row r="1">
      <c r="A1" s="14" t="s">
        <v>92</v>
      </c>
      <c r="B1" s="14"/>
      <c r="C1" s="14"/>
      <c r="D1" s="14"/>
      <c r="E1" s="14"/>
      <c r="F1" s="14"/>
      <c r="G1" s="14"/>
      <c r="H1" s="14"/>
      <c r="I1" s="14"/>
      <c r="J1" s="14"/>
      <c r="K1" s="14"/>
      <c r="L1" s="14"/>
      <c r="M1" s="14"/>
      <c r="N1" s="14"/>
      <c r="O1" s="14"/>
      <c r="P1" s="14"/>
      <c r="Q1" s="14"/>
      <c r="R1" s="14"/>
      <c r="S1" s="14"/>
      <c r="T1" s="14"/>
      <c r="U1" s="14"/>
      <c r="V1" s="14"/>
      <c r="W1" s="14"/>
      <c r="X1" s="14"/>
      <c r="Y1" s="14"/>
      <c r="Z1" s="14"/>
    </row>
    <row r="2">
      <c r="A2" t="s">
        <v>93</v>
      </c>
      <c r="B2" t="s">
        <v>94</v>
      </c>
      <c r="D2" t="str">
        <v>年度</v>
      </c>
      <c r="E2" t="n">
        <v>2026</v>
      </c>
    </row>
    <row r="3"/>
    <row r="4">
      <c r="A4" s="4" t="s">
        <v>95</v>
      </c>
      <c r="B4" s="4" t="str">
        <v>1月</v>
      </c>
      <c r="C4" s="4" t="str">
        <v>2月</v>
      </c>
      <c r="D4" s="4" t="str">
        <v>3月</v>
      </c>
      <c r="E4" s="4" t="str">
        <v>4月</v>
      </c>
      <c r="F4" s="4" t="str">
        <v>5月</v>
      </c>
      <c r="G4" s="4" t="str">
        <v>6月</v>
      </c>
      <c r="H4" s="4" t="str">
        <v>7月</v>
      </c>
      <c r="I4" s="4" t="str">
        <v>8月</v>
      </c>
      <c r="J4" s="4" t="str">
        <v>9月</v>
      </c>
      <c r="K4" s="4" t="str">
        <v>10月</v>
      </c>
      <c r="L4" s="4" t="str">
        <v>11月</v>
      </c>
      <c r="M4" s="4" t="str">
        <v>12月</v>
      </c>
      <c r="N4" s="4" t="s">
        <v>96</v>
      </c>
    </row>
    <row r="5">
      <c r="A5" t="s">
        <v>26</v>
      </c>
      <c r="B5" s="10" t="n">
        <f>SUMIFS('月次入力'!$J$4:$J$77,'月次入力'!$C$4:$C$77,1,'月次入力'!$I$4:$I$77,"売上高")</f>
        <v>500000</v>
      </c>
      <c r="C5" s="10" t="n">
        <f>SUMIFS('月次入力'!$J$4:$J$77,'月次入力'!$C$4:$C$77,2,'月次入力'!$I$4:$I$77,"売上高")</f>
        <v>330000</v>
      </c>
      <c r="D5" s="10" t="n">
        <f>SUMIFS('月次入力'!$J$4:$J$77,'月次入力'!$C$4:$C$77,3,'月次入力'!$I$4:$I$77,"売上高")</f>
        <v>345000</v>
      </c>
      <c r="E5" s="10" t="n">
        <f>SUMIFS('月次入力'!$J$4:$J$77,'月次入力'!$C$4:$C$77,4,'月次入力'!$I$4:$I$77,"売上高")</f>
        <v>360000</v>
      </c>
      <c r="F5" s="10" t="n">
        <f>SUMIFS('月次入力'!$J$4:$J$77,'月次入力'!$C$4:$C$77,5,'月次入力'!$I$4:$I$77,"売上高")</f>
        <v>375000</v>
      </c>
      <c r="G5" s="10" t="n">
        <f>SUMIFS('月次入力'!$J$4:$J$77,'月次入力'!$C$4:$C$77,6,'月次入力'!$I$4:$I$77,"売上高")</f>
        <v>390000</v>
      </c>
      <c r="H5" s="10" t="n">
        <f>SUMIFS('月次入力'!$J$4:$J$77,'月次入力'!$C$4:$C$77,7,'月次入力'!$I$4:$I$77,"売上高")</f>
        <v>405000</v>
      </c>
      <c r="I5" s="10" t="n">
        <f>SUMIFS('月次入力'!$J$4:$J$77,'月次入力'!$C$4:$C$77,8,'月次入力'!$I$4:$I$77,"売上高")</f>
        <v>420000</v>
      </c>
      <c r="J5" s="10" t="n">
        <f>SUMIFS('月次入力'!$J$4:$J$77,'月次入力'!$C$4:$C$77,9,'月次入力'!$I$4:$I$77,"売上高")</f>
        <v>435000</v>
      </c>
      <c r="K5" s="10" t="n">
        <f>SUMIFS('月次入力'!$J$4:$J$77,'月次入力'!$C$4:$C$77,10,'月次入力'!$I$4:$I$77,"売上高")</f>
        <v>450000</v>
      </c>
      <c r="L5" s="10" t="n">
        <f>SUMIFS('月次入力'!$J$4:$J$77,'月次入力'!$C$4:$C$77,11,'月次入力'!$I$4:$I$77,"売上高")</f>
        <v>465000</v>
      </c>
      <c r="M5" s="10" t="n">
        <f>SUMIFS('月次入力'!$J$4:$J$77,'月次入力'!$C$4:$C$77,12,'月次入力'!$I$4:$I$77,"売上高")</f>
        <v>480000</v>
      </c>
      <c r="N5" s="10" t="n">
        <f>SUM(B5:M5)</f>
        <v>4955000</v>
      </c>
    </row>
    <row r="6">
      <c r="A6" t="s">
        <v>36</v>
      </c>
      <c r="B6" s="10" t="n">
        <f>SUMIFS('月次入力'!$J$4:$J$77,'月次入力'!$C$4:$C$77,1,'月次入力'!$I$4:$I$77,"売上原価")</f>
        <v>210000</v>
      </c>
      <c r="C6" s="10" t="n">
        <f>SUMIFS('月次入力'!$J$4:$J$77,'月次入力'!$C$4:$C$77,2,'月次入力'!$I$4:$I$77,"売上原価")</f>
        <v>138600</v>
      </c>
      <c r="D6" s="10" t="n">
        <f>SUMIFS('月次入力'!$J$4:$J$77,'月次入力'!$C$4:$C$77,3,'月次入力'!$I$4:$I$77,"売上原価")</f>
        <v>144900</v>
      </c>
      <c r="E6" s="10" t="n">
        <f>SUMIFS('月次入力'!$J$4:$J$77,'月次入力'!$C$4:$C$77,4,'月次入力'!$I$4:$I$77,"売上原価")</f>
        <v>151200</v>
      </c>
      <c r="F6" s="10" t="n">
        <f>SUMIFS('月次入力'!$J$4:$J$77,'月次入力'!$C$4:$C$77,5,'月次入力'!$I$4:$I$77,"売上原価")</f>
        <v>157500</v>
      </c>
      <c r="G6" s="10" t="n">
        <f>SUMIFS('月次入力'!$J$4:$J$77,'月次入力'!$C$4:$C$77,6,'月次入力'!$I$4:$I$77,"売上原価")</f>
        <v>163800</v>
      </c>
      <c r="H6" s="10" t="n">
        <f>SUMIFS('月次入力'!$J$4:$J$77,'月次入力'!$C$4:$C$77,7,'月次入力'!$I$4:$I$77,"売上原価")</f>
        <v>170100</v>
      </c>
      <c r="I6" s="10" t="n">
        <f>SUMIFS('月次入力'!$J$4:$J$77,'月次入力'!$C$4:$C$77,8,'月次入力'!$I$4:$I$77,"売上原価")</f>
        <v>176400</v>
      </c>
      <c r="J6" s="10" t="n">
        <f>SUMIFS('月次入力'!$J$4:$J$77,'月次入力'!$C$4:$C$77,9,'月次入力'!$I$4:$I$77,"売上原価")</f>
        <v>182700</v>
      </c>
      <c r="K6" s="10" t="n">
        <f>SUMIFS('月次入力'!$J$4:$J$77,'月次入力'!$C$4:$C$77,10,'月次入力'!$I$4:$I$77,"売上原価")</f>
        <v>189000</v>
      </c>
      <c r="L6" s="10" t="n">
        <f>SUMIFS('月次入力'!$J$4:$J$77,'月次入力'!$C$4:$C$77,11,'月次入力'!$I$4:$I$77,"売上原価")</f>
        <v>195300</v>
      </c>
      <c r="M6" s="10" t="n">
        <f>SUMIFS('月次入力'!$J$4:$J$77,'月次入力'!$C$4:$C$77,12,'月次入力'!$I$4:$I$77,"売上原価")</f>
        <v>201600</v>
      </c>
      <c r="N6" s="10" t="n">
        <f>SUM(B6:M6)</f>
        <v>2081100</v>
      </c>
    </row>
    <row r="7">
      <c r="A7" t="s">
        <v>97</v>
      </c>
      <c r="B7" s="10" t="n">
        <f>B5-B6</f>
        <v>290000</v>
      </c>
      <c r="C7" s="10" t="n">
        <f>C5-C6</f>
        <v>191400</v>
      </c>
      <c r="D7" s="10" t="n">
        <f>D5-D6</f>
        <v>200100</v>
      </c>
      <c r="E7" s="10" t="n">
        <f>E5-E6</f>
        <v>208800</v>
      </c>
      <c r="F7" s="10" t="n">
        <f>F5-F6</f>
        <v>217500</v>
      </c>
      <c r="G7" s="10" t="n">
        <f>G5-G6</f>
        <v>226200</v>
      </c>
      <c r="H7" s="10" t="n">
        <f>H5-H6</f>
        <v>234900</v>
      </c>
      <c r="I7" s="10" t="n">
        <f>I5-I6</f>
        <v>243600</v>
      </c>
      <c r="J7" s="10" t="n">
        <f>J5-J6</f>
        <v>252300</v>
      </c>
      <c r="K7" s="10" t="n">
        <f>K5-K6</f>
        <v>261000</v>
      </c>
      <c r="L7" s="10" t="n">
        <f>L5-L6</f>
        <v>269700</v>
      </c>
      <c r="M7" s="10" t="n">
        <f>M5-M6</f>
        <v>278400</v>
      </c>
      <c r="N7" s="10" t="n">
        <f>SUM(B7:M7)</f>
        <v>2873900</v>
      </c>
    </row>
    <row r="8">
      <c r="A8" t="s">
        <v>98</v>
      </c>
      <c r="B8" s="12" t="n">
        <f>IFERROR(B7/B5,0)</f>
        <v>0.58</v>
      </c>
      <c r="C8" s="12" t="n">
        <f>IFERROR(C7/C5,0)</f>
        <v>0.58</v>
      </c>
      <c r="D8" s="12" t="n">
        <f>IFERROR(D7/D5,0)</f>
        <v>0.58</v>
      </c>
      <c r="E8" s="12" t="n">
        <f>IFERROR(E7/E5,0)</f>
        <v>0.58</v>
      </c>
      <c r="F8" s="12" t="n">
        <f>IFERROR(F7/F5,0)</f>
        <v>0.58</v>
      </c>
      <c r="G8" s="12" t="n">
        <f>IFERROR(G7/G5,0)</f>
        <v>0.58</v>
      </c>
      <c r="H8" s="12" t="n">
        <f>IFERROR(H7/H5,0)</f>
        <v>0.58</v>
      </c>
      <c r="I8" s="12" t="n">
        <f>IFERROR(I7/I5,0)</f>
        <v>0.58</v>
      </c>
      <c r="J8" s="12" t="n">
        <f>IFERROR(J7/J5,0)</f>
        <v>0.58</v>
      </c>
      <c r="K8" s="12" t="n">
        <f>IFERROR(K7/K5,0)</f>
        <v>0.58</v>
      </c>
      <c r="L8" s="12" t="n">
        <f>IFERROR(L7/L5,0)</f>
        <v>0.58</v>
      </c>
      <c r="M8" s="12" t="n">
        <f>IFERROR(M7/M5,0)</f>
        <v>0.58</v>
      </c>
      <c r="N8" s="12" t="n">
        <f>IFERROR(N7/N5,0)</f>
        <v>0.58</v>
      </c>
    </row>
    <row r="9">
      <c r="A9" t="s">
        <v>43</v>
      </c>
      <c r="B9" s="10" t="n">
        <f>SUMIFS('月次入力'!$J$4:$J$77,'月次入力'!$C$4:$C$77,1,'月次入力'!$I$4:$I$77,"販売費")</f>
        <v>52000</v>
      </c>
      <c r="C9" s="10" t="n">
        <f>SUMIFS('月次入力'!$J$4:$J$77,'月次入力'!$C$4:$C$77,2,'月次入力'!$I$4:$I$77,"販売費")</f>
        <v>33000</v>
      </c>
      <c r="D9" s="10" t="n">
        <f>SUMIFS('月次入力'!$J$4:$J$77,'月次入力'!$C$4:$C$77,3,'月次入力'!$I$4:$I$77,"販売費")</f>
        <v>34500</v>
      </c>
      <c r="E9" s="10" t="n">
        <f>SUMIFS('月次入力'!$J$4:$J$77,'月次入力'!$C$4:$C$77,4,'月次入力'!$I$4:$I$77,"販売費")</f>
        <v>36000</v>
      </c>
      <c r="F9" s="10" t="n">
        <f>SUMIFS('月次入力'!$J$4:$J$77,'月次入力'!$C$4:$C$77,5,'月次入力'!$I$4:$I$77,"販売費")</f>
        <v>37500</v>
      </c>
      <c r="G9" s="10" t="n">
        <f>SUMIFS('月次入力'!$J$4:$J$77,'月次入力'!$C$4:$C$77,6,'月次入力'!$I$4:$I$77,"販売費")</f>
        <v>39000</v>
      </c>
      <c r="H9" s="10" t="n">
        <f>SUMIFS('月次入力'!$J$4:$J$77,'月次入力'!$C$4:$C$77,7,'月次入力'!$I$4:$I$77,"販売費")</f>
        <v>40500</v>
      </c>
      <c r="I9" s="10" t="n">
        <f>SUMIFS('月次入力'!$J$4:$J$77,'月次入力'!$C$4:$C$77,8,'月次入力'!$I$4:$I$77,"販売費")</f>
        <v>42000</v>
      </c>
      <c r="J9" s="10" t="n">
        <f>SUMIFS('月次入力'!$J$4:$J$77,'月次入力'!$C$4:$C$77,9,'月次入力'!$I$4:$I$77,"販売費")</f>
        <v>43500</v>
      </c>
      <c r="K9" s="10" t="n">
        <f>SUMIFS('月次入力'!$J$4:$J$77,'月次入力'!$C$4:$C$77,10,'月次入力'!$I$4:$I$77,"販売費")</f>
        <v>45000</v>
      </c>
      <c r="L9" s="10" t="n">
        <f>SUMIFS('月次入力'!$J$4:$J$77,'月次入力'!$C$4:$C$77,11,'月次入力'!$I$4:$I$77,"販売費")</f>
        <v>46500</v>
      </c>
      <c r="M9" s="10" t="n">
        <f>SUMIFS('月次入力'!$J$4:$J$77,'月次入力'!$C$4:$C$77,12,'月次入力'!$I$4:$I$77,"販売費")</f>
        <v>48000</v>
      </c>
      <c r="N9" s="10" t="n">
        <f>SUM(B9:M9)</f>
        <v>497500</v>
      </c>
    </row>
    <row r="10">
      <c r="A10" t="s">
        <v>46</v>
      </c>
      <c r="B10" s="10" t="n">
        <f>SUMIFS('月次入力'!$J$4:$J$77,'月次入力'!$C$4:$C$77,1,'月次入力'!$I$4:$I$77,"管理費")</f>
        <v>46000</v>
      </c>
      <c r="C10" s="10" t="n">
        <f>SUMIFS('月次入力'!$J$4:$J$77,'月次入力'!$C$4:$C$77,2,'月次入力'!$I$4:$I$77,"管理費")</f>
        <v>46400</v>
      </c>
      <c r="D10" s="10" t="n">
        <f>SUMIFS('月次入力'!$J$4:$J$77,'月次入力'!$C$4:$C$77,3,'月次入力'!$I$4:$I$77,"管理費")</f>
        <v>47100</v>
      </c>
      <c r="E10" s="10" t="n">
        <f>SUMIFS('月次入力'!$J$4:$J$77,'月次入力'!$C$4:$C$77,4,'月次入力'!$I$4:$I$77,"管理費")</f>
        <v>47800</v>
      </c>
      <c r="F10" s="10" t="n">
        <f>SUMIFS('月次入力'!$J$4:$J$77,'月次入力'!$C$4:$C$77,5,'月次入力'!$I$4:$I$77,"管理費")</f>
        <v>48500</v>
      </c>
      <c r="G10" s="10" t="n">
        <f>SUMIFS('月次入力'!$J$4:$J$77,'月次入力'!$C$4:$C$77,6,'月次入力'!$I$4:$I$77,"管理費")</f>
        <v>49200</v>
      </c>
      <c r="H10" s="10" t="n">
        <f>SUMIFS('月次入力'!$J$4:$J$77,'月次入力'!$C$4:$C$77,7,'月次入力'!$I$4:$I$77,"管理費")</f>
        <v>49900</v>
      </c>
      <c r="I10" s="10" t="n">
        <f>SUMIFS('月次入力'!$J$4:$J$77,'月次入力'!$C$4:$C$77,8,'月次入力'!$I$4:$I$77,"管理費")</f>
        <v>50600</v>
      </c>
      <c r="J10" s="10" t="n">
        <f>SUMIFS('月次入力'!$J$4:$J$77,'月次入力'!$C$4:$C$77,9,'月次入力'!$I$4:$I$77,"管理費")</f>
        <v>51300</v>
      </c>
      <c r="K10" s="10" t="n">
        <f>SUMIFS('月次入力'!$J$4:$J$77,'月次入力'!$C$4:$C$77,10,'月次入力'!$I$4:$I$77,"管理費")</f>
        <v>52000</v>
      </c>
      <c r="L10" s="10" t="n">
        <f>SUMIFS('月次入力'!$J$4:$J$77,'月次入力'!$C$4:$C$77,11,'月次入力'!$I$4:$I$77,"管理費")</f>
        <v>52700</v>
      </c>
      <c r="M10" s="10" t="n">
        <f>SUMIFS('月次入力'!$J$4:$J$77,'月次入力'!$C$4:$C$77,12,'月次入力'!$I$4:$I$77,"管理費")</f>
        <v>53400</v>
      </c>
      <c r="N10" s="10" t="n">
        <f>SUM(B10:M10)</f>
        <v>594900</v>
      </c>
    </row>
    <row r="11">
      <c r="A11" t="s">
        <v>48</v>
      </c>
      <c r="B11" s="10" t="n">
        <f>SUMIFS('月次入力'!$J$4:$J$77,'月次入力'!$C$4:$C$77,1,'月次入力'!$I$4:$I$77,"研究開発費")</f>
        <v>38000</v>
      </c>
      <c r="C11" s="10" t="n">
        <f>SUMIFS('月次入力'!$J$4:$J$77,'月次入力'!$C$4:$C$77,2,'月次入力'!$I$4:$I$77,"研究開発費")</f>
        <v>37800</v>
      </c>
      <c r="D11" s="10" t="n">
        <f>SUMIFS('月次入力'!$J$4:$J$77,'月次入力'!$C$4:$C$77,3,'月次入力'!$I$4:$I$77,"研究開発費")</f>
        <v>38700</v>
      </c>
      <c r="E11" s="10" t="n">
        <f>SUMIFS('月次入力'!$J$4:$J$77,'月次入力'!$C$4:$C$77,4,'月次入力'!$I$4:$I$77,"研究開発費")</f>
        <v>39600</v>
      </c>
      <c r="F11" s="10" t="n">
        <f>SUMIFS('月次入力'!$J$4:$J$77,'月次入力'!$C$4:$C$77,5,'月次入力'!$I$4:$I$77,"研究開発費")</f>
        <v>40500</v>
      </c>
      <c r="G11" s="10" t="n">
        <f>SUMIFS('月次入力'!$J$4:$J$77,'月次入力'!$C$4:$C$77,6,'月次入力'!$I$4:$I$77,"研究開発費")</f>
        <v>41400</v>
      </c>
      <c r="H11" s="10" t="n">
        <f>SUMIFS('月次入力'!$J$4:$J$77,'月次入力'!$C$4:$C$77,7,'月次入力'!$I$4:$I$77,"研究開発費")</f>
        <v>42300</v>
      </c>
      <c r="I11" s="10" t="n">
        <f>SUMIFS('月次入力'!$J$4:$J$77,'月次入力'!$C$4:$C$77,8,'月次入力'!$I$4:$I$77,"研究開発費")</f>
        <v>43200</v>
      </c>
      <c r="J11" s="10" t="n">
        <f>SUMIFS('月次入力'!$J$4:$J$77,'月次入力'!$C$4:$C$77,9,'月次入力'!$I$4:$I$77,"研究開発費")</f>
        <v>44100</v>
      </c>
      <c r="K11" s="10" t="n">
        <f>SUMIFS('月次入力'!$J$4:$J$77,'月次入力'!$C$4:$C$77,10,'月次入力'!$I$4:$I$77,"研究開発費")</f>
        <v>45000</v>
      </c>
      <c r="L11" s="10" t="n">
        <f>SUMIFS('月次入力'!$J$4:$J$77,'月次入力'!$C$4:$C$77,11,'月次入力'!$I$4:$I$77,"研究開発費")</f>
        <v>45900</v>
      </c>
      <c r="M11" s="10" t="n">
        <f>SUMIFS('月次入力'!$J$4:$J$77,'月次入力'!$C$4:$C$77,12,'月次入力'!$I$4:$I$77,"研究開発費")</f>
        <v>46800</v>
      </c>
      <c r="N11" s="10" t="n">
        <f>SUM(B11:M11)</f>
        <v>503300</v>
      </c>
    </row>
    <row r="12">
      <c r="A12" t="s">
        <v>51</v>
      </c>
      <c r="B12" s="10" t="n">
        <f>SUMIFS('月次入力'!$J$4:$J$77,'月次入力'!$C$4:$C$77,1,'月次入力'!$I$4:$I$77,"財務費用")</f>
        <v>3500</v>
      </c>
      <c r="C12" s="10" t="n">
        <f>SUMIFS('月次入力'!$J$4:$J$77,'月次入力'!$C$4:$C$77,2,'月次入力'!$I$4:$I$77,"財務費用")</f>
        <v>0</v>
      </c>
      <c r="D12" s="10" t="n">
        <f>SUMIFS('月次入力'!$J$4:$J$77,'月次入力'!$C$4:$C$77,3,'月次入力'!$I$4:$I$77,"財務費用")</f>
        <v>0</v>
      </c>
      <c r="E12" s="10" t="n">
        <f>SUMIFS('月次入力'!$J$4:$J$77,'月次入力'!$C$4:$C$77,4,'月次入力'!$I$4:$I$77,"財務費用")</f>
        <v>0</v>
      </c>
      <c r="F12" s="10" t="n">
        <f>SUMIFS('月次入力'!$J$4:$J$77,'月次入力'!$C$4:$C$77,5,'月次入力'!$I$4:$I$77,"財務費用")</f>
        <v>0</v>
      </c>
      <c r="G12" s="10" t="n">
        <f>SUMIFS('月次入力'!$J$4:$J$77,'月次入力'!$C$4:$C$77,6,'月次入力'!$I$4:$I$77,"財務費用")</f>
        <v>0</v>
      </c>
      <c r="H12" s="10" t="n">
        <f>SUMIFS('月次入力'!$J$4:$J$77,'月次入力'!$C$4:$C$77,7,'月次入力'!$I$4:$I$77,"財務費用")</f>
        <v>0</v>
      </c>
      <c r="I12" s="10" t="n">
        <f>SUMIFS('月次入力'!$J$4:$J$77,'月次入力'!$C$4:$C$77,8,'月次入力'!$I$4:$I$77,"財務費用")</f>
        <v>0</v>
      </c>
      <c r="J12" s="10" t="n">
        <f>SUMIFS('月次入力'!$J$4:$J$77,'月次入力'!$C$4:$C$77,9,'月次入力'!$I$4:$I$77,"財務費用")</f>
        <v>0</v>
      </c>
      <c r="K12" s="10" t="n">
        <f>SUMIFS('月次入力'!$J$4:$J$77,'月次入力'!$C$4:$C$77,10,'月次入力'!$I$4:$I$77,"財務費用")</f>
        <v>0</v>
      </c>
      <c r="L12" s="10" t="n">
        <f>SUMIFS('月次入力'!$J$4:$J$77,'月次入力'!$C$4:$C$77,11,'月次入力'!$I$4:$I$77,"財務費用")</f>
        <v>0</v>
      </c>
      <c r="M12" s="10" t="n">
        <f>SUMIFS('月次入力'!$J$4:$J$77,'月次入力'!$C$4:$C$77,12,'月次入力'!$I$4:$I$77,"財務費用")</f>
        <v>0</v>
      </c>
      <c r="N12" s="10" t="n">
        <f>SUM(B12:M12)</f>
        <v>3500</v>
      </c>
    </row>
    <row r="13">
      <c r="A13" t="s">
        <v>99</v>
      </c>
      <c r="B13" s="10" t="n">
        <f>B7-B9-B10-B11-B12</f>
        <v>150500</v>
      </c>
      <c r="C13" s="10" t="n">
        <f>C7-C9-C10-C11-C12</f>
        <v>74200</v>
      </c>
      <c r="D13" s="10" t="n">
        <f>D7-D9-D10-D11-D12</f>
        <v>79800</v>
      </c>
      <c r="E13" s="10" t="n">
        <f>E7-E9-E10-E11-E12</f>
        <v>85400</v>
      </c>
      <c r="F13" s="10" t="n">
        <f>F7-F9-F10-F11-F12</f>
        <v>91000</v>
      </c>
      <c r="G13" s="10" t="n">
        <f>G7-G9-G10-G11-G12</f>
        <v>96600</v>
      </c>
      <c r="H13" s="10" t="n">
        <f>H7-H9-H10-H11-H12</f>
        <v>102200</v>
      </c>
      <c r="I13" s="10" t="n">
        <f>I7-I9-I10-I11-I12</f>
        <v>107800</v>
      </c>
      <c r="J13" s="10" t="n">
        <f>J7-J9-J10-J11-J12</f>
        <v>113400</v>
      </c>
      <c r="K13" s="10" t="n">
        <f>K7-K9-K10-K11-K12</f>
        <v>119000</v>
      </c>
      <c r="L13" s="10" t="n">
        <f>L7-L9-L10-L11-L12</f>
        <v>124600</v>
      </c>
      <c r="M13" s="10" t="n">
        <f>M7-M9-M10-M11-M12</f>
        <v>130200</v>
      </c>
      <c r="N13" s="10" t="n">
        <f>SUM(B13:M13)</f>
        <v>1274700</v>
      </c>
    </row>
    <row r="14">
      <c r="A14" t="s">
        <v>100</v>
      </c>
      <c r="B14" s="12" t="n">
        <f>IFERROR(B13/B5,0)</f>
        <v>0.301</v>
      </c>
      <c r="C14" s="12" t="n">
        <f>IFERROR(C13/C5,0)</f>
        <v>0.22484848484848485</v>
      </c>
      <c r="D14" s="12" t="n">
        <f>IFERROR(D13/D5,0)</f>
        <v>0.23130434782608697</v>
      </c>
      <c r="E14" s="12" t="n">
        <f>IFERROR(E13/E5,0)</f>
        <v>0.23722222222222222</v>
      </c>
      <c r="F14" s="12" t="n">
        <f>IFERROR(F13/F5,0)</f>
        <v>0.24266666666666667</v>
      </c>
      <c r="G14" s="12" t="n">
        <f>IFERROR(G13/G5,0)</f>
        <v>0.24769230769230768</v>
      </c>
      <c r="H14" s="12" t="n">
        <f>IFERROR(H13/H5,0)</f>
        <v>0.25234567901234567</v>
      </c>
      <c r="I14" s="12" t="n">
        <f>IFERROR(I13/I5,0)</f>
        <v>0.25666666666666665</v>
      </c>
      <c r="J14" s="12" t="n">
        <f>IFERROR(J13/J5,0)</f>
        <v>0.26068965517241377</v>
      </c>
      <c r="K14" s="12" t="n">
        <f>IFERROR(K13/K5,0)</f>
        <v>0.2644444444444444</v>
      </c>
      <c r="L14" s="12" t="n">
        <f>IFERROR(L13/L5,0)</f>
        <v>0.2679569892473118</v>
      </c>
      <c r="M14" s="12" t="n">
        <f>IFERROR(M13/M5,0)</f>
        <v>0.27125</v>
      </c>
      <c r="N14" s="12" t="n">
        <f>IFERROR(N13/N5,0)</f>
        <v>0.257255297679112</v>
      </c>
    </row>
    <row r="15">
      <c r="A15" t="s">
        <v>53</v>
      </c>
      <c r="B15" s="10" t="n">
        <f>SUMIFS('月次入力'!$J$4:$J$77,'月次入力'!$C$4:$C$77,1,'月次入力'!$I$4:$I$77,"その他収益")</f>
        <v>0</v>
      </c>
      <c r="C15" s="10" t="n">
        <f>SUMIFS('月次入力'!$J$4:$J$77,'月次入力'!$C$4:$C$77,2,'月次入力'!$I$4:$I$77,"その他収益")</f>
        <v>0</v>
      </c>
      <c r="D15" s="10" t="n">
        <f>SUMIFS('月次入力'!$J$4:$J$77,'月次入力'!$C$4:$C$77,3,'月次入力'!$I$4:$I$77,"その他収益")</f>
        <v>0</v>
      </c>
      <c r="E15" s="10" t="n">
        <f>SUMIFS('月次入力'!$J$4:$J$77,'月次入力'!$C$4:$C$77,4,'月次入力'!$I$4:$I$77,"その他収益")</f>
        <v>0</v>
      </c>
      <c r="F15" s="10" t="n">
        <f>SUMIFS('月次入力'!$J$4:$J$77,'月次入力'!$C$4:$C$77,5,'月次入力'!$I$4:$I$77,"その他収益")</f>
        <v>0</v>
      </c>
      <c r="G15" s="10" t="n">
        <f>SUMIFS('月次入力'!$J$4:$J$77,'月次入力'!$C$4:$C$77,6,'月次入力'!$I$4:$I$77,"その他収益")</f>
        <v>0</v>
      </c>
      <c r="H15" s="10" t="n">
        <f>SUMIFS('月次入力'!$J$4:$J$77,'月次入力'!$C$4:$C$77,7,'月次入力'!$I$4:$I$77,"その他収益")</f>
        <v>0</v>
      </c>
      <c r="I15" s="10" t="n">
        <f>SUMIFS('月次入力'!$J$4:$J$77,'月次入力'!$C$4:$C$77,8,'月次入力'!$I$4:$I$77,"その他収益")</f>
        <v>0</v>
      </c>
      <c r="J15" s="10" t="n">
        <f>SUMIFS('月次入力'!$J$4:$J$77,'月次入力'!$C$4:$C$77,9,'月次入力'!$I$4:$I$77,"その他収益")</f>
        <v>0</v>
      </c>
      <c r="K15" s="10" t="n">
        <f>SUMIFS('月次入力'!$J$4:$J$77,'月次入力'!$C$4:$C$77,10,'月次入力'!$I$4:$I$77,"その他収益")</f>
        <v>0</v>
      </c>
      <c r="L15" s="10" t="n">
        <f>SUMIFS('月次入力'!$J$4:$J$77,'月次入力'!$C$4:$C$77,11,'月次入力'!$I$4:$I$77,"その他収益")</f>
        <v>0</v>
      </c>
      <c r="M15" s="10" t="n">
        <f>SUMIFS('月次入力'!$J$4:$J$77,'月次入力'!$C$4:$C$77,12,'月次入力'!$I$4:$I$77,"その他収益")</f>
        <v>0</v>
      </c>
      <c r="N15" s="10" t="n">
        <f>SUM(B15:M15)</f>
        <v>0</v>
      </c>
    </row>
    <row r="16">
      <c r="A16" t="s">
        <v>56</v>
      </c>
      <c r="B16" s="10" t="n">
        <f>SUMIFS('月次入力'!$J$4:$J$77,'月次入力'!$C$4:$C$77,1,'月次入力'!$I$4:$I$77,"営業外損益")</f>
        <v>0</v>
      </c>
      <c r="C16" s="10" t="n">
        <f>SUMIFS('月次入力'!$J$4:$J$77,'月次入力'!$C$4:$C$77,2,'月次入力'!$I$4:$I$77,"営業外損益")</f>
        <v>0</v>
      </c>
      <c r="D16" s="10" t="n">
        <f>SUMIFS('月次入力'!$J$4:$J$77,'月次入力'!$C$4:$C$77,3,'月次入力'!$I$4:$I$77,"営業外損益")</f>
        <v>0</v>
      </c>
      <c r="E16" s="10" t="n">
        <f>SUMIFS('月次入力'!$J$4:$J$77,'月次入力'!$C$4:$C$77,4,'月次入力'!$I$4:$I$77,"営業外損益")</f>
        <v>0</v>
      </c>
      <c r="F16" s="10" t="n">
        <f>SUMIFS('月次入力'!$J$4:$J$77,'月次入力'!$C$4:$C$77,5,'月次入力'!$I$4:$I$77,"営業外損益")</f>
        <v>0</v>
      </c>
      <c r="G16" s="10" t="n">
        <f>SUMIFS('月次入力'!$J$4:$J$77,'月次入力'!$C$4:$C$77,6,'月次入力'!$I$4:$I$77,"営業外損益")</f>
        <v>0</v>
      </c>
      <c r="H16" s="10" t="n">
        <f>SUMIFS('月次入力'!$J$4:$J$77,'月次入力'!$C$4:$C$77,7,'月次入力'!$I$4:$I$77,"営業外損益")</f>
        <v>0</v>
      </c>
      <c r="I16" s="10" t="n">
        <f>SUMIFS('月次入力'!$J$4:$J$77,'月次入力'!$C$4:$C$77,8,'月次入力'!$I$4:$I$77,"営業外損益")</f>
        <v>0</v>
      </c>
      <c r="J16" s="10" t="n">
        <f>SUMIFS('月次入力'!$J$4:$J$77,'月次入力'!$C$4:$C$77,9,'月次入力'!$I$4:$I$77,"営業外損益")</f>
        <v>0</v>
      </c>
      <c r="K16" s="10" t="n">
        <f>SUMIFS('月次入力'!$J$4:$J$77,'月次入力'!$C$4:$C$77,10,'月次入力'!$I$4:$I$77,"営業外損益")</f>
        <v>0</v>
      </c>
      <c r="L16" s="10" t="n">
        <f>SUMIFS('月次入力'!$J$4:$J$77,'月次入力'!$C$4:$C$77,11,'月次入力'!$I$4:$I$77,"営業外損益")</f>
        <v>0</v>
      </c>
      <c r="M16" s="10" t="n">
        <f>SUMIFS('月次入力'!$J$4:$J$77,'月次入力'!$C$4:$C$77,12,'月次入力'!$I$4:$I$77,"営業外損益")</f>
        <v>0</v>
      </c>
      <c r="N16" s="10" t="n">
        <f>SUM(B16:M16)</f>
        <v>0</v>
      </c>
    </row>
    <row r="17">
      <c r="A17" t="s">
        <v>101</v>
      </c>
      <c r="B17" s="10" t="n">
        <f>B13+B15+B16</f>
        <v>150500</v>
      </c>
      <c r="C17" s="10" t="n">
        <f>C13+C15+C16</f>
        <v>74200</v>
      </c>
      <c r="D17" s="10" t="n">
        <f>D13+D15+D16</f>
        <v>79800</v>
      </c>
      <c r="E17" s="10" t="n">
        <f>E13+E15+E16</f>
        <v>85400</v>
      </c>
      <c r="F17" s="10" t="n">
        <f>F13+F15+F16</f>
        <v>91000</v>
      </c>
      <c r="G17" s="10" t="n">
        <f>G13+G15+G16</f>
        <v>96600</v>
      </c>
      <c r="H17" s="10" t="n">
        <f>H13+H15+H16</f>
        <v>102200</v>
      </c>
      <c r="I17" s="10" t="n">
        <f>I13+I15+I16</f>
        <v>107800</v>
      </c>
      <c r="J17" s="10" t="n">
        <f>J13+J15+J16</f>
        <v>113400</v>
      </c>
      <c r="K17" s="10" t="n">
        <f>K13+K15+K16</f>
        <v>119000</v>
      </c>
      <c r="L17" s="10" t="n">
        <f>L13+L15+L16</f>
        <v>124600</v>
      </c>
      <c r="M17" s="10" t="n">
        <f>M13+M15+M16</f>
        <v>130200</v>
      </c>
      <c r="N17" s="10" t="n">
        <f>SUM(B17:M17)</f>
        <v>1274700</v>
      </c>
    </row>
    <row r="18">
      <c r="A18" t="s">
        <v>60</v>
      </c>
      <c r="B18" s="10" t="n">
        <f>SUMIFS('月次入力'!$J$4:$J$77,'月次入力'!$C$4:$C$77,1,'月次入力'!$I$4:$I$77,"法人税等")</f>
        <v>18000</v>
      </c>
      <c r="C18" s="10" t="n">
        <f>SUMIFS('月次入力'!$J$4:$J$77,'月次入力'!$C$4:$C$77,2,'月次入力'!$I$4:$I$77,"法人税等")</f>
        <v>17000</v>
      </c>
      <c r="D18" s="10" t="n">
        <f>SUMIFS('月次入力'!$J$4:$J$77,'月次入力'!$C$4:$C$77,3,'月次入力'!$I$4:$I$77,"法人税等")</f>
        <v>18000</v>
      </c>
      <c r="E18" s="10" t="n">
        <f>SUMIFS('月次入力'!$J$4:$J$77,'月次入力'!$C$4:$C$77,4,'月次入力'!$I$4:$I$77,"法人税等")</f>
        <v>19000</v>
      </c>
      <c r="F18" s="10" t="n">
        <f>SUMIFS('月次入力'!$J$4:$J$77,'月次入力'!$C$4:$C$77,5,'月次入力'!$I$4:$I$77,"法人税等")</f>
        <v>20000</v>
      </c>
      <c r="G18" s="10" t="n">
        <f>SUMIFS('月次入力'!$J$4:$J$77,'月次入力'!$C$4:$C$77,6,'月次入力'!$I$4:$I$77,"法人税等")</f>
        <v>21000</v>
      </c>
      <c r="H18" s="10" t="n">
        <f>SUMIFS('月次入力'!$J$4:$J$77,'月次入力'!$C$4:$C$77,7,'月次入力'!$I$4:$I$77,"法人税等")</f>
        <v>22000</v>
      </c>
      <c r="I18" s="10" t="n">
        <f>SUMIFS('月次入力'!$J$4:$J$77,'月次入力'!$C$4:$C$77,8,'月次入力'!$I$4:$I$77,"法人税等")</f>
        <v>23000</v>
      </c>
      <c r="J18" s="10" t="n">
        <f>SUMIFS('月次入力'!$J$4:$J$77,'月次入力'!$C$4:$C$77,9,'月次入力'!$I$4:$I$77,"法人税等")</f>
        <v>24000</v>
      </c>
      <c r="K18" s="10" t="n">
        <f>SUMIFS('月次入力'!$J$4:$J$77,'月次入力'!$C$4:$C$77,10,'月次入力'!$I$4:$I$77,"法人税等")</f>
        <v>25000</v>
      </c>
      <c r="L18" s="10" t="n">
        <f>SUMIFS('月次入力'!$J$4:$J$77,'月次入力'!$C$4:$C$77,11,'月次入力'!$I$4:$I$77,"法人税等")</f>
        <v>26000</v>
      </c>
      <c r="M18" s="10" t="n">
        <f>SUMIFS('月次入力'!$J$4:$J$77,'月次入力'!$C$4:$C$77,12,'月次入力'!$I$4:$I$77,"法人税等")</f>
        <v>27000</v>
      </c>
      <c r="N18" s="10" t="n">
        <f>SUM(B18:M18)</f>
        <v>260000</v>
      </c>
    </row>
    <row r="19">
      <c r="A19" t="s">
        <v>102</v>
      </c>
      <c r="B19" s="10" t="n">
        <f>B17-B18</f>
        <v>132500</v>
      </c>
      <c r="C19" s="10" t="n">
        <f>C17-C18</f>
        <v>57200</v>
      </c>
      <c r="D19" s="10" t="n">
        <f>D17-D18</f>
        <v>61800</v>
      </c>
      <c r="E19" s="10" t="n">
        <f>E17-E18</f>
        <v>66400</v>
      </c>
      <c r="F19" s="10" t="n">
        <f>F17-F18</f>
        <v>71000</v>
      </c>
      <c r="G19" s="10" t="n">
        <f>G17-G18</f>
        <v>75600</v>
      </c>
      <c r="H19" s="10" t="n">
        <f>H17-H18</f>
        <v>80200</v>
      </c>
      <c r="I19" s="10" t="n">
        <f>I17-I18</f>
        <v>84800</v>
      </c>
      <c r="J19" s="10" t="n">
        <f>J17-J18</f>
        <v>89400</v>
      </c>
      <c r="K19" s="10" t="n">
        <f>K17-K18</f>
        <v>94000</v>
      </c>
      <c r="L19" s="10" t="n">
        <f>L17-L18</f>
        <v>98600</v>
      </c>
      <c r="M19" s="10" t="n">
        <f>M17-M18</f>
        <v>103200</v>
      </c>
      <c r="N19" s="10" t="n">
        <f>SUM(B19:M19)</f>
        <v>1014700</v>
      </c>
    </row>
    <row r="20">
      <c r="A20" t="s">
        <v>103</v>
      </c>
      <c r="B20" s="12" t="n">
        <f>IFERROR(B19/B5,0)</f>
        <v>0.265</v>
      </c>
      <c r="C20" s="12" t="n">
        <f>IFERROR(C19/C5,0)</f>
        <v>0.17333333333333334</v>
      </c>
      <c r="D20" s="12" t="n">
        <f>IFERROR(D19/D5,0)</f>
        <v>0.1791304347826087</v>
      </c>
      <c r="E20" s="12" t="n">
        <f>IFERROR(E19/E5,0)</f>
        <v>0.18444444444444444</v>
      </c>
      <c r="F20" s="12" t="n">
        <f>IFERROR(F19/F5,0)</f>
        <v>0.18933333333333333</v>
      </c>
      <c r="G20" s="12" t="n">
        <f>IFERROR(G19/G5,0)</f>
        <v>0.19384615384615383</v>
      </c>
      <c r="H20" s="12" t="n">
        <f>IFERROR(H19/H5,0)</f>
        <v>0.1980246913580247</v>
      </c>
      <c r="I20" s="12" t="n">
        <f>IFERROR(I19/I5,0)</f>
        <v>0.2019047619047619</v>
      </c>
      <c r="J20" s="12" t="n">
        <f>IFERROR(J19/J5,0)</f>
        <v>0.20551724137931035</v>
      </c>
      <c r="K20" s="12" t="n">
        <f>IFERROR(K19/K5,0)</f>
        <v>0.2088888888888889</v>
      </c>
      <c r="L20" s="12" t="n">
        <f>IFERROR(L19/L5,0)</f>
        <v>0.21204301075268817</v>
      </c>
      <c r="M20" s="12" t="n">
        <f>IFERROR(M19/M5,0)</f>
        <v>0.215</v>
      </c>
      <c r="N20" s="12" t="n">
        <f>IFERROR(N19/N5,0)</f>
        <v>0.20478304742684159</v>
      </c>
    </row>
  </sheetData>
  <mergeCells count="1">
    <mergeCell ref="A1:N1"/>
  </mergeCells>
  <pageMargins left="0.7" right="0.7" top="0.75" bottom="0.75" header="0.3" footer="0.3"/>
</worksheet>
</file>

<file path=xl/worksheets/sheet5.xml><?xml version="1.0" encoding="utf-8"?>
<worksheet xmlns:x="http://schemas.openxmlformats.org/spreadsheetml/2006/main" xmlns="http://schemas.openxmlformats.org/spreadsheetml/2006/main">
  <sheetFormatPr defaultRowHeight="15"/>
  <cols>
    <col customWidth="true" max="4" min="1" width="20"/>
  </cols>
  <sheetData>
    <row r="1">
      <c r="A1" s="14" t="s">
        <v>104</v>
      </c>
      <c r="B1" s="14"/>
      <c r="C1" s="14"/>
      <c r="D1" s="14"/>
      <c r="E1" s="14"/>
      <c r="F1" s="14"/>
      <c r="G1" s="14"/>
      <c r="H1" s="14"/>
      <c r="I1" s="14"/>
      <c r="J1" s="14"/>
      <c r="K1" s="14"/>
      <c r="L1" s="14"/>
      <c r="M1" s="14"/>
      <c r="N1" s="14"/>
      <c r="O1" s="14"/>
      <c r="P1" s="14"/>
      <c r="Q1" s="14"/>
      <c r="R1" s="14"/>
      <c r="S1" s="14"/>
      <c r="T1" s="14"/>
      <c r="U1" s="14"/>
      <c r="V1" s="14"/>
      <c r="W1" s="14"/>
      <c r="X1" s="14"/>
      <c r="Y1" s="14"/>
      <c r="Z1" s="14"/>
    </row>
    <row r="2"/>
    <row r="3">
      <c r="A3" s="4" t="s">
        <v>105</v>
      </c>
      <c r="B3" s="4" t="s">
        <v>106</v>
      </c>
      <c r="C3" s="4" t="s">
        <v>107</v>
      </c>
      <c r="D3" s="4" t="s">
        <v>3</v>
      </c>
    </row>
    <row r="4">
      <c r="A4" t="s">
        <v>26</v>
      </c>
      <c r="B4" s="10" t="n">
        <f>'損益計算書'!N5</f>
        <v>4955000</v>
      </c>
      <c r="C4" t="s">
        <v>108</v>
      </c>
      <c r="D4" t="s">
        <v>109</v>
      </c>
    </row>
    <row r="5">
      <c r="A5" t="s">
        <v>36</v>
      </c>
      <c r="B5" s="10" t="n">
        <f>'損益計算書'!N6</f>
        <v>2081100</v>
      </c>
      <c r="C5" t="s">
        <v>110</v>
      </c>
      <c r="D5" t="s">
        <v>111</v>
      </c>
    </row>
    <row r="6">
      <c r="A6" t="s">
        <v>97</v>
      </c>
      <c r="B6" s="10" t="n">
        <f>'損益計算書'!N7</f>
        <v>2873900</v>
      </c>
      <c r="C6" t="s">
        <v>112</v>
      </c>
      <c r="D6" t="s">
        <v>113</v>
      </c>
    </row>
    <row r="7">
      <c r="A7" t="s">
        <v>98</v>
      </c>
      <c r="B7" s="12" t="n">
        <f>'損益計算書'!N8</f>
        <v>0.58</v>
      </c>
      <c r="C7" t="s">
        <v>114</v>
      </c>
      <c r="D7" t="s">
        <v>115</v>
      </c>
    </row>
    <row r="8">
      <c r="A8" t="s">
        <v>99</v>
      </c>
      <c r="B8" s="10" t="n">
        <f>'損益計算書'!N13</f>
        <v>1274700</v>
      </c>
      <c r="C8" t="s">
        <v>116</v>
      </c>
      <c r="D8" t="s">
        <v>117</v>
      </c>
    </row>
    <row r="9">
      <c r="A9" t="s">
        <v>100</v>
      </c>
      <c r="B9" s="12" t="n">
        <f>'損益計算書'!N14</f>
        <v>0.257255297679112</v>
      </c>
      <c r="C9" t="s">
        <v>118</v>
      </c>
      <c r="D9" t="s">
        <v>119</v>
      </c>
    </row>
    <row r="10">
      <c r="A10" t="s">
        <v>102</v>
      </c>
      <c r="B10" s="10" t="n">
        <f>'損益計算書'!N19</f>
        <v>1014700</v>
      </c>
      <c r="C10" t="s">
        <v>120</v>
      </c>
      <c r="D10" t="s">
        <v>121</v>
      </c>
    </row>
    <row r="11">
      <c r="A11" t="s">
        <v>103</v>
      </c>
      <c r="B11" s="12" t="n">
        <f>'損益計算書'!N20</f>
        <v>0.20478304742684159</v>
      </c>
      <c r="C11" t="s">
        <v>122</v>
      </c>
      <c r="D11" t="s">
        <v>123</v>
      </c>
    </row>
  </sheetData>
  <mergeCells count="1">
    <mergeCell ref="A1:D1"/>
  </mergeCells>
  <pageMargins left="0.7" right="0.7" top="0.75" bottom="0.75" header="0.3" footer="0.3"/>
</worksheet>
</file>

<file path=xl/worksheets/sheet6.xml><?xml version="1.0" encoding="utf-8"?>
<worksheet xmlns:x="http://schemas.openxmlformats.org/spreadsheetml/2006/main" xmlns="http://schemas.openxmlformats.org/spreadsheetml/2006/main">
  <sheetFormatPr defaultRowHeight="15"/>
  <cols>
    <col customWidth="true" max="8" min="1" width="18"/>
  </cols>
  <sheetData>
    <row r="1">
      <c r="A1" s="14" t="s">
        <v>124</v>
      </c>
      <c r="B1" s="14"/>
      <c r="C1" s="14"/>
      <c r="D1" s="14"/>
      <c r="E1" s="14"/>
      <c r="F1" s="14"/>
      <c r="G1" s="14"/>
      <c r="H1" s="14"/>
      <c r="I1" s="14"/>
      <c r="J1" s="14"/>
      <c r="K1" s="14"/>
      <c r="L1" s="14"/>
      <c r="M1" s="14"/>
      <c r="N1" s="14"/>
      <c r="O1" s="14"/>
      <c r="P1" s="14"/>
      <c r="Q1" s="14"/>
      <c r="R1" s="14"/>
      <c r="S1" s="14"/>
      <c r="T1" s="14"/>
      <c r="U1" s="14"/>
      <c r="V1" s="14"/>
      <c r="W1" s="14"/>
      <c r="X1" s="14"/>
      <c r="Y1" s="14"/>
      <c r="Z1" s="14"/>
    </row>
    <row r="2"/>
    <row r="3">
      <c r="A3" s="4" t="s">
        <v>125</v>
      </c>
      <c r="B3" s="4" t="s">
        <v>126</v>
      </c>
      <c r="D3" s="4" t="s">
        <v>127</v>
      </c>
      <c r="E3" s="4" t="str"/>
      <c r="F3" s="4" t="str"/>
      <c r="G3" s="4" t="str"/>
      <c r="H3" s="4" t="str"/>
    </row>
    <row r="4">
      <c r="A4" t="s">
        <v>26</v>
      </c>
      <c r="B4" s="10" t="n">
        <f>'損益計算書'!N5</f>
        <v>4955000</v>
      </c>
      <c r="D4" t="s">
        <v>128</v>
      </c>
      <c r="E4" t="str"/>
      <c r="F4" t="str"/>
      <c r="G4" t="str"/>
      <c r="H4" t="str"/>
    </row>
    <row r="5">
      <c r="A5" t="s">
        <v>97</v>
      </c>
      <c r="B5" s="10" t="n">
        <f>'損益計算書'!N7</f>
        <v>2873900</v>
      </c>
      <c r="D5" t="s">
        <v>129</v>
      </c>
      <c r="E5" t="str"/>
      <c r="F5" t="str"/>
      <c r="G5" t="str"/>
      <c r="H5" t="str"/>
    </row>
    <row r="6">
      <c r="A6" t="s">
        <v>99</v>
      </c>
      <c r="B6" s="10" t="n">
        <f>'損益計算書'!N13</f>
        <v>1274700</v>
      </c>
      <c r="D6" t="s">
        <v>130</v>
      </c>
      <c r="E6" t="str"/>
      <c r="F6" t="str"/>
      <c r="G6" t="str"/>
      <c r="H6" t="str"/>
    </row>
    <row r="7">
      <c r="A7" t="s">
        <v>102</v>
      </c>
      <c r="B7" s="10" t="n">
        <f>'損益計算書'!N19</f>
        <v>1014700</v>
      </c>
      <c r="D7" t="s">
        <v>131</v>
      </c>
      <c r="E7" t="str"/>
      <c r="F7" t="str"/>
      <c r="G7" t="str"/>
      <c r="H7" t="str"/>
    </row>
    <row r="8">
      <c r="A8" t="s">
        <v>98</v>
      </c>
      <c r="B8" s="12" t="n">
        <f>'損益計算書'!N8</f>
        <v>0.58</v>
      </c>
      <c r="D8" t="s">
        <v>132</v>
      </c>
      <c r="E8" t="str"/>
      <c r="F8" t="str"/>
      <c r="G8" t="str"/>
      <c r="H8" t="str"/>
    </row>
    <row r="9">
      <c r="A9" t="s">
        <v>103</v>
      </c>
      <c r="B9" s="12" t="n">
        <f>'損益計算書'!N20</f>
        <v>0.20478304742684159</v>
      </c>
    </row>
  </sheetData>
  <mergeCells count="1">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汎用損益計算書テンプレート</dc:title>
  <dc:creator>Finite Field</dc:creator>
  <dc:description>サービス業、小売、EC、製造、プロジェクト型企業など幅広い業態に対応します。まず会計項目を整え、その後に月次金額を入力すると、損益計算書とダッシュボードが自動集計されます。</dc:description>
  <lastModifiedBy/>
  <category>Finance</category>
</coreProperties>
</file>