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使い方" sheetId="1" state="visible" r:id="rId1"/>
    <sheet xmlns:r="http://schemas.openxmlformats.org/officeDocument/2006/relationships" name="集計ダッシュボード" sheetId="2" state="visible" r:id="rId2"/>
    <sheet xmlns:r="http://schemas.openxmlformats.org/officeDocument/2006/relationships" name="経費精算台帳" sheetId="3" state="visible" r:id="rId3"/>
    <sheet xmlns:r="http://schemas.openxmlformats.org/officeDocument/2006/relationships" name="経費明細" sheetId="4" state="visible" r:id="rId4"/>
    <sheet xmlns:r="http://schemas.openxmlformats.org/officeDocument/2006/relationships" name="承認フロー" sheetId="5" state="visible" r:id="rId5"/>
    <sheet xmlns:r="http://schemas.openxmlformats.org/officeDocument/2006/relationships" name="基本設定" sheetId="6" state="visible" r:id="rId6"/>
  </sheets>
  <definedNames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#,##0.00;[Red]-#,##0.00;-"/>
    <numFmt numFmtId="166" formatCode="yyyy-mm"/>
  </numFmts>
  <fonts count="7">
    <font>
      <name val="Carlito"/>
      <sz val="11"/>
    </font>
    <font>
      <name val="Microsoft YaHei"/>
      <b val="1"/>
      <color rgb="000F172A"/>
      <sz val="18"/>
    </font>
    <font>
      <name val="Microsoft YaHei"/>
      <color rgb="0064748B"/>
      <sz val="10"/>
    </font>
    <font>
      <name val="Microsoft YaHei"/>
      <b val="1"/>
      <color rgb="000F172A"/>
      <sz val="11"/>
    </font>
    <font>
      <name val="Microsoft YaHei"/>
      <b val="1"/>
      <color rgb="00111827"/>
      <sz val="9"/>
    </font>
    <font>
      <name val="Microsoft YaHei"/>
      <color rgb="00111827"/>
      <sz val="9"/>
    </font>
    <font>
      <name val="Microsoft YaHei"/>
      <b val="1"/>
      <color rgb="00111827"/>
      <sz val="10"/>
    </font>
  </fonts>
  <fills count="7">
    <fill>
      <patternFill/>
    </fill>
    <fill>
      <patternFill patternType="gray125"/>
    </fill>
    <fill>
      <patternFill patternType="solid">
        <fgColor rgb="00E0F2FE"/>
      </patternFill>
    </fill>
    <fill>
      <patternFill patternType="solid">
        <fgColor rgb="00DBEAFE"/>
      </patternFill>
    </fill>
    <fill>
      <patternFill patternType="solid">
        <fgColor rgb="00FFFFFF"/>
      </patternFill>
    </fill>
    <fill>
      <patternFill patternType="solid">
        <fgColor rgb="00EFF6FF"/>
      </patternFill>
    </fill>
    <fill>
      <patternFill patternType="solid">
        <fgColor rgb="00F1F5F9"/>
      </patternFill>
    </fill>
  </fills>
  <borders count="32">
    <border/>
    <border/>
    <border>
      <left style="thin">
        <color rgb="00CBD5E1"/>
      </left>
      <top style="thin">
        <color rgb="00CBD5E1"/>
      </top>
      <bottom style="thin">
        <color rgb="00CBD5E1"/>
      </bottom>
    </border>
    <border>
      <top style="thin">
        <color rgb="00CBD5E1"/>
      </top>
      <bottom style="thin">
        <color rgb="00CBD5E1"/>
      </bottom>
    </border>
    <border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CBD5E1"/>
      </left>
      <top style="thin">
        <color rgb="00CBD5E1"/>
      </top>
      <bottom style="thin">
        <color rgb="00CBD5E1"/>
      </bottom>
    </border>
    <border>
      <top style="thin">
        <color rgb="00CBD5E1"/>
      </top>
      <bottom style="thin">
        <color rgb="00CBD5E1"/>
      </bottom>
    </border>
    <border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CBD5E1"/>
      </left>
      <top style="thin">
        <color rgb="00CBD5E1"/>
      </top>
    </border>
    <border>
      <top style="thin">
        <color rgb="00CBD5E1"/>
      </top>
    </border>
    <border>
      <right style="thin">
        <color rgb="00CBD5E1"/>
      </right>
      <top style="thin">
        <color rgb="00CBD5E1"/>
      </top>
    </border>
    <border>
      <left style="thin">
        <color rgb="00CBD5E1"/>
      </left>
    </border>
    <border>
      <right style="thin">
        <color rgb="00CBD5E1"/>
      </right>
    </border>
    <border>
      <left style="thin">
        <color rgb="00CBD5E1"/>
      </left>
      <bottom style="thin">
        <color rgb="00CBD5E1"/>
      </bottom>
    </border>
    <border>
      <bottom style="thin">
        <color rgb="00CBD5E1"/>
      </bottom>
    </border>
    <border>
      <right style="thin">
        <color rgb="00CBD5E1"/>
      </right>
      <bottom style="thin">
        <color rgb="00CBD5E1"/>
      </bottom>
    </border>
    <border>
      <left style="thin">
        <color rgb="00CBD5E1"/>
      </left>
      <top style="thin">
        <color rgb="00CBD5E1"/>
      </top>
    </border>
    <border>
      <top style="thin">
        <color rgb="00CBD5E1"/>
      </top>
    </border>
    <border>
      <right style="thin">
        <color rgb="00CBD5E1"/>
      </right>
      <top style="thin">
        <color rgb="00CBD5E1"/>
      </top>
    </border>
    <border>
      <left style="thin">
        <color rgb="00CBD5E1"/>
      </left>
    </border>
    <border>
      <right style="thin">
        <color rgb="00CBD5E1"/>
      </right>
    </border>
    <border>
      <left style="thin">
        <color rgb="00CBD5E1"/>
      </left>
      <bottom style="thin">
        <color rgb="00CBD5E1"/>
      </bottom>
    </border>
    <border>
      <bottom style="thin">
        <color rgb="00CBD5E1"/>
      </bottom>
    </border>
    <border>
      <right style="thin">
        <color rgb="00CBD5E1"/>
      </right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</border>
    <border>
      <left style="thin">
        <color rgb="00CBD5E1"/>
      </left>
      <right style="thin">
        <color rgb="00CBD5E1"/>
      </right>
    </border>
    <border>
      <left style="thin">
        <color rgb="00CBD5E1"/>
      </left>
      <right style="thin">
        <color rgb="00CBD5E1"/>
      </right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</border>
    <border>
      <left style="thin">
        <color rgb="00CBD5E1"/>
      </left>
      <right style="thin">
        <color rgb="00CBD5E1"/>
      </right>
    </border>
    <border>
      <left style="thin">
        <color rgb="00CBD5E1"/>
      </left>
      <right style="thin">
        <color rgb="00CBD5E1"/>
      </right>
      <bottom style="thin">
        <color rgb="00CBD5E1"/>
      </bottom>
    </border>
  </borders>
  <cellStyleXfs count="1">
    <xf numFmtId="0" fontId="0" fillId="0" borderId="1"/>
  </cellStyleXfs>
  <cellXfs count="213">
    <xf numFmtId="0" fontId="0" fillId="0" borderId="0" pivotButton="0" quotePrefix="0" xfId="0"/>
    <xf numFmtId="0" fontId="0" fillId="0" borderId="1" pivotButton="0" quotePrefix="0" xfId="0"/>
    <xf numFmtId="0" fontId="1" fillId="0" borderId="0" pivotButton="0" quotePrefix="0" xfId="0"/>
    <xf numFmtId="0" fontId="1" fillId="0" borderId="1" pivotButton="0" quotePrefix="0" xfId="0"/>
    <xf numFmtId="0" fontId="1" fillId="0" borderId="0" applyAlignment="1" pivotButton="0" quotePrefix="0" xfId="0">
      <alignment horizontal="left"/>
    </xf>
    <xf numFmtId="0" fontId="1" fillId="0" borderId="1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1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2" fillId="0" borderId="0" pivotButton="0" quotePrefix="0" xfId="0"/>
    <xf numFmtId="0" fontId="2" fillId="0" borderId="1" pivotButton="0" quotePrefix="0" xfId="0"/>
    <xf numFmtId="0" fontId="2" fillId="0" borderId="0" applyAlignment="1" pivotButton="0" quotePrefix="0" xfId="0">
      <alignment wrapText="1"/>
    </xf>
    <xf numFmtId="0" fontId="2" fillId="0" borderId="1" applyAlignment="1" pivotButton="0" quotePrefix="0" xfId="0">
      <alignment wrapText="1"/>
    </xf>
    <xf numFmtId="0" fontId="0" fillId="2" borderId="0" pivotButton="0" quotePrefix="0" xfId="0"/>
    <xf numFmtId="0" fontId="0" fillId="2" borderId="1" pivotButton="0" quotePrefix="0" xfId="0"/>
    <xf numFmtId="0" fontId="3" fillId="2" borderId="0" pivotButton="0" quotePrefix="0" xfId="0"/>
    <xf numFmtId="0" fontId="3" fillId="2" borderId="1" pivotButton="0" quotePrefix="0" xfId="0"/>
    <xf numFmtId="0" fontId="3" fillId="2" borderId="0" applyAlignment="1" pivotButton="0" quotePrefix="0" xfId="0">
      <alignment horizontal="left"/>
    </xf>
    <xf numFmtId="0" fontId="3" fillId="2" borderId="1" applyAlignment="1" pivotButton="0" quotePrefix="0" xfId="0">
      <alignment horizontal="left"/>
    </xf>
    <xf numFmtId="0" fontId="3" fillId="2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/>
    </xf>
    <xf numFmtId="0" fontId="3" fillId="2" borderId="2" applyAlignment="1" pivotButton="0" quotePrefix="0" xfId="0">
      <alignment horizontal="left" vertical="center"/>
    </xf>
    <xf numFmtId="0" fontId="3" fillId="2" borderId="3" applyAlignment="1" pivotButton="0" quotePrefix="0" xfId="0">
      <alignment horizontal="left" vertical="center"/>
    </xf>
    <xf numFmtId="0" fontId="3" fillId="2" borderId="4" applyAlignment="1" pivotButton="0" quotePrefix="0" xfId="0">
      <alignment horizontal="left" vertical="center"/>
    </xf>
    <xf numFmtId="0" fontId="3" fillId="2" borderId="5" applyAlignment="1" pivotButton="0" quotePrefix="0" xfId="0">
      <alignment horizontal="left" vertical="center"/>
    </xf>
    <xf numFmtId="0" fontId="3" fillId="2" borderId="6" applyAlignment="1" pivotButton="0" quotePrefix="0" xfId="0">
      <alignment horizontal="left" vertical="center"/>
    </xf>
    <xf numFmtId="0" fontId="3" fillId="2" borderId="7" applyAlignment="1" pivotButton="0" quotePrefix="0" xfId="0">
      <alignment horizontal="left" vertical="center"/>
    </xf>
    <xf numFmtId="0" fontId="0" fillId="3" borderId="0" pivotButton="0" quotePrefix="0" xfId="0"/>
    <xf numFmtId="0" fontId="0" fillId="3" borderId="1" pivotButton="0" quotePrefix="0" xfId="0"/>
    <xf numFmtId="0" fontId="4" fillId="3" borderId="0" pivotButton="0" quotePrefix="0" xfId="0"/>
    <xf numFmtId="0" fontId="4" fillId="3" borderId="1" pivotButton="0" quotePrefix="0" xfId="0"/>
    <xf numFmtId="0" fontId="4" fillId="3" borderId="0" applyAlignment="1" pivotButton="0" quotePrefix="0" xfId="0">
      <alignment horizontal="center"/>
    </xf>
    <xf numFmtId="0" fontId="4" fillId="3" borderId="1" applyAlignment="1" pivotButton="0" quotePrefix="0" xfId="0">
      <alignment horizontal="center"/>
    </xf>
    <xf numFmtId="0" fontId="4" fillId="3" borderId="0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4" fillId="3" borderId="0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4" fillId="3" borderId="3" applyAlignment="1" pivotButton="0" quotePrefix="0" xfId="0">
      <alignment horizontal="center" vertical="center" wrapText="1"/>
    </xf>
    <xf numFmtId="0" fontId="4" fillId="3" borderId="4" applyAlignment="1" pivotButton="0" quotePrefix="0" xfId="0">
      <alignment horizontal="center" vertical="center" wrapText="1"/>
    </xf>
    <xf numFmtId="0" fontId="4" fillId="3" borderId="5" applyAlignment="1" pivotButton="0" quotePrefix="0" xfId="0">
      <alignment horizontal="center" vertical="center" wrapText="1"/>
    </xf>
    <xf numFmtId="0" fontId="4" fillId="3" borderId="6" applyAlignment="1" pivotButton="0" quotePrefix="0" xfId="0">
      <alignment horizontal="center" vertical="center" wrapText="1"/>
    </xf>
    <xf numFmtId="0" fontId="4" fillId="3" borderId="7" applyAlignment="1" pivotButton="0" quotePrefix="0" xfId="0">
      <alignment horizontal="center" vertical="center" wrapText="1"/>
    </xf>
    <xf numFmtId="0" fontId="0" fillId="4" borderId="0" pivotButton="0" quotePrefix="0" xfId="0"/>
    <xf numFmtId="0" fontId="0" fillId="4" borderId="1" pivotButton="0" quotePrefix="0" xfId="0"/>
    <xf numFmtId="0" fontId="5" fillId="4" borderId="0" pivotButton="0" quotePrefix="0" xfId="0"/>
    <xf numFmtId="0" fontId="5" fillId="4" borderId="1" pivotButton="0" quotePrefix="0" xfId="0"/>
    <xf numFmtId="0" fontId="5" fillId="4" borderId="0" applyAlignment="1" pivotButton="0" quotePrefix="0" xfId="0">
      <alignment vertical="center"/>
    </xf>
    <xf numFmtId="0" fontId="5" fillId="4" borderId="1" applyAlignment="1" pivotButton="0" quotePrefix="0" xfId="0">
      <alignment vertical="center"/>
    </xf>
    <xf numFmtId="0" fontId="5" fillId="4" borderId="0" applyAlignment="1" pivotButton="0" quotePrefix="0" xfId="0">
      <alignment vertical="center" wrapText="1"/>
    </xf>
    <xf numFmtId="0" fontId="5" fillId="4" borderId="1" applyAlignment="1" pivotButton="0" quotePrefix="0" xfId="0">
      <alignment vertical="center" wrapText="1"/>
    </xf>
    <xf numFmtId="0" fontId="5" fillId="4" borderId="8" applyAlignment="1" pivotButton="0" quotePrefix="0" xfId="0">
      <alignment vertical="center" wrapText="1"/>
    </xf>
    <xf numFmtId="0" fontId="5" fillId="4" borderId="9" applyAlignment="1" pivotButton="0" quotePrefix="0" xfId="0">
      <alignment vertical="center" wrapText="1"/>
    </xf>
    <xf numFmtId="0" fontId="5" fillId="4" borderId="10" applyAlignment="1" pivotButton="0" quotePrefix="0" xfId="0">
      <alignment vertical="center" wrapText="1"/>
    </xf>
    <xf numFmtId="0" fontId="5" fillId="4" borderId="11" applyAlignment="1" pivotButton="0" quotePrefix="0" xfId="0">
      <alignment vertical="center" wrapText="1"/>
    </xf>
    <xf numFmtId="0" fontId="5" fillId="4" borderId="12" applyAlignment="1" pivotButton="0" quotePrefix="0" xfId="0">
      <alignment vertical="center" wrapText="1"/>
    </xf>
    <xf numFmtId="0" fontId="5" fillId="4" borderId="13" applyAlignment="1" pivotButton="0" quotePrefix="0" xfId="0">
      <alignment vertical="center" wrapText="1"/>
    </xf>
    <xf numFmtId="0" fontId="5" fillId="4" borderId="14" applyAlignment="1" pivotButton="0" quotePrefix="0" xfId="0">
      <alignment vertical="center" wrapText="1"/>
    </xf>
    <xf numFmtId="0" fontId="5" fillId="4" borderId="15" applyAlignment="1" pivotButton="0" quotePrefix="0" xfId="0">
      <alignment vertical="center" wrapText="1"/>
    </xf>
    <xf numFmtId="0" fontId="5" fillId="4" borderId="16" applyAlignment="1" pivotButton="0" quotePrefix="0" xfId="0">
      <alignment vertical="center" wrapText="1"/>
    </xf>
    <xf numFmtId="0" fontId="5" fillId="4" borderId="17" applyAlignment="1" pivotButton="0" quotePrefix="0" xfId="0">
      <alignment vertical="center" wrapText="1"/>
    </xf>
    <xf numFmtId="0" fontId="5" fillId="4" borderId="18" applyAlignment="1" pivotButton="0" quotePrefix="0" xfId="0">
      <alignment vertical="center" wrapText="1"/>
    </xf>
    <xf numFmtId="0" fontId="5" fillId="4" borderId="19" applyAlignment="1" pivotButton="0" quotePrefix="0" xfId="0">
      <alignment vertical="center" wrapText="1"/>
    </xf>
    <xf numFmtId="0" fontId="5" fillId="4" borderId="20" applyAlignment="1" pivotButton="0" quotePrefix="0" xfId="0">
      <alignment vertical="center" wrapText="1"/>
    </xf>
    <xf numFmtId="0" fontId="5" fillId="4" borderId="21" applyAlignment="1" pivotButton="0" quotePrefix="0" xfId="0">
      <alignment vertical="center" wrapText="1"/>
    </xf>
    <xf numFmtId="0" fontId="5" fillId="4" borderId="22" applyAlignment="1" pivotButton="0" quotePrefix="0" xfId="0">
      <alignment vertical="center" wrapText="1"/>
    </xf>
    <xf numFmtId="0" fontId="5" fillId="4" borderId="23" applyAlignment="1" pivotButton="0" quotePrefix="0" xfId="0">
      <alignment vertical="center" wrapText="1"/>
    </xf>
    <xf numFmtId="0" fontId="4" fillId="3" borderId="24" applyAlignment="1" pivotButton="0" quotePrefix="0" xfId="0">
      <alignment horizontal="center" vertical="center" wrapText="1"/>
    </xf>
    <xf numFmtId="0" fontId="4" fillId="3" borderId="25" applyAlignment="1" pivotButton="0" quotePrefix="0" xfId="0">
      <alignment horizontal="center" vertical="center" wrapText="1"/>
    </xf>
    <xf numFmtId="0" fontId="5" fillId="4" borderId="26" applyAlignment="1" pivotButton="0" quotePrefix="0" xfId="0">
      <alignment vertical="center" wrapText="1"/>
    </xf>
    <xf numFmtId="0" fontId="5" fillId="4" borderId="27" applyAlignment="1" pivotButton="0" quotePrefix="0" xfId="0">
      <alignment vertical="center" wrapText="1"/>
    </xf>
    <xf numFmtId="0" fontId="5" fillId="4" borderId="28" applyAlignment="1" pivotButton="0" quotePrefix="0" xfId="0">
      <alignment vertical="center" wrapText="1"/>
    </xf>
    <xf numFmtId="0" fontId="5" fillId="4" borderId="29" applyAlignment="1" pivotButton="0" quotePrefix="0" xfId="0">
      <alignment vertical="center" wrapText="1"/>
    </xf>
    <xf numFmtId="0" fontId="5" fillId="4" borderId="30" applyAlignment="1" pivotButton="0" quotePrefix="0" xfId="0">
      <alignment vertical="center" wrapText="1"/>
    </xf>
    <xf numFmtId="0" fontId="5" fillId="4" borderId="31" applyAlignment="1" pivotButton="0" quotePrefix="0" xfId="0">
      <alignment vertical="center" wrapText="1"/>
    </xf>
    <xf numFmtId="4" fontId="5" fillId="4" borderId="9" applyAlignment="1" pivotButton="0" quotePrefix="0" xfId="0">
      <alignment vertical="center" wrapText="1"/>
    </xf>
    <xf numFmtId="4" fontId="5" fillId="4" borderId="0" applyAlignment="1" pivotButton="0" quotePrefix="0" xfId="0">
      <alignment vertical="center" wrapText="1"/>
    </xf>
    <xf numFmtId="4" fontId="5" fillId="4" borderId="14" applyAlignment="1" pivotButton="0" quotePrefix="0" xfId="0">
      <alignment vertical="center" wrapText="1"/>
    </xf>
    <xf numFmtId="4" fontId="5" fillId="4" borderId="17" applyAlignment="1" pivotButton="0" quotePrefix="0" xfId="0">
      <alignment vertical="center" wrapText="1"/>
    </xf>
    <xf numFmtId="4" fontId="5" fillId="4" borderId="1" applyAlignment="1" pivotButton="0" quotePrefix="0" xfId="0">
      <alignment vertical="center" wrapText="1"/>
    </xf>
    <xf numFmtId="4" fontId="5" fillId="4" borderId="22" applyAlignment="1" pivotButton="0" quotePrefix="0" xfId="0">
      <alignment vertical="center" wrapText="1"/>
    </xf>
    <xf numFmtId="10" fontId="5" fillId="4" borderId="9" applyAlignment="1" pivotButton="0" quotePrefix="0" xfId="0">
      <alignment vertical="center" wrapText="1"/>
    </xf>
    <xf numFmtId="10" fontId="5" fillId="4" borderId="0" applyAlignment="1" pivotButton="0" quotePrefix="0" xfId="0">
      <alignment vertical="center" wrapText="1"/>
    </xf>
    <xf numFmtId="10" fontId="5" fillId="4" borderId="14" applyAlignment="1" pivotButton="0" quotePrefix="0" xfId="0">
      <alignment vertical="center" wrapText="1"/>
    </xf>
    <xf numFmtId="10" fontId="5" fillId="4" borderId="17" applyAlignment="1" pivotButton="0" quotePrefix="0" xfId="0">
      <alignment vertical="center" wrapText="1"/>
    </xf>
    <xf numFmtId="10" fontId="5" fillId="4" borderId="1" applyAlignment="1" pivotButton="0" quotePrefix="0" xfId="0">
      <alignment vertical="center" wrapText="1"/>
    </xf>
    <xf numFmtId="10" fontId="5" fillId="4" borderId="22" applyAlignment="1" pivotButton="0" quotePrefix="0" xfId="0">
      <alignment vertical="center" wrapText="1"/>
    </xf>
    <xf numFmtId="10" fontId="5" fillId="4" borderId="26" applyAlignment="1" pivotButton="0" quotePrefix="0" xfId="0">
      <alignment vertical="center" wrapText="1"/>
    </xf>
    <xf numFmtId="10" fontId="5" fillId="4" borderId="27" applyAlignment="1" pivotButton="0" quotePrefix="0" xfId="0">
      <alignment vertical="center" wrapText="1"/>
    </xf>
    <xf numFmtId="10" fontId="5" fillId="4" borderId="28" applyAlignment="1" pivotButton="0" quotePrefix="0" xfId="0">
      <alignment vertical="center" wrapText="1"/>
    </xf>
    <xf numFmtId="10" fontId="5" fillId="4" borderId="29" applyAlignment="1" pivotButton="0" quotePrefix="0" xfId="0">
      <alignment vertical="center" wrapText="1"/>
    </xf>
    <xf numFmtId="10" fontId="5" fillId="4" borderId="30" applyAlignment="1" pivotButton="0" quotePrefix="0" xfId="0">
      <alignment vertical="center" wrapText="1"/>
    </xf>
    <xf numFmtId="10" fontId="5" fillId="4" borderId="31" applyAlignment="1" pivotButton="0" quotePrefix="0" xfId="0">
      <alignment vertical="center" wrapText="1"/>
    </xf>
    <xf numFmtId="0" fontId="5" fillId="4" borderId="9" applyAlignment="1" pivotButton="0" quotePrefix="0" xfId="0">
      <alignment vertical="center" wrapText="1"/>
    </xf>
    <xf numFmtId="0" fontId="5" fillId="4" borderId="0" applyAlignment="1" pivotButton="0" quotePrefix="0" xfId="0">
      <alignment vertical="center" wrapText="1"/>
    </xf>
    <xf numFmtId="0" fontId="5" fillId="4" borderId="14" applyAlignment="1" pivotButton="0" quotePrefix="0" xfId="0">
      <alignment vertical="center" wrapText="1"/>
    </xf>
    <xf numFmtId="0" fontId="5" fillId="4" borderId="17" applyAlignment="1" pivotButton="0" quotePrefix="0" xfId="0">
      <alignment vertical="center" wrapText="1"/>
    </xf>
    <xf numFmtId="0" fontId="5" fillId="4" borderId="1" applyAlignment="1" pivotButton="0" quotePrefix="0" xfId="0">
      <alignment vertical="center" wrapText="1"/>
    </xf>
    <xf numFmtId="0" fontId="5" fillId="4" borderId="22" applyAlignment="1" pivotButton="0" quotePrefix="0" xfId="0">
      <alignment vertical="center" wrapText="1"/>
    </xf>
    <xf numFmtId="164" fontId="5" fillId="4" borderId="9" applyAlignment="1" pivotButton="0" quotePrefix="0" xfId="0">
      <alignment vertical="center" wrapText="1"/>
    </xf>
    <xf numFmtId="164" fontId="5" fillId="4" borderId="0" applyAlignment="1" pivotButton="0" quotePrefix="0" xfId="0">
      <alignment vertical="center" wrapText="1"/>
    </xf>
    <xf numFmtId="164" fontId="5" fillId="4" borderId="14" applyAlignment="1" pivotButton="0" quotePrefix="0" xfId="0">
      <alignment vertical="center" wrapText="1"/>
    </xf>
    <xf numFmtId="164" fontId="5" fillId="4" borderId="17" applyAlignment="1" pivotButton="0" quotePrefix="0" xfId="0">
      <alignment vertical="center" wrapText="1"/>
    </xf>
    <xf numFmtId="164" fontId="5" fillId="4" borderId="1" applyAlignment="1" pivotButton="0" quotePrefix="0" xfId="0">
      <alignment vertical="center" wrapText="1"/>
    </xf>
    <xf numFmtId="164" fontId="5" fillId="4" borderId="22" applyAlignment="1" pivotButton="0" quotePrefix="0" xfId="0">
      <alignment vertical="center" wrapText="1"/>
    </xf>
    <xf numFmtId="164" fontId="5" fillId="4" borderId="9" applyAlignment="1" pivotButton="0" quotePrefix="0" xfId="0">
      <alignment vertical="center" wrapText="1"/>
    </xf>
    <xf numFmtId="164" fontId="5" fillId="4" borderId="0" applyAlignment="1" pivotButton="0" quotePrefix="0" xfId="0">
      <alignment vertical="center" wrapText="1"/>
    </xf>
    <xf numFmtId="164" fontId="5" fillId="4" borderId="14" applyAlignment="1" pivotButton="0" quotePrefix="0" xfId="0">
      <alignment vertical="center" wrapText="1"/>
    </xf>
    <xf numFmtId="164" fontId="5" fillId="4" borderId="17" applyAlignment="1" pivotButton="0" quotePrefix="0" xfId="0">
      <alignment vertical="center" wrapText="1"/>
    </xf>
    <xf numFmtId="164" fontId="5" fillId="4" borderId="1" applyAlignment="1" pivotButton="0" quotePrefix="0" xfId="0">
      <alignment vertical="center" wrapText="1"/>
    </xf>
    <xf numFmtId="164" fontId="5" fillId="4" borderId="22" applyAlignment="1" pivotButton="0" quotePrefix="0" xfId="0">
      <alignment vertical="center" wrapText="1"/>
    </xf>
    <xf numFmtId="165" fontId="5" fillId="4" borderId="9" applyAlignment="1" pivotButton="0" quotePrefix="0" xfId="0">
      <alignment vertical="center" wrapText="1"/>
    </xf>
    <xf numFmtId="165" fontId="5" fillId="4" borderId="9" applyAlignment="1" pivotButton="0" quotePrefix="0" xfId="0">
      <alignment vertical="center" wrapText="1"/>
    </xf>
    <xf numFmtId="165" fontId="5" fillId="4" borderId="0" applyAlignment="1" pivotButton="0" quotePrefix="0" xfId="0">
      <alignment vertical="center" wrapText="1"/>
    </xf>
    <xf numFmtId="165" fontId="5" fillId="4" borderId="0" applyAlignment="1" pivotButton="0" quotePrefix="0" xfId="0">
      <alignment vertical="center" wrapText="1"/>
    </xf>
    <xf numFmtId="165" fontId="5" fillId="4" borderId="14" applyAlignment="1" pivotButton="0" quotePrefix="0" xfId="0">
      <alignment vertical="center" wrapText="1"/>
    </xf>
    <xf numFmtId="165" fontId="5" fillId="4" borderId="14" applyAlignment="1" pivotButton="0" quotePrefix="0" xfId="0">
      <alignment vertical="center" wrapText="1"/>
    </xf>
    <xf numFmtId="165" fontId="5" fillId="4" borderId="17" applyAlignment="1" pivotButton="0" quotePrefix="0" xfId="0">
      <alignment vertical="center" wrapText="1"/>
    </xf>
    <xf numFmtId="165" fontId="5" fillId="4" borderId="17" applyAlignment="1" pivotButton="0" quotePrefix="0" xfId="0">
      <alignment vertical="center" wrapText="1"/>
    </xf>
    <xf numFmtId="165" fontId="5" fillId="4" borderId="1" applyAlignment="1" pivotButton="0" quotePrefix="0" xfId="0">
      <alignment vertical="center" wrapText="1"/>
    </xf>
    <xf numFmtId="165" fontId="5" fillId="4" borderId="1" applyAlignment="1" pivotButton="0" quotePrefix="0" xfId="0">
      <alignment vertical="center" wrapText="1"/>
    </xf>
    <xf numFmtId="165" fontId="5" fillId="4" borderId="22" applyAlignment="1" pivotButton="0" quotePrefix="0" xfId="0">
      <alignment vertical="center" wrapText="1"/>
    </xf>
    <xf numFmtId="165" fontId="5" fillId="4" borderId="22" applyAlignment="1" pivotButton="0" quotePrefix="0" xfId="0">
      <alignment vertical="center" wrapText="1"/>
    </xf>
    <xf numFmtId="1" fontId="5" fillId="4" borderId="9" applyAlignment="1" pivotButton="0" quotePrefix="0" xfId="0">
      <alignment vertical="center" wrapText="1"/>
    </xf>
    <xf numFmtId="1" fontId="5" fillId="4" borderId="0" applyAlignment="1" pivotButton="0" quotePrefix="0" xfId="0">
      <alignment vertical="center" wrapText="1"/>
    </xf>
    <xf numFmtId="1" fontId="5" fillId="4" borderId="14" applyAlignment="1" pivotButton="0" quotePrefix="0" xfId="0">
      <alignment vertical="center" wrapText="1"/>
    </xf>
    <xf numFmtId="1" fontId="5" fillId="4" borderId="17" applyAlignment="1" pivotButton="0" quotePrefix="0" xfId="0">
      <alignment vertical="center" wrapText="1"/>
    </xf>
    <xf numFmtId="1" fontId="5" fillId="4" borderId="1" applyAlignment="1" pivotButton="0" quotePrefix="0" xfId="0">
      <alignment vertical="center" wrapText="1"/>
    </xf>
    <xf numFmtId="1" fontId="5" fillId="4" borderId="22" applyAlignment="1" pivotButton="0" quotePrefix="0" xfId="0">
      <alignment vertical="center" wrapText="1"/>
    </xf>
    <xf numFmtId="0" fontId="5" fillId="4" borderId="10" applyAlignment="1" pivotButton="0" quotePrefix="0" xfId="0">
      <alignment vertical="center" wrapText="1"/>
    </xf>
    <xf numFmtId="0" fontId="5" fillId="4" borderId="12" applyAlignment="1" pivotButton="0" quotePrefix="0" xfId="0">
      <alignment vertical="center" wrapText="1"/>
    </xf>
    <xf numFmtId="0" fontId="5" fillId="4" borderId="15" applyAlignment="1" pivotButton="0" quotePrefix="0" xfId="0">
      <alignment vertical="center" wrapText="1"/>
    </xf>
    <xf numFmtId="0" fontId="5" fillId="4" borderId="18" applyAlignment="1" pivotButton="0" quotePrefix="0" xfId="0">
      <alignment vertical="center" wrapText="1"/>
    </xf>
    <xf numFmtId="0" fontId="5" fillId="4" borderId="20" applyAlignment="1" pivotButton="0" quotePrefix="0" xfId="0">
      <alignment vertical="center" wrapText="1"/>
    </xf>
    <xf numFmtId="0" fontId="5" fillId="4" borderId="23" applyAlignment="1" pivotButton="0" quotePrefix="0" xfId="0">
      <alignment vertical="center" wrapText="1"/>
    </xf>
    <xf numFmtId="166" fontId="5" fillId="4" borderId="10" applyAlignment="1" pivotButton="0" quotePrefix="0" xfId="0">
      <alignment vertical="center" wrapText="1"/>
    </xf>
    <xf numFmtId="166" fontId="5" fillId="4" borderId="12" applyAlignment="1" pivotButton="0" quotePrefix="0" xfId="0">
      <alignment vertical="center" wrapText="1"/>
    </xf>
    <xf numFmtId="166" fontId="5" fillId="4" borderId="15" applyAlignment="1" pivotButton="0" quotePrefix="0" xfId="0">
      <alignment vertical="center" wrapText="1"/>
    </xf>
    <xf numFmtId="166" fontId="5" fillId="4" borderId="18" applyAlignment="1" pivotButton="0" quotePrefix="0" xfId="0">
      <alignment vertical="center" wrapText="1"/>
    </xf>
    <xf numFmtId="166" fontId="5" fillId="4" borderId="20" applyAlignment="1" pivotButton="0" quotePrefix="0" xfId="0">
      <alignment vertical="center" wrapText="1"/>
    </xf>
    <xf numFmtId="166" fontId="5" fillId="4" borderId="23" applyAlignment="1" pivotButton="0" quotePrefix="0" xfId="0">
      <alignment vertical="center" wrapText="1"/>
    </xf>
    <xf numFmtId="0" fontId="2" fillId="3" borderId="0" applyAlignment="1" pivotButton="0" quotePrefix="0" xfId="0">
      <alignment wrapText="1"/>
    </xf>
    <xf numFmtId="0" fontId="2" fillId="3" borderId="1" applyAlignment="1" pivotButton="0" quotePrefix="0" xfId="0">
      <alignment wrapText="1"/>
    </xf>
    <xf numFmtId="0" fontId="4" fillId="3" borderId="0" applyAlignment="1" pivotButton="0" quotePrefix="0" xfId="0">
      <alignment wrapText="1"/>
    </xf>
    <xf numFmtId="0" fontId="4" fillId="3" borderId="1" applyAlignment="1" pivotButton="0" quotePrefix="0" xfId="0">
      <alignment wrapText="1"/>
    </xf>
    <xf numFmtId="0" fontId="4" fillId="3" borderId="0" applyAlignment="1" pivotButton="0" quotePrefix="0" xfId="0">
      <alignment horizontal="center" wrapText="1"/>
    </xf>
    <xf numFmtId="0" fontId="4" fillId="3" borderId="1" applyAlignment="1" pivotButton="0" quotePrefix="0" xfId="0">
      <alignment horizontal="center" wrapText="1"/>
    </xf>
    <xf numFmtId="1" fontId="4" fillId="3" borderId="3" applyAlignment="1" pivotButton="0" quotePrefix="0" xfId="0">
      <alignment horizontal="center" vertical="center" wrapText="1"/>
    </xf>
    <xf numFmtId="1" fontId="4" fillId="3" borderId="6" applyAlignment="1" pivotButton="0" quotePrefix="0" xfId="0">
      <alignment horizontal="center" vertical="center" wrapText="1"/>
    </xf>
    <xf numFmtId="166" fontId="5" fillId="4" borderId="8" applyAlignment="1" pivotButton="0" quotePrefix="0" xfId="0">
      <alignment vertical="center" wrapText="1"/>
    </xf>
    <xf numFmtId="166" fontId="5" fillId="4" borderId="11" applyAlignment="1" pivotButton="0" quotePrefix="0" xfId="0">
      <alignment vertical="center" wrapText="1"/>
    </xf>
    <xf numFmtId="166" fontId="5" fillId="4" borderId="13" applyAlignment="1" pivotButton="0" quotePrefix="0" xfId="0">
      <alignment vertical="center" wrapText="1"/>
    </xf>
    <xf numFmtId="166" fontId="5" fillId="4" borderId="16" applyAlignment="1" pivotButton="0" quotePrefix="0" xfId="0">
      <alignment vertical="center" wrapText="1"/>
    </xf>
    <xf numFmtId="166" fontId="5" fillId="4" borderId="19" applyAlignment="1" pivotButton="0" quotePrefix="0" xfId="0">
      <alignment vertical="center" wrapText="1"/>
    </xf>
    <xf numFmtId="166" fontId="5" fillId="4" borderId="21" applyAlignment="1" pivotButton="0" quotePrefix="0" xfId="0">
      <alignment vertical="center" wrapText="1"/>
    </xf>
    <xf numFmtId="1" fontId="5" fillId="4" borderId="10" applyAlignment="1" pivotButton="0" quotePrefix="0" xfId="0">
      <alignment vertical="center" wrapText="1"/>
    </xf>
    <xf numFmtId="1" fontId="5" fillId="4" borderId="12" applyAlignment="1" pivotButton="0" quotePrefix="0" xfId="0">
      <alignment vertical="center" wrapText="1"/>
    </xf>
    <xf numFmtId="1" fontId="5" fillId="4" borderId="15" applyAlignment="1" pivotButton="0" quotePrefix="0" xfId="0">
      <alignment vertical="center" wrapText="1"/>
    </xf>
    <xf numFmtId="1" fontId="5" fillId="4" borderId="18" applyAlignment="1" pivotButton="0" quotePrefix="0" xfId="0">
      <alignment vertical="center" wrapText="1"/>
    </xf>
    <xf numFmtId="1" fontId="5" fillId="4" borderId="20" applyAlignment="1" pivotButton="0" quotePrefix="0" xfId="0">
      <alignment vertical="center" wrapText="1"/>
    </xf>
    <xf numFmtId="1" fontId="5" fillId="4" borderId="23" applyAlignment="1" pivotButton="0" quotePrefix="0" xfId="0">
      <alignment vertical="center" wrapText="1"/>
    </xf>
    <xf numFmtId="0" fontId="0" fillId="0" borderId="0" pivotButton="0" quotePrefix="0" xfId="0"/>
    <xf numFmtId="0" fontId="4" fillId="6" borderId="2" applyAlignment="1" pivotButton="0" quotePrefix="0" xfId="0">
      <alignment horizontal="center" vertical="center" wrapText="1"/>
    </xf>
    <xf numFmtId="1" fontId="4" fillId="6" borderId="3" applyAlignment="1" pivotButton="0" quotePrefix="0" xfId="0">
      <alignment horizontal="center" vertical="center" wrapText="1"/>
    </xf>
    <xf numFmtId="0" fontId="4" fillId="6" borderId="3" applyAlignment="1" pivotButton="0" quotePrefix="0" xfId="0">
      <alignment horizontal="center" vertical="center" wrapText="1"/>
    </xf>
    <xf numFmtId="0" fontId="4" fillId="6" borderId="4" applyAlignment="1" pivotButton="0" quotePrefix="0" xfId="0">
      <alignment horizontal="center" vertical="center" wrapText="1"/>
    </xf>
    <xf numFmtId="0" fontId="6" fillId="6" borderId="2" applyAlignment="1" pivotButton="0" quotePrefix="0" xfId="0">
      <alignment horizontal="center" vertical="center" wrapText="1"/>
    </xf>
    <xf numFmtId="1" fontId="6" fillId="6" borderId="3" applyAlignment="1" pivotButton="0" quotePrefix="0" xfId="0">
      <alignment horizontal="center" vertical="center" wrapText="1"/>
    </xf>
    <xf numFmtId="0" fontId="6" fillId="6" borderId="3" applyAlignment="1" pivotButton="0" quotePrefix="0" xfId="0">
      <alignment horizontal="center" vertical="center" wrapText="1"/>
    </xf>
    <xf numFmtId="0" fontId="6" fillId="6" borderId="4" applyAlignment="1" pivotButton="0" quotePrefix="0" xfId="0">
      <alignment horizontal="center" vertical="center" wrapText="1"/>
    </xf>
    <xf numFmtId="0" fontId="2" fillId="0" borderId="0" applyAlignment="1" pivotButton="0" quotePrefix="0" xfId="0">
      <alignment vertical="center" wrapText="1"/>
    </xf>
    <xf numFmtId="49" fontId="5" fillId="4" borderId="8" applyAlignment="1" pivotButton="0" quotePrefix="0" xfId="0">
      <alignment vertical="center" wrapText="1"/>
    </xf>
    <xf numFmtId="49" fontId="5" fillId="4" borderId="11" applyAlignment="1" pivotButton="0" quotePrefix="0" xfId="0">
      <alignment vertical="center" wrapText="1"/>
    </xf>
    <xf numFmtId="49" fontId="5" fillId="4" borderId="13" applyAlignment="1" pivotButton="0" quotePrefix="0" xfId="0">
      <alignment vertical="center" wrapText="1"/>
    </xf>
    <xf numFmtId="0" fontId="3" fillId="2" borderId="25" applyAlignment="1" pivotButton="0" quotePrefix="0" xfId="0">
      <alignment horizontal="left" vertical="center"/>
    </xf>
    <xf numFmtId="0" fontId="0" fillId="0" borderId="6" pivotButton="0" quotePrefix="0" xfId="0"/>
    <xf numFmtId="0" fontId="0" fillId="0" borderId="7" pivotButton="0" quotePrefix="0" xfId="0"/>
    <xf numFmtId="1" fontId="6" fillId="6" borderId="3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center" wrapText="1"/>
    </xf>
    <xf numFmtId="4" fontId="5" fillId="4" borderId="0" applyAlignment="1" pivotButton="0" quotePrefix="0" xfId="0">
      <alignment vertical="center" wrapText="1"/>
    </xf>
    <xf numFmtId="4" fontId="5" fillId="4" borderId="14" applyAlignment="1" pivotButton="0" quotePrefix="0" xfId="0">
      <alignment vertical="center" wrapText="1"/>
    </xf>
    <xf numFmtId="49" fontId="5" fillId="4" borderId="8" applyAlignment="1" pivotButton="0" quotePrefix="0" xfId="0">
      <alignment vertical="center" wrapText="1"/>
    </xf>
    <xf numFmtId="4" fontId="5" fillId="4" borderId="9" applyAlignment="1" pivotButton="0" quotePrefix="0" xfId="0">
      <alignment vertical="center" wrapText="1"/>
    </xf>
    <xf numFmtId="1" fontId="5" fillId="4" borderId="10" applyAlignment="1" pivotButton="0" quotePrefix="0" xfId="0">
      <alignment vertical="center" wrapText="1"/>
    </xf>
    <xf numFmtId="49" fontId="5" fillId="4" borderId="11" applyAlignment="1" pivotButton="0" quotePrefix="0" xfId="0">
      <alignment vertical="center" wrapText="1"/>
    </xf>
    <xf numFmtId="1" fontId="5" fillId="4" borderId="12" applyAlignment="1" pivotButton="0" quotePrefix="0" xfId="0">
      <alignment vertical="center" wrapText="1"/>
    </xf>
    <xf numFmtId="49" fontId="5" fillId="4" borderId="13" applyAlignment="1" pivotButton="0" quotePrefix="0" xfId="0">
      <alignment vertical="center" wrapText="1"/>
    </xf>
    <xf numFmtId="1" fontId="5" fillId="4" borderId="15" applyAlignment="1" pivotButton="0" quotePrefix="0" xfId="0">
      <alignment vertical="center" wrapText="1"/>
    </xf>
    <xf numFmtId="164" fontId="5" fillId="4" borderId="9" applyAlignment="1" pivotButton="0" quotePrefix="0" xfId="0">
      <alignment vertical="center" wrapText="1"/>
    </xf>
    <xf numFmtId="165" fontId="5" fillId="4" borderId="9" applyAlignment="1" pivotButton="0" quotePrefix="0" xfId="0">
      <alignment vertical="center" wrapText="1"/>
    </xf>
    <xf numFmtId="165" fontId="5" fillId="4" borderId="9" applyAlignment="1" pivotButton="0" quotePrefix="0" xfId="0">
      <alignment vertical="center" wrapText="1"/>
    </xf>
    <xf numFmtId="1" fontId="5" fillId="4" borderId="9" applyAlignment="1" pivotButton="0" quotePrefix="0" xfId="0">
      <alignment vertical="center" wrapText="1"/>
    </xf>
    <xf numFmtId="164" fontId="5" fillId="4" borderId="9" applyAlignment="1" pivotButton="0" quotePrefix="0" xfId="0">
      <alignment vertical="center" wrapText="1"/>
    </xf>
    <xf numFmtId="164" fontId="5" fillId="4" borderId="0" applyAlignment="1" pivotButton="0" quotePrefix="0" xfId="0">
      <alignment vertical="center" wrapText="1"/>
    </xf>
    <xf numFmtId="165" fontId="5" fillId="4" borderId="0" applyAlignment="1" pivotButton="0" quotePrefix="0" xfId="0">
      <alignment vertical="center" wrapText="1"/>
    </xf>
    <xf numFmtId="165" fontId="5" fillId="4" borderId="0" applyAlignment="1" pivotButton="0" quotePrefix="0" xfId="0">
      <alignment vertical="center" wrapText="1"/>
    </xf>
    <xf numFmtId="1" fontId="5" fillId="4" borderId="0" applyAlignment="1" pivotButton="0" quotePrefix="0" xfId="0">
      <alignment vertical="center" wrapText="1"/>
    </xf>
    <xf numFmtId="164" fontId="5" fillId="4" borderId="0" applyAlignment="1" pivotButton="0" quotePrefix="0" xfId="0">
      <alignment vertical="center" wrapText="1"/>
    </xf>
    <xf numFmtId="164" fontId="5" fillId="4" borderId="14" applyAlignment="1" pivotButton="0" quotePrefix="0" xfId="0">
      <alignment vertical="center" wrapText="1"/>
    </xf>
    <xf numFmtId="165" fontId="5" fillId="4" borderId="14" applyAlignment="1" pivotButton="0" quotePrefix="0" xfId="0">
      <alignment vertical="center" wrapText="1"/>
    </xf>
    <xf numFmtId="165" fontId="5" fillId="4" borderId="14" applyAlignment="1" pivotButton="0" quotePrefix="0" xfId="0">
      <alignment vertical="center" wrapText="1"/>
    </xf>
    <xf numFmtId="1" fontId="5" fillId="4" borderId="14" applyAlignment="1" pivotButton="0" quotePrefix="0" xfId="0">
      <alignment vertical="center" wrapText="1"/>
    </xf>
    <xf numFmtId="164" fontId="5" fillId="4" borderId="14" applyAlignment="1" pivotButton="0" quotePrefix="0" xfId="0">
      <alignment vertical="center" wrapText="1"/>
    </xf>
    <xf numFmtId="10" fontId="5" fillId="4" borderId="9" applyAlignment="1" pivotButton="0" quotePrefix="0" xfId="0">
      <alignment vertical="center" wrapText="1"/>
    </xf>
    <xf numFmtId="166" fontId="5" fillId="4" borderId="10" applyAlignment="1" pivotButton="0" quotePrefix="0" xfId="0">
      <alignment vertical="center" wrapText="1"/>
    </xf>
    <xf numFmtId="10" fontId="5" fillId="4" borderId="0" applyAlignment="1" pivotButton="0" quotePrefix="0" xfId="0">
      <alignment vertical="center" wrapText="1"/>
    </xf>
    <xf numFmtId="166" fontId="5" fillId="4" borderId="12" applyAlignment="1" pivotButton="0" quotePrefix="0" xfId="0">
      <alignment vertical="center" wrapText="1"/>
    </xf>
    <xf numFmtId="10" fontId="5" fillId="4" borderId="14" applyAlignment="1" pivotButton="0" quotePrefix="0" xfId="0">
      <alignment vertical="center" wrapText="1"/>
    </xf>
    <xf numFmtId="166" fontId="5" fillId="4" borderId="15" applyAlignment="1" pivotButton="0" quotePrefix="0" xfId="0">
      <alignment vertical="center" wrapText="1"/>
    </xf>
    <xf numFmtId="10" fontId="5" fillId="4" borderId="26" applyAlignment="1" pivotButton="0" quotePrefix="0" xfId="0">
      <alignment vertical="center" wrapText="1"/>
    </xf>
    <xf numFmtId="10" fontId="5" fillId="4" borderId="27" applyAlignment="1" pivotButton="0" quotePrefix="0" xfId="0">
      <alignment vertical="center" wrapText="1"/>
    </xf>
    <xf numFmtId="10" fontId="5" fillId="4" borderId="28" applyAlignment="1" pivotButton="0" quotePrefix="0" xfId="0">
      <alignment vertical="center" wrapText="1"/>
    </xf>
  </cellXfs>
  <cellStyles count="1">
    <cellStyle name="Normal" xfId="0"/>
  </cellStyles>
  <dxfs count="7">
    <dxf>
      <font>
        <b val="1"/>
        <color rgb="00166534"/>
      </font>
      <fill>
        <patternFill>
          <bgColor rgb="00DCFCE7"/>
        </patternFill>
      </fill>
    </dxf>
    <dxf>
      <font>
        <b val="1"/>
        <color rgb="0092400E"/>
      </font>
      <fill>
        <patternFill>
          <bgColor rgb="00FEF3C7"/>
        </patternFill>
      </fill>
    </dxf>
    <dxf>
      <font>
        <b val="1"/>
        <color rgb="00991B1B"/>
      </font>
      <fill>
        <patternFill>
          <bgColor rgb="00FEE2E2"/>
        </patternFill>
      </fill>
    </dxf>
    <dxf>
      <font>
        <b val="1"/>
        <color rgb="00991B1B"/>
      </font>
      <fill>
        <patternFill>
          <bgColor rgb="00FEE2E2"/>
        </patternFill>
      </fill>
    </dxf>
    <dxf>
      <font>
        <b val="1"/>
        <color rgb="00166534"/>
      </font>
      <fill>
        <patternFill>
          <bgColor rgb="00DCFCE7"/>
        </patternFill>
      </fill>
    </dxf>
    <dxf>
      <font>
        <b val="1"/>
        <color rgb="0092400E"/>
      </font>
      <fill>
        <patternFill>
          <bgColor rgb="00FEF3C7"/>
        </patternFill>
      </fill>
    </dxf>
    <dxf>
      <font>
        <b val="1"/>
        <color rgb="00991B1B"/>
      </font>
      <fill>
        <patternFill>
          <bgColor rgb="00FEE2E2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xmlns:r="http://schemas.openxmlformats.org/officeDocument/2006/relationships" name="FinanceBlue">
  <a:themeElements>
    <a:clrScheme name="FinanceBlue">
      <a:dk1>
        <a:srgbClr val="111827"/>
      </a:dk1>
      <a:lt1>
        <a:srgbClr val="FFFFFF"/>
      </a:lt1>
      <a:dk2>
        <a:srgbClr val="334155"/>
      </a:dk2>
      <a:lt2>
        <a:srgbClr val="E5E7EB"/>
      </a:lt2>
      <a:accent1>
        <a:srgbClr val="2563EB"/>
      </a:accent1>
      <a:accent2>
        <a:srgbClr val="0891B2"/>
      </a:accent2>
      <a:accent3>
        <a:srgbClr val="16A34A"/>
      </a:accent3>
      <a:accent4>
        <a:srgbClr val="F59E0B"/>
      </a:accent4>
      <a:accent5>
        <a:srgbClr val="7C3AED"/>
      </a:accent5>
      <a:accent6>
        <a:srgbClr val="EF4444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FinanceBlu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showGridLines="0" workbookViewId="0">
      <selection activeCell="A1" sqref="A1"/>
    </sheetView>
  </sheetViews>
  <sheetFormatPr baseColWidth="8" defaultRowHeight="15"/>
  <cols>
    <col width="14" customWidth="1" style="162" min="1" max="1"/>
    <col width="28" customWidth="1" style="162" min="2" max="2"/>
    <col width="30" customWidth="1" style="162" min="3" max="3"/>
    <col width="16" customWidth="1" style="162" min="4" max="4"/>
    <col width="18" customWidth="1" style="162" min="5" max="7"/>
    <col width="24" customWidth="1" style="162" min="8" max="8"/>
  </cols>
  <sheetData>
    <row r="1" ht="30" customHeight="1" s="162">
      <c r="A1" s="9" t="inlineStr">
        <is>
          <t>金融経費精算記録テンプレート</t>
        </is>
      </c>
      <c r="B1" s="1" t="n"/>
      <c r="C1" s="1" t="n"/>
      <c r="D1" s="1" t="n"/>
      <c r="E1" s="1" t="n"/>
      <c r="F1" s="1" t="n"/>
      <c r="G1" s="1" t="n"/>
      <c r="H1" s="1" t="n"/>
    </row>
    <row r="2" ht="22" customHeight="1" s="162">
      <c r="A2" s="13" t="inlineStr">
        <is>
          <t>汎用の経費精算記録、明細、承認、ダッシュボードのテンプレートです。各社の規程に合わせて調整できます。</t>
        </is>
      </c>
      <c r="B2" s="1" t="n"/>
      <c r="C2" s="1" t="n"/>
      <c r="D2" s="1" t="n"/>
      <c r="E2" s="1" t="n"/>
      <c r="F2" s="1" t="n"/>
      <c r="G2" s="1" t="n"/>
      <c r="H2" s="1" t="n"/>
    </row>
    <row r="3"/>
    <row r="4">
      <c r="A4" s="38" t="inlineStr">
        <is>
          <t>モジュール</t>
        </is>
      </c>
      <c r="B4" s="39" t="inlineStr">
        <is>
          <t>用途</t>
        </is>
      </c>
      <c r="C4" s="39" t="inlineStr">
        <is>
          <t>主要項目/ルール</t>
        </is>
      </c>
      <c r="D4" s="39" t="inlineStr">
        <is>
          <t>対象ロール</t>
        </is>
      </c>
      <c r="E4" s="39" t="inlineStr">
        <is>
          <t>業務シーン</t>
        </is>
      </c>
      <c r="F4" s="39" t="inlineStr">
        <is>
          <t>出力結果</t>
        </is>
      </c>
      <c r="G4" s="39" t="inlineStr">
        <is>
          <t>更新頻度</t>
        </is>
      </c>
      <c r="H4" s="40" t="inlineStr">
        <is>
          <t>備考</t>
        </is>
      </c>
    </row>
    <row r="5" ht="38" customHeight="1" s="162">
      <c r="A5" s="52" t="inlineStr">
        <is>
          <t>基本設定</t>
        </is>
      </c>
      <c r="B5" s="94" t="inlineStr">
        <is>
          <t>部門、ステータス、シーン、費目、上限、税率を管理</t>
        </is>
      </c>
      <c r="C5" s="94" t="inlineStr">
        <is>
          <t>ドロップダウンと規程判定を一元化</t>
        </is>
      </c>
      <c r="D5" s="94" t="inlineStr">
        <is>
          <t>経理/管理者</t>
        </is>
      </c>
      <c r="E5" s="94" t="inlineStr">
        <is>
          <t>全件</t>
        </is>
      </c>
      <c r="F5" s="94" t="inlineStr">
        <is>
          <t>標準パラメータ</t>
        </is>
      </c>
      <c r="G5" s="94" t="inlineStr">
        <is>
          <t>規程変更時に更新</t>
        </is>
      </c>
      <c r="H5" s="130" t="inlineStr">
        <is>
          <t>導入前に社内規程を確認</t>
        </is>
      </c>
    </row>
    <row r="6" ht="38" customHeight="1" s="162">
      <c r="A6" s="55" t="inlineStr">
        <is>
          <t>経費精算台帳</t>
        </is>
      </c>
      <c r="B6" s="95" t="inlineStr">
        <is>
          <t>各精算申請の基本情報を記録</t>
        </is>
      </c>
      <c r="C6" s="95" t="inlineStr">
        <is>
          <t>申請者、部門、状態、支払、支払予定額</t>
        </is>
      </c>
      <c r="D6" s="95" t="inlineStr">
        <is>
          <t>申請者/経理</t>
        </is>
      </c>
      <c r="E6" s="95" t="inlineStr">
        <is>
          <t>全件</t>
        </is>
      </c>
      <c r="F6" s="95" t="inlineStr">
        <is>
          <t>精算台帳</t>
        </is>
      </c>
      <c r="G6" s="95" t="inlineStr">
        <is>
          <t>日次入力</t>
        </is>
      </c>
      <c r="H6" s="131" t="inlineStr">
        <is>
          <t>数式列は自動計算</t>
        </is>
      </c>
    </row>
    <row r="7" ht="38" customHeight="1" s="162">
      <c r="A7" s="55" t="inlineStr">
        <is>
          <t>経費明細</t>
        </is>
      </c>
      <c r="B7" s="95" t="inlineStr">
        <is>
          <t>費用、請求書、証憑を明細行ごとに記録</t>
        </is>
      </c>
      <c r="C7" s="95" t="inlineStr">
        <is>
          <t>このテンプレートの入力例です。必要に応じて自社データに置き換えてください。</t>
        </is>
      </c>
      <c r="D7" s="95" t="inlineStr">
        <is>
          <t>申請者/経理</t>
        </is>
      </c>
      <c r="E7" s="95" t="inlineStr">
        <is>
          <t>出張/接待/購買など</t>
        </is>
      </c>
      <c r="F7" s="95" t="inlineStr">
        <is>
          <t>明細とコンプライアンス確認</t>
        </is>
      </c>
      <c r="G7" s="95" t="inlineStr">
        <is>
          <t>日次入力</t>
        </is>
      </c>
      <c r="H7" s="131" t="inlineStr">
        <is>
          <t>証憑不足/上限超過を自動判定</t>
        </is>
      </c>
    </row>
    <row r="8" ht="38" customHeight="1" s="162">
      <c r="A8" s="55" t="inlineStr">
        <is>
          <t>承認フロー</t>
        </is>
      </c>
      <c r="B8" s="95" t="inlineStr">
        <is>
          <t>一般的な承認ステップと統制ポイントを整理</t>
        </is>
      </c>
      <c r="C8" s="95" t="inlineStr">
        <is>
          <t>実在性、予算帰属、請求書税率、支払再確認</t>
        </is>
      </c>
      <c r="D8" s="95" t="inlineStr">
        <is>
          <t>承認者/経理</t>
        </is>
      </c>
      <c r="E8" s="95" t="inlineStr">
        <is>
          <t>全件</t>
        </is>
      </c>
      <c r="F8" s="95" t="inlineStr">
        <is>
          <t>承認と内部統制ガイド</t>
        </is>
      </c>
      <c r="G8" s="95" t="inlineStr">
        <is>
          <t>権限変更時に更新</t>
        </is>
      </c>
      <c r="H8" s="131" t="inlineStr">
        <is>
          <t>会社フローに差し替え可能</t>
        </is>
      </c>
    </row>
    <row r="9" ht="38" customHeight="1" s="162">
      <c r="A9" s="57" t="inlineStr">
        <is>
          <t>集計ダッシュボード</t>
        </is>
      </c>
      <c r="B9" s="96" t="inlineStr">
        <is>
          <t>主要指標と推移を確認</t>
        </is>
      </c>
      <c r="C9" s="96" t="inlineStr">
        <is>
          <t>保留中、支払済み、異常明細、費目/部門分布</t>
        </is>
      </c>
      <c r="D9" s="96" t="inlineStr">
        <is>
          <t>経理/管理職</t>
        </is>
      </c>
      <c r="E9" s="96" t="inlineStr">
        <is>
          <t>全件</t>
        </is>
      </c>
      <c r="F9" s="96" t="inlineStr">
        <is>
          <t>管理レポート</t>
        </is>
      </c>
      <c r="G9" s="96" t="inlineStr">
        <is>
          <t>自動更新</t>
        </is>
      </c>
      <c r="H9" s="132" t="inlineStr">
        <is>
          <t>年度変更で切替可能</t>
        </is>
      </c>
    </row>
    <row r="10" ht="38" customHeight="1" s="162"/>
    <row r="11" ht="38" customHeight="1" s="162"/>
    <row r="12" ht="38" customHeight="1" s="162">
      <c r="A12" s="175" t="inlineStr">
        <is>
          <t>参照元と適用メモ</t>
        </is>
      </c>
      <c r="B12" s="176" t="n"/>
      <c r="C12" s="176" t="n"/>
      <c r="D12" s="176" t="n"/>
      <c r="E12" s="176" t="n"/>
      <c r="F12" s="176" t="n"/>
      <c r="G12" s="176" t="n"/>
      <c r="H12" s="177" t="n"/>
    </row>
    <row r="13" ht="38" customHeight="1" s="162">
      <c r="A13" s="52" t="inlineStr">
        <is>
          <t>ユーザー提供の参考リンク</t>
        </is>
      </c>
      <c r="B13" s="94" t="inlineStr">
        <is>
          <t>http://localhost:2020/excel-templates/finance/expense-reimbursement-log/</t>
        </is>
      </c>
      <c r="C13" s="94" t="n"/>
      <c r="D13" s="94" t="n"/>
      <c r="E13" s="94" t="n"/>
      <c r="F13" s="94" t="n"/>
      <c r="G13" s="94" t="n"/>
      <c r="H13" s="130" t="n"/>
    </row>
    <row r="14" ht="38" customHeight="1" s="162">
      <c r="A14" s="55" t="inlineStr">
        <is>
          <t>現在の処理メモ</t>
        </is>
      </c>
      <c r="B14" s="95" t="inlineStr">
        <is>
          <t>このリンクはローカルアドレスのため、現在の環境ではページ内容を読み取れません。本テンプレートは金融経費精算記録の共通項目、内部統制要件、複数の業務シーンに基づいて構成しています。</t>
        </is>
      </c>
      <c r="C14" s="95" t="n"/>
      <c r="D14" s="95" t="n"/>
      <c r="E14" s="95" t="n"/>
      <c r="F14" s="95" t="n"/>
      <c r="G14" s="95" t="n"/>
      <c r="H14" s="131" t="n"/>
    </row>
    <row r="15" ht="38" customHeight="1" s="162">
      <c r="A15" s="57" t="inlineStr">
        <is>
          <t>適用時の提案</t>
        </is>
      </c>
      <c r="B15" s="96" t="inlineStr">
        <is>
          <t>本番運用前に、経理、税務、法務、業務責任者で上限、税率、承認権限、保存要件、支払ルールを確認してください。</t>
        </is>
      </c>
      <c r="C15" s="96" t="n"/>
      <c r="D15" s="96" t="n"/>
      <c r="E15" s="96" t="n"/>
      <c r="F15" s="96" t="n"/>
      <c r="G15" s="96" t="n"/>
      <c r="H15" s="132" t="n"/>
    </row>
  </sheetData>
  <mergeCells count="3">
    <mergeCell ref="A12:H12"/>
    <mergeCell ref="A2:H2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6"/>
  <sheetViews>
    <sheetView showGridLines="0" workbookViewId="0">
      <selection activeCell="A1" sqref="A1"/>
    </sheetView>
  </sheetViews>
  <sheetFormatPr baseColWidth="8" defaultRowHeight="15"/>
  <cols>
    <col width="14" customWidth="1" style="162" min="1" max="1"/>
    <col width="16" customWidth="1" style="162" min="2" max="2"/>
    <col width="28" customWidth="1" style="162" min="3" max="3"/>
    <col width="12" customWidth="1" style="162" min="4" max="4"/>
    <col width="3" customWidth="1" style="162" min="5" max="5"/>
    <col width="16" customWidth="1" style="162" min="6" max="6"/>
    <col width="14" customWidth="1" style="162" min="7" max="7"/>
    <col width="12" customWidth="1" style="162" min="8" max="8"/>
    <col width="3" customWidth="1" style="162" min="9" max="9"/>
    <col width="14" customWidth="1" style="162" min="10" max="11"/>
    <col width="12" customWidth="1" style="162" min="12" max="12"/>
    <col width="3" customWidth="1" style="162" min="13" max="13"/>
    <col width="14" customWidth="1" style="162" min="14" max="20"/>
  </cols>
  <sheetData>
    <row r="1" ht="30" customHeight="1" s="162">
      <c r="A1" s="9" t="inlineStr">
        <is>
          <t>経費精算集計ダッシュボード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2" ht="22" customHeight="1" s="162">
      <c r="A2" s="167" t="inlineStr">
        <is>
          <t>精算年度</t>
        </is>
      </c>
      <c r="B2" s="178" t="n">
        <v>2026</v>
      </c>
      <c r="C2" s="169" t="inlineStr">
        <is>
          <t>デフォルト通貨</t>
        </is>
      </c>
      <c r="D2" s="170" t="inlineStr">
        <is>
          <t>CNY</t>
        </is>
      </c>
      <c r="E2" s="179" t="inlineStr">
        <is>
          <t>B2 の年度を変更すると、指標、月次推移、部門分布、費目分布が台帳と明細を自動参照します。</t>
        </is>
      </c>
      <c r="F2" s="1" t="n"/>
      <c r="G2" s="1" t="n"/>
      <c r="H2" s="1" t="n"/>
      <c r="I2" s="1" t="n"/>
      <c r="J2" s="1" t="n"/>
      <c r="K2" s="1" t="n"/>
      <c r="L2" s="1" t="n"/>
    </row>
    <row r="3"/>
    <row r="4">
      <c r="A4" s="38" t="inlineStr">
        <is>
          <t>指標</t>
        </is>
      </c>
      <c r="B4" s="39" t="inlineStr">
        <is>
          <t>数値</t>
        </is>
      </c>
      <c r="C4" s="40" t="inlineStr">
        <is>
          <t>説明</t>
        </is>
      </c>
    </row>
    <row r="5">
      <c r="A5" s="52" t="inlineStr">
        <is>
          <t>申請件数</t>
        </is>
      </c>
      <c r="B5" s="94">
        <f>COUNTA('経費精算台帳'!$A$5:$A$104)</f>
        <v/>
      </c>
      <c r="C5" s="130" t="inlineStr">
        <is>
          <t>作成済み申請件数</t>
        </is>
      </c>
    </row>
    <row r="6">
      <c r="A6" s="55" t="inlineStr">
        <is>
          <t>保留中件数</t>
        </is>
      </c>
      <c r="B6" s="95">
        <f>COUNTIFS('経費精算台帳'!$O$5:$O$104,"保留中*",'経費精算台帳'!$A$5:$A$104,"&lt;&gt;")</f>
        <v/>
      </c>
      <c r="C6" s="131" t="inlineStr">
        <is>
          <t>ステータスが「待」で始まる申請</t>
        </is>
      </c>
    </row>
    <row r="7">
      <c r="A7" s="55" t="inlineStr">
        <is>
          <t>保留中/承認済み支払予定額</t>
        </is>
      </c>
      <c r="B7" s="180">
        <f>SUMIFS('経費精算台帳'!$L$5:$L$104,'経費精算台帳'!$O$5:$O$104,"保留中*")+SUMIF('経費精算台帳'!$O$5:$O$104,"承認済み",'経費精算台帳'!$L$5:$L$104)+SUMIF('経費精算台帳'!$O$5:$O$104,"支払待ち",'経費精算台帳'!$L$5:$L$104)</f>
        <v/>
      </c>
      <c r="C7" s="131" t="inlineStr">
        <is>
          <t>保留中、承認済み、支払待ちの金額</t>
        </is>
      </c>
    </row>
    <row r="8">
      <c r="A8" s="55" t="inlineStr">
        <is>
          <t>支払済み金額</t>
        </is>
      </c>
      <c r="B8" s="180">
        <f>SUMIF('経費精算台帳'!$O$5:$O$104,"支払済み",'経費精算台帳'!$L$5:$L$104)</f>
        <v/>
      </c>
      <c r="C8" s="131" t="inlineStr">
        <is>
          <t>支払済みの金額</t>
        </is>
      </c>
    </row>
    <row r="9">
      <c r="A9" s="55" t="inlineStr">
        <is>
          <t>異常明細数</t>
        </is>
      </c>
      <c r="B9" s="95">
        <f>COUNTIFS('経費明細'!$T$5:$T$104,"&lt;&gt;適合",'経費明細'!$A$5:$A$104,"&lt;&gt;")</f>
        <v/>
      </c>
      <c r="C9" s="131" t="inlineStr">
        <is>
          <t>証憑不足または上限超過の明細</t>
        </is>
      </c>
    </row>
    <row r="10">
      <c r="A10" s="57" t="inlineStr">
        <is>
          <t>当年申請金額</t>
        </is>
      </c>
      <c r="B10" s="181">
        <f>SUMIFS('経費精算台帳'!$L$5:$L$104,'経費精算台帳'!$B$5:$B$104,"&gt;="&amp;DATE($B$2,1,1),'経費精算台帳'!$B$5:$B$104,"&lt;"&amp;DATE($B$2+1,1,1))</f>
        <v/>
      </c>
      <c r="C10" s="132" t="inlineStr">
        <is>
          <t>申請日に基づいて当年度へ帰属</t>
        </is>
      </c>
    </row>
    <row r="11"/>
    <row r="12"/>
    <row r="13" ht="24" customHeight="1" s="162">
      <c r="A13" s="175" t="inlineStr">
        <is>
          <t>月次推移</t>
        </is>
      </c>
      <c r="B13" s="176" t="n"/>
      <c r="C13" s="176" t="n"/>
      <c r="D13" s="177" t="n"/>
      <c r="F13" s="175" t="inlineStr">
        <is>
          <t>費目分布</t>
        </is>
      </c>
      <c r="G13" s="176" t="n"/>
      <c r="H13" s="177" t="n"/>
      <c r="J13" s="175" t="inlineStr">
        <is>
          <t>部門分布</t>
        </is>
      </c>
      <c r="K13" s="176" t="n"/>
      <c r="L13" s="177" t="n"/>
    </row>
    <row r="14">
      <c r="A14" s="38" t="inlineStr">
        <is>
          <t>月</t>
        </is>
      </c>
      <c r="B14" s="39" t="inlineStr">
        <is>
          <t>申請金額</t>
        </is>
      </c>
      <c r="C14" s="39" t="inlineStr">
        <is>
          <t>支払済み金額</t>
        </is>
      </c>
      <c r="D14" s="40" t="inlineStr">
        <is>
          <t>異常明細数</t>
        </is>
      </c>
      <c r="F14" s="38" t="inlineStr">
        <is>
          <t>費目</t>
        </is>
      </c>
      <c r="G14" s="39" t="inlineStr">
        <is>
          <t>金額</t>
        </is>
      </c>
      <c r="H14" s="40" t="inlineStr">
        <is>
          <t>異常行数</t>
        </is>
      </c>
      <c r="J14" s="38" t="inlineStr">
        <is>
          <t>部門</t>
        </is>
      </c>
      <c r="K14" s="39" t="inlineStr">
        <is>
          <t>支払予定額</t>
        </is>
      </c>
      <c r="L14" s="40" t="inlineStr">
        <is>
          <t>保留中件数</t>
        </is>
      </c>
    </row>
    <row r="15">
      <c r="A15" s="182">
        <f>TEXT(DATE($B$2,1,1),"yyyy-mm")</f>
        <v/>
      </c>
      <c r="B15" s="183">
        <f>SUMIFS('経費精算台帳'!$L$5:$L$104,'経費精算台帳'!$B$5:$B$104,"&gt;="&amp;DATE($B$2,1,1),'経費精算台帳'!$B$5:$B$104,"&lt;"&amp;DATE($B$2,1+1,1))</f>
        <v/>
      </c>
      <c r="C15" s="183">
        <f>SUMIFS('経費精算台帳'!$L$5:$L$104,'経費精算台帳'!$O$5:$O$104,"支払済み",'経費精算台帳'!$B$5:$B$104,"&gt;="&amp;DATE($B$2,1,1),'経費精算台帳'!$B$5:$B$104,"&lt;"&amp;DATE($B$2,1+1,1))</f>
        <v/>
      </c>
      <c r="D15" s="184">
        <f>COUNTIFS('経費明細'!$Y$5:$Y$104,DATE($B$2,1,1),'経費明細'!$T$5:$T$104,"&lt;&gt;適合",'経費明細'!$A$5:$A$104,"&lt;&gt;")</f>
        <v/>
      </c>
      <c r="F15" s="52" t="inlineStr">
        <is>
          <t>出張交通費</t>
        </is>
      </c>
      <c r="G15" s="183">
        <f>SUMIF('経費明細'!$D$5:$D$104,$F15,'経費明細'!$K$5:$K$104)</f>
        <v/>
      </c>
      <c r="H15" s="130">
        <f>COUNTIFS('経費明細'!$D$5:$D$104,$F15,'経費明細'!$T$5:$T$104,"&lt;&gt;適合",'経費明細'!$A$5:$A$104,"&lt;&gt;")</f>
        <v/>
      </c>
      <c r="J15" s="52" t="inlineStr">
        <is>
          <t>営業部</t>
        </is>
      </c>
      <c r="K15" s="183">
        <f>SUMIF('経費精算台帳'!$E$5:$E$104,$J15,'経費精算台帳'!$L$5:$L$104)</f>
        <v/>
      </c>
      <c r="L15" s="130">
        <f>COUNTIFS('経費精算台帳'!$E$5:$E$104,$J15,'経費精算台帳'!$O$5:$O$104,"保留中*",'経費精算台帳'!$A$5:$A$104,"&lt;&gt;")</f>
        <v/>
      </c>
    </row>
    <row r="16">
      <c r="A16" s="185">
        <f>TEXT(DATE($B$2,2,1),"yyyy-mm")</f>
        <v/>
      </c>
      <c r="B16" s="180">
        <f>SUMIFS('経費精算台帳'!$L$5:$L$104,'経費精算台帳'!$B$5:$B$104,"&gt;="&amp;DATE($B$2,2,1),'経費精算台帳'!$B$5:$B$104,"&lt;"&amp;DATE($B$2,2+1,1))</f>
        <v/>
      </c>
      <c r="C16" s="180">
        <f>SUMIFS('経費精算台帳'!$L$5:$L$104,'経費精算台帳'!$O$5:$O$104,"支払済み",'経費精算台帳'!$B$5:$B$104,"&gt;="&amp;DATE($B$2,2,1),'経費精算台帳'!$B$5:$B$104,"&lt;"&amp;DATE($B$2,2+1,1))</f>
        <v/>
      </c>
      <c r="D16" s="186">
        <f>COUNTIFS('経費明細'!$Y$5:$Y$104,DATE($B$2,2,1),'経費明細'!$T$5:$T$104,"&lt;&gt;適合",'経費明細'!$A$5:$A$104,"&lt;&gt;")</f>
        <v/>
      </c>
      <c r="F16" s="55" t="inlineStr">
        <is>
          <t>宿泊費</t>
        </is>
      </c>
      <c r="G16" s="180">
        <f>SUMIF('経費明細'!$D$5:$D$104,$F16,'経費明細'!$K$5:$K$104)</f>
        <v/>
      </c>
      <c r="H16" s="131">
        <f>COUNTIFS('経費明細'!$D$5:$D$104,$F16,'経費明細'!$T$5:$T$104,"&lt;&gt;適合",'経費明細'!$A$5:$A$104,"&lt;&gt;")</f>
        <v/>
      </c>
      <c r="J16" s="55" t="inlineStr">
        <is>
          <t>マーケティング部</t>
        </is>
      </c>
      <c r="K16" s="180">
        <f>SUMIF('経費精算台帳'!$E$5:$E$104,$J16,'経費精算台帳'!$L$5:$L$104)</f>
        <v/>
      </c>
      <c r="L16" s="131">
        <f>COUNTIFS('経費精算台帳'!$E$5:$E$104,$J16,'経費精算台帳'!$O$5:$O$104,"保留中*",'経費精算台帳'!$A$5:$A$104,"&lt;&gt;")</f>
        <v/>
      </c>
    </row>
    <row r="17">
      <c r="A17" s="185">
        <f>TEXT(DATE($B$2,3,1),"yyyy-mm")</f>
        <v/>
      </c>
      <c r="B17" s="180">
        <f>SUMIFS('経費精算台帳'!$L$5:$L$104,'経費精算台帳'!$B$5:$B$104,"&gt;="&amp;DATE($B$2,3,1),'経費精算台帳'!$B$5:$B$104,"&lt;"&amp;DATE($B$2,3+1,1))</f>
        <v/>
      </c>
      <c r="C17" s="180">
        <f>SUMIFS('経費精算台帳'!$L$5:$L$104,'経費精算台帳'!$O$5:$O$104,"支払済み",'経費精算台帳'!$B$5:$B$104,"&gt;="&amp;DATE($B$2,3,1),'経費精算台帳'!$B$5:$B$104,"&lt;"&amp;DATE($B$2,3+1,1))</f>
        <v/>
      </c>
      <c r="D17" s="186">
        <f>COUNTIFS('経費明細'!$Y$5:$Y$104,DATE($B$2,3,1),'経費明細'!$T$5:$T$104,"&lt;&gt;適合",'経費明細'!$A$5:$A$104,"&lt;&gt;")</f>
        <v/>
      </c>
      <c r="F17" s="55" t="inlineStr">
        <is>
          <t>会食接待</t>
        </is>
      </c>
      <c r="G17" s="180">
        <f>SUMIF('経費明細'!$D$5:$D$104,$F17,'経費明細'!$K$5:$K$104)</f>
        <v/>
      </c>
      <c r="H17" s="131">
        <f>COUNTIFS('経費明細'!$D$5:$D$104,$F17,'経費明細'!$T$5:$T$104,"&lt;&gt;適合",'経費明細'!$A$5:$A$104,"&lt;&gt;")</f>
        <v/>
      </c>
      <c r="J17" s="55" t="inlineStr">
        <is>
          <t>開発部</t>
        </is>
      </c>
      <c r="K17" s="180">
        <f>SUMIF('経費精算台帳'!$E$5:$E$104,$J17,'経費精算台帳'!$L$5:$L$104)</f>
        <v/>
      </c>
      <c r="L17" s="131">
        <f>COUNTIFS('経費精算台帳'!$E$5:$E$104,$J17,'経費精算台帳'!$O$5:$O$104,"保留中*",'経費精算台帳'!$A$5:$A$104,"&lt;&gt;")</f>
        <v/>
      </c>
    </row>
    <row r="18">
      <c r="A18" s="185">
        <f>TEXT(DATE($B$2,4,1),"yyyy-mm")</f>
        <v/>
      </c>
      <c r="B18" s="180">
        <f>SUMIFS('経費精算台帳'!$L$5:$L$104,'経費精算台帳'!$B$5:$B$104,"&gt;="&amp;DATE($B$2,4,1),'経費精算台帳'!$B$5:$B$104,"&lt;"&amp;DATE($B$2,4+1,1))</f>
        <v/>
      </c>
      <c r="C18" s="180">
        <f>SUMIFS('経費精算台帳'!$L$5:$L$104,'経費精算台帳'!$O$5:$O$104,"支払済み",'経費精算台帳'!$B$5:$B$104,"&gt;="&amp;DATE($B$2,4,1),'経費精算台帳'!$B$5:$B$104,"&lt;"&amp;DATE($B$2,4+1,1))</f>
        <v/>
      </c>
      <c r="D18" s="186">
        <f>COUNTIFS('経費明細'!$Y$5:$Y$104,DATE($B$2,4,1),'経費明細'!$T$5:$T$104,"&lt;&gt;適合",'経費明細'!$A$5:$A$104,"&lt;&gt;")</f>
        <v/>
      </c>
      <c r="F18" s="55" t="inlineStr">
        <is>
          <t>市内交通</t>
        </is>
      </c>
      <c r="G18" s="180">
        <f>SUMIF('経費明細'!$D$5:$D$104,$F18,'経費明細'!$K$5:$K$104)</f>
        <v/>
      </c>
      <c r="H18" s="131">
        <f>COUNTIFS('経費明細'!$D$5:$D$104,$F18,'経費明細'!$T$5:$T$104,"&lt;&gt;適合",'経費明細'!$A$5:$A$104,"&lt;&gt;")</f>
        <v/>
      </c>
      <c r="J18" s="55" t="inlineStr">
        <is>
          <t>オペレーション部</t>
        </is>
      </c>
      <c r="K18" s="180">
        <f>SUMIF('経費精算台帳'!$E$5:$E$104,$J18,'経費精算台帳'!$L$5:$L$104)</f>
        <v/>
      </c>
      <c r="L18" s="131">
        <f>COUNTIFS('経費精算台帳'!$E$5:$E$104,$J18,'経費精算台帳'!$O$5:$O$104,"保留中*",'経費精算台帳'!$A$5:$A$104,"&lt;&gt;")</f>
        <v/>
      </c>
    </row>
    <row r="19">
      <c r="A19" s="185">
        <f>TEXT(DATE($B$2,5,1),"yyyy-mm")</f>
        <v/>
      </c>
      <c r="B19" s="180">
        <f>SUMIFS('経費精算台帳'!$L$5:$L$104,'経費精算台帳'!$B$5:$B$104,"&gt;="&amp;DATE($B$2,5,1),'経費精算台帳'!$B$5:$B$104,"&lt;"&amp;DATE($B$2,5+1,1))</f>
        <v/>
      </c>
      <c r="C19" s="180">
        <f>SUMIFS('経費精算台帳'!$L$5:$L$104,'経費精算台帳'!$O$5:$O$104,"支払済み",'経費精算台帳'!$B$5:$B$104,"&gt;="&amp;DATE($B$2,5,1),'経費精算台帳'!$B$5:$B$104,"&lt;"&amp;DATE($B$2,5+1,1))</f>
        <v/>
      </c>
      <c r="D19" s="186">
        <f>COUNTIFS('経費明細'!$Y$5:$Y$104,DATE($B$2,5,1),'経費明細'!$T$5:$T$104,"&lt;&gt;適合",'経費明細'!$A$5:$A$104,"&lt;&gt;")</f>
        <v/>
      </c>
      <c r="F19" s="55" t="inlineStr">
        <is>
          <t>事務用品</t>
        </is>
      </c>
      <c r="G19" s="180">
        <f>SUMIF('経費明細'!$D$5:$D$104,$F19,'経費明細'!$K$5:$K$104)</f>
        <v/>
      </c>
      <c r="H19" s="131">
        <f>COUNTIFS('経費明細'!$D$5:$D$104,$F19,'経費明細'!$T$5:$T$104,"&lt;&gt;適合",'経費明細'!$A$5:$A$104,"&lt;&gt;")</f>
        <v/>
      </c>
      <c r="J19" s="55" t="inlineStr">
        <is>
          <t>総務部</t>
        </is>
      </c>
      <c r="K19" s="180">
        <f>SUMIF('経費精算台帳'!$E$5:$E$104,$J19,'経費精算台帳'!$L$5:$L$104)</f>
        <v/>
      </c>
      <c r="L19" s="131">
        <f>COUNTIFS('経費精算台帳'!$E$5:$E$104,$J19,'経費精算台帳'!$O$5:$O$104,"保留中*",'経費精算台帳'!$A$5:$A$104,"&lt;&gt;")</f>
        <v/>
      </c>
    </row>
    <row r="20">
      <c r="A20" s="185">
        <f>TEXT(DATE($B$2,6,1),"yyyy-mm")</f>
        <v/>
      </c>
      <c r="B20" s="180">
        <f>SUMIFS('経費精算台帳'!$L$5:$L$104,'経費精算台帳'!$B$5:$B$104,"&gt;="&amp;DATE($B$2,6,1),'経費精算台帳'!$B$5:$B$104,"&lt;"&amp;DATE($B$2,6+1,1))</f>
        <v/>
      </c>
      <c r="C20" s="180">
        <f>SUMIFS('経費精算台帳'!$L$5:$L$104,'経費精算台帳'!$O$5:$O$104,"支払済み",'経費精算台帳'!$B$5:$B$104,"&gt;="&amp;DATE($B$2,6,1),'経費精算台帳'!$B$5:$B$104,"&lt;"&amp;DATE($B$2,6+1,1))</f>
        <v/>
      </c>
      <c r="D20" s="186">
        <f>COUNTIFS('経費明細'!$Y$5:$Y$104,DATE($B$2,6,1),'経費明細'!$T$5:$T$104,"&lt;&gt;適合",'経費明細'!$A$5:$A$104,"&lt;&gt;")</f>
        <v/>
      </c>
      <c r="F20" s="55" t="inlineStr">
        <is>
          <t>研修会議</t>
        </is>
      </c>
      <c r="G20" s="180">
        <f>SUMIF('経費明細'!$D$5:$D$104,$F20,'経費明細'!$K$5:$K$104)</f>
        <v/>
      </c>
      <c r="H20" s="131">
        <f>COUNTIFS('経費明細'!$D$5:$D$104,$F20,'経費明細'!$T$5:$T$104,"&lt;&gt;適合",'経費明細'!$A$5:$A$104,"&lt;&gt;")</f>
        <v/>
      </c>
      <c r="J20" s="55" t="inlineStr">
        <is>
          <t>経理部</t>
        </is>
      </c>
      <c r="K20" s="180">
        <f>SUMIF('経費精算台帳'!$E$5:$E$104,$J20,'経費精算台帳'!$L$5:$L$104)</f>
        <v/>
      </c>
      <c r="L20" s="131">
        <f>COUNTIFS('経費精算台帳'!$E$5:$E$104,$J20,'経費精算台帳'!$O$5:$O$104,"保留中*",'経費精算台帳'!$A$5:$A$104,"&lt;&gt;")</f>
        <v/>
      </c>
    </row>
    <row r="21">
      <c r="A21" s="185">
        <f>TEXT(DATE($B$2,7,1),"yyyy-mm")</f>
        <v/>
      </c>
      <c r="B21" s="180">
        <f>SUMIFS('経費精算台帳'!$L$5:$L$104,'経費精算台帳'!$B$5:$B$104,"&gt;="&amp;DATE($B$2,7,1),'経費精算台帳'!$B$5:$B$104,"&lt;"&amp;DATE($B$2,7+1,1))</f>
        <v/>
      </c>
      <c r="C21" s="180">
        <f>SUMIFS('経費精算台帳'!$L$5:$L$104,'経費精算台帳'!$O$5:$O$104,"支払済み",'経費精算台帳'!$B$5:$B$104,"&gt;="&amp;DATE($B$2,7,1),'経費精算台帳'!$B$5:$B$104,"&lt;"&amp;DATE($B$2,7+1,1))</f>
        <v/>
      </c>
      <c r="D21" s="186">
        <f>COUNTIFS('経費明細'!$Y$5:$Y$104,DATE($B$2,7,1),'経費明細'!$T$5:$T$104,"&lt;&gt;適合",'経費明細'!$A$5:$A$104,"&lt;&gt;")</f>
        <v/>
      </c>
      <c r="F21" s="55" t="inlineStr">
        <is>
          <t>通信費</t>
        </is>
      </c>
      <c r="G21" s="180">
        <f>SUMIF('経費明細'!$D$5:$D$104,$F21,'経費明細'!$K$5:$K$104)</f>
        <v/>
      </c>
      <c r="H21" s="131">
        <f>COUNTIFS('経費明細'!$D$5:$D$104,$F21,'経費明細'!$T$5:$T$104,"&lt;&gt;適合",'経費明細'!$A$5:$A$104,"&lt;&gt;")</f>
        <v/>
      </c>
      <c r="J21" s="55" t="inlineStr">
        <is>
          <t>人事部</t>
        </is>
      </c>
      <c r="K21" s="180">
        <f>SUMIF('経費精算台帳'!$E$5:$E$104,$J21,'経費精算台帳'!$L$5:$L$104)</f>
        <v/>
      </c>
      <c r="L21" s="131">
        <f>COUNTIFS('経費精算台帳'!$E$5:$E$104,$J21,'経費精算台帳'!$O$5:$O$104,"保留中*",'経費精算台帳'!$A$5:$A$104,"&lt;&gt;")</f>
        <v/>
      </c>
    </row>
    <row r="22">
      <c r="A22" s="185">
        <f>TEXT(DATE($B$2,8,1),"yyyy-mm")</f>
        <v/>
      </c>
      <c r="B22" s="180">
        <f>SUMIFS('経費精算台帳'!$L$5:$L$104,'経費精算台帳'!$B$5:$B$104,"&gt;="&amp;DATE($B$2,8,1),'経費精算台帳'!$B$5:$B$104,"&lt;"&amp;DATE($B$2,8+1,1))</f>
        <v/>
      </c>
      <c r="C22" s="180">
        <f>SUMIFS('経費精算台帳'!$L$5:$L$104,'経費精算台帳'!$O$5:$O$104,"支払済み",'経費精算台帳'!$B$5:$B$104,"&gt;="&amp;DATE($B$2,8,1),'経費精算台帳'!$B$5:$B$104,"&lt;"&amp;DATE($B$2,8+1,1))</f>
        <v/>
      </c>
      <c r="D22" s="186">
        <f>COUNTIFS('経費明細'!$Y$5:$Y$104,DATE($B$2,8,1),'経費明細'!$T$5:$T$104,"&lt;&gt;適合",'経費明細'!$A$5:$A$104,"&lt;&gt;")</f>
        <v/>
      </c>
      <c r="F22" s="55" t="inlineStr">
        <is>
          <t>マーケティング施策</t>
        </is>
      </c>
      <c r="G22" s="180">
        <f>SUMIF('経費明細'!$D$5:$D$104,$F22,'経費明細'!$K$5:$K$104)</f>
        <v/>
      </c>
      <c r="H22" s="131">
        <f>COUNTIFS('経費明細'!$D$5:$D$104,$F22,'経費明細'!$T$5:$T$104,"&lt;&gt;適合",'経費明細'!$A$5:$A$104,"&lt;&gt;")</f>
        <v/>
      </c>
      <c r="J22" s="55" t="inlineStr">
        <is>
          <t>カスタマーサポート部</t>
        </is>
      </c>
      <c r="K22" s="180">
        <f>SUMIF('経費精算台帳'!$E$5:$E$104,$J22,'経費精算台帳'!$L$5:$L$104)</f>
        <v/>
      </c>
      <c r="L22" s="131">
        <f>COUNTIFS('経費精算台帳'!$E$5:$E$104,$J22,'経費精算台帳'!$O$5:$O$104,"保留中*",'経費精算台帳'!$A$5:$A$104,"&lt;&gt;")</f>
        <v/>
      </c>
    </row>
    <row r="23">
      <c r="A23" s="185">
        <f>TEXT(DATE($B$2,9,1),"yyyy-mm")</f>
        <v/>
      </c>
      <c r="B23" s="180">
        <f>SUMIFS('経費精算台帳'!$L$5:$L$104,'経費精算台帳'!$B$5:$B$104,"&gt;="&amp;DATE($B$2,9,1),'経費精算台帳'!$B$5:$B$104,"&lt;"&amp;DATE($B$2,9+1,1))</f>
        <v/>
      </c>
      <c r="C23" s="180">
        <f>SUMIFS('経費精算台帳'!$L$5:$L$104,'経費精算台帳'!$O$5:$O$104,"支払済み",'経費精算台帳'!$B$5:$B$104,"&gt;="&amp;DATE($B$2,9,1),'経費精算台帳'!$B$5:$B$104,"&lt;"&amp;DATE($B$2,9+1,1))</f>
        <v/>
      </c>
      <c r="D23" s="186">
        <f>COUNTIFS('経費明細'!$Y$5:$Y$104,DATE($B$2,9,1),'経費明細'!$T$5:$T$104,"&lt;&gt;適合",'経費明細'!$A$5:$A$104,"&lt;&gt;")</f>
        <v/>
      </c>
      <c r="F23" s="55" t="inlineStr">
        <is>
          <t>ソフトウェア/SaaS</t>
        </is>
      </c>
      <c r="G23" s="180">
        <f>SUMIF('経費明細'!$D$5:$D$104,$F23,'経費明細'!$K$5:$K$104)</f>
        <v/>
      </c>
      <c r="H23" s="131">
        <f>COUNTIFS('経費明細'!$D$5:$D$104,$F23,'経費明細'!$T$5:$T$104,"&lt;&gt;適合",'経費明細'!$A$5:$A$104,"&lt;&gt;")</f>
        <v/>
      </c>
      <c r="J23" s="55" t="inlineStr">
        <is>
          <t>サプライチェーン部</t>
        </is>
      </c>
      <c r="K23" s="180">
        <f>SUMIF('経費精算台帳'!$E$5:$E$104,$J23,'経費精算台帳'!$L$5:$L$104)</f>
        <v/>
      </c>
      <c r="L23" s="131">
        <f>COUNTIFS('経費精算台帳'!$E$5:$E$104,$J23,'経費精算台帳'!$O$5:$O$104,"保留中*",'経費精算台帳'!$A$5:$A$104,"&lt;&gt;")</f>
        <v/>
      </c>
    </row>
    <row r="24">
      <c r="A24" s="185">
        <f>TEXT(DATE($B$2,10,1),"yyyy-mm")</f>
        <v/>
      </c>
      <c r="B24" s="180">
        <f>SUMIFS('経費精算台帳'!$L$5:$L$104,'経費精算台帳'!$B$5:$B$104,"&gt;="&amp;DATE($B$2,10,1),'経費精算台帳'!$B$5:$B$104,"&lt;"&amp;DATE($B$2,10+1,1))</f>
        <v/>
      </c>
      <c r="C24" s="180">
        <f>SUMIFS('経費精算台帳'!$L$5:$L$104,'経費精算台帳'!$O$5:$O$104,"支払済み",'経費精算台帳'!$B$5:$B$104,"&gt;="&amp;DATE($B$2,10,1),'経費精算台帳'!$B$5:$B$104,"&lt;"&amp;DATE($B$2,10+1,1))</f>
        <v/>
      </c>
      <c r="D24" s="186">
        <f>COUNTIFS('経費明細'!$Y$5:$Y$104,DATE($B$2,10,1),'経費明細'!$T$5:$T$104,"&lt;&gt;適合",'経費明細'!$A$5:$A$104,"&lt;&gt;")</f>
        <v/>
      </c>
      <c r="F24" s="55" t="inlineStr">
        <is>
          <t>福利厚生</t>
        </is>
      </c>
      <c r="G24" s="180">
        <f>SUMIF('経費明細'!$D$5:$D$104,$F24,'経費明細'!$K$5:$K$104)</f>
        <v/>
      </c>
      <c r="H24" s="131">
        <f>COUNTIFS('経費明細'!$D$5:$D$104,$F24,'経費明細'!$T$5:$T$104,"&lt;&gt;適合",'経費明細'!$A$5:$A$104,"&lt;&gt;")</f>
        <v/>
      </c>
      <c r="J24" s="57" t="inlineStr">
        <is>
          <t>経営層</t>
        </is>
      </c>
      <c r="K24" s="181">
        <f>SUMIF('経費精算台帳'!$E$5:$E$104,$J24,'経費精算台帳'!$L$5:$L$104)</f>
        <v/>
      </c>
      <c r="L24" s="132">
        <f>COUNTIFS('経費精算台帳'!$E$5:$E$104,$J24,'経費精算台帳'!$O$5:$O$104,"保留中*",'経費精算台帳'!$A$5:$A$104,"&lt;&gt;")</f>
        <v/>
      </c>
    </row>
    <row r="25">
      <c r="A25" s="185">
        <f>TEXT(DATE($B$2,11,1),"yyyy-mm")</f>
        <v/>
      </c>
      <c r="B25" s="180">
        <f>SUMIFS('経費精算台帳'!$L$5:$L$104,'経費精算台帳'!$B$5:$B$104,"&gt;="&amp;DATE($B$2,11,1),'経費精算台帳'!$B$5:$B$104,"&lt;"&amp;DATE($B$2,11+1,1))</f>
        <v/>
      </c>
      <c r="C25" s="180">
        <f>SUMIFS('経費精算台帳'!$L$5:$L$104,'経費精算台帳'!$O$5:$O$104,"支払済み",'経費精算台帳'!$B$5:$B$104,"&gt;="&amp;DATE($B$2,11,1),'経費精算台帳'!$B$5:$B$104,"&lt;"&amp;DATE($B$2,11+1,1))</f>
        <v/>
      </c>
      <c r="D25" s="186">
        <f>COUNTIFS('経費明細'!$Y$5:$Y$104,DATE($B$2,11,1),'経費明細'!$T$5:$T$104,"&lt;&gt;適合",'経費明細'!$A$5:$A$104,"&lt;&gt;")</f>
        <v/>
      </c>
      <c r="F25" s="57" t="inlineStr">
        <is>
          <t>その他</t>
        </is>
      </c>
      <c r="G25" s="181">
        <f>SUMIF('経費明細'!$D$5:$D$104,$F25,'経費明細'!$K$5:$K$104)</f>
        <v/>
      </c>
      <c r="H25" s="132">
        <f>COUNTIFS('経費明細'!$D$5:$D$104,$F25,'経費明細'!$T$5:$T$104,"&lt;&gt;適合",'経費明細'!$A$5:$A$104,"&lt;&gt;")</f>
        <v/>
      </c>
    </row>
    <row r="26">
      <c r="A26" s="187">
        <f>TEXT(DATE($B$2,12,1),"yyyy-mm")</f>
        <v/>
      </c>
      <c r="B26" s="181">
        <f>SUMIFS('経費精算台帳'!$L$5:$L$104,'経費精算台帳'!$B$5:$B$104,"&gt;="&amp;DATE($B$2,12,1),'経費精算台帳'!$B$5:$B$104,"&lt;"&amp;DATE($B$2,12+1,1))</f>
        <v/>
      </c>
      <c r="C26" s="181">
        <f>SUMIFS('経費精算台帳'!$L$5:$L$104,'経費精算台帳'!$O$5:$O$104,"支払済み",'経費精算台帳'!$B$5:$B$104,"&gt;="&amp;DATE($B$2,12,1),'経費精算台帳'!$B$5:$B$104,"&lt;"&amp;DATE($B$2,12+1,1))</f>
        <v/>
      </c>
      <c r="D26" s="188">
        <f>COUNTIFS('経費明細'!$Y$5:$Y$104,DATE($B$2,12,1),'経費明細'!$T$5:$T$104,"&lt;&gt;適合",'経費明細'!$A$5:$A$104,"&lt;&gt;")</f>
        <v/>
      </c>
    </row>
  </sheetData>
  <mergeCells count="5">
    <mergeCell ref="F13:H13"/>
    <mergeCell ref="J13:L13"/>
    <mergeCell ref="A1:L1"/>
    <mergeCell ref="E2:L2"/>
    <mergeCell ref="A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X104"/>
  <sheetViews>
    <sheetView showGridLines="0" workbookViewId="0">
      <selection activeCell="A1" sqref="A1"/>
    </sheetView>
  </sheetViews>
  <sheetFormatPr baseColWidth="8" defaultRowHeight="15"/>
  <cols>
    <col width="16" customWidth="1" style="162" min="1" max="1"/>
    <col width="12" customWidth="1" style="162" min="2" max="2"/>
    <col width="10" customWidth="1" style="162" min="3" max="3"/>
    <col width="12" customWidth="1" style="162" min="4" max="4"/>
    <col width="14" customWidth="1" style="162" min="5" max="5"/>
    <col width="18" customWidth="1" style="162" min="6" max="6"/>
    <col width="14" customWidth="1" style="162" min="7" max="7"/>
    <col width="8" customWidth="1" style="162" min="8" max="8"/>
    <col width="14" customWidth="1" style="162" min="9" max="12"/>
    <col width="12" customWidth="1" style="162" min="13" max="14"/>
    <col width="14" customWidth="1" style="162" min="15" max="15"/>
    <col width="12" customWidth="1" style="162" min="16" max="19"/>
    <col width="14" customWidth="1" style="162" min="20" max="20"/>
    <col width="26" customWidth="1" style="162" min="21" max="21"/>
    <col width="16" customWidth="1" style="162" min="22" max="22"/>
    <col width="14" customWidth="1" style="162" min="23" max="23"/>
    <col width="30" customWidth="1" style="162" min="24" max="24"/>
  </cols>
  <sheetData>
    <row r="1" ht="30" customHeight="1" s="162">
      <c r="A1" s="9" t="inlineStr">
        <is>
          <t>経費精算台帳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</row>
    <row r="2" ht="22" customHeight="1" s="162">
      <c r="A2" s="13" t="inlineStr">
        <is>
          <t>各精算申請は1行で管理し、数式列は「経費明細」から自動集計されます。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</row>
    <row r="3"/>
    <row r="4">
      <c r="A4" s="38" t="inlineStr">
        <is>
          <t>入力例</t>
        </is>
      </c>
      <c r="B4" s="39" t="inlineStr">
        <is>
          <t>申請日</t>
        </is>
      </c>
      <c r="C4" s="39" t="inlineStr">
        <is>
          <t>申請者</t>
        </is>
      </c>
      <c r="D4" s="39" t="inlineStr">
        <is>
          <t>入力例</t>
        </is>
      </c>
      <c r="E4" s="39" t="inlineStr">
        <is>
          <t>部門</t>
        </is>
      </c>
      <c r="F4" s="39" t="inlineStr">
        <is>
          <t>プロジェクト/コストセンター</t>
        </is>
      </c>
      <c r="G4" s="39" t="inlineStr">
        <is>
          <t>業務シーン</t>
        </is>
      </c>
      <c r="H4" s="39" t="inlineStr">
        <is>
          <t>通貨</t>
        </is>
      </c>
      <c r="I4" s="39" t="inlineStr">
        <is>
          <t>税込明細合計</t>
        </is>
      </c>
      <c r="J4" s="39" t="inlineStr">
        <is>
          <t>控除可能税額</t>
        </is>
      </c>
      <c r="K4" s="39" t="inlineStr">
        <is>
          <t>仮払相殺</t>
        </is>
      </c>
      <c r="L4" s="39" t="inlineStr">
        <is>
          <t>支払予定額</t>
        </is>
      </c>
      <c r="M4" s="39" t="inlineStr">
        <is>
          <t>明細/請求書数</t>
        </is>
      </c>
      <c r="N4" s="39" t="inlineStr">
        <is>
          <t>異常明細数</t>
        </is>
      </c>
      <c r="O4" s="39" t="inlineStr">
        <is>
          <t>現在のステータス</t>
        </is>
      </c>
      <c r="P4" s="39" t="inlineStr">
        <is>
          <t>部門承認者</t>
        </is>
      </c>
      <c r="Q4" s="39" t="inlineStr">
        <is>
          <t>経理確認者</t>
        </is>
      </c>
      <c r="R4" s="39" t="inlineStr">
        <is>
          <t>予定支払日</t>
        </is>
      </c>
      <c r="S4" s="39" t="inlineStr">
        <is>
          <t>実支払日</t>
        </is>
      </c>
      <c r="T4" s="39" t="inlineStr">
        <is>
          <t>支払方法</t>
        </is>
      </c>
      <c r="U4" s="39" t="inlineStr">
        <is>
          <t>振込情報</t>
        </is>
      </c>
      <c r="V4" s="39" t="inlineStr">
        <is>
          <t>入力例</t>
        </is>
      </c>
      <c r="W4" s="39" t="inlineStr">
        <is>
          <t>書類完備性</t>
        </is>
      </c>
      <c r="X4" s="40" t="inlineStr">
        <is>
          <t>備考/退回原因</t>
        </is>
      </c>
    </row>
    <row r="5">
      <c r="A5" s="52" t="inlineStr">
        <is>
          <t>ER-2026-0001</t>
        </is>
      </c>
      <c r="B5" s="193" t="n">
        <v>46030</v>
      </c>
      <c r="C5" s="94" t="inlineStr">
        <is>
          <t>佐藤太郎</t>
        </is>
      </c>
      <c r="D5" s="94" t="inlineStr">
        <is>
          <t>E001</t>
        </is>
      </c>
      <c r="E5" s="94" t="inlineStr">
        <is>
          <t>営業部</t>
        </is>
      </c>
      <c r="F5" s="94" t="inlineStr">
        <is>
          <t>CC-SALES-01</t>
        </is>
      </c>
      <c r="G5" s="94" t="inlineStr">
        <is>
          <t>出張精算</t>
        </is>
      </c>
      <c r="H5" s="94" t="inlineStr">
        <is>
          <t>CNY</t>
        </is>
      </c>
      <c r="I5" s="191">
        <f>IF($A5="","",SUMIF('経費明細'!$A$5:$A$104,$A5,'経費明細'!$K$5:$K$104))</f>
        <v/>
      </c>
      <c r="J5" s="191">
        <f>IF($A5="","",SUMIF('経費明細'!$A$5:$A$104,$A5,'経費明細'!$L$5:$L$104))</f>
        <v/>
      </c>
      <c r="K5" s="191" t="n">
        <v>1000</v>
      </c>
      <c r="L5" s="191">
        <f>IF($A5="","",MAX(0,$I5-$K5))</f>
        <v/>
      </c>
      <c r="M5" s="192">
        <f>IF($A5="","",COUNTIF('経費明細'!$A$5:$A$104,$A5))</f>
        <v/>
      </c>
      <c r="N5" s="192">
        <f>IF($A5="","",COUNTIFS('経費明細'!$A$5:$A$104,$A5,'経費明細'!$T$5:$T$104,"&lt;&gt;適合",'経費明細'!$T$5:$T$104,"&lt;&gt;"))</f>
        <v/>
      </c>
      <c r="O5" s="94" t="inlineStr">
        <is>
          <t>支払済み</t>
        </is>
      </c>
      <c r="P5" s="94" t="inlineStr">
        <is>
          <t>山田課長</t>
        </is>
      </c>
      <c r="Q5" s="94" t="inlineStr">
        <is>
          <t>山本経理</t>
        </is>
      </c>
      <c r="R5" s="193">
        <f>IF($A5="","",IF(OR($O5="承認済み",$O5="支払待ち"),$B5+5,IF($O5="支払済み",$S5,"")))</f>
        <v/>
      </c>
      <c r="S5" s="193" t="n">
        <v>46037</v>
      </c>
      <c r="T5" s="94" t="inlineStr">
        <is>
          <t>銀行振込</t>
        </is>
      </c>
      <c r="U5" s="94" t="inlineStr">
        <is>
          <t>佐藤太郎 / 6222 **** 0101</t>
        </is>
      </c>
      <c r="V5" s="94" t="inlineStr">
        <is>
          <t>V-2026-001</t>
        </is>
      </c>
      <c r="W5" s="94" t="inlineStr">
        <is>
          <t>完整</t>
        </is>
      </c>
      <c r="X5" s="130" t="inlineStr">
        <is>
          <t>東京顧客訪問</t>
        </is>
      </c>
    </row>
    <row r="6">
      <c r="A6" s="55" t="inlineStr">
        <is>
          <t>ER-2026-0002</t>
        </is>
      </c>
      <c r="B6" s="198" t="n">
        <v>46057</v>
      </c>
      <c r="C6" s="95" t="inlineStr">
        <is>
          <t>鈴木花子</t>
        </is>
      </c>
      <c r="D6" s="95" t="inlineStr">
        <is>
          <t>E002</t>
        </is>
      </c>
      <c r="E6" s="95" t="inlineStr">
        <is>
          <t>総務部</t>
        </is>
      </c>
      <c r="F6" s="95" t="inlineStr">
        <is>
          <t>CC-ADMIN-01</t>
        </is>
      </c>
      <c r="G6" s="95" t="inlineStr">
        <is>
          <t>備品購入</t>
        </is>
      </c>
      <c r="H6" s="95" t="inlineStr">
        <is>
          <t>CNY</t>
        </is>
      </c>
      <c r="I6" s="196">
        <f>IF($A6="","",SUMIF('経費明細'!$A$5:$A$104,$A6,'経費明細'!$K$5:$K$104))</f>
        <v/>
      </c>
      <c r="J6" s="196">
        <f>IF($A6="","",SUMIF('経費明細'!$A$5:$A$104,$A6,'経費明細'!$L$5:$L$104))</f>
        <v/>
      </c>
      <c r="K6" s="196" t="n">
        <v>0</v>
      </c>
      <c r="L6" s="196">
        <f>IF($A6="","",MAX(0,$I6-$K6))</f>
        <v/>
      </c>
      <c r="M6" s="197">
        <f>IF($A6="","",COUNTIF('経費明細'!$A$5:$A$104,$A6))</f>
        <v/>
      </c>
      <c r="N6" s="197">
        <f>IF($A6="","",COUNTIFS('経費明細'!$A$5:$A$104,$A6,'経費明細'!$T$5:$T$104,"&lt;&gt;適合",'経費明細'!$T$5:$T$104,"&lt;&gt;"))</f>
        <v/>
      </c>
      <c r="O6" s="95" t="inlineStr">
        <is>
          <t>経理確認待ちち</t>
        </is>
      </c>
      <c r="P6" s="95" t="inlineStr">
        <is>
          <t>鈴木課長</t>
        </is>
      </c>
      <c r="Q6" s="95" t="inlineStr">
        <is>
          <t>山本経理</t>
        </is>
      </c>
      <c r="R6" s="198">
        <f>IF($A6="","",IF(OR($O6="承認済み",$O6="支払待ち"),$B6+5,IF($O6="支払済み",$S6,"")))</f>
        <v/>
      </c>
      <c r="S6" s="198" t="n"/>
      <c r="T6" s="95" t="inlineStr">
        <is>
          <t>立替払い</t>
        </is>
      </c>
      <c r="U6" s="95" t="inlineStr">
        <is>
          <t>鈴木花子 / 6222 **** 0202</t>
        </is>
      </c>
      <c r="V6" s="95" t="n"/>
      <c r="W6" s="95" t="inlineStr">
        <is>
          <t>完整</t>
        </is>
      </c>
      <c r="X6" s="131" t="inlineStr">
        <is>
          <t>備品購入</t>
        </is>
      </c>
    </row>
    <row r="7">
      <c r="A7" s="55" t="inlineStr">
        <is>
          <t>ER-2026-0003</t>
        </is>
      </c>
      <c r="B7" s="198" t="n">
        <v>46093</v>
      </c>
      <c r="C7" s="95" t="inlineStr">
        <is>
          <t>高橋健</t>
        </is>
      </c>
      <c r="D7" s="95" t="inlineStr">
        <is>
          <t>E003</t>
        </is>
      </c>
      <c r="E7" s="95" t="inlineStr">
        <is>
          <t>マーケティング部</t>
        </is>
      </c>
      <c r="F7" s="95" t="inlineStr">
        <is>
          <t>CC-MKT-02</t>
        </is>
      </c>
      <c r="G7" s="95" t="inlineStr">
        <is>
          <t>顧客接待</t>
        </is>
      </c>
      <c r="H7" s="95" t="inlineStr">
        <is>
          <t>CNY</t>
        </is>
      </c>
      <c r="I7" s="196">
        <f>IF($A7="","",SUMIF('経費明細'!$A$5:$A$104,$A7,'経費明細'!$K$5:$K$104))</f>
        <v/>
      </c>
      <c r="J7" s="196">
        <f>IF($A7="","",SUMIF('経費明細'!$A$5:$A$104,$A7,'経費明細'!$L$5:$L$104))</f>
        <v/>
      </c>
      <c r="K7" s="196" t="n">
        <v>0</v>
      </c>
      <c r="L7" s="196">
        <f>IF($A7="","",MAX(0,$I7-$K7))</f>
        <v/>
      </c>
      <c r="M7" s="197">
        <f>IF($A7="","",COUNTIF('経費明細'!$A$5:$A$104,$A7))</f>
        <v/>
      </c>
      <c r="N7" s="197">
        <f>IF($A7="","",COUNTIFS('経費明細'!$A$5:$A$104,$A7,'経費明細'!$T$5:$T$104,"&lt;&gt;適合",'経費明細'!$T$5:$T$104,"&lt;&gt;"))</f>
        <v/>
      </c>
      <c r="O7" s="95" t="inlineStr">
        <is>
          <t>差し戻し</t>
        </is>
      </c>
      <c r="P7" s="95" t="inlineStr">
        <is>
          <t>佐藤課長</t>
        </is>
      </c>
      <c r="Q7" s="95" t="inlineStr">
        <is>
          <t>山本経理</t>
        </is>
      </c>
      <c r="R7" s="198">
        <f>IF($A7="","",IF(OR($O7="承認済み",$O7="支払待ち"),$B7+5,IF($O7="支払済み",$S7,"")))</f>
        <v/>
      </c>
      <c r="S7" s="198" t="n"/>
      <c r="T7" s="95" t="inlineStr">
        <is>
          <t>立替払い</t>
        </is>
      </c>
      <c r="U7" s="95" t="inlineStr">
        <is>
          <t>高橋健 / 6222 **** 0303</t>
        </is>
      </c>
      <c r="V7" s="95" t="n"/>
      <c r="W7" s="95" t="inlineStr">
        <is>
          <t>需补説明</t>
        </is>
      </c>
      <c r="X7" s="131" t="inlineStr">
        <is>
          <t>顧客接待の上限超過</t>
        </is>
      </c>
    </row>
    <row r="8">
      <c r="A8" s="55" t="inlineStr">
        <is>
          <t>ER-2026-0004</t>
        </is>
      </c>
      <c r="B8" s="198" t="n">
        <v>46115</v>
      </c>
      <c r="C8" s="95" t="inlineStr">
        <is>
          <t>田中美咲</t>
        </is>
      </c>
      <c r="D8" s="95" t="inlineStr">
        <is>
          <t>E004</t>
        </is>
      </c>
      <c r="E8" s="95" t="inlineStr">
        <is>
          <t>開発部</t>
        </is>
      </c>
      <c r="F8" s="95" t="inlineStr">
        <is>
          <t>PRJ-AI-01</t>
        </is>
      </c>
      <c r="G8" s="95" t="inlineStr">
        <is>
          <t>研修会議</t>
        </is>
      </c>
      <c r="H8" s="95" t="inlineStr">
        <is>
          <t>CNY</t>
        </is>
      </c>
      <c r="I8" s="196">
        <f>IF($A8="","",SUMIF('経費明細'!$A$5:$A$104,$A8,'経費明細'!$K$5:$K$104))</f>
        <v/>
      </c>
      <c r="J8" s="196">
        <f>IF($A8="","",SUMIF('経費明細'!$A$5:$A$104,$A8,'経費明細'!$L$5:$L$104))</f>
        <v/>
      </c>
      <c r="K8" s="196" t="n">
        <v>0</v>
      </c>
      <c r="L8" s="196">
        <f>IF($A8="","",MAX(0,$I8-$K8))</f>
        <v/>
      </c>
      <c r="M8" s="197">
        <f>IF($A8="","",COUNTIF('経費明細'!$A$5:$A$104,$A8))</f>
        <v/>
      </c>
      <c r="N8" s="197">
        <f>IF($A8="","",COUNTIFS('経費明細'!$A$5:$A$104,$A8,'経費明細'!$T$5:$T$104,"&lt;&gt;適合",'経費明細'!$T$5:$T$104,"&lt;&gt;"))</f>
        <v/>
      </c>
      <c r="O8" s="95" t="inlineStr">
        <is>
          <t>承認済み</t>
        </is>
      </c>
      <c r="P8" s="95" t="inlineStr">
        <is>
          <t>高橋課長</t>
        </is>
      </c>
      <c r="Q8" s="95" t="inlineStr">
        <is>
          <t>佐々木経理</t>
        </is>
      </c>
      <c r="R8" s="198">
        <f>IF($A8="","",IF(OR($O8="承認済み",$O8="支払待ち"),$B8+5,IF($O8="支払済み",$S8,"")))</f>
        <v/>
      </c>
      <c r="S8" s="198" t="n"/>
      <c r="T8" s="95" t="inlineStr">
        <is>
          <t>銀行振込</t>
        </is>
      </c>
      <c r="U8" s="95" t="inlineStr">
        <is>
          <t>田中美咲 / 6222 **** 0404</t>
        </is>
      </c>
      <c r="V8" s="95" t="n"/>
      <c r="W8" s="95" t="inlineStr">
        <is>
          <t>完整</t>
        </is>
      </c>
      <c r="X8" s="131" t="inlineStr">
        <is>
          <t>技術会議研修</t>
        </is>
      </c>
    </row>
    <row r="9">
      <c r="A9" s="55" t="inlineStr">
        <is>
          <t>ER-2026-0005</t>
        </is>
      </c>
      <c r="B9" s="198" t="n">
        <v>46130</v>
      </c>
      <c r="C9" s="95" t="inlineStr">
        <is>
          <t>斎藤蓮</t>
        </is>
      </c>
      <c r="D9" s="95" t="inlineStr">
        <is>
          <t>E005</t>
        </is>
      </c>
      <c r="E9" s="95" t="inlineStr">
        <is>
          <t>オペレーション部</t>
        </is>
      </c>
      <c r="F9" s="95" t="inlineStr">
        <is>
          <t>CC-OPS-01</t>
        </is>
      </c>
      <c r="G9" s="95" t="inlineStr">
        <is>
          <t>リモートワーク</t>
        </is>
      </c>
      <c r="H9" s="95" t="inlineStr">
        <is>
          <t>CNY</t>
        </is>
      </c>
      <c r="I9" s="196">
        <f>IF($A9="","",SUMIF('経費明細'!$A$5:$A$104,$A9,'経費明細'!$K$5:$K$104))</f>
        <v/>
      </c>
      <c r="J9" s="196">
        <f>IF($A9="","",SUMIF('経費明細'!$A$5:$A$104,$A9,'経費明細'!$L$5:$L$104))</f>
        <v/>
      </c>
      <c r="K9" s="196" t="n">
        <v>0</v>
      </c>
      <c r="L9" s="196">
        <f>IF($A9="","",MAX(0,$I9-$K9))</f>
        <v/>
      </c>
      <c r="M9" s="197">
        <f>IF($A9="","",COUNTIF('経費明細'!$A$5:$A$104,$A9))</f>
        <v/>
      </c>
      <c r="N9" s="197">
        <f>IF($A9="","",COUNTIFS('経費明細'!$A$5:$A$104,$A9,'経費明細'!$T$5:$T$104,"&lt;&gt;適合",'経費明細'!$T$5:$T$104,"&lt;&gt;"))</f>
        <v/>
      </c>
      <c r="O9" s="95" t="inlineStr">
        <is>
          <t>部門承認待ち</t>
        </is>
      </c>
      <c r="P9" s="95" t="inlineStr">
        <is>
          <t>田中課長</t>
        </is>
      </c>
      <c r="Q9" s="95" t="n"/>
      <c r="R9" s="198">
        <f>IF($A9="","",IF(OR($O9="承認済み",$O9="支払待ち"),$B9+5,IF($O9="支払済み",$S9,"")))</f>
        <v/>
      </c>
      <c r="S9" s="198" t="n"/>
      <c r="T9" s="95" t="inlineStr">
        <is>
          <t>立替払い</t>
        </is>
      </c>
      <c r="U9" s="95" t="inlineStr">
        <is>
          <t>斎藤蓮 / 6222 **** 0505</t>
        </is>
      </c>
      <c r="V9" s="95" t="n"/>
      <c r="W9" s="95" t="inlineStr">
        <is>
          <t>完整</t>
        </is>
      </c>
      <c r="X9" s="131" t="inlineStr">
        <is>
          <t>クラウドサービス利用料と通信費</t>
        </is>
      </c>
    </row>
    <row r="10">
      <c r="A10" s="55" t="n"/>
      <c r="B10" s="198" t="n"/>
      <c r="C10" s="95" t="n"/>
      <c r="D10" s="95" t="n"/>
      <c r="E10" s="95" t="n"/>
      <c r="F10" s="95" t="n"/>
      <c r="G10" s="95" t="n"/>
      <c r="H10" s="95" t="n"/>
      <c r="I10" s="196">
        <f>IF($A10="","",SUMIF('経費明細'!$A$5:$A$104,$A10,'経費明細'!$K$5:$K$104))</f>
        <v/>
      </c>
      <c r="J10" s="196">
        <f>IF($A10="","",SUMIF('経費明細'!$A$5:$A$104,$A10,'経費明細'!$L$5:$L$104))</f>
        <v/>
      </c>
      <c r="K10" s="196" t="n"/>
      <c r="L10" s="196">
        <f>IF($A10="","",MAX(0,$I10-$K10))</f>
        <v/>
      </c>
      <c r="M10" s="197">
        <f>IF($A10="","",COUNTIF('経費明細'!$A$5:$A$104,$A10))</f>
        <v/>
      </c>
      <c r="N10" s="197">
        <f>IF($A10="","",COUNTIFS('経費明細'!$A$5:$A$104,$A10,'経費明細'!$T$5:$T$104,"&lt;&gt;適合",'経費明細'!$T$5:$T$104,"&lt;&gt;"))</f>
        <v/>
      </c>
      <c r="O10" s="95" t="n"/>
      <c r="P10" s="95" t="n"/>
      <c r="Q10" s="95" t="n"/>
      <c r="R10" s="198">
        <f>IF($A10="","",IF(OR($O10="承認済み",$O10="支払待ち"),$B10+5,IF($O10="支払済み",$S10,"")))</f>
        <v/>
      </c>
      <c r="S10" s="198" t="n"/>
      <c r="T10" s="95" t="n"/>
      <c r="U10" s="95" t="n"/>
      <c r="V10" s="95" t="n"/>
      <c r="W10" s="95" t="n"/>
      <c r="X10" s="131" t="n"/>
    </row>
    <row r="11">
      <c r="A11" s="55" t="n"/>
      <c r="B11" s="198" t="n"/>
      <c r="C11" s="95" t="n"/>
      <c r="D11" s="95" t="n"/>
      <c r="E11" s="95" t="n"/>
      <c r="F11" s="95" t="n"/>
      <c r="G11" s="95" t="n"/>
      <c r="H11" s="95" t="n"/>
      <c r="I11" s="196">
        <f>IF($A11="","",SUMIF('経費明細'!$A$5:$A$104,$A11,'経費明細'!$K$5:$K$104))</f>
        <v/>
      </c>
      <c r="J11" s="196">
        <f>IF($A11="","",SUMIF('経費明細'!$A$5:$A$104,$A11,'経費明細'!$L$5:$L$104))</f>
        <v/>
      </c>
      <c r="K11" s="196" t="n"/>
      <c r="L11" s="196">
        <f>IF($A11="","",MAX(0,$I11-$K11))</f>
        <v/>
      </c>
      <c r="M11" s="197">
        <f>IF($A11="","",COUNTIF('経費明細'!$A$5:$A$104,$A11))</f>
        <v/>
      </c>
      <c r="N11" s="197">
        <f>IF($A11="","",COUNTIFS('経費明細'!$A$5:$A$104,$A11,'経費明細'!$T$5:$T$104,"&lt;&gt;適合",'経費明細'!$T$5:$T$104,"&lt;&gt;"))</f>
        <v/>
      </c>
      <c r="O11" s="95" t="n"/>
      <c r="P11" s="95" t="n"/>
      <c r="Q11" s="95" t="n"/>
      <c r="R11" s="198">
        <f>IF($A11="","",IF(OR($O11="承認済み",$O11="支払待ち"),$B11+5,IF($O11="支払済み",$S11,"")))</f>
        <v/>
      </c>
      <c r="S11" s="198" t="n"/>
      <c r="T11" s="95" t="n"/>
      <c r="U11" s="95" t="n"/>
      <c r="V11" s="95" t="n"/>
      <c r="W11" s="95" t="n"/>
      <c r="X11" s="131" t="n"/>
    </row>
    <row r="12">
      <c r="A12" s="55" t="n"/>
      <c r="B12" s="198" t="n"/>
      <c r="C12" s="95" t="n"/>
      <c r="D12" s="95" t="n"/>
      <c r="E12" s="95" t="n"/>
      <c r="F12" s="95" t="n"/>
      <c r="G12" s="95" t="n"/>
      <c r="H12" s="95" t="n"/>
      <c r="I12" s="196">
        <f>IF($A12="","",SUMIF('経費明細'!$A$5:$A$104,$A12,'経費明細'!$K$5:$K$104))</f>
        <v/>
      </c>
      <c r="J12" s="196">
        <f>IF($A12="","",SUMIF('経費明細'!$A$5:$A$104,$A12,'経費明細'!$L$5:$L$104))</f>
        <v/>
      </c>
      <c r="K12" s="196" t="n"/>
      <c r="L12" s="196">
        <f>IF($A12="","",MAX(0,$I12-$K12))</f>
        <v/>
      </c>
      <c r="M12" s="197">
        <f>IF($A12="","",COUNTIF('経費明細'!$A$5:$A$104,$A12))</f>
        <v/>
      </c>
      <c r="N12" s="197">
        <f>IF($A12="","",COUNTIFS('経費明細'!$A$5:$A$104,$A12,'経費明細'!$T$5:$T$104,"&lt;&gt;適合",'経費明細'!$T$5:$T$104,"&lt;&gt;"))</f>
        <v/>
      </c>
      <c r="O12" s="95" t="n"/>
      <c r="P12" s="95" t="n"/>
      <c r="Q12" s="95" t="n"/>
      <c r="R12" s="198">
        <f>IF($A12="","",IF(OR($O12="承認済み",$O12="支払待ち"),$B12+5,IF($O12="支払済み",$S12,"")))</f>
        <v/>
      </c>
      <c r="S12" s="198" t="n"/>
      <c r="T12" s="95" t="n"/>
      <c r="U12" s="95" t="n"/>
      <c r="V12" s="95" t="n"/>
      <c r="W12" s="95" t="n"/>
      <c r="X12" s="131" t="n"/>
    </row>
    <row r="13">
      <c r="A13" s="55" t="n"/>
      <c r="B13" s="198" t="n"/>
      <c r="C13" s="95" t="n"/>
      <c r="D13" s="95" t="n"/>
      <c r="E13" s="95" t="n"/>
      <c r="F13" s="95" t="n"/>
      <c r="G13" s="95" t="n"/>
      <c r="H13" s="95" t="n"/>
      <c r="I13" s="196">
        <f>IF($A13="","",SUMIF('経費明細'!$A$5:$A$104,$A13,'経費明細'!$K$5:$K$104))</f>
        <v/>
      </c>
      <c r="J13" s="196">
        <f>IF($A13="","",SUMIF('経費明細'!$A$5:$A$104,$A13,'経費明細'!$L$5:$L$104))</f>
        <v/>
      </c>
      <c r="K13" s="196" t="n"/>
      <c r="L13" s="196">
        <f>IF($A13="","",MAX(0,$I13-$K13))</f>
        <v/>
      </c>
      <c r="M13" s="197">
        <f>IF($A13="","",COUNTIF('経費明細'!$A$5:$A$104,$A13))</f>
        <v/>
      </c>
      <c r="N13" s="197">
        <f>IF($A13="","",COUNTIFS('経費明細'!$A$5:$A$104,$A13,'経費明細'!$T$5:$T$104,"&lt;&gt;適合",'経費明細'!$T$5:$T$104,"&lt;&gt;"))</f>
        <v/>
      </c>
      <c r="O13" s="95" t="n"/>
      <c r="P13" s="95" t="n"/>
      <c r="Q13" s="95" t="n"/>
      <c r="R13" s="198">
        <f>IF($A13="","",IF(OR($O13="承認済み",$O13="支払待ち"),$B13+5,IF($O13="支払済み",$S13,"")))</f>
        <v/>
      </c>
      <c r="S13" s="198" t="n"/>
      <c r="T13" s="95" t="n"/>
      <c r="U13" s="95" t="n"/>
      <c r="V13" s="95" t="n"/>
      <c r="W13" s="95" t="n"/>
      <c r="X13" s="131" t="n"/>
    </row>
    <row r="14">
      <c r="A14" s="55" t="n"/>
      <c r="B14" s="198" t="n"/>
      <c r="C14" s="95" t="n"/>
      <c r="D14" s="95" t="n"/>
      <c r="E14" s="95" t="n"/>
      <c r="F14" s="95" t="n"/>
      <c r="G14" s="95" t="n"/>
      <c r="H14" s="95" t="n"/>
      <c r="I14" s="196">
        <f>IF($A14="","",SUMIF('経費明細'!$A$5:$A$104,$A14,'経費明細'!$K$5:$K$104))</f>
        <v/>
      </c>
      <c r="J14" s="196">
        <f>IF($A14="","",SUMIF('経費明細'!$A$5:$A$104,$A14,'経費明細'!$L$5:$L$104))</f>
        <v/>
      </c>
      <c r="K14" s="196" t="n"/>
      <c r="L14" s="196">
        <f>IF($A14="","",MAX(0,$I14-$K14))</f>
        <v/>
      </c>
      <c r="M14" s="197">
        <f>IF($A14="","",COUNTIF('経費明細'!$A$5:$A$104,$A14))</f>
        <v/>
      </c>
      <c r="N14" s="197">
        <f>IF($A14="","",COUNTIFS('経費明細'!$A$5:$A$104,$A14,'経費明細'!$T$5:$T$104,"&lt;&gt;適合",'経費明細'!$T$5:$T$104,"&lt;&gt;"))</f>
        <v/>
      </c>
      <c r="O14" s="95" t="n"/>
      <c r="P14" s="95" t="n"/>
      <c r="Q14" s="95" t="n"/>
      <c r="R14" s="198">
        <f>IF($A14="","",IF(OR($O14="承認済み",$O14="支払待ち"),$B14+5,IF($O14="支払済み",$S14,"")))</f>
        <v/>
      </c>
      <c r="S14" s="198" t="n"/>
      <c r="T14" s="95" t="n"/>
      <c r="U14" s="95" t="n"/>
      <c r="V14" s="95" t="n"/>
      <c r="W14" s="95" t="n"/>
      <c r="X14" s="131" t="n"/>
    </row>
    <row r="15">
      <c r="A15" s="55" t="n"/>
      <c r="B15" s="198" t="n"/>
      <c r="C15" s="95" t="n"/>
      <c r="D15" s="95" t="n"/>
      <c r="E15" s="95" t="n"/>
      <c r="F15" s="95" t="n"/>
      <c r="G15" s="95" t="n"/>
      <c r="H15" s="95" t="n"/>
      <c r="I15" s="196">
        <f>IF($A15="","",SUMIF('経費明細'!$A$5:$A$104,$A15,'経費明細'!$K$5:$K$104))</f>
        <v/>
      </c>
      <c r="J15" s="196">
        <f>IF($A15="","",SUMIF('経費明細'!$A$5:$A$104,$A15,'経費明細'!$L$5:$L$104))</f>
        <v/>
      </c>
      <c r="K15" s="196" t="n"/>
      <c r="L15" s="196">
        <f>IF($A15="","",MAX(0,$I15-$K15))</f>
        <v/>
      </c>
      <c r="M15" s="197">
        <f>IF($A15="","",COUNTIF('経費明細'!$A$5:$A$104,$A15))</f>
        <v/>
      </c>
      <c r="N15" s="197">
        <f>IF($A15="","",COUNTIFS('経費明細'!$A$5:$A$104,$A15,'経費明細'!$T$5:$T$104,"&lt;&gt;適合",'経費明細'!$T$5:$T$104,"&lt;&gt;"))</f>
        <v/>
      </c>
      <c r="O15" s="95" t="n"/>
      <c r="P15" s="95" t="n"/>
      <c r="Q15" s="95" t="n"/>
      <c r="R15" s="198">
        <f>IF($A15="","",IF(OR($O15="承認済み",$O15="支払待ち"),$B15+5,IF($O15="支払済み",$S15,"")))</f>
        <v/>
      </c>
      <c r="S15" s="198" t="n"/>
      <c r="T15" s="95" t="n"/>
      <c r="U15" s="95" t="n"/>
      <c r="V15" s="95" t="n"/>
      <c r="W15" s="95" t="n"/>
      <c r="X15" s="131" t="n"/>
    </row>
    <row r="16">
      <c r="A16" s="55" t="n"/>
      <c r="B16" s="198" t="n"/>
      <c r="C16" s="95" t="n"/>
      <c r="D16" s="95" t="n"/>
      <c r="E16" s="95" t="n"/>
      <c r="F16" s="95" t="n"/>
      <c r="G16" s="95" t="n"/>
      <c r="H16" s="95" t="n"/>
      <c r="I16" s="196">
        <f>IF($A16="","",SUMIF('経費明細'!$A$5:$A$104,$A16,'経費明細'!$K$5:$K$104))</f>
        <v/>
      </c>
      <c r="J16" s="196">
        <f>IF($A16="","",SUMIF('経費明細'!$A$5:$A$104,$A16,'経費明細'!$L$5:$L$104))</f>
        <v/>
      </c>
      <c r="K16" s="196" t="n"/>
      <c r="L16" s="196">
        <f>IF($A16="","",MAX(0,$I16-$K16))</f>
        <v/>
      </c>
      <c r="M16" s="197">
        <f>IF($A16="","",COUNTIF('経費明細'!$A$5:$A$104,$A16))</f>
        <v/>
      </c>
      <c r="N16" s="197">
        <f>IF($A16="","",COUNTIFS('経費明細'!$A$5:$A$104,$A16,'経費明細'!$T$5:$T$104,"&lt;&gt;適合",'経費明細'!$T$5:$T$104,"&lt;&gt;"))</f>
        <v/>
      </c>
      <c r="O16" s="95" t="n"/>
      <c r="P16" s="95" t="n"/>
      <c r="Q16" s="95" t="n"/>
      <c r="R16" s="198">
        <f>IF($A16="","",IF(OR($O16="承認済み",$O16="支払待ち"),$B16+5,IF($O16="支払済み",$S16,"")))</f>
        <v/>
      </c>
      <c r="S16" s="198" t="n"/>
      <c r="T16" s="95" t="n"/>
      <c r="U16" s="95" t="n"/>
      <c r="V16" s="95" t="n"/>
      <c r="W16" s="95" t="n"/>
      <c r="X16" s="131" t="n"/>
    </row>
    <row r="17">
      <c r="A17" s="55" t="n"/>
      <c r="B17" s="198" t="n"/>
      <c r="C17" s="95" t="n"/>
      <c r="D17" s="95" t="n"/>
      <c r="E17" s="95" t="n"/>
      <c r="F17" s="95" t="n"/>
      <c r="G17" s="95" t="n"/>
      <c r="H17" s="95" t="n"/>
      <c r="I17" s="196">
        <f>IF($A17="","",SUMIF('経費明細'!$A$5:$A$104,$A17,'経費明細'!$K$5:$K$104))</f>
        <v/>
      </c>
      <c r="J17" s="196">
        <f>IF($A17="","",SUMIF('経費明細'!$A$5:$A$104,$A17,'経費明細'!$L$5:$L$104))</f>
        <v/>
      </c>
      <c r="K17" s="196" t="n"/>
      <c r="L17" s="196">
        <f>IF($A17="","",MAX(0,$I17-$K17))</f>
        <v/>
      </c>
      <c r="M17" s="197">
        <f>IF($A17="","",COUNTIF('経費明細'!$A$5:$A$104,$A17))</f>
        <v/>
      </c>
      <c r="N17" s="197">
        <f>IF($A17="","",COUNTIFS('経費明細'!$A$5:$A$104,$A17,'経費明細'!$T$5:$T$104,"&lt;&gt;適合",'経費明細'!$T$5:$T$104,"&lt;&gt;"))</f>
        <v/>
      </c>
      <c r="O17" s="95" t="n"/>
      <c r="P17" s="95" t="n"/>
      <c r="Q17" s="95" t="n"/>
      <c r="R17" s="198">
        <f>IF($A17="","",IF(OR($O17="承認済み",$O17="支払待ち"),$B17+5,IF($O17="支払済み",$S17,"")))</f>
        <v/>
      </c>
      <c r="S17" s="198" t="n"/>
      <c r="T17" s="95" t="n"/>
      <c r="U17" s="95" t="n"/>
      <c r="V17" s="95" t="n"/>
      <c r="W17" s="95" t="n"/>
      <c r="X17" s="131" t="n"/>
    </row>
    <row r="18">
      <c r="A18" s="55" t="n"/>
      <c r="B18" s="198" t="n"/>
      <c r="C18" s="95" t="n"/>
      <c r="D18" s="95" t="n"/>
      <c r="E18" s="95" t="n"/>
      <c r="F18" s="95" t="n"/>
      <c r="G18" s="95" t="n"/>
      <c r="H18" s="95" t="n"/>
      <c r="I18" s="196">
        <f>IF($A18="","",SUMIF('経費明細'!$A$5:$A$104,$A18,'経費明細'!$K$5:$K$104))</f>
        <v/>
      </c>
      <c r="J18" s="196">
        <f>IF($A18="","",SUMIF('経費明細'!$A$5:$A$104,$A18,'経費明細'!$L$5:$L$104))</f>
        <v/>
      </c>
      <c r="K18" s="196" t="n"/>
      <c r="L18" s="196">
        <f>IF($A18="","",MAX(0,$I18-$K18))</f>
        <v/>
      </c>
      <c r="M18" s="197">
        <f>IF($A18="","",COUNTIF('経費明細'!$A$5:$A$104,$A18))</f>
        <v/>
      </c>
      <c r="N18" s="197">
        <f>IF($A18="","",COUNTIFS('経費明細'!$A$5:$A$104,$A18,'経費明細'!$T$5:$T$104,"&lt;&gt;適合",'経費明細'!$T$5:$T$104,"&lt;&gt;"))</f>
        <v/>
      </c>
      <c r="O18" s="95" t="n"/>
      <c r="P18" s="95" t="n"/>
      <c r="Q18" s="95" t="n"/>
      <c r="R18" s="198">
        <f>IF($A18="","",IF(OR($O18="承認済み",$O18="支払待ち"),$B18+5,IF($O18="支払済み",$S18,"")))</f>
        <v/>
      </c>
      <c r="S18" s="198" t="n"/>
      <c r="T18" s="95" t="n"/>
      <c r="U18" s="95" t="n"/>
      <c r="V18" s="95" t="n"/>
      <c r="W18" s="95" t="n"/>
      <c r="X18" s="131" t="n"/>
    </row>
    <row r="19">
      <c r="A19" s="55" t="n"/>
      <c r="B19" s="198" t="n"/>
      <c r="C19" s="95" t="n"/>
      <c r="D19" s="95" t="n"/>
      <c r="E19" s="95" t="n"/>
      <c r="F19" s="95" t="n"/>
      <c r="G19" s="95" t="n"/>
      <c r="H19" s="95" t="n"/>
      <c r="I19" s="196">
        <f>IF($A19="","",SUMIF('経費明細'!$A$5:$A$104,$A19,'経費明細'!$K$5:$K$104))</f>
        <v/>
      </c>
      <c r="J19" s="196">
        <f>IF($A19="","",SUMIF('経費明細'!$A$5:$A$104,$A19,'経費明細'!$L$5:$L$104))</f>
        <v/>
      </c>
      <c r="K19" s="196" t="n"/>
      <c r="L19" s="196">
        <f>IF($A19="","",MAX(0,$I19-$K19))</f>
        <v/>
      </c>
      <c r="M19" s="197">
        <f>IF($A19="","",COUNTIF('経費明細'!$A$5:$A$104,$A19))</f>
        <v/>
      </c>
      <c r="N19" s="197">
        <f>IF($A19="","",COUNTIFS('経費明細'!$A$5:$A$104,$A19,'経費明細'!$T$5:$T$104,"&lt;&gt;適合",'経費明細'!$T$5:$T$104,"&lt;&gt;"))</f>
        <v/>
      </c>
      <c r="O19" s="95" t="n"/>
      <c r="P19" s="95" t="n"/>
      <c r="Q19" s="95" t="n"/>
      <c r="R19" s="198">
        <f>IF($A19="","",IF(OR($O19="承認済み",$O19="支払待ち"),$B19+5,IF($O19="支払済み",$S19,"")))</f>
        <v/>
      </c>
      <c r="S19" s="198" t="n"/>
      <c r="T19" s="95" t="n"/>
      <c r="U19" s="95" t="n"/>
      <c r="V19" s="95" t="n"/>
      <c r="W19" s="95" t="n"/>
      <c r="X19" s="131" t="n"/>
    </row>
    <row r="20">
      <c r="A20" s="55" t="n"/>
      <c r="B20" s="198" t="n"/>
      <c r="C20" s="95" t="n"/>
      <c r="D20" s="95" t="n"/>
      <c r="E20" s="95" t="n"/>
      <c r="F20" s="95" t="n"/>
      <c r="G20" s="95" t="n"/>
      <c r="H20" s="95" t="n"/>
      <c r="I20" s="196">
        <f>IF($A20="","",SUMIF('経費明細'!$A$5:$A$104,$A20,'経費明細'!$K$5:$K$104))</f>
        <v/>
      </c>
      <c r="J20" s="196">
        <f>IF($A20="","",SUMIF('経費明細'!$A$5:$A$104,$A20,'経費明細'!$L$5:$L$104))</f>
        <v/>
      </c>
      <c r="K20" s="196" t="n"/>
      <c r="L20" s="196">
        <f>IF($A20="","",MAX(0,$I20-$K20))</f>
        <v/>
      </c>
      <c r="M20" s="197">
        <f>IF($A20="","",COUNTIF('経費明細'!$A$5:$A$104,$A20))</f>
        <v/>
      </c>
      <c r="N20" s="197">
        <f>IF($A20="","",COUNTIFS('経費明細'!$A$5:$A$104,$A20,'経費明細'!$T$5:$T$104,"&lt;&gt;適合",'経費明細'!$T$5:$T$104,"&lt;&gt;"))</f>
        <v/>
      </c>
      <c r="O20" s="95" t="n"/>
      <c r="P20" s="95" t="n"/>
      <c r="Q20" s="95" t="n"/>
      <c r="R20" s="198">
        <f>IF($A20="","",IF(OR($O20="承認済み",$O20="支払待ち"),$B20+5,IF($O20="支払済み",$S20,"")))</f>
        <v/>
      </c>
      <c r="S20" s="198" t="n"/>
      <c r="T20" s="95" t="n"/>
      <c r="U20" s="95" t="n"/>
      <c r="V20" s="95" t="n"/>
      <c r="W20" s="95" t="n"/>
      <c r="X20" s="131" t="n"/>
    </row>
    <row r="21">
      <c r="A21" s="55" t="n"/>
      <c r="B21" s="198" t="n"/>
      <c r="C21" s="95" t="n"/>
      <c r="D21" s="95" t="n"/>
      <c r="E21" s="95" t="n"/>
      <c r="F21" s="95" t="n"/>
      <c r="G21" s="95" t="n"/>
      <c r="H21" s="95" t="n"/>
      <c r="I21" s="196">
        <f>IF($A21="","",SUMIF('経費明細'!$A$5:$A$104,$A21,'経費明細'!$K$5:$K$104))</f>
        <v/>
      </c>
      <c r="J21" s="196">
        <f>IF($A21="","",SUMIF('経費明細'!$A$5:$A$104,$A21,'経費明細'!$L$5:$L$104))</f>
        <v/>
      </c>
      <c r="K21" s="196" t="n"/>
      <c r="L21" s="196">
        <f>IF($A21="","",MAX(0,$I21-$K21))</f>
        <v/>
      </c>
      <c r="M21" s="197">
        <f>IF($A21="","",COUNTIF('経費明細'!$A$5:$A$104,$A21))</f>
        <v/>
      </c>
      <c r="N21" s="197">
        <f>IF($A21="","",COUNTIFS('経費明細'!$A$5:$A$104,$A21,'経費明細'!$T$5:$T$104,"&lt;&gt;適合",'経費明細'!$T$5:$T$104,"&lt;&gt;"))</f>
        <v/>
      </c>
      <c r="O21" s="95" t="n"/>
      <c r="P21" s="95" t="n"/>
      <c r="Q21" s="95" t="n"/>
      <c r="R21" s="198">
        <f>IF($A21="","",IF(OR($O21="承認済み",$O21="支払待ち"),$B21+5,IF($O21="支払済み",$S21,"")))</f>
        <v/>
      </c>
      <c r="S21" s="198" t="n"/>
      <c r="T21" s="95" t="n"/>
      <c r="U21" s="95" t="n"/>
      <c r="V21" s="95" t="n"/>
      <c r="W21" s="95" t="n"/>
      <c r="X21" s="131" t="n"/>
    </row>
    <row r="22">
      <c r="A22" s="55" t="n"/>
      <c r="B22" s="198" t="n"/>
      <c r="C22" s="95" t="n"/>
      <c r="D22" s="95" t="n"/>
      <c r="E22" s="95" t="n"/>
      <c r="F22" s="95" t="n"/>
      <c r="G22" s="95" t="n"/>
      <c r="H22" s="95" t="n"/>
      <c r="I22" s="196">
        <f>IF($A22="","",SUMIF('経費明細'!$A$5:$A$104,$A22,'経費明細'!$K$5:$K$104))</f>
        <v/>
      </c>
      <c r="J22" s="196">
        <f>IF($A22="","",SUMIF('経費明細'!$A$5:$A$104,$A22,'経費明細'!$L$5:$L$104))</f>
        <v/>
      </c>
      <c r="K22" s="196" t="n"/>
      <c r="L22" s="196">
        <f>IF($A22="","",MAX(0,$I22-$K22))</f>
        <v/>
      </c>
      <c r="M22" s="197">
        <f>IF($A22="","",COUNTIF('経費明細'!$A$5:$A$104,$A22))</f>
        <v/>
      </c>
      <c r="N22" s="197">
        <f>IF($A22="","",COUNTIFS('経費明細'!$A$5:$A$104,$A22,'経費明細'!$T$5:$T$104,"&lt;&gt;適合",'経費明細'!$T$5:$T$104,"&lt;&gt;"))</f>
        <v/>
      </c>
      <c r="O22" s="95" t="n"/>
      <c r="P22" s="95" t="n"/>
      <c r="Q22" s="95" t="n"/>
      <c r="R22" s="198">
        <f>IF($A22="","",IF(OR($O22="承認済み",$O22="支払待ち"),$B22+5,IF($O22="支払済み",$S22,"")))</f>
        <v/>
      </c>
      <c r="S22" s="198" t="n"/>
      <c r="T22" s="95" t="n"/>
      <c r="U22" s="95" t="n"/>
      <c r="V22" s="95" t="n"/>
      <c r="W22" s="95" t="n"/>
      <c r="X22" s="131" t="n"/>
    </row>
    <row r="23">
      <c r="A23" s="55" t="n"/>
      <c r="B23" s="198" t="n"/>
      <c r="C23" s="95" t="n"/>
      <c r="D23" s="95" t="n"/>
      <c r="E23" s="95" t="n"/>
      <c r="F23" s="95" t="n"/>
      <c r="G23" s="95" t="n"/>
      <c r="H23" s="95" t="n"/>
      <c r="I23" s="196">
        <f>IF($A23="","",SUMIF('経費明細'!$A$5:$A$104,$A23,'経費明細'!$K$5:$K$104))</f>
        <v/>
      </c>
      <c r="J23" s="196">
        <f>IF($A23="","",SUMIF('経費明細'!$A$5:$A$104,$A23,'経費明細'!$L$5:$L$104))</f>
        <v/>
      </c>
      <c r="K23" s="196" t="n"/>
      <c r="L23" s="196">
        <f>IF($A23="","",MAX(0,$I23-$K23))</f>
        <v/>
      </c>
      <c r="M23" s="197">
        <f>IF($A23="","",COUNTIF('経費明細'!$A$5:$A$104,$A23))</f>
        <v/>
      </c>
      <c r="N23" s="197">
        <f>IF($A23="","",COUNTIFS('経費明細'!$A$5:$A$104,$A23,'経費明細'!$T$5:$T$104,"&lt;&gt;適合",'経費明細'!$T$5:$T$104,"&lt;&gt;"))</f>
        <v/>
      </c>
      <c r="O23" s="95" t="n"/>
      <c r="P23" s="95" t="n"/>
      <c r="Q23" s="95" t="n"/>
      <c r="R23" s="198">
        <f>IF($A23="","",IF(OR($O23="承認済み",$O23="支払待ち"),$B23+5,IF($O23="支払済み",$S23,"")))</f>
        <v/>
      </c>
      <c r="S23" s="198" t="n"/>
      <c r="T23" s="95" t="n"/>
      <c r="U23" s="95" t="n"/>
      <c r="V23" s="95" t="n"/>
      <c r="W23" s="95" t="n"/>
      <c r="X23" s="131" t="n"/>
    </row>
    <row r="24">
      <c r="A24" s="55" t="n"/>
      <c r="B24" s="198" t="n"/>
      <c r="C24" s="95" t="n"/>
      <c r="D24" s="95" t="n"/>
      <c r="E24" s="95" t="n"/>
      <c r="F24" s="95" t="n"/>
      <c r="G24" s="95" t="n"/>
      <c r="H24" s="95" t="n"/>
      <c r="I24" s="196">
        <f>IF($A24="","",SUMIF('経費明細'!$A$5:$A$104,$A24,'経費明細'!$K$5:$K$104))</f>
        <v/>
      </c>
      <c r="J24" s="196">
        <f>IF($A24="","",SUMIF('経費明細'!$A$5:$A$104,$A24,'経費明細'!$L$5:$L$104))</f>
        <v/>
      </c>
      <c r="K24" s="196" t="n"/>
      <c r="L24" s="196">
        <f>IF($A24="","",MAX(0,$I24-$K24))</f>
        <v/>
      </c>
      <c r="M24" s="197">
        <f>IF($A24="","",COUNTIF('経費明細'!$A$5:$A$104,$A24))</f>
        <v/>
      </c>
      <c r="N24" s="197">
        <f>IF($A24="","",COUNTIFS('経費明細'!$A$5:$A$104,$A24,'経費明細'!$T$5:$T$104,"&lt;&gt;適合",'経費明細'!$T$5:$T$104,"&lt;&gt;"))</f>
        <v/>
      </c>
      <c r="O24" s="95" t="n"/>
      <c r="P24" s="95" t="n"/>
      <c r="Q24" s="95" t="n"/>
      <c r="R24" s="198">
        <f>IF($A24="","",IF(OR($O24="承認済み",$O24="支払待ち"),$B24+5,IF($O24="支払済み",$S24,"")))</f>
        <v/>
      </c>
      <c r="S24" s="198" t="n"/>
      <c r="T24" s="95" t="n"/>
      <c r="U24" s="95" t="n"/>
      <c r="V24" s="95" t="n"/>
      <c r="W24" s="95" t="n"/>
      <c r="X24" s="131" t="n"/>
    </row>
    <row r="25">
      <c r="A25" s="55" t="n"/>
      <c r="B25" s="198" t="n"/>
      <c r="C25" s="95" t="n"/>
      <c r="D25" s="95" t="n"/>
      <c r="E25" s="95" t="n"/>
      <c r="F25" s="95" t="n"/>
      <c r="G25" s="95" t="n"/>
      <c r="H25" s="95" t="n"/>
      <c r="I25" s="196">
        <f>IF($A25="","",SUMIF('経費明細'!$A$5:$A$104,$A25,'経費明細'!$K$5:$K$104))</f>
        <v/>
      </c>
      <c r="J25" s="196">
        <f>IF($A25="","",SUMIF('経費明細'!$A$5:$A$104,$A25,'経費明細'!$L$5:$L$104))</f>
        <v/>
      </c>
      <c r="K25" s="196" t="n"/>
      <c r="L25" s="196">
        <f>IF($A25="","",MAX(0,$I25-$K25))</f>
        <v/>
      </c>
      <c r="M25" s="197">
        <f>IF($A25="","",COUNTIF('経費明細'!$A$5:$A$104,$A25))</f>
        <v/>
      </c>
      <c r="N25" s="197">
        <f>IF($A25="","",COUNTIFS('経費明細'!$A$5:$A$104,$A25,'経費明細'!$T$5:$T$104,"&lt;&gt;適合",'経費明細'!$T$5:$T$104,"&lt;&gt;"))</f>
        <v/>
      </c>
      <c r="O25" s="95" t="n"/>
      <c r="P25" s="95" t="n"/>
      <c r="Q25" s="95" t="n"/>
      <c r="R25" s="198">
        <f>IF($A25="","",IF(OR($O25="承認済み",$O25="支払待ち"),$B25+5,IF($O25="支払済み",$S25,"")))</f>
        <v/>
      </c>
      <c r="S25" s="198" t="n"/>
      <c r="T25" s="95" t="n"/>
      <c r="U25" s="95" t="n"/>
      <c r="V25" s="95" t="n"/>
      <c r="W25" s="95" t="n"/>
      <c r="X25" s="131" t="n"/>
    </row>
    <row r="26">
      <c r="A26" s="55" t="n"/>
      <c r="B26" s="198" t="n"/>
      <c r="C26" s="95" t="n"/>
      <c r="D26" s="95" t="n"/>
      <c r="E26" s="95" t="n"/>
      <c r="F26" s="95" t="n"/>
      <c r="G26" s="95" t="n"/>
      <c r="H26" s="95" t="n"/>
      <c r="I26" s="196">
        <f>IF($A26="","",SUMIF('経費明細'!$A$5:$A$104,$A26,'経費明細'!$K$5:$K$104))</f>
        <v/>
      </c>
      <c r="J26" s="196">
        <f>IF($A26="","",SUMIF('経費明細'!$A$5:$A$104,$A26,'経費明細'!$L$5:$L$104))</f>
        <v/>
      </c>
      <c r="K26" s="196" t="n"/>
      <c r="L26" s="196">
        <f>IF($A26="","",MAX(0,$I26-$K26))</f>
        <v/>
      </c>
      <c r="M26" s="197">
        <f>IF($A26="","",COUNTIF('経費明細'!$A$5:$A$104,$A26))</f>
        <v/>
      </c>
      <c r="N26" s="197">
        <f>IF($A26="","",COUNTIFS('経費明細'!$A$5:$A$104,$A26,'経費明細'!$T$5:$T$104,"&lt;&gt;適合",'経費明細'!$T$5:$T$104,"&lt;&gt;"))</f>
        <v/>
      </c>
      <c r="O26" s="95" t="n"/>
      <c r="P26" s="95" t="n"/>
      <c r="Q26" s="95" t="n"/>
      <c r="R26" s="198">
        <f>IF($A26="","",IF(OR($O26="承認済み",$O26="支払待ち"),$B26+5,IF($O26="支払済み",$S26,"")))</f>
        <v/>
      </c>
      <c r="S26" s="198" t="n"/>
      <c r="T26" s="95" t="n"/>
      <c r="U26" s="95" t="n"/>
      <c r="V26" s="95" t="n"/>
      <c r="W26" s="95" t="n"/>
      <c r="X26" s="131" t="n"/>
    </row>
    <row r="27">
      <c r="A27" s="55" t="n"/>
      <c r="B27" s="198" t="n"/>
      <c r="C27" s="95" t="n"/>
      <c r="D27" s="95" t="n"/>
      <c r="E27" s="95" t="n"/>
      <c r="F27" s="95" t="n"/>
      <c r="G27" s="95" t="n"/>
      <c r="H27" s="95" t="n"/>
      <c r="I27" s="196">
        <f>IF($A27="","",SUMIF('経費明細'!$A$5:$A$104,$A27,'経費明細'!$K$5:$K$104))</f>
        <v/>
      </c>
      <c r="J27" s="196">
        <f>IF($A27="","",SUMIF('経費明細'!$A$5:$A$104,$A27,'経費明細'!$L$5:$L$104))</f>
        <v/>
      </c>
      <c r="K27" s="196" t="n"/>
      <c r="L27" s="196">
        <f>IF($A27="","",MAX(0,$I27-$K27))</f>
        <v/>
      </c>
      <c r="M27" s="197">
        <f>IF($A27="","",COUNTIF('経費明細'!$A$5:$A$104,$A27))</f>
        <v/>
      </c>
      <c r="N27" s="197">
        <f>IF($A27="","",COUNTIFS('経費明細'!$A$5:$A$104,$A27,'経費明細'!$T$5:$T$104,"&lt;&gt;適合",'経費明細'!$T$5:$T$104,"&lt;&gt;"))</f>
        <v/>
      </c>
      <c r="O27" s="95" t="n"/>
      <c r="P27" s="95" t="n"/>
      <c r="Q27" s="95" t="n"/>
      <c r="R27" s="198">
        <f>IF($A27="","",IF(OR($O27="承認済み",$O27="支払待ち"),$B27+5,IF($O27="支払済み",$S27,"")))</f>
        <v/>
      </c>
      <c r="S27" s="198" t="n"/>
      <c r="T27" s="95" t="n"/>
      <c r="U27" s="95" t="n"/>
      <c r="V27" s="95" t="n"/>
      <c r="W27" s="95" t="n"/>
      <c r="X27" s="131" t="n"/>
    </row>
    <row r="28">
      <c r="A28" s="55" t="n"/>
      <c r="B28" s="198" t="n"/>
      <c r="C28" s="95" t="n"/>
      <c r="D28" s="95" t="n"/>
      <c r="E28" s="95" t="n"/>
      <c r="F28" s="95" t="n"/>
      <c r="G28" s="95" t="n"/>
      <c r="H28" s="95" t="n"/>
      <c r="I28" s="196">
        <f>IF($A28="","",SUMIF('経費明細'!$A$5:$A$104,$A28,'経費明細'!$K$5:$K$104))</f>
        <v/>
      </c>
      <c r="J28" s="196">
        <f>IF($A28="","",SUMIF('経費明細'!$A$5:$A$104,$A28,'経費明細'!$L$5:$L$104))</f>
        <v/>
      </c>
      <c r="K28" s="196" t="n"/>
      <c r="L28" s="196">
        <f>IF($A28="","",MAX(0,$I28-$K28))</f>
        <v/>
      </c>
      <c r="M28" s="197">
        <f>IF($A28="","",COUNTIF('経費明細'!$A$5:$A$104,$A28))</f>
        <v/>
      </c>
      <c r="N28" s="197">
        <f>IF($A28="","",COUNTIFS('経費明細'!$A$5:$A$104,$A28,'経費明細'!$T$5:$T$104,"&lt;&gt;適合",'経費明細'!$T$5:$T$104,"&lt;&gt;"))</f>
        <v/>
      </c>
      <c r="O28" s="95" t="n"/>
      <c r="P28" s="95" t="n"/>
      <c r="Q28" s="95" t="n"/>
      <c r="R28" s="198">
        <f>IF($A28="","",IF(OR($O28="承認済み",$O28="支払待ち"),$B28+5,IF($O28="支払済み",$S28,"")))</f>
        <v/>
      </c>
      <c r="S28" s="198" t="n"/>
      <c r="T28" s="95" t="n"/>
      <c r="U28" s="95" t="n"/>
      <c r="V28" s="95" t="n"/>
      <c r="W28" s="95" t="n"/>
      <c r="X28" s="131" t="n"/>
    </row>
    <row r="29">
      <c r="A29" s="55" t="n"/>
      <c r="B29" s="198" t="n"/>
      <c r="C29" s="95" t="n"/>
      <c r="D29" s="95" t="n"/>
      <c r="E29" s="95" t="n"/>
      <c r="F29" s="95" t="n"/>
      <c r="G29" s="95" t="n"/>
      <c r="H29" s="95" t="n"/>
      <c r="I29" s="196">
        <f>IF($A29="","",SUMIF('経費明細'!$A$5:$A$104,$A29,'経費明細'!$K$5:$K$104))</f>
        <v/>
      </c>
      <c r="J29" s="196">
        <f>IF($A29="","",SUMIF('経費明細'!$A$5:$A$104,$A29,'経費明細'!$L$5:$L$104))</f>
        <v/>
      </c>
      <c r="K29" s="196" t="n"/>
      <c r="L29" s="196">
        <f>IF($A29="","",MAX(0,$I29-$K29))</f>
        <v/>
      </c>
      <c r="M29" s="197">
        <f>IF($A29="","",COUNTIF('経費明細'!$A$5:$A$104,$A29))</f>
        <v/>
      </c>
      <c r="N29" s="197">
        <f>IF($A29="","",COUNTIFS('経費明細'!$A$5:$A$104,$A29,'経費明細'!$T$5:$T$104,"&lt;&gt;適合",'経費明細'!$T$5:$T$104,"&lt;&gt;"))</f>
        <v/>
      </c>
      <c r="O29" s="95" t="n"/>
      <c r="P29" s="95" t="n"/>
      <c r="Q29" s="95" t="n"/>
      <c r="R29" s="198">
        <f>IF($A29="","",IF(OR($O29="承認済み",$O29="支払待ち"),$B29+5,IF($O29="支払済み",$S29,"")))</f>
        <v/>
      </c>
      <c r="S29" s="198" t="n"/>
      <c r="T29" s="95" t="n"/>
      <c r="U29" s="95" t="n"/>
      <c r="V29" s="95" t="n"/>
      <c r="W29" s="95" t="n"/>
      <c r="X29" s="131" t="n"/>
    </row>
    <row r="30">
      <c r="A30" s="55" t="n"/>
      <c r="B30" s="198" t="n"/>
      <c r="C30" s="95" t="n"/>
      <c r="D30" s="95" t="n"/>
      <c r="E30" s="95" t="n"/>
      <c r="F30" s="95" t="n"/>
      <c r="G30" s="95" t="n"/>
      <c r="H30" s="95" t="n"/>
      <c r="I30" s="196">
        <f>IF($A30="","",SUMIF('経費明細'!$A$5:$A$104,$A30,'経費明細'!$K$5:$K$104))</f>
        <v/>
      </c>
      <c r="J30" s="196">
        <f>IF($A30="","",SUMIF('経費明細'!$A$5:$A$104,$A30,'経費明細'!$L$5:$L$104))</f>
        <v/>
      </c>
      <c r="K30" s="196" t="n"/>
      <c r="L30" s="196">
        <f>IF($A30="","",MAX(0,$I30-$K30))</f>
        <v/>
      </c>
      <c r="M30" s="197">
        <f>IF($A30="","",COUNTIF('経費明細'!$A$5:$A$104,$A30))</f>
        <v/>
      </c>
      <c r="N30" s="197">
        <f>IF($A30="","",COUNTIFS('経費明細'!$A$5:$A$104,$A30,'経費明細'!$T$5:$T$104,"&lt;&gt;適合",'経費明細'!$T$5:$T$104,"&lt;&gt;"))</f>
        <v/>
      </c>
      <c r="O30" s="95" t="n"/>
      <c r="P30" s="95" t="n"/>
      <c r="Q30" s="95" t="n"/>
      <c r="R30" s="198">
        <f>IF($A30="","",IF(OR($O30="承認済み",$O30="支払待ち"),$B30+5,IF($O30="支払済み",$S30,"")))</f>
        <v/>
      </c>
      <c r="S30" s="198" t="n"/>
      <c r="T30" s="95" t="n"/>
      <c r="U30" s="95" t="n"/>
      <c r="V30" s="95" t="n"/>
      <c r="W30" s="95" t="n"/>
      <c r="X30" s="131" t="n"/>
    </row>
    <row r="31">
      <c r="A31" s="55" t="n"/>
      <c r="B31" s="198" t="n"/>
      <c r="C31" s="95" t="n"/>
      <c r="D31" s="95" t="n"/>
      <c r="E31" s="95" t="n"/>
      <c r="F31" s="95" t="n"/>
      <c r="G31" s="95" t="n"/>
      <c r="H31" s="95" t="n"/>
      <c r="I31" s="196">
        <f>IF($A31="","",SUMIF('経費明細'!$A$5:$A$104,$A31,'経費明細'!$K$5:$K$104))</f>
        <v/>
      </c>
      <c r="J31" s="196">
        <f>IF($A31="","",SUMIF('経費明細'!$A$5:$A$104,$A31,'経費明細'!$L$5:$L$104))</f>
        <v/>
      </c>
      <c r="K31" s="196" t="n"/>
      <c r="L31" s="196">
        <f>IF($A31="","",MAX(0,$I31-$K31))</f>
        <v/>
      </c>
      <c r="M31" s="197">
        <f>IF($A31="","",COUNTIF('経費明細'!$A$5:$A$104,$A31))</f>
        <v/>
      </c>
      <c r="N31" s="197">
        <f>IF($A31="","",COUNTIFS('経費明細'!$A$5:$A$104,$A31,'経費明細'!$T$5:$T$104,"&lt;&gt;適合",'経費明細'!$T$5:$T$104,"&lt;&gt;"))</f>
        <v/>
      </c>
      <c r="O31" s="95" t="n"/>
      <c r="P31" s="95" t="n"/>
      <c r="Q31" s="95" t="n"/>
      <c r="R31" s="198">
        <f>IF($A31="","",IF(OR($O31="承認済み",$O31="支払待ち"),$B31+5,IF($O31="支払済み",$S31,"")))</f>
        <v/>
      </c>
      <c r="S31" s="198" t="n"/>
      <c r="T31" s="95" t="n"/>
      <c r="U31" s="95" t="n"/>
      <c r="V31" s="95" t="n"/>
      <c r="W31" s="95" t="n"/>
      <c r="X31" s="131" t="n"/>
    </row>
    <row r="32">
      <c r="A32" s="55" t="n"/>
      <c r="B32" s="198" t="n"/>
      <c r="C32" s="95" t="n"/>
      <c r="D32" s="95" t="n"/>
      <c r="E32" s="95" t="n"/>
      <c r="F32" s="95" t="n"/>
      <c r="G32" s="95" t="n"/>
      <c r="H32" s="95" t="n"/>
      <c r="I32" s="196">
        <f>IF($A32="","",SUMIF('経費明細'!$A$5:$A$104,$A32,'経費明細'!$K$5:$K$104))</f>
        <v/>
      </c>
      <c r="J32" s="196">
        <f>IF($A32="","",SUMIF('経費明細'!$A$5:$A$104,$A32,'経費明細'!$L$5:$L$104))</f>
        <v/>
      </c>
      <c r="K32" s="196" t="n"/>
      <c r="L32" s="196">
        <f>IF($A32="","",MAX(0,$I32-$K32))</f>
        <v/>
      </c>
      <c r="M32" s="197">
        <f>IF($A32="","",COUNTIF('経費明細'!$A$5:$A$104,$A32))</f>
        <v/>
      </c>
      <c r="N32" s="197">
        <f>IF($A32="","",COUNTIFS('経費明細'!$A$5:$A$104,$A32,'経費明細'!$T$5:$T$104,"&lt;&gt;適合",'経費明細'!$T$5:$T$104,"&lt;&gt;"))</f>
        <v/>
      </c>
      <c r="O32" s="95" t="n"/>
      <c r="P32" s="95" t="n"/>
      <c r="Q32" s="95" t="n"/>
      <c r="R32" s="198">
        <f>IF($A32="","",IF(OR($O32="承認済み",$O32="支払待ち"),$B32+5,IF($O32="支払済み",$S32,"")))</f>
        <v/>
      </c>
      <c r="S32" s="198" t="n"/>
      <c r="T32" s="95" t="n"/>
      <c r="U32" s="95" t="n"/>
      <c r="V32" s="95" t="n"/>
      <c r="W32" s="95" t="n"/>
      <c r="X32" s="131" t="n"/>
    </row>
    <row r="33">
      <c r="A33" s="55" t="n"/>
      <c r="B33" s="198" t="n"/>
      <c r="C33" s="95" t="n"/>
      <c r="D33" s="95" t="n"/>
      <c r="E33" s="95" t="n"/>
      <c r="F33" s="95" t="n"/>
      <c r="G33" s="95" t="n"/>
      <c r="H33" s="95" t="n"/>
      <c r="I33" s="196">
        <f>IF($A33="","",SUMIF('経費明細'!$A$5:$A$104,$A33,'経費明細'!$K$5:$K$104))</f>
        <v/>
      </c>
      <c r="J33" s="196">
        <f>IF($A33="","",SUMIF('経費明細'!$A$5:$A$104,$A33,'経費明細'!$L$5:$L$104))</f>
        <v/>
      </c>
      <c r="K33" s="196" t="n"/>
      <c r="L33" s="196">
        <f>IF($A33="","",MAX(0,$I33-$K33))</f>
        <v/>
      </c>
      <c r="M33" s="197">
        <f>IF($A33="","",COUNTIF('経費明細'!$A$5:$A$104,$A33))</f>
        <v/>
      </c>
      <c r="N33" s="197">
        <f>IF($A33="","",COUNTIFS('経費明細'!$A$5:$A$104,$A33,'経費明細'!$T$5:$T$104,"&lt;&gt;適合",'経費明細'!$T$5:$T$104,"&lt;&gt;"))</f>
        <v/>
      </c>
      <c r="O33" s="95" t="n"/>
      <c r="P33" s="95" t="n"/>
      <c r="Q33" s="95" t="n"/>
      <c r="R33" s="198">
        <f>IF($A33="","",IF(OR($O33="承認済み",$O33="支払待ち"),$B33+5,IF($O33="支払済み",$S33,"")))</f>
        <v/>
      </c>
      <c r="S33" s="198" t="n"/>
      <c r="T33" s="95" t="n"/>
      <c r="U33" s="95" t="n"/>
      <c r="V33" s="95" t="n"/>
      <c r="W33" s="95" t="n"/>
      <c r="X33" s="131" t="n"/>
    </row>
    <row r="34">
      <c r="A34" s="55" t="n"/>
      <c r="B34" s="198" t="n"/>
      <c r="C34" s="95" t="n"/>
      <c r="D34" s="95" t="n"/>
      <c r="E34" s="95" t="n"/>
      <c r="F34" s="95" t="n"/>
      <c r="G34" s="95" t="n"/>
      <c r="H34" s="95" t="n"/>
      <c r="I34" s="196">
        <f>IF($A34="","",SUMIF('経費明細'!$A$5:$A$104,$A34,'経費明細'!$K$5:$K$104))</f>
        <v/>
      </c>
      <c r="J34" s="196">
        <f>IF($A34="","",SUMIF('経費明細'!$A$5:$A$104,$A34,'経費明細'!$L$5:$L$104))</f>
        <v/>
      </c>
      <c r="K34" s="196" t="n"/>
      <c r="L34" s="196">
        <f>IF($A34="","",MAX(0,$I34-$K34))</f>
        <v/>
      </c>
      <c r="M34" s="197">
        <f>IF($A34="","",COUNTIF('経費明細'!$A$5:$A$104,$A34))</f>
        <v/>
      </c>
      <c r="N34" s="197">
        <f>IF($A34="","",COUNTIFS('経費明細'!$A$5:$A$104,$A34,'経費明細'!$T$5:$T$104,"&lt;&gt;適合",'経費明細'!$T$5:$T$104,"&lt;&gt;"))</f>
        <v/>
      </c>
      <c r="O34" s="95" t="n"/>
      <c r="P34" s="95" t="n"/>
      <c r="Q34" s="95" t="n"/>
      <c r="R34" s="198">
        <f>IF($A34="","",IF(OR($O34="承認済み",$O34="支払待ち"),$B34+5,IF($O34="支払済み",$S34,"")))</f>
        <v/>
      </c>
      <c r="S34" s="198" t="n"/>
      <c r="T34" s="95" t="n"/>
      <c r="U34" s="95" t="n"/>
      <c r="V34" s="95" t="n"/>
      <c r="W34" s="95" t="n"/>
      <c r="X34" s="131" t="n"/>
    </row>
    <row r="35">
      <c r="A35" s="55" t="n"/>
      <c r="B35" s="198" t="n"/>
      <c r="C35" s="95" t="n"/>
      <c r="D35" s="95" t="n"/>
      <c r="E35" s="95" t="n"/>
      <c r="F35" s="95" t="n"/>
      <c r="G35" s="95" t="n"/>
      <c r="H35" s="95" t="n"/>
      <c r="I35" s="196">
        <f>IF($A35="","",SUMIF('経費明細'!$A$5:$A$104,$A35,'経費明細'!$K$5:$K$104))</f>
        <v/>
      </c>
      <c r="J35" s="196">
        <f>IF($A35="","",SUMIF('経費明細'!$A$5:$A$104,$A35,'経費明細'!$L$5:$L$104))</f>
        <v/>
      </c>
      <c r="K35" s="196" t="n"/>
      <c r="L35" s="196">
        <f>IF($A35="","",MAX(0,$I35-$K35))</f>
        <v/>
      </c>
      <c r="M35" s="197">
        <f>IF($A35="","",COUNTIF('経費明細'!$A$5:$A$104,$A35))</f>
        <v/>
      </c>
      <c r="N35" s="197">
        <f>IF($A35="","",COUNTIFS('経費明細'!$A$5:$A$104,$A35,'経費明細'!$T$5:$T$104,"&lt;&gt;適合",'経費明細'!$T$5:$T$104,"&lt;&gt;"))</f>
        <v/>
      </c>
      <c r="O35" s="95" t="n"/>
      <c r="P35" s="95" t="n"/>
      <c r="Q35" s="95" t="n"/>
      <c r="R35" s="198">
        <f>IF($A35="","",IF(OR($O35="承認済み",$O35="支払待ち"),$B35+5,IF($O35="支払済み",$S35,"")))</f>
        <v/>
      </c>
      <c r="S35" s="198" t="n"/>
      <c r="T35" s="95" t="n"/>
      <c r="U35" s="95" t="n"/>
      <c r="V35" s="95" t="n"/>
      <c r="W35" s="95" t="n"/>
      <c r="X35" s="131" t="n"/>
    </row>
    <row r="36">
      <c r="A36" s="55" t="n"/>
      <c r="B36" s="198" t="n"/>
      <c r="C36" s="95" t="n"/>
      <c r="D36" s="95" t="n"/>
      <c r="E36" s="95" t="n"/>
      <c r="F36" s="95" t="n"/>
      <c r="G36" s="95" t="n"/>
      <c r="H36" s="95" t="n"/>
      <c r="I36" s="196">
        <f>IF($A36="","",SUMIF('経費明細'!$A$5:$A$104,$A36,'経費明細'!$K$5:$K$104))</f>
        <v/>
      </c>
      <c r="J36" s="196">
        <f>IF($A36="","",SUMIF('経費明細'!$A$5:$A$104,$A36,'経費明細'!$L$5:$L$104))</f>
        <v/>
      </c>
      <c r="K36" s="196" t="n"/>
      <c r="L36" s="196">
        <f>IF($A36="","",MAX(0,$I36-$K36))</f>
        <v/>
      </c>
      <c r="M36" s="197">
        <f>IF($A36="","",COUNTIF('経費明細'!$A$5:$A$104,$A36))</f>
        <v/>
      </c>
      <c r="N36" s="197">
        <f>IF($A36="","",COUNTIFS('経費明細'!$A$5:$A$104,$A36,'経費明細'!$T$5:$T$104,"&lt;&gt;適合",'経費明細'!$T$5:$T$104,"&lt;&gt;"))</f>
        <v/>
      </c>
      <c r="O36" s="95" t="n"/>
      <c r="P36" s="95" t="n"/>
      <c r="Q36" s="95" t="n"/>
      <c r="R36" s="198">
        <f>IF($A36="","",IF(OR($O36="承認済み",$O36="支払待ち"),$B36+5,IF($O36="支払済み",$S36,"")))</f>
        <v/>
      </c>
      <c r="S36" s="198" t="n"/>
      <c r="T36" s="95" t="n"/>
      <c r="U36" s="95" t="n"/>
      <c r="V36" s="95" t="n"/>
      <c r="W36" s="95" t="n"/>
      <c r="X36" s="131" t="n"/>
    </row>
    <row r="37">
      <c r="A37" s="55" t="n"/>
      <c r="B37" s="198" t="n"/>
      <c r="C37" s="95" t="n"/>
      <c r="D37" s="95" t="n"/>
      <c r="E37" s="95" t="n"/>
      <c r="F37" s="95" t="n"/>
      <c r="G37" s="95" t="n"/>
      <c r="H37" s="95" t="n"/>
      <c r="I37" s="196">
        <f>IF($A37="","",SUMIF('経費明細'!$A$5:$A$104,$A37,'経費明細'!$K$5:$K$104))</f>
        <v/>
      </c>
      <c r="J37" s="196">
        <f>IF($A37="","",SUMIF('経費明細'!$A$5:$A$104,$A37,'経費明細'!$L$5:$L$104))</f>
        <v/>
      </c>
      <c r="K37" s="196" t="n"/>
      <c r="L37" s="196">
        <f>IF($A37="","",MAX(0,$I37-$K37))</f>
        <v/>
      </c>
      <c r="M37" s="197">
        <f>IF($A37="","",COUNTIF('経費明細'!$A$5:$A$104,$A37))</f>
        <v/>
      </c>
      <c r="N37" s="197">
        <f>IF($A37="","",COUNTIFS('経費明細'!$A$5:$A$104,$A37,'経費明細'!$T$5:$T$104,"&lt;&gt;適合",'経費明細'!$T$5:$T$104,"&lt;&gt;"))</f>
        <v/>
      </c>
      <c r="O37" s="95" t="n"/>
      <c r="P37" s="95" t="n"/>
      <c r="Q37" s="95" t="n"/>
      <c r="R37" s="198">
        <f>IF($A37="","",IF(OR($O37="承認済み",$O37="支払待ち"),$B37+5,IF($O37="支払済み",$S37,"")))</f>
        <v/>
      </c>
      <c r="S37" s="198" t="n"/>
      <c r="T37" s="95" t="n"/>
      <c r="U37" s="95" t="n"/>
      <c r="V37" s="95" t="n"/>
      <c r="W37" s="95" t="n"/>
      <c r="X37" s="131" t="n"/>
    </row>
    <row r="38">
      <c r="A38" s="55" t="n"/>
      <c r="B38" s="198" t="n"/>
      <c r="C38" s="95" t="n"/>
      <c r="D38" s="95" t="n"/>
      <c r="E38" s="95" t="n"/>
      <c r="F38" s="95" t="n"/>
      <c r="G38" s="95" t="n"/>
      <c r="H38" s="95" t="n"/>
      <c r="I38" s="196">
        <f>IF($A38="","",SUMIF('経費明細'!$A$5:$A$104,$A38,'経費明細'!$K$5:$K$104))</f>
        <v/>
      </c>
      <c r="J38" s="196">
        <f>IF($A38="","",SUMIF('経費明細'!$A$5:$A$104,$A38,'経費明細'!$L$5:$L$104))</f>
        <v/>
      </c>
      <c r="K38" s="196" t="n"/>
      <c r="L38" s="196">
        <f>IF($A38="","",MAX(0,$I38-$K38))</f>
        <v/>
      </c>
      <c r="M38" s="197">
        <f>IF($A38="","",COUNTIF('経費明細'!$A$5:$A$104,$A38))</f>
        <v/>
      </c>
      <c r="N38" s="197">
        <f>IF($A38="","",COUNTIFS('経費明細'!$A$5:$A$104,$A38,'経費明細'!$T$5:$T$104,"&lt;&gt;適合",'経費明細'!$T$5:$T$104,"&lt;&gt;"))</f>
        <v/>
      </c>
      <c r="O38" s="95" t="n"/>
      <c r="P38" s="95" t="n"/>
      <c r="Q38" s="95" t="n"/>
      <c r="R38" s="198">
        <f>IF($A38="","",IF(OR($O38="承認済み",$O38="支払待ち"),$B38+5,IF($O38="支払済み",$S38,"")))</f>
        <v/>
      </c>
      <c r="S38" s="198" t="n"/>
      <c r="T38" s="95" t="n"/>
      <c r="U38" s="95" t="n"/>
      <c r="V38" s="95" t="n"/>
      <c r="W38" s="95" t="n"/>
      <c r="X38" s="131" t="n"/>
    </row>
    <row r="39">
      <c r="A39" s="55" t="n"/>
      <c r="B39" s="198" t="n"/>
      <c r="C39" s="95" t="n"/>
      <c r="D39" s="95" t="n"/>
      <c r="E39" s="95" t="n"/>
      <c r="F39" s="95" t="n"/>
      <c r="G39" s="95" t="n"/>
      <c r="H39" s="95" t="n"/>
      <c r="I39" s="196">
        <f>IF($A39="","",SUMIF('経費明細'!$A$5:$A$104,$A39,'経費明細'!$K$5:$K$104))</f>
        <v/>
      </c>
      <c r="J39" s="196">
        <f>IF($A39="","",SUMIF('経費明細'!$A$5:$A$104,$A39,'経費明細'!$L$5:$L$104))</f>
        <v/>
      </c>
      <c r="K39" s="196" t="n"/>
      <c r="L39" s="196">
        <f>IF($A39="","",MAX(0,$I39-$K39))</f>
        <v/>
      </c>
      <c r="M39" s="197">
        <f>IF($A39="","",COUNTIF('経費明細'!$A$5:$A$104,$A39))</f>
        <v/>
      </c>
      <c r="N39" s="197">
        <f>IF($A39="","",COUNTIFS('経費明細'!$A$5:$A$104,$A39,'経費明細'!$T$5:$T$104,"&lt;&gt;適合",'経費明細'!$T$5:$T$104,"&lt;&gt;"))</f>
        <v/>
      </c>
      <c r="O39" s="95" t="n"/>
      <c r="P39" s="95" t="n"/>
      <c r="Q39" s="95" t="n"/>
      <c r="R39" s="198">
        <f>IF($A39="","",IF(OR($O39="承認済み",$O39="支払待ち"),$B39+5,IF($O39="支払済み",$S39,"")))</f>
        <v/>
      </c>
      <c r="S39" s="198" t="n"/>
      <c r="T39" s="95" t="n"/>
      <c r="U39" s="95" t="n"/>
      <c r="V39" s="95" t="n"/>
      <c r="W39" s="95" t="n"/>
      <c r="X39" s="131" t="n"/>
    </row>
    <row r="40">
      <c r="A40" s="55" t="n"/>
      <c r="B40" s="198" t="n"/>
      <c r="C40" s="95" t="n"/>
      <c r="D40" s="95" t="n"/>
      <c r="E40" s="95" t="n"/>
      <c r="F40" s="95" t="n"/>
      <c r="G40" s="95" t="n"/>
      <c r="H40" s="95" t="n"/>
      <c r="I40" s="196">
        <f>IF($A40="","",SUMIF('経費明細'!$A$5:$A$104,$A40,'経費明細'!$K$5:$K$104))</f>
        <v/>
      </c>
      <c r="J40" s="196">
        <f>IF($A40="","",SUMIF('経費明細'!$A$5:$A$104,$A40,'経費明細'!$L$5:$L$104))</f>
        <v/>
      </c>
      <c r="K40" s="196" t="n"/>
      <c r="L40" s="196">
        <f>IF($A40="","",MAX(0,$I40-$K40))</f>
        <v/>
      </c>
      <c r="M40" s="197">
        <f>IF($A40="","",COUNTIF('経費明細'!$A$5:$A$104,$A40))</f>
        <v/>
      </c>
      <c r="N40" s="197">
        <f>IF($A40="","",COUNTIFS('経費明細'!$A$5:$A$104,$A40,'経費明細'!$T$5:$T$104,"&lt;&gt;適合",'経費明細'!$T$5:$T$104,"&lt;&gt;"))</f>
        <v/>
      </c>
      <c r="O40" s="95" t="n"/>
      <c r="P40" s="95" t="n"/>
      <c r="Q40" s="95" t="n"/>
      <c r="R40" s="198">
        <f>IF($A40="","",IF(OR($O40="承認済み",$O40="支払待ち"),$B40+5,IF($O40="支払済み",$S40,"")))</f>
        <v/>
      </c>
      <c r="S40" s="198" t="n"/>
      <c r="T40" s="95" t="n"/>
      <c r="U40" s="95" t="n"/>
      <c r="V40" s="95" t="n"/>
      <c r="W40" s="95" t="n"/>
      <c r="X40" s="131" t="n"/>
    </row>
    <row r="41">
      <c r="A41" s="55" t="n"/>
      <c r="B41" s="198" t="n"/>
      <c r="C41" s="95" t="n"/>
      <c r="D41" s="95" t="n"/>
      <c r="E41" s="95" t="n"/>
      <c r="F41" s="95" t="n"/>
      <c r="G41" s="95" t="n"/>
      <c r="H41" s="95" t="n"/>
      <c r="I41" s="196">
        <f>IF($A41="","",SUMIF('経費明細'!$A$5:$A$104,$A41,'経費明細'!$K$5:$K$104))</f>
        <v/>
      </c>
      <c r="J41" s="196">
        <f>IF($A41="","",SUMIF('経費明細'!$A$5:$A$104,$A41,'経費明細'!$L$5:$L$104))</f>
        <v/>
      </c>
      <c r="K41" s="196" t="n"/>
      <c r="L41" s="196">
        <f>IF($A41="","",MAX(0,$I41-$K41))</f>
        <v/>
      </c>
      <c r="M41" s="197">
        <f>IF($A41="","",COUNTIF('経費明細'!$A$5:$A$104,$A41))</f>
        <v/>
      </c>
      <c r="N41" s="197">
        <f>IF($A41="","",COUNTIFS('経費明細'!$A$5:$A$104,$A41,'経費明細'!$T$5:$T$104,"&lt;&gt;適合",'経費明細'!$T$5:$T$104,"&lt;&gt;"))</f>
        <v/>
      </c>
      <c r="O41" s="95" t="n"/>
      <c r="P41" s="95" t="n"/>
      <c r="Q41" s="95" t="n"/>
      <c r="R41" s="198">
        <f>IF($A41="","",IF(OR($O41="承認済み",$O41="支払待ち"),$B41+5,IF($O41="支払済み",$S41,"")))</f>
        <v/>
      </c>
      <c r="S41" s="198" t="n"/>
      <c r="T41" s="95" t="n"/>
      <c r="U41" s="95" t="n"/>
      <c r="V41" s="95" t="n"/>
      <c r="W41" s="95" t="n"/>
      <c r="X41" s="131" t="n"/>
    </row>
    <row r="42">
      <c r="A42" s="55" t="n"/>
      <c r="B42" s="198" t="n"/>
      <c r="C42" s="95" t="n"/>
      <c r="D42" s="95" t="n"/>
      <c r="E42" s="95" t="n"/>
      <c r="F42" s="95" t="n"/>
      <c r="G42" s="95" t="n"/>
      <c r="H42" s="95" t="n"/>
      <c r="I42" s="196">
        <f>IF($A42="","",SUMIF('経費明細'!$A$5:$A$104,$A42,'経費明細'!$K$5:$K$104))</f>
        <v/>
      </c>
      <c r="J42" s="196">
        <f>IF($A42="","",SUMIF('経費明細'!$A$5:$A$104,$A42,'経費明細'!$L$5:$L$104))</f>
        <v/>
      </c>
      <c r="K42" s="196" t="n"/>
      <c r="L42" s="196">
        <f>IF($A42="","",MAX(0,$I42-$K42))</f>
        <v/>
      </c>
      <c r="M42" s="197">
        <f>IF($A42="","",COUNTIF('経費明細'!$A$5:$A$104,$A42))</f>
        <v/>
      </c>
      <c r="N42" s="197">
        <f>IF($A42="","",COUNTIFS('経費明細'!$A$5:$A$104,$A42,'経費明細'!$T$5:$T$104,"&lt;&gt;適合",'経費明細'!$T$5:$T$104,"&lt;&gt;"))</f>
        <v/>
      </c>
      <c r="O42" s="95" t="n"/>
      <c r="P42" s="95" t="n"/>
      <c r="Q42" s="95" t="n"/>
      <c r="R42" s="198">
        <f>IF($A42="","",IF(OR($O42="承認済み",$O42="支払待ち"),$B42+5,IF($O42="支払済み",$S42,"")))</f>
        <v/>
      </c>
      <c r="S42" s="198" t="n"/>
      <c r="T42" s="95" t="n"/>
      <c r="U42" s="95" t="n"/>
      <c r="V42" s="95" t="n"/>
      <c r="W42" s="95" t="n"/>
      <c r="X42" s="131" t="n"/>
    </row>
    <row r="43">
      <c r="A43" s="55" t="n"/>
      <c r="B43" s="198" t="n"/>
      <c r="C43" s="95" t="n"/>
      <c r="D43" s="95" t="n"/>
      <c r="E43" s="95" t="n"/>
      <c r="F43" s="95" t="n"/>
      <c r="G43" s="95" t="n"/>
      <c r="H43" s="95" t="n"/>
      <c r="I43" s="196">
        <f>IF($A43="","",SUMIF('経費明細'!$A$5:$A$104,$A43,'経費明細'!$K$5:$K$104))</f>
        <v/>
      </c>
      <c r="J43" s="196">
        <f>IF($A43="","",SUMIF('経費明細'!$A$5:$A$104,$A43,'経費明細'!$L$5:$L$104))</f>
        <v/>
      </c>
      <c r="K43" s="196" t="n"/>
      <c r="L43" s="196">
        <f>IF($A43="","",MAX(0,$I43-$K43))</f>
        <v/>
      </c>
      <c r="M43" s="197">
        <f>IF($A43="","",COUNTIF('経費明細'!$A$5:$A$104,$A43))</f>
        <v/>
      </c>
      <c r="N43" s="197">
        <f>IF($A43="","",COUNTIFS('経費明細'!$A$5:$A$104,$A43,'経費明細'!$T$5:$T$104,"&lt;&gt;適合",'経費明細'!$T$5:$T$104,"&lt;&gt;"))</f>
        <v/>
      </c>
      <c r="O43" s="95" t="n"/>
      <c r="P43" s="95" t="n"/>
      <c r="Q43" s="95" t="n"/>
      <c r="R43" s="198">
        <f>IF($A43="","",IF(OR($O43="承認済み",$O43="支払待ち"),$B43+5,IF($O43="支払済み",$S43,"")))</f>
        <v/>
      </c>
      <c r="S43" s="198" t="n"/>
      <c r="T43" s="95" t="n"/>
      <c r="U43" s="95" t="n"/>
      <c r="V43" s="95" t="n"/>
      <c r="W43" s="95" t="n"/>
      <c r="X43" s="131" t="n"/>
    </row>
    <row r="44">
      <c r="A44" s="55" t="n"/>
      <c r="B44" s="198" t="n"/>
      <c r="C44" s="95" t="n"/>
      <c r="D44" s="95" t="n"/>
      <c r="E44" s="95" t="n"/>
      <c r="F44" s="95" t="n"/>
      <c r="G44" s="95" t="n"/>
      <c r="H44" s="95" t="n"/>
      <c r="I44" s="196">
        <f>IF($A44="","",SUMIF('経費明細'!$A$5:$A$104,$A44,'経費明細'!$K$5:$K$104))</f>
        <v/>
      </c>
      <c r="J44" s="196">
        <f>IF($A44="","",SUMIF('経費明細'!$A$5:$A$104,$A44,'経費明細'!$L$5:$L$104))</f>
        <v/>
      </c>
      <c r="K44" s="196" t="n"/>
      <c r="L44" s="196">
        <f>IF($A44="","",MAX(0,$I44-$K44))</f>
        <v/>
      </c>
      <c r="M44" s="197">
        <f>IF($A44="","",COUNTIF('経費明細'!$A$5:$A$104,$A44))</f>
        <v/>
      </c>
      <c r="N44" s="197">
        <f>IF($A44="","",COUNTIFS('経費明細'!$A$5:$A$104,$A44,'経費明細'!$T$5:$T$104,"&lt;&gt;適合",'経費明細'!$T$5:$T$104,"&lt;&gt;"))</f>
        <v/>
      </c>
      <c r="O44" s="95" t="n"/>
      <c r="P44" s="95" t="n"/>
      <c r="Q44" s="95" t="n"/>
      <c r="R44" s="198">
        <f>IF($A44="","",IF(OR($O44="承認済み",$O44="支払待ち"),$B44+5,IF($O44="支払済み",$S44,"")))</f>
        <v/>
      </c>
      <c r="S44" s="198" t="n"/>
      <c r="T44" s="95" t="n"/>
      <c r="U44" s="95" t="n"/>
      <c r="V44" s="95" t="n"/>
      <c r="W44" s="95" t="n"/>
      <c r="X44" s="131" t="n"/>
    </row>
    <row r="45">
      <c r="A45" s="55" t="n"/>
      <c r="B45" s="198" t="n"/>
      <c r="C45" s="95" t="n"/>
      <c r="D45" s="95" t="n"/>
      <c r="E45" s="95" t="n"/>
      <c r="F45" s="95" t="n"/>
      <c r="G45" s="95" t="n"/>
      <c r="H45" s="95" t="n"/>
      <c r="I45" s="196">
        <f>IF($A45="","",SUMIF('経費明細'!$A$5:$A$104,$A45,'経費明細'!$K$5:$K$104))</f>
        <v/>
      </c>
      <c r="J45" s="196">
        <f>IF($A45="","",SUMIF('経費明細'!$A$5:$A$104,$A45,'経費明細'!$L$5:$L$104))</f>
        <v/>
      </c>
      <c r="K45" s="196" t="n"/>
      <c r="L45" s="196">
        <f>IF($A45="","",MAX(0,$I45-$K45))</f>
        <v/>
      </c>
      <c r="M45" s="197">
        <f>IF($A45="","",COUNTIF('経費明細'!$A$5:$A$104,$A45))</f>
        <v/>
      </c>
      <c r="N45" s="197">
        <f>IF($A45="","",COUNTIFS('経費明細'!$A$5:$A$104,$A45,'経費明細'!$T$5:$T$104,"&lt;&gt;適合",'経費明細'!$T$5:$T$104,"&lt;&gt;"))</f>
        <v/>
      </c>
      <c r="O45" s="95" t="n"/>
      <c r="P45" s="95" t="n"/>
      <c r="Q45" s="95" t="n"/>
      <c r="R45" s="198">
        <f>IF($A45="","",IF(OR($O45="承認済み",$O45="支払待ち"),$B45+5,IF($O45="支払済み",$S45,"")))</f>
        <v/>
      </c>
      <c r="S45" s="198" t="n"/>
      <c r="T45" s="95" t="n"/>
      <c r="U45" s="95" t="n"/>
      <c r="V45" s="95" t="n"/>
      <c r="W45" s="95" t="n"/>
      <c r="X45" s="131" t="n"/>
    </row>
    <row r="46">
      <c r="A46" s="55" t="n"/>
      <c r="B46" s="198" t="n"/>
      <c r="C46" s="95" t="n"/>
      <c r="D46" s="95" t="n"/>
      <c r="E46" s="95" t="n"/>
      <c r="F46" s="95" t="n"/>
      <c r="G46" s="95" t="n"/>
      <c r="H46" s="95" t="n"/>
      <c r="I46" s="196">
        <f>IF($A46="","",SUMIF('経費明細'!$A$5:$A$104,$A46,'経費明細'!$K$5:$K$104))</f>
        <v/>
      </c>
      <c r="J46" s="196">
        <f>IF($A46="","",SUMIF('経費明細'!$A$5:$A$104,$A46,'経費明細'!$L$5:$L$104))</f>
        <v/>
      </c>
      <c r="K46" s="196" t="n"/>
      <c r="L46" s="196">
        <f>IF($A46="","",MAX(0,$I46-$K46))</f>
        <v/>
      </c>
      <c r="M46" s="197">
        <f>IF($A46="","",COUNTIF('経費明細'!$A$5:$A$104,$A46))</f>
        <v/>
      </c>
      <c r="N46" s="197">
        <f>IF($A46="","",COUNTIFS('経費明細'!$A$5:$A$104,$A46,'経費明細'!$T$5:$T$104,"&lt;&gt;適合",'経費明細'!$T$5:$T$104,"&lt;&gt;"))</f>
        <v/>
      </c>
      <c r="O46" s="95" t="n"/>
      <c r="P46" s="95" t="n"/>
      <c r="Q46" s="95" t="n"/>
      <c r="R46" s="198">
        <f>IF($A46="","",IF(OR($O46="承認済み",$O46="支払待ち"),$B46+5,IF($O46="支払済み",$S46,"")))</f>
        <v/>
      </c>
      <c r="S46" s="198" t="n"/>
      <c r="T46" s="95" t="n"/>
      <c r="U46" s="95" t="n"/>
      <c r="V46" s="95" t="n"/>
      <c r="W46" s="95" t="n"/>
      <c r="X46" s="131" t="n"/>
    </row>
    <row r="47">
      <c r="A47" s="55" t="n"/>
      <c r="B47" s="198" t="n"/>
      <c r="C47" s="95" t="n"/>
      <c r="D47" s="95" t="n"/>
      <c r="E47" s="95" t="n"/>
      <c r="F47" s="95" t="n"/>
      <c r="G47" s="95" t="n"/>
      <c r="H47" s="95" t="n"/>
      <c r="I47" s="196">
        <f>IF($A47="","",SUMIF('経費明細'!$A$5:$A$104,$A47,'経費明細'!$K$5:$K$104))</f>
        <v/>
      </c>
      <c r="J47" s="196">
        <f>IF($A47="","",SUMIF('経費明細'!$A$5:$A$104,$A47,'経費明細'!$L$5:$L$104))</f>
        <v/>
      </c>
      <c r="K47" s="196" t="n"/>
      <c r="L47" s="196">
        <f>IF($A47="","",MAX(0,$I47-$K47))</f>
        <v/>
      </c>
      <c r="M47" s="197">
        <f>IF($A47="","",COUNTIF('経費明細'!$A$5:$A$104,$A47))</f>
        <v/>
      </c>
      <c r="N47" s="197">
        <f>IF($A47="","",COUNTIFS('経費明細'!$A$5:$A$104,$A47,'経費明細'!$T$5:$T$104,"&lt;&gt;適合",'経費明細'!$T$5:$T$104,"&lt;&gt;"))</f>
        <v/>
      </c>
      <c r="O47" s="95" t="n"/>
      <c r="P47" s="95" t="n"/>
      <c r="Q47" s="95" t="n"/>
      <c r="R47" s="198">
        <f>IF($A47="","",IF(OR($O47="承認済み",$O47="支払待ち"),$B47+5,IF($O47="支払済み",$S47,"")))</f>
        <v/>
      </c>
      <c r="S47" s="198" t="n"/>
      <c r="T47" s="95" t="n"/>
      <c r="U47" s="95" t="n"/>
      <c r="V47" s="95" t="n"/>
      <c r="W47" s="95" t="n"/>
      <c r="X47" s="131" t="n"/>
    </row>
    <row r="48">
      <c r="A48" s="55" t="n"/>
      <c r="B48" s="198" t="n"/>
      <c r="C48" s="95" t="n"/>
      <c r="D48" s="95" t="n"/>
      <c r="E48" s="95" t="n"/>
      <c r="F48" s="95" t="n"/>
      <c r="G48" s="95" t="n"/>
      <c r="H48" s="95" t="n"/>
      <c r="I48" s="196">
        <f>IF($A48="","",SUMIF('経費明細'!$A$5:$A$104,$A48,'経費明細'!$K$5:$K$104))</f>
        <v/>
      </c>
      <c r="J48" s="196">
        <f>IF($A48="","",SUMIF('経費明細'!$A$5:$A$104,$A48,'経費明細'!$L$5:$L$104))</f>
        <v/>
      </c>
      <c r="K48" s="196" t="n"/>
      <c r="L48" s="196">
        <f>IF($A48="","",MAX(0,$I48-$K48))</f>
        <v/>
      </c>
      <c r="M48" s="197">
        <f>IF($A48="","",COUNTIF('経費明細'!$A$5:$A$104,$A48))</f>
        <v/>
      </c>
      <c r="N48" s="197">
        <f>IF($A48="","",COUNTIFS('経費明細'!$A$5:$A$104,$A48,'経費明細'!$T$5:$T$104,"&lt;&gt;適合",'経費明細'!$T$5:$T$104,"&lt;&gt;"))</f>
        <v/>
      </c>
      <c r="O48" s="95" t="n"/>
      <c r="P48" s="95" t="n"/>
      <c r="Q48" s="95" t="n"/>
      <c r="R48" s="198">
        <f>IF($A48="","",IF(OR($O48="承認済み",$O48="支払待ち"),$B48+5,IF($O48="支払済み",$S48,"")))</f>
        <v/>
      </c>
      <c r="S48" s="198" t="n"/>
      <c r="T48" s="95" t="n"/>
      <c r="U48" s="95" t="n"/>
      <c r="V48" s="95" t="n"/>
      <c r="W48" s="95" t="n"/>
      <c r="X48" s="131" t="n"/>
    </row>
    <row r="49">
      <c r="A49" s="55" t="n"/>
      <c r="B49" s="198" t="n"/>
      <c r="C49" s="95" t="n"/>
      <c r="D49" s="95" t="n"/>
      <c r="E49" s="95" t="n"/>
      <c r="F49" s="95" t="n"/>
      <c r="G49" s="95" t="n"/>
      <c r="H49" s="95" t="n"/>
      <c r="I49" s="196">
        <f>IF($A49="","",SUMIF('経費明細'!$A$5:$A$104,$A49,'経費明細'!$K$5:$K$104))</f>
        <v/>
      </c>
      <c r="J49" s="196">
        <f>IF($A49="","",SUMIF('経費明細'!$A$5:$A$104,$A49,'経費明細'!$L$5:$L$104))</f>
        <v/>
      </c>
      <c r="K49" s="196" t="n"/>
      <c r="L49" s="196">
        <f>IF($A49="","",MAX(0,$I49-$K49))</f>
        <v/>
      </c>
      <c r="M49" s="197">
        <f>IF($A49="","",COUNTIF('経費明細'!$A$5:$A$104,$A49))</f>
        <v/>
      </c>
      <c r="N49" s="197">
        <f>IF($A49="","",COUNTIFS('経費明細'!$A$5:$A$104,$A49,'経費明細'!$T$5:$T$104,"&lt;&gt;適合",'経費明細'!$T$5:$T$104,"&lt;&gt;"))</f>
        <v/>
      </c>
      <c r="O49" s="95" t="n"/>
      <c r="P49" s="95" t="n"/>
      <c r="Q49" s="95" t="n"/>
      <c r="R49" s="198">
        <f>IF($A49="","",IF(OR($O49="承認済み",$O49="支払待ち"),$B49+5,IF($O49="支払済み",$S49,"")))</f>
        <v/>
      </c>
      <c r="S49" s="198" t="n"/>
      <c r="T49" s="95" t="n"/>
      <c r="U49" s="95" t="n"/>
      <c r="V49" s="95" t="n"/>
      <c r="W49" s="95" t="n"/>
      <c r="X49" s="131" t="n"/>
    </row>
    <row r="50">
      <c r="A50" s="55" t="n"/>
      <c r="B50" s="198" t="n"/>
      <c r="C50" s="95" t="n"/>
      <c r="D50" s="95" t="n"/>
      <c r="E50" s="95" t="n"/>
      <c r="F50" s="95" t="n"/>
      <c r="G50" s="95" t="n"/>
      <c r="H50" s="95" t="n"/>
      <c r="I50" s="196">
        <f>IF($A50="","",SUMIF('経費明細'!$A$5:$A$104,$A50,'経費明細'!$K$5:$K$104))</f>
        <v/>
      </c>
      <c r="J50" s="196">
        <f>IF($A50="","",SUMIF('経費明細'!$A$5:$A$104,$A50,'経費明細'!$L$5:$L$104))</f>
        <v/>
      </c>
      <c r="K50" s="196" t="n"/>
      <c r="L50" s="196">
        <f>IF($A50="","",MAX(0,$I50-$K50))</f>
        <v/>
      </c>
      <c r="M50" s="197">
        <f>IF($A50="","",COUNTIF('経費明細'!$A$5:$A$104,$A50))</f>
        <v/>
      </c>
      <c r="N50" s="197">
        <f>IF($A50="","",COUNTIFS('経費明細'!$A$5:$A$104,$A50,'経費明細'!$T$5:$T$104,"&lt;&gt;適合",'経費明細'!$T$5:$T$104,"&lt;&gt;"))</f>
        <v/>
      </c>
      <c r="O50" s="95" t="n"/>
      <c r="P50" s="95" t="n"/>
      <c r="Q50" s="95" t="n"/>
      <c r="R50" s="198">
        <f>IF($A50="","",IF(OR($O50="承認済み",$O50="支払待ち"),$B50+5,IF($O50="支払済み",$S50,"")))</f>
        <v/>
      </c>
      <c r="S50" s="198" t="n"/>
      <c r="T50" s="95" t="n"/>
      <c r="U50" s="95" t="n"/>
      <c r="V50" s="95" t="n"/>
      <c r="W50" s="95" t="n"/>
      <c r="X50" s="131" t="n"/>
    </row>
    <row r="51">
      <c r="A51" s="55" t="n"/>
      <c r="B51" s="198" t="n"/>
      <c r="C51" s="95" t="n"/>
      <c r="D51" s="95" t="n"/>
      <c r="E51" s="95" t="n"/>
      <c r="F51" s="95" t="n"/>
      <c r="G51" s="95" t="n"/>
      <c r="H51" s="95" t="n"/>
      <c r="I51" s="196">
        <f>IF($A51="","",SUMIF('経費明細'!$A$5:$A$104,$A51,'経費明細'!$K$5:$K$104))</f>
        <v/>
      </c>
      <c r="J51" s="196">
        <f>IF($A51="","",SUMIF('経費明細'!$A$5:$A$104,$A51,'経費明細'!$L$5:$L$104))</f>
        <v/>
      </c>
      <c r="K51" s="196" t="n"/>
      <c r="L51" s="196">
        <f>IF($A51="","",MAX(0,$I51-$K51))</f>
        <v/>
      </c>
      <c r="M51" s="197">
        <f>IF($A51="","",COUNTIF('経費明細'!$A$5:$A$104,$A51))</f>
        <v/>
      </c>
      <c r="N51" s="197">
        <f>IF($A51="","",COUNTIFS('経費明細'!$A$5:$A$104,$A51,'経費明細'!$T$5:$T$104,"&lt;&gt;適合",'経費明細'!$T$5:$T$104,"&lt;&gt;"))</f>
        <v/>
      </c>
      <c r="O51" s="95" t="n"/>
      <c r="P51" s="95" t="n"/>
      <c r="Q51" s="95" t="n"/>
      <c r="R51" s="198">
        <f>IF($A51="","",IF(OR($O51="承認済み",$O51="支払待ち"),$B51+5,IF($O51="支払済み",$S51,"")))</f>
        <v/>
      </c>
      <c r="S51" s="198" t="n"/>
      <c r="T51" s="95" t="n"/>
      <c r="U51" s="95" t="n"/>
      <c r="V51" s="95" t="n"/>
      <c r="W51" s="95" t="n"/>
      <c r="X51" s="131" t="n"/>
    </row>
    <row r="52">
      <c r="A52" s="55" t="n"/>
      <c r="B52" s="198" t="n"/>
      <c r="C52" s="95" t="n"/>
      <c r="D52" s="95" t="n"/>
      <c r="E52" s="95" t="n"/>
      <c r="F52" s="95" t="n"/>
      <c r="G52" s="95" t="n"/>
      <c r="H52" s="95" t="n"/>
      <c r="I52" s="196">
        <f>IF($A52="","",SUMIF('経費明細'!$A$5:$A$104,$A52,'経費明細'!$K$5:$K$104))</f>
        <v/>
      </c>
      <c r="J52" s="196">
        <f>IF($A52="","",SUMIF('経費明細'!$A$5:$A$104,$A52,'経費明細'!$L$5:$L$104))</f>
        <v/>
      </c>
      <c r="K52" s="196" t="n"/>
      <c r="L52" s="196">
        <f>IF($A52="","",MAX(0,$I52-$K52))</f>
        <v/>
      </c>
      <c r="M52" s="197">
        <f>IF($A52="","",COUNTIF('経費明細'!$A$5:$A$104,$A52))</f>
        <v/>
      </c>
      <c r="N52" s="197">
        <f>IF($A52="","",COUNTIFS('経費明細'!$A$5:$A$104,$A52,'経費明細'!$T$5:$T$104,"&lt;&gt;適合",'経費明細'!$T$5:$T$104,"&lt;&gt;"))</f>
        <v/>
      </c>
      <c r="O52" s="95" t="n"/>
      <c r="P52" s="95" t="n"/>
      <c r="Q52" s="95" t="n"/>
      <c r="R52" s="198">
        <f>IF($A52="","",IF(OR($O52="承認済み",$O52="支払待ち"),$B52+5,IF($O52="支払済み",$S52,"")))</f>
        <v/>
      </c>
      <c r="S52" s="198" t="n"/>
      <c r="T52" s="95" t="n"/>
      <c r="U52" s="95" t="n"/>
      <c r="V52" s="95" t="n"/>
      <c r="W52" s="95" t="n"/>
      <c r="X52" s="131" t="n"/>
    </row>
    <row r="53">
      <c r="A53" s="55" t="n"/>
      <c r="B53" s="198" t="n"/>
      <c r="C53" s="95" t="n"/>
      <c r="D53" s="95" t="n"/>
      <c r="E53" s="95" t="n"/>
      <c r="F53" s="95" t="n"/>
      <c r="G53" s="95" t="n"/>
      <c r="H53" s="95" t="n"/>
      <c r="I53" s="196">
        <f>IF($A53="","",SUMIF('経費明細'!$A$5:$A$104,$A53,'経費明細'!$K$5:$K$104))</f>
        <v/>
      </c>
      <c r="J53" s="196">
        <f>IF($A53="","",SUMIF('経費明細'!$A$5:$A$104,$A53,'経費明細'!$L$5:$L$104))</f>
        <v/>
      </c>
      <c r="K53" s="196" t="n"/>
      <c r="L53" s="196">
        <f>IF($A53="","",MAX(0,$I53-$K53))</f>
        <v/>
      </c>
      <c r="M53" s="197">
        <f>IF($A53="","",COUNTIF('経費明細'!$A$5:$A$104,$A53))</f>
        <v/>
      </c>
      <c r="N53" s="197">
        <f>IF($A53="","",COUNTIFS('経費明細'!$A$5:$A$104,$A53,'経費明細'!$T$5:$T$104,"&lt;&gt;適合",'経費明細'!$T$5:$T$104,"&lt;&gt;"))</f>
        <v/>
      </c>
      <c r="O53" s="95" t="n"/>
      <c r="P53" s="95" t="n"/>
      <c r="Q53" s="95" t="n"/>
      <c r="R53" s="198">
        <f>IF($A53="","",IF(OR($O53="承認済み",$O53="支払待ち"),$B53+5,IF($O53="支払済み",$S53,"")))</f>
        <v/>
      </c>
      <c r="S53" s="198" t="n"/>
      <c r="T53" s="95" t="n"/>
      <c r="U53" s="95" t="n"/>
      <c r="V53" s="95" t="n"/>
      <c r="W53" s="95" t="n"/>
      <c r="X53" s="131" t="n"/>
    </row>
    <row r="54">
      <c r="A54" s="55" t="n"/>
      <c r="B54" s="198" t="n"/>
      <c r="C54" s="95" t="n"/>
      <c r="D54" s="95" t="n"/>
      <c r="E54" s="95" t="n"/>
      <c r="F54" s="95" t="n"/>
      <c r="G54" s="95" t="n"/>
      <c r="H54" s="95" t="n"/>
      <c r="I54" s="196">
        <f>IF($A54="","",SUMIF('経費明細'!$A$5:$A$104,$A54,'経費明細'!$K$5:$K$104))</f>
        <v/>
      </c>
      <c r="J54" s="196">
        <f>IF($A54="","",SUMIF('経費明細'!$A$5:$A$104,$A54,'経費明細'!$L$5:$L$104))</f>
        <v/>
      </c>
      <c r="K54" s="196" t="n"/>
      <c r="L54" s="196">
        <f>IF($A54="","",MAX(0,$I54-$K54))</f>
        <v/>
      </c>
      <c r="M54" s="197">
        <f>IF($A54="","",COUNTIF('経費明細'!$A$5:$A$104,$A54))</f>
        <v/>
      </c>
      <c r="N54" s="197">
        <f>IF($A54="","",COUNTIFS('経費明細'!$A$5:$A$104,$A54,'経費明細'!$T$5:$T$104,"&lt;&gt;適合",'経費明細'!$T$5:$T$104,"&lt;&gt;"))</f>
        <v/>
      </c>
      <c r="O54" s="95" t="n"/>
      <c r="P54" s="95" t="n"/>
      <c r="Q54" s="95" t="n"/>
      <c r="R54" s="198">
        <f>IF($A54="","",IF(OR($O54="承認済み",$O54="支払待ち"),$B54+5,IF($O54="支払済み",$S54,"")))</f>
        <v/>
      </c>
      <c r="S54" s="198" t="n"/>
      <c r="T54" s="95" t="n"/>
      <c r="U54" s="95" t="n"/>
      <c r="V54" s="95" t="n"/>
      <c r="W54" s="95" t="n"/>
      <c r="X54" s="131" t="n"/>
    </row>
    <row r="55">
      <c r="A55" s="55" t="n"/>
      <c r="B55" s="198" t="n"/>
      <c r="C55" s="95" t="n"/>
      <c r="D55" s="95" t="n"/>
      <c r="E55" s="95" t="n"/>
      <c r="F55" s="95" t="n"/>
      <c r="G55" s="95" t="n"/>
      <c r="H55" s="95" t="n"/>
      <c r="I55" s="196">
        <f>IF($A55="","",SUMIF('経費明細'!$A$5:$A$104,$A55,'経費明細'!$K$5:$K$104))</f>
        <v/>
      </c>
      <c r="J55" s="196">
        <f>IF($A55="","",SUMIF('経費明細'!$A$5:$A$104,$A55,'経費明細'!$L$5:$L$104))</f>
        <v/>
      </c>
      <c r="K55" s="196" t="n"/>
      <c r="L55" s="196">
        <f>IF($A55="","",MAX(0,$I55-$K55))</f>
        <v/>
      </c>
      <c r="M55" s="197">
        <f>IF($A55="","",COUNTIF('経費明細'!$A$5:$A$104,$A55))</f>
        <v/>
      </c>
      <c r="N55" s="197">
        <f>IF($A55="","",COUNTIFS('経費明細'!$A$5:$A$104,$A55,'経費明細'!$T$5:$T$104,"&lt;&gt;適合",'経費明細'!$T$5:$T$104,"&lt;&gt;"))</f>
        <v/>
      </c>
      <c r="O55" s="95" t="n"/>
      <c r="P55" s="95" t="n"/>
      <c r="Q55" s="95" t="n"/>
      <c r="R55" s="198">
        <f>IF($A55="","",IF(OR($O55="承認済み",$O55="支払待ち"),$B55+5,IF($O55="支払済み",$S55,"")))</f>
        <v/>
      </c>
      <c r="S55" s="198" t="n"/>
      <c r="T55" s="95" t="n"/>
      <c r="U55" s="95" t="n"/>
      <c r="V55" s="95" t="n"/>
      <c r="W55" s="95" t="n"/>
      <c r="X55" s="131" t="n"/>
    </row>
    <row r="56">
      <c r="A56" s="55" t="n"/>
      <c r="B56" s="198" t="n"/>
      <c r="C56" s="95" t="n"/>
      <c r="D56" s="95" t="n"/>
      <c r="E56" s="95" t="n"/>
      <c r="F56" s="95" t="n"/>
      <c r="G56" s="95" t="n"/>
      <c r="H56" s="95" t="n"/>
      <c r="I56" s="196">
        <f>IF($A56="","",SUMIF('経費明細'!$A$5:$A$104,$A56,'経費明細'!$K$5:$K$104))</f>
        <v/>
      </c>
      <c r="J56" s="196">
        <f>IF($A56="","",SUMIF('経費明細'!$A$5:$A$104,$A56,'経費明細'!$L$5:$L$104))</f>
        <v/>
      </c>
      <c r="K56" s="196" t="n"/>
      <c r="L56" s="196">
        <f>IF($A56="","",MAX(0,$I56-$K56))</f>
        <v/>
      </c>
      <c r="M56" s="197">
        <f>IF($A56="","",COUNTIF('経費明細'!$A$5:$A$104,$A56))</f>
        <v/>
      </c>
      <c r="N56" s="197">
        <f>IF($A56="","",COUNTIFS('経費明細'!$A$5:$A$104,$A56,'経費明細'!$T$5:$T$104,"&lt;&gt;適合",'経費明細'!$T$5:$T$104,"&lt;&gt;"))</f>
        <v/>
      </c>
      <c r="O56" s="95" t="n"/>
      <c r="P56" s="95" t="n"/>
      <c r="Q56" s="95" t="n"/>
      <c r="R56" s="198">
        <f>IF($A56="","",IF(OR($O56="承認済み",$O56="支払待ち"),$B56+5,IF($O56="支払済み",$S56,"")))</f>
        <v/>
      </c>
      <c r="S56" s="198" t="n"/>
      <c r="T56" s="95" t="n"/>
      <c r="U56" s="95" t="n"/>
      <c r="V56" s="95" t="n"/>
      <c r="W56" s="95" t="n"/>
      <c r="X56" s="131" t="n"/>
    </row>
    <row r="57">
      <c r="A57" s="55" t="n"/>
      <c r="B57" s="198" t="n"/>
      <c r="C57" s="95" t="n"/>
      <c r="D57" s="95" t="n"/>
      <c r="E57" s="95" t="n"/>
      <c r="F57" s="95" t="n"/>
      <c r="G57" s="95" t="n"/>
      <c r="H57" s="95" t="n"/>
      <c r="I57" s="196">
        <f>IF($A57="","",SUMIF('経費明細'!$A$5:$A$104,$A57,'経費明細'!$K$5:$K$104))</f>
        <v/>
      </c>
      <c r="J57" s="196">
        <f>IF($A57="","",SUMIF('経費明細'!$A$5:$A$104,$A57,'経費明細'!$L$5:$L$104))</f>
        <v/>
      </c>
      <c r="K57" s="196" t="n"/>
      <c r="L57" s="196">
        <f>IF($A57="","",MAX(0,$I57-$K57))</f>
        <v/>
      </c>
      <c r="M57" s="197">
        <f>IF($A57="","",COUNTIF('経費明細'!$A$5:$A$104,$A57))</f>
        <v/>
      </c>
      <c r="N57" s="197">
        <f>IF($A57="","",COUNTIFS('経費明細'!$A$5:$A$104,$A57,'経費明細'!$T$5:$T$104,"&lt;&gt;適合",'経費明細'!$T$5:$T$104,"&lt;&gt;"))</f>
        <v/>
      </c>
      <c r="O57" s="95" t="n"/>
      <c r="P57" s="95" t="n"/>
      <c r="Q57" s="95" t="n"/>
      <c r="R57" s="198">
        <f>IF($A57="","",IF(OR($O57="承認済み",$O57="支払待ち"),$B57+5,IF($O57="支払済み",$S57,"")))</f>
        <v/>
      </c>
      <c r="S57" s="198" t="n"/>
      <c r="T57" s="95" t="n"/>
      <c r="U57" s="95" t="n"/>
      <c r="V57" s="95" t="n"/>
      <c r="W57" s="95" t="n"/>
      <c r="X57" s="131" t="n"/>
    </row>
    <row r="58">
      <c r="A58" s="55" t="n"/>
      <c r="B58" s="198" t="n"/>
      <c r="C58" s="95" t="n"/>
      <c r="D58" s="95" t="n"/>
      <c r="E58" s="95" t="n"/>
      <c r="F58" s="95" t="n"/>
      <c r="G58" s="95" t="n"/>
      <c r="H58" s="95" t="n"/>
      <c r="I58" s="196">
        <f>IF($A58="","",SUMIF('経費明細'!$A$5:$A$104,$A58,'経費明細'!$K$5:$K$104))</f>
        <v/>
      </c>
      <c r="J58" s="196">
        <f>IF($A58="","",SUMIF('経費明細'!$A$5:$A$104,$A58,'経費明細'!$L$5:$L$104))</f>
        <v/>
      </c>
      <c r="K58" s="196" t="n"/>
      <c r="L58" s="196">
        <f>IF($A58="","",MAX(0,$I58-$K58))</f>
        <v/>
      </c>
      <c r="M58" s="197">
        <f>IF($A58="","",COUNTIF('経費明細'!$A$5:$A$104,$A58))</f>
        <v/>
      </c>
      <c r="N58" s="197">
        <f>IF($A58="","",COUNTIFS('経費明細'!$A$5:$A$104,$A58,'経費明細'!$T$5:$T$104,"&lt;&gt;適合",'経費明細'!$T$5:$T$104,"&lt;&gt;"))</f>
        <v/>
      </c>
      <c r="O58" s="95" t="n"/>
      <c r="P58" s="95" t="n"/>
      <c r="Q58" s="95" t="n"/>
      <c r="R58" s="198">
        <f>IF($A58="","",IF(OR($O58="承認済み",$O58="支払待ち"),$B58+5,IF($O58="支払済み",$S58,"")))</f>
        <v/>
      </c>
      <c r="S58" s="198" t="n"/>
      <c r="T58" s="95" t="n"/>
      <c r="U58" s="95" t="n"/>
      <c r="V58" s="95" t="n"/>
      <c r="W58" s="95" t="n"/>
      <c r="X58" s="131" t="n"/>
    </row>
    <row r="59">
      <c r="A59" s="55" t="n"/>
      <c r="B59" s="198" t="n"/>
      <c r="C59" s="95" t="n"/>
      <c r="D59" s="95" t="n"/>
      <c r="E59" s="95" t="n"/>
      <c r="F59" s="95" t="n"/>
      <c r="G59" s="95" t="n"/>
      <c r="H59" s="95" t="n"/>
      <c r="I59" s="196">
        <f>IF($A59="","",SUMIF('経費明細'!$A$5:$A$104,$A59,'経費明細'!$K$5:$K$104))</f>
        <v/>
      </c>
      <c r="J59" s="196">
        <f>IF($A59="","",SUMIF('経費明細'!$A$5:$A$104,$A59,'経費明細'!$L$5:$L$104))</f>
        <v/>
      </c>
      <c r="K59" s="196" t="n"/>
      <c r="L59" s="196">
        <f>IF($A59="","",MAX(0,$I59-$K59))</f>
        <v/>
      </c>
      <c r="M59" s="197">
        <f>IF($A59="","",COUNTIF('経費明細'!$A$5:$A$104,$A59))</f>
        <v/>
      </c>
      <c r="N59" s="197">
        <f>IF($A59="","",COUNTIFS('経費明細'!$A$5:$A$104,$A59,'経費明細'!$T$5:$T$104,"&lt;&gt;適合",'経費明細'!$T$5:$T$104,"&lt;&gt;"))</f>
        <v/>
      </c>
      <c r="O59" s="95" t="n"/>
      <c r="P59" s="95" t="n"/>
      <c r="Q59" s="95" t="n"/>
      <c r="R59" s="198">
        <f>IF($A59="","",IF(OR($O59="承認済み",$O59="支払待ち"),$B59+5,IF($O59="支払済み",$S59,"")))</f>
        <v/>
      </c>
      <c r="S59" s="198" t="n"/>
      <c r="T59" s="95" t="n"/>
      <c r="U59" s="95" t="n"/>
      <c r="V59" s="95" t="n"/>
      <c r="W59" s="95" t="n"/>
      <c r="X59" s="131" t="n"/>
    </row>
    <row r="60">
      <c r="A60" s="55" t="n"/>
      <c r="B60" s="198" t="n"/>
      <c r="C60" s="95" t="n"/>
      <c r="D60" s="95" t="n"/>
      <c r="E60" s="95" t="n"/>
      <c r="F60" s="95" t="n"/>
      <c r="G60" s="95" t="n"/>
      <c r="H60" s="95" t="n"/>
      <c r="I60" s="196">
        <f>IF($A60="","",SUMIF('経費明細'!$A$5:$A$104,$A60,'経費明細'!$K$5:$K$104))</f>
        <v/>
      </c>
      <c r="J60" s="196">
        <f>IF($A60="","",SUMIF('経費明細'!$A$5:$A$104,$A60,'経費明細'!$L$5:$L$104))</f>
        <v/>
      </c>
      <c r="K60" s="196" t="n"/>
      <c r="L60" s="196">
        <f>IF($A60="","",MAX(0,$I60-$K60))</f>
        <v/>
      </c>
      <c r="M60" s="197">
        <f>IF($A60="","",COUNTIF('経費明細'!$A$5:$A$104,$A60))</f>
        <v/>
      </c>
      <c r="N60" s="197">
        <f>IF($A60="","",COUNTIFS('経費明細'!$A$5:$A$104,$A60,'経費明細'!$T$5:$T$104,"&lt;&gt;適合",'経費明細'!$T$5:$T$104,"&lt;&gt;"))</f>
        <v/>
      </c>
      <c r="O60" s="95" t="n"/>
      <c r="P60" s="95" t="n"/>
      <c r="Q60" s="95" t="n"/>
      <c r="R60" s="198">
        <f>IF($A60="","",IF(OR($O60="承認済み",$O60="支払待ち"),$B60+5,IF($O60="支払済み",$S60,"")))</f>
        <v/>
      </c>
      <c r="S60" s="198" t="n"/>
      <c r="T60" s="95" t="n"/>
      <c r="U60" s="95" t="n"/>
      <c r="V60" s="95" t="n"/>
      <c r="W60" s="95" t="n"/>
      <c r="X60" s="131" t="n"/>
    </row>
    <row r="61">
      <c r="A61" s="55" t="n"/>
      <c r="B61" s="198" t="n"/>
      <c r="C61" s="95" t="n"/>
      <c r="D61" s="95" t="n"/>
      <c r="E61" s="95" t="n"/>
      <c r="F61" s="95" t="n"/>
      <c r="G61" s="95" t="n"/>
      <c r="H61" s="95" t="n"/>
      <c r="I61" s="196">
        <f>IF($A61="","",SUMIF('経費明細'!$A$5:$A$104,$A61,'経費明細'!$K$5:$K$104))</f>
        <v/>
      </c>
      <c r="J61" s="196">
        <f>IF($A61="","",SUMIF('経費明細'!$A$5:$A$104,$A61,'経費明細'!$L$5:$L$104))</f>
        <v/>
      </c>
      <c r="K61" s="196" t="n"/>
      <c r="L61" s="196">
        <f>IF($A61="","",MAX(0,$I61-$K61))</f>
        <v/>
      </c>
      <c r="M61" s="197">
        <f>IF($A61="","",COUNTIF('経費明細'!$A$5:$A$104,$A61))</f>
        <v/>
      </c>
      <c r="N61" s="197">
        <f>IF($A61="","",COUNTIFS('経費明細'!$A$5:$A$104,$A61,'経費明細'!$T$5:$T$104,"&lt;&gt;適合",'経費明細'!$T$5:$T$104,"&lt;&gt;"))</f>
        <v/>
      </c>
      <c r="O61" s="95" t="n"/>
      <c r="P61" s="95" t="n"/>
      <c r="Q61" s="95" t="n"/>
      <c r="R61" s="198">
        <f>IF($A61="","",IF(OR($O61="承認済み",$O61="支払待ち"),$B61+5,IF($O61="支払済み",$S61,"")))</f>
        <v/>
      </c>
      <c r="S61" s="198" t="n"/>
      <c r="T61" s="95" t="n"/>
      <c r="U61" s="95" t="n"/>
      <c r="V61" s="95" t="n"/>
      <c r="W61" s="95" t="n"/>
      <c r="X61" s="131" t="n"/>
    </row>
    <row r="62">
      <c r="A62" s="55" t="n"/>
      <c r="B62" s="198" t="n"/>
      <c r="C62" s="95" t="n"/>
      <c r="D62" s="95" t="n"/>
      <c r="E62" s="95" t="n"/>
      <c r="F62" s="95" t="n"/>
      <c r="G62" s="95" t="n"/>
      <c r="H62" s="95" t="n"/>
      <c r="I62" s="196">
        <f>IF($A62="","",SUMIF('経費明細'!$A$5:$A$104,$A62,'経費明細'!$K$5:$K$104))</f>
        <v/>
      </c>
      <c r="J62" s="196">
        <f>IF($A62="","",SUMIF('経費明細'!$A$5:$A$104,$A62,'経費明細'!$L$5:$L$104))</f>
        <v/>
      </c>
      <c r="K62" s="196" t="n"/>
      <c r="L62" s="196">
        <f>IF($A62="","",MAX(0,$I62-$K62))</f>
        <v/>
      </c>
      <c r="M62" s="197">
        <f>IF($A62="","",COUNTIF('経費明細'!$A$5:$A$104,$A62))</f>
        <v/>
      </c>
      <c r="N62" s="197">
        <f>IF($A62="","",COUNTIFS('経費明細'!$A$5:$A$104,$A62,'経費明細'!$T$5:$T$104,"&lt;&gt;適合",'経費明細'!$T$5:$T$104,"&lt;&gt;"))</f>
        <v/>
      </c>
      <c r="O62" s="95" t="n"/>
      <c r="P62" s="95" t="n"/>
      <c r="Q62" s="95" t="n"/>
      <c r="R62" s="198">
        <f>IF($A62="","",IF(OR($O62="承認済み",$O62="支払待ち"),$B62+5,IF($O62="支払済み",$S62,"")))</f>
        <v/>
      </c>
      <c r="S62" s="198" t="n"/>
      <c r="T62" s="95" t="n"/>
      <c r="U62" s="95" t="n"/>
      <c r="V62" s="95" t="n"/>
      <c r="W62" s="95" t="n"/>
      <c r="X62" s="131" t="n"/>
    </row>
    <row r="63">
      <c r="A63" s="55" t="n"/>
      <c r="B63" s="198" t="n"/>
      <c r="C63" s="95" t="n"/>
      <c r="D63" s="95" t="n"/>
      <c r="E63" s="95" t="n"/>
      <c r="F63" s="95" t="n"/>
      <c r="G63" s="95" t="n"/>
      <c r="H63" s="95" t="n"/>
      <c r="I63" s="196">
        <f>IF($A63="","",SUMIF('経費明細'!$A$5:$A$104,$A63,'経費明細'!$K$5:$K$104))</f>
        <v/>
      </c>
      <c r="J63" s="196">
        <f>IF($A63="","",SUMIF('経費明細'!$A$5:$A$104,$A63,'経費明細'!$L$5:$L$104))</f>
        <v/>
      </c>
      <c r="K63" s="196" t="n"/>
      <c r="L63" s="196">
        <f>IF($A63="","",MAX(0,$I63-$K63))</f>
        <v/>
      </c>
      <c r="M63" s="197">
        <f>IF($A63="","",COUNTIF('経費明細'!$A$5:$A$104,$A63))</f>
        <v/>
      </c>
      <c r="N63" s="197">
        <f>IF($A63="","",COUNTIFS('経費明細'!$A$5:$A$104,$A63,'経費明細'!$T$5:$T$104,"&lt;&gt;適合",'経費明細'!$T$5:$T$104,"&lt;&gt;"))</f>
        <v/>
      </c>
      <c r="O63" s="95" t="n"/>
      <c r="P63" s="95" t="n"/>
      <c r="Q63" s="95" t="n"/>
      <c r="R63" s="198">
        <f>IF($A63="","",IF(OR($O63="承認済み",$O63="支払待ち"),$B63+5,IF($O63="支払済み",$S63,"")))</f>
        <v/>
      </c>
      <c r="S63" s="198" t="n"/>
      <c r="T63" s="95" t="n"/>
      <c r="U63" s="95" t="n"/>
      <c r="V63" s="95" t="n"/>
      <c r="W63" s="95" t="n"/>
      <c r="X63" s="131" t="n"/>
    </row>
    <row r="64">
      <c r="A64" s="55" t="n"/>
      <c r="B64" s="198" t="n"/>
      <c r="C64" s="95" t="n"/>
      <c r="D64" s="95" t="n"/>
      <c r="E64" s="95" t="n"/>
      <c r="F64" s="95" t="n"/>
      <c r="G64" s="95" t="n"/>
      <c r="H64" s="95" t="n"/>
      <c r="I64" s="196">
        <f>IF($A64="","",SUMIF('経費明細'!$A$5:$A$104,$A64,'経費明細'!$K$5:$K$104))</f>
        <v/>
      </c>
      <c r="J64" s="196">
        <f>IF($A64="","",SUMIF('経費明細'!$A$5:$A$104,$A64,'経費明細'!$L$5:$L$104))</f>
        <v/>
      </c>
      <c r="K64" s="196" t="n"/>
      <c r="L64" s="196">
        <f>IF($A64="","",MAX(0,$I64-$K64))</f>
        <v/>
      </c>
      <c r="M64" s="197">
        <f>IF($A64="","",COUNTIF('経費明細'!$A$5:$A$104,$A64))</f>
        <v/>
      </c>
      <c r="N64" s="197">
        <f>IF($A64="","",COUNTIFS('経費明細'!$A$5:$A$104,$A64,'経費明細'!$T$5:$T$104,"&lt;&gt;適合",'経費明細'!$T$5:$T$104,"&lt;&gt;"))</f>
        <v/>
      </c>
      <c r="O64" s="95" t="n"/>
      <c r="P64" s="95" t="n"/>
      <c r="Q64" s="95" t="n"/>
      <c r="R64" s="198">
        <f>IF($A64="","",IF(OR($O64="承認済み",$O64="支払待ち"),$B64+5,IF($O64="支払済み",$S64,"")))</f>
        <v/>
      </c>
      <c r="S64" s="198" t="n"/>
      <c r="T64" s="95" t="n"/>
      <c r="U64" s="95" t="n"/>
      <c r="V64" s="95" t="n"/>
      <c r="W64" s="95" t="n"/>
      <c r="X64" s="131" t="n"/>
    </row>
    <row r="65">
      <c r="A65" s="55" t="n"/>
      <c r="B65" s="198" t="n"/>
      <c r="C65" s="95" t="n"/>
      <c r="D65" s="95" t="n"/>
      <c r="E65" s="95" t="n"/>
      <c r="F65" s="95" t="n"/>
      <c r="G65" s="95" t="n"/>
      <c r="H65" s="95" t="n"/>
      <c r="I65" s="196">
        <f>IF($A65="","",SUMIF('経費明細'!$A$5:$A$104,$A65,'経費明細'!$K$5:$K$104))</f>
        <v/>
      </c>
      <c r="J65" s="196">
        <f>IF($A65="","",SUMIF('経費明細'!$A$5:$A$104,$A65,'経費明細'!$L$5:$L$104))</f>
        <v/>
      </c>
      <c r="K65" s="196" t="n"/>
      <c r="L65" s="196">
        <f>IF($A65="","",MAX(0,$I65-$K65))</f>
        <v/>
      </c>
      <c r="M65" s="197">
        <f>IF($A65="","",COUNTIF('経費明細'!$A$5:$A$104,$A65))</f>
        <v/>
      </c>
      <c r="N65" s="197">
        <f>IF($A65="","",COUNTIFS('経費明細'!$A$5:$A$104,$A65,'経費明細'!$T$5:$T$104,"&lt;&gt;適合",'経費明細'!$T$5:$T$104,"&lt;&gt;"))</f>
        <v/>
      </c>
      <c r="O65" s="95" t="n"/>
      <c r="P65" s="95" t="n"/>
      <c r="Q65" s="95" t="n"/>
      <c r="R65" s="198">
        <f>IF($A65="","",IF(OR($O65="承認済み",$O65="支払待ち"),$B65+5,IF($O65="支払済み",$S65,"")))</f>
        <v/>
      </c>
      <c r="S65" s="198" t="n"/>
      <c r="T65" s="95" t="n"/>
      <c r="U65" s="95" t="n"/>
      <c r="V65" s="95" t="n"/>
      <c r="W65" s="95" t="n"/>
      <c r="X65" s="131" t="n"/>
    </row>
    <row r="66">
      <c r="A66" s="55" t="n"/>
      <c r="B66" s="198" t="n"/>
      <c r="C66" s="95" t="n"/>
      <c r="D66" s="95" t="n"/>
      <c r="E66" s="95" t="n"/>
      <c r="F66" s="95" t="n"/>
      <c r="G66" s="95" t="n"/>
      <c r="H66" s="95" t="n"/>
      <c r="I66" s="196">
        <f>IF($A66="","",SUMIF('経費明細'!$A$5:$A$104,$A66,'経費明細'!$K$5:$K$104))</f>
        <v/>
      </c>
      <c r="J66" s="196">
        <f>IF($A66="","",SUMIF('経費明細'!$A$5:$A$104,$A66,'経費明細'!$L$5:$L$104))</f>
        <v/>
      </c>
      <c r="K66" s="196" t="n"/>
      <c r="L66" s="196">
        <f>IF($A66="","",MAX(0,$I66-$K66))</f>
        <v/>
      </c>
      <c r="M66" s="197">
        <f>IF($A66="","",COUNTIF('経費明細'!$A$5:$A$104,$A66))</f>
        <v/>
      </c>
      <c r="N66" s="197">
        <f>IF($A66="","",COUNTIFS('経費明細'!$A$5:$A$104,$A66,'経費明細'!$T$5:$T$104,"&lt;&gt;適合",'経費明細'!$T$5:$T$104,"&lt;&gt;"))</f>
        <v/>
      </c>
      <c r="O66" s="95" t="n"/>
      <c r="P66" s="95" t="n"/>
      <c r="Q66" s="95" t="n"/>
      <c r="R66" s="198">
        <f>IF($A66="","",IF(OR($O66="承認済み",$O66="支払待ち"),$B66+5,IF($O66="支払済み",$S66,"")))</f>
        <v/>
      </c>
      <c r="S66" s="198" t="n"/>
      <c r="T66" s="95" t="n"/>
      <c r="U66" s="95" t="n"/>
      <c r="V66" s="95" t="n"/>
      <c r="W66" s="95" t="n"/>
      <c r="X66" s="131" t="n"/>
    </row>
    <row r="67">
      <c r="A67" s="55" t="n"/>
      <c r="B67" s="198" t="n"/>
      <c r="C67" s="95" t="n"/>
      <c r="D67" s="95" t="n"/>
      <c r="E67" s="95" t="n"/>
      <c r="F67" s="95" t="n"/>
      <c r="G67" s="95" t="n"/>
      <c r="H67" s="95" t="n"/>
      <c r="I67" s="196">
        <f>IF($A67="","",SUMIF('経費明細'!$A$5:$A$104,$A67,'経費明細'!$K$5:$K$104))</f>
        <v/>
      </c>
      <c r="J67" s="196">
        <f>IF($A67="","",SUMIF('経費明細'!$A$5:$A$104,$A67,'経費明細'!$L$5:$L$104))</f>
        <v/>
      </c>
      <c r="K67" s="196" t="n"/>
      <c r="L67" s="196">
        <f>IF($A67="","",MAX(0,$I67-$K67))</f>
        <v/>
      </c>
      <c r="M67" s="197">
        <f>IF($A67="","",COUNTIF('経費明細'!$A$5:$A$104,$A67))</f>
        <v/>
      </c>
      <c r="N67" s="197">
        <f>IF($A67="","",COUNTIFS('経費明細'!$A$5:$A$104,$A67,'経費明細'!$T$5:$T$104,"&lt;&gt;適合",'経費明細'!$T$5:$T$104,"&lt;&gt;"))</f>
        <v/>
      </c>
      <c r="O67" s="95" t="n"/>
      <c r="P67" s="95" t="n"/>
      <c r="Q67" s="95" t="n"/>
      <c r="R67" s="198">
        <f>IF($A67="","",IF(OR($O67="承認済み",$O67="支払待ち"),$B67+5,IF($O67="支払済み",$S67,"")))</f>
        <v/>
      </c>
      <c r="S67" s="198" t="n"/>
      <c r="T67" s="95" t="n"/>
      <c r="U67" s="95" t="n"/>
      <c r="V67" s="95" t="n"/>
      <c r="W67" s="95" t="n"/>
      <c r="X67" s="131" t="n"/>
    </row>
    <row r="68">
      <c r="A68" s="55" t="n"/>
      <c r="B68" s="198" t="n"/>
      <c r="C68" s="95" t="n"/>
      <c r="D68" s="95" t="n"/>
      <c r="E68" s="95" t="n"/>
      <c r="F68" s="95" t="n"/>
      <c r="G68" s="95" t="n"/>
      <c r="H68" s="95" t="n"/>
      <c r="I68" s="196">
        <f>IF($A68="","",SUMIF('経費明細'!$A$5:$A$104,$A68,'経費明細'!$K$5:$K$104))</f>
        <v/>
      </c>
      <c r="J68" s="196">
        <f>IF($A68="","",SUMIF('経費明細'!$A$5:$A$104,$A68,'経費明細'!$L$5:$L$104))</f>
        <v/>
      </c>
      <c r="K68" s="196" t="n"/>
      <c r="L68" s="196">
        <f>IF($A68="","",MAX(0,$I68-$K68))</f>
        <v/>
      </c>
      <c r="M68" s="197">
        <f>IF($A68="","",COUNTIF('経費明細'!$A$5:$A$104,$A68))</f>
        <v/>
      </c>
      <c r="N68" s="197">
        <f>IF($A68="","",COUNTIFS('経費明細'!$A$5:$A$104,$A68,'経費明細'!$T$5:$T$104,"&lt;&gt;適合",'経費明細'!$T$5:$T$104,"&lt;&gt;"))</f>
        <v/>
      </c>
      <c r="O68" s="95" t="n"/>
      <c r="P68" s="95" t="n"/>
      <c r="Q68" s="95" t="n"/>
      <c r="R68" s="198">
        <f>IF($A68="","",IF(OR($O68="承認済み",$O68="支払待ち"),$B68+5,IF($O68="支払済み",$S68,"")))</f>
        <v/>
      </c>
      <c r="S68" s="198" t="n"/>
      <c r="T68" s="95" t="n"/>
      <c r="U68" s="95" t="n"/>
      <c r="V68" s="95" t="n"/>
      <c r="W68" s="95" t="n"/>
      <c r="X68" s="131" t="n"/>
    </row>
    <row r="69">
      <c r="A69" s="55" t="n"/>
      <c r="B69" s="198" t="n"/>
      <c r="C69" s="95" t="n"/>
      <c r="D69" s="95" t="n"/>
      <c r="E69" s="95" t="n"/>
      <c r="F69" s="95" t="n"/>
      <c r="G69" s="95" t="n"/>
      <c r="H69" s="95" t="n"/>
      <c r="I69" s="196">
        <f>IF($A69="","",SUMIF('経費明細'!$A$5:$A$104,$A69,'経費明細'!$K$5:$K$104))</f>
        <v/>
      </c>
      <c r="J69" s="196">
        <f>IF($A69="","",SUMIF('経費明細'!$A$5:$A$104,$A69,'経費明細'!$L$5:$L$104))</f>
        <v/>
      </c>
      <c r="K69" s="196" t="n"/>
      <c r="L69" s="196">
        <f>IF($A69="","",MAX(0,$I69-$K69))</f>
        <v/>
      </c>
      <c r="M69" s="197">
        <f>IF($A69="","",COUNTIF('経費明細'!$A$5:$A$104,$A69))</f>
        <v/>
      </c>
      <c r="N69" s="197">
        <f>IF($A69="","",COUNTIFS('経費明細'!$A$5:$A$104,$A69,'経費明細'!$T$5:$T$104,"&lt;&gt;適合",'経費明細'!$T$5:$T$104,"&lt;&gt;"))</f>
        <v/>
      </c>
      <c r="O69" s="95" t="n"/>
      <c r="P69" s="95" t="n"/>
      <c r="Q69" s="95" t="n"/>
      <c r="R69" s="198">
        <f>IF($A69="","",IF(OR($O69="承認済み",$O69="支払待ち"),$B69+5,IF($O69="支払済み",$S69,"")))</f>
        <v/>
      </c>
      <c r="S69" s="198" t="n"/>
      <c r="T69" s="95" t="n"/>
      <c r="U69" s="95" t="n"/>
      <c r="V69" s="95" t="n"/>
      <c r="W69" s="95" t="n"/>
      <c r="X69" s="131" t="n"/>
    </row>
    <row r="70">
      <c r="A70" s="55" t="n"/>
      <c r="B70" s="198" t="n"/>
      <c r="C70" s="95" t="n"/>
      <c r="D70" s="95" t="n"/>
      <c r="E70" s="95" t="n"/>
      <c r="F70" s="95" t="n"/>
      <c r="G70" s="95" t="n"/>
      <c r="H70" s="95" t="n"/>
      <c r="I70" s="196">
        <f>IF($A70="","",SUMIF('経費明細'!$A$5:$A$104,$A70,'経費明細'!$K$5:$K$104))</f>
        <v/>
      </c>
      <c r="J70" s="196">
        <f>IF($A70="","",SUMIF('経費明細'!$A$5:$A$104,$A70,'経費明細'!$L$5:$L$104))</f>
        <v/>
      </c>
      <c r="K70" s="196" t="n"/>
      <c r="L70" s="196">
        <f>IF($A70="","",MAX(0,$I70-$K70))</f>
        <v/>
      </c>
      <c r="M70" s="197">
        <f>IF($A70="","",COUNTIF('経費明細'!$A$5:$A$104,$A70))</f>
        <v/>
      </c>
      <c r="N70" s="197">
        <f>IF($A70="","",COUNTIFS('経費明細'!$A$5:$A$104,$A70,'経費明細'!$T$5:$T$104,"&lt;&gt;適合",'経費明細'!$T$5:$T$104,"&lt;&gt;"))</f>
        <v/>
      </c>
      <c r="O70" s="95" t="n"/>
      <c r="P70" s="95" t="n"/>
      <c r="Q70" s="95" t="n"/>
      <c r="R70" s="198">
        <f>IF($A70="","",IF(OR($O70="承認済み",$O70="支払待ち"),$B70+5,IF($O70="支払済み",$S70,"")))</f>
        <v/>
      </c>
      <c r="S70" s="198" t="n"/>
      <c r="T70" s="95" t="n"/>
      <c r="U70" s="95" t="n"/>
      <c r="V70" s="95" t="n"/>
      <c r="W70" s="95" t="n"/>
      <c r="X70" s="131" t="n"/>
    </row>
    <row r="71">
      <c r="A71" s="55" t="n"/>
      <c r="B71" s="198" t="n"/>
      <c r="C71" s="95" t="n"/>
      <c r="D71" s="95" t="n"/>
      <c r="E71" s="95" t="n"/>
      <c r="F71" s="95" t="n"/>
      <c r="G71" s="95" t="n"/>
      <c r="H71" s="95" t="n"/>
      <c r="I71" s="196">
        <f>IF($A71="","",SUMIF('経費明細'!$A$5:$A$104,$A71,'経費明細'!$K$5:$K$104))</f>
        <v/>
      </c>
      <c r="J71" s="196">
        <f>IF($A71="","",SUMIF('経費明細'!$A$5:$A$104,$A71,'経費明細'!$L$5:$L$104))</f>
        <v/>
      </c>
      <c r="K71" s="196" t="n"/>
      <c r="L71" s="196">
        <f>IF($A71="","",MAX(0,$I71-$K71))</f>
        <v/>
      </c>
      <c r="M71" s="197">
        <f>IF($A71="","",COUNTIF('経費明細'!$A$5:$A$104,$A71))</f>
        <v/>
      </c>
      <c r="N71" s="197">
        <f>IF($A71="","",COUNTIFS('経費明細'!$A$5:$A$104,$A71,'経費明細'!$T$5:$T$104,"&lt;&gt;適合",'経費明細'!$T$5:$T$104,"&lt;&gt;"))</f>
        <v/>
      </c>
      <c r="O71" s="95" t="n"/>
      <c r="P71" s="95" t="n"/>
      <c r="Q71" s="95" t="n"/>
      <c r="R71" s="198">
        <f>IF($A71="","",IF(OR($O71="承認済み",$O71="支払待ち"),$B71+5,IF($O71="支払済み",$S71,"")))</f>
        <v/>
      </c>
      <c r="S71" s="198" t="n"/>
      <c r="T71" s="95" t="n"/>
      <c r="U71" s="95" t="n"/>
      <c r="V71" s="95" t="n"/>
      <c r="W71" s="95" t="n"/>
      <c r="X71" s="131" t="n"/>
    </row>
    <row r="72">
      <c r="A72" s="55" t="n"/>
      <c r="B72" s="198" t="n"/>
      <c r="C72" s="95" t="n"/>
      <c r="D72" s="95" t="n"/>
      <c r="E72" s="95" t="n"/>
      <c r="F72" s="95" t="n"/>
      <c r="G72" s="95" t="n"/>
      <c r="H72" s="95" t="n"/>
      <c r="I72" s="196">
        <f>IF($A72="","",SUMIF('経費明細'!$A$5:$A$104,$A72,'経費明細'!$K$5:$K$104))</f>
        <v/>
      </c>
      <c r="J72" s="196">
        <f>IF($A72="","",SUMIF('経費明細'!$A$5:$A$104,$A72,'経費明細'!$L$5:$L$104))</f>
        <v/>
      </c>
      <c r="K72" s="196" t="n"/>
      <c r="L72" s="196">
        <f>IF($A72="","",MAX(0,$I72-$K72))</f>
        <v/>
      </c>
      <c r="M72" s="197">
        <f>IF($A72="","",COUNTIF('経費明細'!$A$5:$A$104,$A72))</f>
        <v/>
      </c>
      <c r="N72" s="197">
        <f>IF($A72="","",COUNTIFS('経費明細'!$A$5:$A$104,$A72,'経費明細'!$T$5:$T$104,"&lt;&gt;適合",'経費明細'!$T$5:$T$104,"&lt;&gt;"))</f>
        <v/>
      </c>
      <c r="O72" s="95" t="n"/>
      <c r="P72" s="95" t="n"/>
      <c r="Q72" s="95" t="n"/>
      <c r="R72" s="198">
        <f>IF($A72="","",IF(OR($O72="承認済み",$O72="支払待ち"),$B72+5,IF($O72="支払済み",$S72,"")))</f>
        <v/>
      </c>
      <c r="S72" s="198" t="n"/>
      <c r="T72" s="95" t="n"/>
      <c r="U72" s="95" t="n"/>
      <c r="V72" s="95" t="n"/>
      <c r="W72" s="95" t="n"/>
      <c r="X72" s="131" t="n"/>
    </row>
    <row r="73">
      <c r="A73" s="55" t="n"/>
      <c r="B73" s="198" t="n"/>
      <c r="C73" s="95" t="n"/>
      <c r="D73" s="95" t="n"/>
      <c r="E73" s="95" t="n"/>
      <c r="F73" s="95" t="n"/>
      <c r="G73" s="95" t="n"/>
      <c r="H73" s="95" t="n"/>
      <c r="I73" s="196">
        <f>IF($A73="","",SUMIF('経費明細'!$A$5:$A$104,$A73,'経費明細'!$K$5:$K$104))</f>
        <v/>
      </c>
      <c r="J73" s="196">
        <f>IF($A73="","",SUMIF('経費明細'!$A$5:$A$104,$A73,'経費明細'!$L$5:$L$104))</f>
        <v/>
      </c>
      <c r="K73" s="196" t="n"/>
      <c r="L73" s="196">
        <f>IF($A73="","",MAX(0,$I73-$K73))</f>
        <v/>
      </c>
      <c r="M73" s="197">
        <f>IF($A73="","",COUNTIF('経費明細'!$A$5:$A$104,$A73))</f>
        <v/>
      </c>
      <c r="N73" s="197">
        <f>IF($A73="","",COUNTIFS('経費明細'!$A$5:$A$104,$A73,'経費明細'!$T$5:$T$104,"&lt;&gt;適合",'経費明細'!$T$5:$T$104,"&lt;&gt;"))</f>
        <v/>
      </c>
      <c r="O73" s="95" t="n"/>
      <c r="P73" s="95" t="n"/>
      <c r="Q73" s="95" t="n"/>
      <c r="R73" s="198">
        <f>IF($A73="","",IF(OR($O73="承認済み",$O73="支払待ち"),$B73+5,IF($O73="支払済み",$S73,"")))</f>
        <v/>
      </c>
      <c r="S73" s="198" t="n"/>
      <c r="T73" s="95" t="n"/>
      <c r="U73" s="95" t="n"/>
      <c r="V73" s="95" t="n"/>
      <c r="W73" s="95" t="n"/>
      <c r="X73" s="131" t="n"/>
    </row>
    <row r="74">
      <c r="A74" s="55" t="n"/>
      <c r="B74" s="198" t="n"/>
      <c r="C74" s="95" t="n"/>
      <c r="D74" s="95" t="n"/>
      <c r="E74" s="95" t="n"/>
      <c r="F74" s="95" t="n"/>
      <c r="G74" s="95" t="n"/>
      <c r="H74" s="95" t="n"/>
      <c r="I74" s="196">
        <f>IF($A74="","",SUMIF('経費明細'!$A$5:$A$104,$A74,'経費明細'!$K$5:$K$104))</f>
        <v/>
      </c>
      <c r="J74" s="196">
        <f>IF($A74="","",SUMIF('経費明細'!$A$5:$A$104,$A74,'経費明細'!$L$5:$L$104))</f>
        <v/>
      </c>
      <c r="K74" s="196" t="n"/>
      <c r="L74" s="196">
        <f>IF($A74="","",MAX(0,$I74-$K74))</f>
        <v/>
      </c>
      <c r="M74" s="197">
        <f>IF($A74="","",COUNTIF('経費明細'!$A$5:$A$104,$A74))</f>
        <v/>
      </c>
      <c r="N74" s="197">
        <f>IF($A74="","",COUNTIFS('経費明細'!$A$5:$A$104,$A74,'経費明細'!$T$5:$T$104,"&lt;&gt;適合",'経費明細'!$T$5:$T$104,"&lt;&gt;"))</f>
        <v/>
      </c>
      <c r="O74" s="95" t="n"/>
      <c r="P74" s="95" t="n"/>
      <c r="Q74" s="95" t="n"/>
      <c r="R74" s="198">
        <f>IF($A74="","",IF(OR($O74="承認済み",$O74="支払待ち"),$B74+5,IF($O74="支払済み",$S74,"")))</f>
        <v/>
      </c>
      <c r="S74" s="198" t="n"/>
      <c r="T74" s="95" t="n"/>
      <c r="U74" s="95" t="n"/>
      <c r="V74" s="95" t="n"/>
      <c r="W74" s="95" t="n"/>
      <c r="X74" s="131" t="n"/>
    </row>
    <row r="75">
      <c r="A75" s="55" t="n"/>
      <c r="B75" s="198" t="n"/>
      <c r="C75" s="95" t="n"/>
      <c r="D75" s="95" t="n"/>
      <c r="E75" s="95" t="n"/>
      <c r="F75" s="95" t="n"/>
      <c r="G75" s="95" t="n"/>
      <c r="H75" s="95" t="n"/>
      <c r="I75" s="196">
        <f>IF($A75="","",SUMIF('経費明細'!$A$5:$A$104,$A75,'経費明細'!$K$5:$K$104))</f>
        <v/>
      </c>
      <c r="J75" s="196">
        <f>IF($A75="","",SUMIF('経費明細'!$A$5:$A$104,$A75,'経費明細'!$L$5:$L$104))</f>
        <v/>
      </c>
      <c r="K75" s="196" t="n"/>
      <c r="L75" s="196">
        <f>IF($A75="","",MAX(0,$I75-$K75))</f>
        <v/>
      </c>
      <c r="M75" s="197">
        <f>IF($A75="","",COUNTIF('経費明細'!$A$5:$A$104,$A75))</f>
        <v/>
      </c>
      <c r="N75" s="197">
        <f>IF($A75="","",COUNTIFS('経費明細'!$A$5:$A$104,$A75,'経費明細'!$T$5:$T$104,"&lt;&gt;適合",'経費明細'!$T$5:$T$104,"&lt;&gt;"))</f>
        <v/>
      </c>
      <c r="O75" s="95" t="n"/>
      <c r="P75" s="95" t="n"/>
      <c r="Q75" s="95" t="n"/>
      <c r="R75" s="198">
        <f>IF($A75="","",IF(OR($O75="承認済み",$O75="支払待ち"),$B75+5,IF($O75="支払済み",$S75,"")))</f>
        <v/>
      </c>
      <c r="S75" s="198" t="n"/>
      <c r="T75" s="95" t="n"/>
      <c r="U75" s="95" t="n"/>
      <c r="V75" s="95" t="n"/>
      <c r="W75" s="95" t="n"/>
      <c r="X75" s="131" t="n"/>
    </row>
    <row r="76">
      <c r="A76" s="55" t="n"/>
      <c r="B76" s="198" t="n"/>
      <c r="C76" s="95" t="n"/>
      <c r="D76" s="95" t="n"/>
      <c r="E76" s="95" t="n"/>
      <c r="F76" s="95" t="n"/>
      <c r="G76" s="95" t="n"/>
      <c r="H76" s="95" t="n"/>
      <c r="I76" s="196">
        <f>IF($A76="","",SUMIF('経費明細'!$A$5:$A$104,$A76,'経費明細'!$K$5:$K$104))</f>
        <v/>
      </c>
      <c r="J76" s="196">
        <f>IF($A76="","",SUMIF('経費明細'!$A$5:$A$104,$A76,'経費明細'!$L$5:$L$104))</f>
        <v/>
      </c>
      <c r="K76" s="196" t="n"/>
      <c r="L76" s="196">
        <f>IF($A76="","",MAX(0,$I76-$K76))</f>
        <v/>
      </c>
      <c r="M76" s="197">
        <f>IF($A76="","",COUNTIF('経費明細'!$A$5:$A$104,$A76))</f>
        <v/>
      </c>
      <c r="N76" s="197">
        <f>IF($A76="","",COUNTIFS('経費明細'!$A$5:$A$104,$A76,'経費明細'!$T$5:$T$104,"&lt;&gt;適合",'経費明細'!$T$5:$T$104,"&lt;&gt;"))</f>
        <v/>
      </c>
      <c r="O76" s="95" t="n"/>
      <c r="P76" s="95" t="n"/>
      <c r="Q76" s="95" t="n"/>
      <c r="R76" s="198">
        <f>IF($A76="","",IF(OR($O76="承認済み",$O76="支払待ち"),$B76+5,IF($O76="支払済み",$S76,"")))</f>
        <v/>
      </c>
      <c r="S76" s="198" t="n"/>
      <c r="T76" s="95" t="n"/>
      <c r="U76" s="95" t="n"/>
      <c r="V76" s="95" t="n"/>
      <c r="W76" s="95" t="n"/>
      <c r="X76" s="131" t="n"/>
    </row>
    <row r="77">
      <c r="A77" s="55" t="n"/>
      <c r="B77" s="198" t="n"/>
      <c r="C77" s="95" t="n"/>
      <c r="D77" s="95" t="n"/>
      <c r="E77" s="95" t="n"/>
      <c r="F77" s="95" t="n"/>
      <c r="G77" s="95" t="n"/>
      <c r="H77" s="95" t="n"/>
      <c r="I77" s="196">
        <f>IF($A77="","",SUMIF('経費明細'!$A$5:$A$104,$A77,'経費明細'!$K$5:$K$104))</f>
        <v/>
      </c>
      <c r="J77" s="196">
        <f>IF($A77="","",SUMIF('経費明細'!$A$5:$A$104,$A77,'経費明細'!$L$5:$L$104))</f>
        <v/>
      </c>
      <c r="K77" s="196" t="n"/>
      <c r="L77" s="196">
        <f>IF($A77="","",MAX(0,$I77-$K77))</f>
        <v/>
      </c>
      <c r="M77" s="197">
        <f>IF($A77="","",COUNTIF('経費明細'!$A$5:$A$104,$A77))</f>
        <v/>
      </c>
      <c r="N77" s="197">
        <f>IF($A77="","",COUNTIFS('経費明細'!$A$5:$A$104,$A77,'経費明細'!$T$5:$T$104,"&lt;&gt;適合",'経費明細'!$T$5:$T$104,"&lt;&gt;"))</f>
        <v/>
      </c>
      <c r="O77" s="95" t="n"/>
      <c r="P77" s="95" t="n"/>
      <c r="Q77" s="95" t="n"/>
      <c r="R77" s="198">
        <f>IF($A77="","",IF(OR($O77="承認済み",$O77="支払待ち"),$B77+5,IF($O77="支払済み",$S77,"")))</f>
        <v/>
      </c>
      <c r="S77" s="198" t="n"/>
      <c r="T77" s="95" t="n"/>
      <c r="U77" s="95" t="n"/>
      <c r="V77" s="95" t="n"/>
      <c r="W77" s="95" t="n"/>
      <c r="X77" s="131" t="n"/>
    </row>
    <row r="78">
      <c r="A78" s="55" t="n"/>
      <c r="B78" s="198" t="n"/>
      <c r="C78" s="95" t="n"/>
      <c r="D78" s="95" t="n"/>
      <c r="E78" s="95" t="n"/>
      <c r="F78" s="95" t="n"/>
      <c r="G78" s="95" t="n"/>
      <c r="H78" s="95" t="n"/>
      <c r="I78" s="196">
        <f>IF($A78="","",SUMIF('経費明細'!$A$5:$A$104,$A78,'経費明細'!$K$5:$K$104))</f>
        <v/>
      </c>
      <c r="J78" s="196">
        <f>IF($A78="","",SUMIF('経費明細'!$A$5:$A$104,$A78,'経費明細'!$L$5:$L$104))</f>
        <v/>
      </c>
      <c r="K78" s="196" t="n"/>
      <c r="L78" s="196">
        <f>IF($A78="","",MAX(0,$I78-$K78))</f>
        <v/>
      </c>
      <c r="M78" s="197">
        <f>IF($A78="","",COUNTIF('経費明細'!$A$5:$A$104,$A78))</f>
        <v/>
      </c>
      <c r="N78" s="197">
        <f>IF($A78="","",COUNTIFS('経費明細'!$A$5:$A$104,$A78,'経費明細'!$T$5:$T$104,"&lt;&gt;適合",'経費明細'!$T$5:$T$104,"&lt;&gt;"))</f>
        <v/>
      </c>
      <c r="O78" s="95" t="n"/>
      <c r="P78" s="95" t="n"/>
      <c r="Q78" s="95" t="n"/>
      <c r="R78" s="198">
        <f>IF($A78="","",IF(OR($O78="承認済み",$O78="支払待ち"),$B78+5,IF($O78="支払済み",$S78,"")))</f>
        <v/>
      </c>
      <c r="S78" s="198" t="n"/>
      <c r="T78" s="95" t="n"/>
      <c r="U78" s="95" t="n"/>
      <c r="V78" s="95" t="n"/>
      <c r="W78" s="95" t="n"/>
      <c r="X78" s="131" t="n"/>
    </row>
    <row r="79">
      <c r="A79" s="55" t="n"/>
      <c r="B79" s="198" t="n"/>
      <c r="C79" s="95" t="n"/>
      <c r="D79" s="95" t="n"/>
      <c r="E79" s="95" t="n"/>
      <c r="F79" s="95" t="n"/>
      <c r="G79" s="95" t="n"/>
      <c r="H79" s="95" t="n"/>
      <c r="I79" s="196">
        <f>IF($A79="","",SUMIF('経費明細'!$A$5:$A$104,$A79,'経費明細'!$K$5:$K$104))</f>
        <v/>
      </c>
      <c r="J79" s="196">
        <f>IF($A79="","",SUMIF('経費明細'!$A$5:$A$104,$A79,'経費明細'!$L$5:$L$104))</f>
        <v/>
      </c>
      <c r="K79" s="196" t="n"/>
      <c r="L79" s="196">
        <f>IF($A79="","",MAX(0,$I79-$K79))</f>
        <v/>
      </c>
      <c r="M79" s="197">
        <f>IF($A79="","",COUNTIF('経費明細'!$A$5:$A$104,$A79))</f>
        <v/>
      </c>
      <c r="N79" s="197">
        <f>IF($A79="","",COUNTIFS('経費明細'!$A$5:$A$104,$A79,'経費明細'!$T$5:$T$104,"&lt;&gt;適合",'経費明細'!$T$5:$T$104,"&lt;&gt;"))</f>
        <v/>
      </c>
      <c r="O79" s="95" t="n"/>
      <c r="P79" s="95" t="n"/>
      <c r="Q79" s="95" t="n"/>
      <c r="R79" s="198">
        <f>IF($A79="","",IF(OR($O79="承認済み",$O79="支払待ち"),$B79+5,IF($O79="支払済み",$S79,"")))</f>
        <v/>
      </c>
      <c r="S79" s="198" t="n"/>
      <c r="T79" s="95" t="n"/>
      <c r="U79" s="95" t="n"/>
      <c r="V79" s="95" t="n"/>
      <c r="W79" s="95" t="n"/>
      <c r="X79" s="131" t="n"/>
    </row>
    <row r="80">
      <c r="A80" s="55" t="n"/>
      <c r="B80" s="198" t="n"/>
      <c r="C80" s="95" t="n"/>
      <c r="D80" s="95" t="n"/>
      <c r="E80" s="95" t="n"/>
      <c r="F80" s="95" t="n"/>
      <c r="G80" s="95" t="n"/>
      <c r="H80" s="95" t="n"/>
      <c r="I80" s="196">
        <f>IF($A80="","",SUMIF('経費明細'!$A$5:$A$104,$A80,'経費明細'!$K$5:$K$104))</f>
        <v/>
      </c>
      <c r="J80" s="196">
        <f>IF($A80="","",SUMIF('経費明細'!$A$5:$A$104,$A80,'経費明細'!$L$5:$L$104))</f>
        <v/>
      </c>
      <c r="K80" s="196" t="n"/>
      <c r="L80" s="196">
        <f>IF($A80="","",MAX(0,$I80-$K80))</f>
        <v/>
      </c>
      <c r="M80" s="197">
        <f>IF($A80="","",COUNTIF('経費明細'!$A$5:$A$104,$A80))</f>
        <v/>
      </c>
      <c r="N80" s="197">
        <f>IF($A80="","",COUNTIFS('経費明細'!$A$5:$A$104,$A80,'経費明細'!$T$5:$T$104,"&lt;&gt;適合",'経費明細'!$T$5:$T$104,"&lt;&gt;"))</f>
        <v/>
      </c>
      <c r="O80" s="95" t="n"/>
      <c r="P80" s="95" t="n"/>
      <c r="Q80" s="95" t="n"/>
      <c r="R80" s="198">
        <f>IF($A80="","",IF(OR($O80="承認済み",$O80="支払待ち"),$B80+5,IF($O80="支払済み",$S80,"")))</f>
        <v/>
      </c>
      <c r="S80" s="198" t="n"/>
      <c r="T80" s="95" t="n"/>
      <c r="U80" s="95" t="n"/>
      <c r="V80" s="95" t="n"/>
      <c r="W80" s="95" t="n"/>
      <c r="X80" s="131" t="n"/>
    </row>
    <row r="81">
      <c r="A81" s="55" t="n"/>
      <c r="B81" s="198" t="n"/>
      <c r="C81" s="95" t="n"/>
      <c r="D81" s="95" t="n"/>
      <c r="E81" s="95" t="n"/>
      <c r="F81" s="95" t="n"/>
      <c r="G81" s="95" t="n"/>
      <c r="H81" s="95" t="n"/>
      <c r="I81" s="196">
        <f>IF($A81="","",SUMIF('経費明細'!$A$5:$A$104,$A81,'経費明細'!$K$5:$K$104))</f>
        <v/>
      </c>
      <c r="J81" s="196">
        <f>IF($A81="","",SUMIF('経費明細'!$A$5:$A$104,$A81,'経費明細'!$L$5:$L$104))</f>
        <v/>
      </c>
      <c r="K81" s="196" t="n"/>
      <c r="L81" s="196">
        <f>IF($A81="","",MAX(0,$I81-$K81))</f>
        <v/>
      </c>
      <c r="M81" s="197">
        <f>IF($A81="","",COUNTIF('経費明細'!$A$5:$A$104,$A81))</f>
        <v/>
      </c>
      <c r="N81" s="197">
        <f>IF($A81="","",COUNTIFS('経費明細'!$A$5:$A$104,$A81,'経費明細'!$T$5:$T$104,"&lt;&gt;適合",'経費明細'!$T$5:$T$104,"&lt;&gt;"))</f>
        <v/>
      </c>
      <c r="O81" s="95" t="n"/>
      <c r="P81" s="95" t="n"/>
      <c r="Q81" s="95" t="n"/>
      <c r="R81" s="198">
        <f>IF($A81="","",IF(OR($O81="承認済み",$O81="支払待ち"),$B81+5,IF($O81="支払済み",$S81,"")))</f>
        <v/>
      </c>
      <c r="S81" s="198" t="n"/>
      <c r="T81" s="95" t="n"/>
      <c r="U81" s="95" t="n"/>
      <c r="V81" s="95" t="n"/>
      <c r="W81" s="95" t="n"/>
      <c r="X81" s="131" t="n"/>
    </row>
    <row r="82">
      <c r="A82" s="55" t="n"/>
      <c r="B82" s="198" t="n"/>
      <c r="C82" s="95" t="n"/>
      <c r="D82" s="95" t="n"/>
      <c r="E82" s="95" t="n"/>
      <c r="F82" s="95" t="n"/>
      <c r="G82" s="95" t="n"/>
      <c r="H82" s="95" t="n"/>
      <c r="I82" s="196">
        <f>IF($A82="","",SUMIF('経費明細'!$A$5:$A$104,$A82,'経費明細'!$K$5:$K$104))</f>
        <v/>
      </c>
      <c r="J82" s="196">
        <f>IF($A82="","",SUMIF('経費明細'!$A$5:$A$104,$A82,'経費明細'!$L$5:$L$104))</f>
        <v/>
      </c>
      <c r="K82" s="196" t="n"/>
      <c r="L82" s="196">
        <f>IF($A82="","",MAX(0,$I82-$K82))</f>
        <v/>
      </c>
      <c r="M82" s="197">
        <f>IF($A82="","",COUNTIF('経費明細'!$A$5:$A$104,$A82))</f>
        <v/>
      </c>
      <c r="N82" s="197">
        <f>IF($A82="","",COUNTIFS('経費明細'!$A$5:$A$104,$A82,'経費明細'!$T$5:$T$104,"&lt;&gt;適合",'経費明細'!$T$5:$T$104,"&lt;&gt;"))</f>
        <v/>
      </c>
      <c r="O82" s="95" t="n"/>
      <c r="P82" s="95" t="n"/>
      <c r="Q82" s="95" t="n"/>
      <c r="R82" s="198">
        <f>IF($A82="","",IF(OR($O82="承認済み",$O82="支払待ち"),$B82+5,IF($O82="支払済み",$S82,"")))</f>
        <v/>
      </c>
      <c r="S82" s="198" t="n"/>
      <c r="T82" s="95" t="n"/>
      <c r="U82" s="95" t="n"/>
      <c r="V82" s="95" t="n"/>
      <c r="W82" s="95" t="n"/>
      <c r="X82" s="131" t="n"/>
    </row>
    <row r="83">
      <c r="A83" s="55" t="n"/>
      <c r="B83" s="198" t="n"/>
      <c r="C83" s="95" t="n"/>
      <c r="D83" s="95" t="n"/>
      <c r="E83" s="95" t="n"/>
      <c r="F83" s="95" t="n"/>
      <c r="G83" s="95" t="n"/>
      <c r="H83" s="95" t="n"/>
      <c r="I83" s="196">
        <f>IF($A83="","",SUMIF('経費明細'!$A$5:$A$104,$A83,'経費明細'!$K$5:$K$104))</f>
        <v/>
      </c>
      <c r="J83" s="196">
        <f>IF($A83="","",SUMIF('経費明細'!$A$5:$A$104,$A83,'経費明細'!$L$5:$L$104))</f>
        <v/>
      </c>
      <c r="K83" s="196" t="n"/>
      <c r="L83" s="196">
        <f>IF($A83="","",MAX(0,$I83-$K83))</f>
        <v/>
      </c>
      <c r="M83" s="197">
        <f>IF($A83="","",COUNTIF('経費明細'!$A$5:$A$104,$A83))</f>
        <v/>
      </c>
      <c r="N83" s="197">
        <f>IF($A83="","",COUNTIFS('経費明細'!$A$5:$A$104,$A83,'経費明細'!$T$5:$T$104,"&lt;&gt;適合",'経費明細'!$T$5:$T$104,"&lt;&gt;"))</f>
        <v/>
      </c>
      <c r="O83" s="95" t="n"/>
      <c r="P83" s="95" t="n"/>
      <c r="Q83" s="95" t="n"/>
      <c r="R83" s="198">
        <f>IF($A83="","",IF(OR($O83="承認済み",$O83="支払待ち"),$B83+5,IF($O83="支払済み",$S83,"")))</f>
        <v/>
      </c>
      <c r="S83" s="198" t="n"/>
      <c r="T83" s="95" t="n"/>
      <c r="U83" s="95" t="n"/>
      <c r="V83" s="95" t="n"/>
      <c r="W83" s="95" t="n"/>
      <c r="X83" s="131" t="n"/>
    </row>
    <row r="84">
      <c r="A84" s="55" t="n"/>
      <c r="B84" s="198" t="n"/>
      <c r="C84" s="95" t="n"/>
      <c r="D84" s="95" t="n"/>
      <c r="E84" s="95" t="n"/>
      <c r="F84" s="95" t="n"/>
      <c r="G84" s="95" t="n"/>
      <c r="H84" s="95" t="n"/>
      <c r="I84" s="196">
        <f>IF($A84="","",SUMIF('経費明細'!$A$5:$A$104,$A84,'経費明細'!$K$5:$K$104))</f>
        <v/>
      </c>
      <c r="J84" s="196">
        <f>IF($A84="","",SUMIF('経費明細'!$A$5:$A$104,$A84,'経費明細'!$L$5:$L$104))</f>
        <v/>
      </c>
      <c r="K84" s="196" t="n"/>
      <c r="L84" s="196">
        <f>IF($A84="","",MAX(0,$I84-$K84))</f>
        <v/>
      </c>
      <c r="M84" s="197">
        <f>IF($A84="","",COUNTIF('経費明細'!$A$5:$A$104,$A84))</f>
        <v/>
      </c>
      <c r="N84" s="197">
        <f>IF($A84="","",COUNTIFS('経費明細'!$A$5:$A$104,$A84,'経費明細'!$T$5:$T$104,"&lt;&gt;適合",'経費明細'!$T$5:$T$104,"&lt;&gt;"))</f>
        <v/>
      </c>
      <c r="O84" s="95" t="n"/>
      <c r="P84" s="95" t="n"/>
      <c r="Q84" s="95" t="n"/>
      <c r="R84" s="198">
        <f>IF($A84="","",IF(OR($O84="承認済み",$O84="支払待ち"),$B84+5,IF($O84="支払済み",$S84,"")))</f>
        <v/>
      </c>
      <c r="S84" s="198" t="n"/>
      <c r="T84" s="95" t="n"/>
      <c r="U84" s="95" t="n"/>
      <c r="V84" s="95" t="n"/>
      <c r="W84" s="95" t="n"/>
      <c r="X84" s="131" t="n"/>
    </row>
    <row r="85">
      <c r="A85" s="55" t="n"/>
      <c r="B85" s="198" t="n"/>
      <c r="C85" s="95" t="n"/>
      <c r="D85" s="95" t="n"/>
      <c r="E85" s="95" t="n"/>
      <c r="F85" s="95" t="n"/>
      <c r="G85" s="95" t="n"/>
      <c r="H85" s="95" t="n"/>
      <c r="I85" s="196">
        <f>IF($A85="","",SUMIF('経費明細'!$A$5:$A$104,$A85,'経費明細'!$K$5:$K$104))</f>
        <v/>
      </c>
      <c r="J85" s="196">
        <f>IF($A85="","",SUMIF('経費明細'!$A$5:$A$104,$A85,'経費明細'!$L$5:$L$104))</f>
        <v/>
      </c>
      <c r="K85" s="196" t="n"/>
      <c r="L85" s="196">
        <f>IF($A85="","",MAX(0,$I85-$K85))</f>
        <v/>
      </c>
      <c r="M85" s="197">
        <f>IF($A85="","",COUNTIF('経費明細'!$A$5:$A$104,$A85))</f>
        <v/>
      </c>
      <c r="N85" s="197">
        <f>IF($A85="","",COUNTIFS('経費明細'!$A$5:$A$104,$A85,'経費明細'!$T$5:$T$104,"&lt;&gt;適合",'経費明細'!$T$5:$T$104,"&lt;&gt;"))</f>
        <v/>
      </c>
      <c r="O85" s="95" t="n"/>
      <c r="P85" s="95" t="n"/>
      <c r="Q85" s="95" t="n"/>
      <c r="R85" s="198">
        <f>IF($A85="","",IF(OR($O85="承認済み",$O85="支払待ち"),$B85+5,IF($O85="支払済み",$S85,"")))</f>
        <v/>
      </c>
      <c r="S85" s="198" t="n"/>
      <c r="T85" s="95" t="n"/>
      <c r="U85" s="95" t="n"/>
      <c r="V85" s="95" t="n"/>
      <c r="W85" s="95" t="n"/>
      <c r="X85" s="131" t="n"/>
    </row>
    <row r="86">
      <c r="A86" s="55" t="n"/>
      <c r="B86" s="198" t="n"/>
      <c r="C86" s="95" t="n"/>
      <c r="D86" s="95" t="n"/>
      <c r="E86" s="95" t="n"/>
      <c r="F86" s="95" t="n"/>
      <c r="G86" s="95" t="n"/>
      <c r="H86" s="95" t="n"/>
      <c r="I86" s="196">
        <f>IF($A86="","",SUMIF('経費明細'!$A$5:$A$104,$A86,'経費明細'!$K$5:$K$104))</f>
        <v/>
      </c>
      <c r="J86" s="196">
        <f>IF($A86="","",SUMIF('経費明細'!$A$5:$A$104,$A86,'経費明細'!$L$5:$L$104))</f>
        <v/>
      </c>
      <c r="K86" s="196" t="n"/>
      <c r="L86" s="196">
        <f>IF($A86="","",MAX(0,$I86-$K86))</f>
        <v/>
      </c>
      <c r="M86" s="197">
        <f>IF($A86="","",COUNTIF('経費明細'!$A$5:$A$104,$A86))</f>
        <v/>
      </c>
      <c r="N86" s="197">
        <f>IF($A86="","",COUNTIFS('経費明細'!$A$5:$A$104,$A86,'経費明細'!$T$5:$T$104,"&lt;&gt;適合",'経費明細'!$T$5:$T$104,"&lt;&gt;"))</f>
        <v/>
      </c>
      <c r="O86" s="95" t="n"/>
      <c r="P86" s="95" t="n"/>
      <c r="Q86" s="95" t="n"/>
      <c r="R86" s="198">
        <f>IF($A86="","",IF(OR($O86="承認済み",$O86="支払待ち"),$B86+5,IF($O86="支払済み",$S86,"")))</f>
        <v/>
      </c>
      <c r="S86" s="198" t="n"/>
      <c r="T86" s="95" t="n"/>
      <c r="U86" s="95" t="n"/>
      <c r="V86" s="95" t="n"/>
      <c r="W86" s="95" t="n"/>
      <c r="X86" s="131" t="n"/>
    </row>
    <row r="87">
      <c r="A87" s="55" t="n"/>
      <c r="B87" s="198" t="n"/>
      <c r="C87" s="95" t="n"/>
      <c r="D87" s="95" t="n"/>
      <c r="E87" s="95" t="n"/>
      <c r="F87" s="95" t="n"/>
      <c r="G87" s="95" t="n"/>
      <c r="H87" s="95" t="n"/>
      <c r="I87" s="196">
        <f>IF($A87="","",SUMIF('経費明細'!$A$5:$A$104,$A87,'経費明細'!$K$5:$K$104))</f>
        <v/>
      </c>
      <c r="J87" s="196">
        <f>IF($A87="","",SUMIF('経費明細'!$A$5:$A$104,$A87,'経費明細'!$L$5:$L$104))</f>
        <v/>
      </c>
      <c r="K87" s="196" t="n"/>
      <c r="L87" s="196">
        <f>IF($A87="","",MAX(0,$I87-$K87))</f>
        <v/>
      </c>
      <c r="M87" s="197">
        <f>IF($A87="","",COUNTIF('経費明細'!$A$5:$A$104,$A87))</f>
        <v/>
      </c>
      <c r="N87" s="197">
        <f>IF($A87="","",COUNTIFS('経費明細'!$A$5:$A$104,$A87,'経費明細'!$T$5:$T$104,"&lt;&gt;適合",'経費明細'!$T$5:$T$104,"&lt;&gt;"))</f>
        <v/>
      </c>
      <c r="O87" s="95" t="n"/>
      <c r="P87" s="95" t="n"/>
      <c r="Q87" s="95" t="n"/>
      <c r="R87" s="198">
        <f>IF($A87="","",IF(OR($O87="承認済み",$O87="支払待ち"),$B87+5,IF($O87="支払済み",$S87,"")))</f>
        <v/>
      </c>
      <c r="S87" s="198" t="n"/>
      <c r="T87" s="95" t="n"/>
      <c r="U87" s="95" t="n"/>
      <c r="V87" s="95" t="n"/>
      <c r="W87" s="95" t="n"/>
      <c r="X87" s="131" t="n"/>
    </row>
    <row r="88">
      <c r="A88" s="55" t="n"/>
      <c r="B88" s="198" t="n"/>
      <c r="C88" s="95" t="n"/>
      <c r="D88" s="95" t="n"/>
      <c r="E88" s="95" t="n"/>
      <c r="F88" s="95" t="n"/>
      <c r="G88" s="95" t="n"/>
      <c r="H88" s="95" t="n"/>
      <c r="I88" s="196">
        <f>IF($A88="","",SUMIF('経費明細'!$A$5:$A$104,$A88,'経費明細'!$K$5:$K$104))</f>
        <v/>
      </c>
      <c r="J88" s="196">
        <f>IF($A88="","",SUMIF('経費明細'!$A$5:$A$104,$A88,'経費明細'!$L$5:$L$104))</f>
        <v/>
      </c>
      <c r="K88" s="196" t="n"/>
      <c r="L88" s="196">
        <f>IF($A88="","",MAX(0,$I88-$K88))</f>
        <v/>
      </c>
      <c r="M88" s="197">
        <f>IF($A88="","",COUNTIF('経費明細'!$A$5:$A$104,$A88))</f>
        <v/>
      </c>
      <c r="N88" s="197">
        <f>IF($A88="","",COUNTIFS('経費明細'!$A$5:$A$104,$A88,'経費明細'!$T$5:$T$104,"&lt;&gt;適合",'経費明細'!$T$5:$T$104,"&lt;&gt;"))</f>
        <v/>
      </c>
      <c r="O88" s="95" t="n"/>
      <c r="P88" s="95" t="n"/>
      <c r="Q88" s="95" t="n"/>
      <c r="R88" s="198">
        <f>IF($A88="","",IF(OR($O88="承認済み",$O88="支払待ち"),$B88+5,IF($O88="支払済み",$S88,"")))</f>
        <v/>
      </c>
      <c r="S88" s="198" t="n"/>
      <c r="T88" s="95" t="n"/>
      <c r="U88" s="95" t="n"/>
      <c r="V88" s="95" t="n"/>
      <c r="W88" s="95" t="n"/>
      <c r="X88" s="131" t="n"/>
    </row>
    <row r="89">
      <c r="A89" s="55" t="n"/>
      <c r="B89" s="198" t="n"/>
      <c r="C89" s="95" t="n"/>
      <c r="D89" s="95" t="n"/>
      <c r="E89" s="95" t="n"/>
      <c r="F89" s="95" t="n"/>
      <c r="G89" s="95" t="n"/>
      <c r="H89" s="95" t="n"/>
      <c r="I89" s="196">
        <f>IF($A89="","",SUMIF('経費明細'!$A$5:$A$104,$A89,'経費明細'!$K$5:$K$104))</f>
        <v/>
      </c>
      <c r="J89" s="196">
        <f>IF($A89="","",SUMIF('経費明細'!$A$5:$A$104,$A89,'経費明細'!$L$5:$L$104))</f>
        <v/>
      </c>
      <c r="K89" s="196" t="n"/>
      <c r="L89" s="196">
        <f>IF($A89="","",MAX(0,$I89-$K89))</f>
        <v/>
      </c>
      <c r="M89" s="197">
        <f>IF($A89="","",COUNTIF('経費明細'!$A$5:$A$104,$A89))</f>
        <v/>
      </c>
      <c r="N89" s="197">
        <f>IF($A89="","",COUNTIFS('経費明細'!$A$5:$A$104,$A89,'経費明細'!$T$5:$T$104,"&lt;&gt;適合",'経費明細'!$T$5:$T$104,"&lt;&gt;"))</f>
        <v/>
      </c>
      <c r="O89" s="95" t="n"/>
      <c r="P89" s="95" t="n"/>
      <c r="Q89" s="95" t="n"/>
      <c r="R89" s="198">
        <f>IF($A89="","",IF(OR($O89="承認済み",$O89="支払待ち"),$B89+5,IF($O89="支払済み",$S89,"")))</f>
        <v/>
      </c>
      <c r="S89" s="198" t="n"/>
      <c r="T89" s="95" t="n"/>
      <c r="U89" s="95" t="n"/>
      <c r="V89" s="95" t="n"/>
      <c r="W89" s="95" t="n"/>
      <c r="X89" s="131" t="n"/>
    </row>
    <row r="90">
      <c r="A90" s="55" t="n"/>
      <c r="B90" s="198" t="n"/>
      <c r="C90" s="95" t="n"/>
      <c r="D90" s="95" t="n"/>
      <c r="E90" s="95" t="n"/>
      <c r="F90" s="95" t="n"/>
      <c r="G90" s="95" t="n"/>
      <c r="H90" s="95" t="n"/>
      <c r="I90" s="196">
        <f>IF($A90="","",SUMIF('経費明細'!$A$5:$A$104,$A90,'経費明細'!$K$5:$K$104))</f>
        <v/>
      </c>
      <c r="J90" s="196">
        <f>IF($A90="","",SUMIF('経費明細'!$A$5:$A$104,$A90,'経費明細'!$L$5:$L$104))</f>
        <v/>
      </c>
      <c r="K90" s="196" t="n"/>
      <c r="L90" s="196">
        <f>IF($A90="","",MAX(0,$I90-$K90))</f>
        <v/>
      </c>
      <c r="M90" s="197">
        <f>IF($A90="","",COUNTIF('経費明細'!$A$5:$A$104,$A90))</f>
        <v/>
      </c>
      <c r="N90" s="197">
        <f>IF($A90="","",COUNTIFS('経費明細'!$A$5:$A$104,$A90,'経費明細'!$T$5:$T$104,"&lt;&gt;適合",'経費明細'!$T$5:$T$104,"&lt;&gt;"))</f>
        <v/>
      </c>
      <c r="O90" s="95" t="n"/>
      <c r="P90" s="95" t="n"/>
      <c r="Q90" s="95" t="n"/>
      <c r="R90" s="198">
        <f>IF($A90="","",IF(OR($O90="承認済み",$O90="支払待ち"),$B90+5,IF($O90="支払済み",$S90,"")))</f>
        <v/>
      </c>
      <c r="S90" s="198" t="n"/>
      <c r="T90" s="95" t="n"/>
      <c r="U90" s="95" t="n"/>
      <c r="V90" s="95" t="n"/>
      <c r="W90" s="95" t="n"/>
      <c r="X90" s="131" t="n"/>
    </row>
    <row r="91">
      <c r="A91" s="55" t="n"/>
      <c r="B91" s="198" t="n"/>
      <c r="C91" s="95" t="n"/>
      <c r="D91" s="95" t="n"/>
      <c r="E91" s="95" t="n"/>
      <c r="F91" s="95" t="n"/>
      <c r="G91" s="95" t="n"/>
      <c r="H91" s="95" t="n"/>
      <c r="I91" s="196">
        <f>IF($A91="","",SUMIF('経費明細'!$A$5:$A$104,$A91,'経費明細'!$K$5:$K$104))</f>
        <v/>
      </c>
      <c r="J91" s="196">
        <f>IF($A91="","",SUMIF('経費明細'!$A$5:$A$104,$A91,'経費明細'!$L$5:$L$104))</f>
        <v/>
      </c>
      <c r="K91" s="196" t="n"/>
      <c r="L91" s="196">
        <f>IF($A91="","",MAX(0,$I91-$K91))</f>
        <v/>
      </c>
      <c r="M91" s="197">
        <f>IF($A91="","",COUNTIF('経費明細'!$A$5:$A$104,$A91))</f>
        <v/>
      </c>
      <c r="N91" s="197">
        <f>IF($A91="","",COUNTIFS('経費明細'!$A$5:$A$104,$A91,'経費明細'!$T$5:$T$104,"&lt;&gt;適合",'経費明細'!$T$5:$T$104,"&lt;&gt;"))</f>
        <v/>
      </c>
      <c r="O91" s="95" t="n"/>
      <c r="P91" s="95" t="n"/>
      <c r="Q91" s="95" t="n"/>
      <c r="R91" s="198">
        <f>IF($A91="","",IF(OR($O91="承認済み",$O91="支払待ち"),$B91+5,IF($O91="支払済み",$S91,"")))</f>
        <v/>
      </c>
      <c r="S91" s="198" t="n"/>
      <c r="T91" s="95" t="n"/>
      <c r="U91" s="95" t="n"/>
      <c r="V91" s="95" t="n"/>
      <c r="W91" s="95" t="n"/>
      <c r="X91" s="131" t="n"/>
    </row>
    <row r="92">
      <c r="A92" s="55" t="n"/>
      <c r="B92" s="198" t="n"/>
      <c r="C92" s="95" t="n"/>
      <c r="D92" s="95" t="n"/>
      <c r="E92" s="95" t="n"/>
      <c r="F92" s="95" t="n"/>
      <c r="G92" s="95" t="n"/>
      <c r="H92" s="95" t="n"/>
      <c r="I92" s="196">
        <f>IF($A92="","",SUMIF('経費明細'!$A$5:$A$104,$A92,'経費明細'!$K$5:$K$104))</f>
        <v/>
      </c>
      <c r="J92" s="196">
        <f>IF($A92="","",SUMIF('経費明細'!$A$5:$A$104,$A92,'経費明細'!$L$5:$L$104))</f>
        <v/>
      </c>
      <c r="K92" s="196" t="n"/>
      <c r="L92" s="196">
        <f>IF($A92="","",MAX(0,$I92-$K92))</f>
        <v/>
      </c>
      <c r="M92" s="197">
        <f>IF($A92="","",COUNTIF('経費明細'!$A$5:$A$104,$A92))</f>
        <v/>
      </c>
      <c r="N92" s="197">
        <f>IF($A92="","",COUNTIFS('経費明細'!$A$5:$A$104,$A92,'経費明細'!$T$5:$T$104,"&lt;&gt;適合",'経費明細'!$T$5:$T$104,"&lt;&gt;"))</f>
        <v/>
      </c>
      <c r="O92" s="95" t="n"/>
      <c r="P92" s="95" t="n"/>
      <c r="Q92" s="95" t="n"/>
      <c r="R92" s="198">
        <f>IF($A92="","",IF(OR($O92="承認済み",$O92="支払待ち"),$B92+5,IF($O92="支払済み",$S92,"")))</f>
        <v/>
      </c>
      <c r="S92" s="198" t="n"/>
      <c r="T92" s="95" t="n"/>
      <c r="U92" s="95" t="n"/>
      <c r="V92" s="95" t="n"/>
      <c r="W92" s="95" t="n"/>
      <c r="X92" s="131" t="n"/>
    </row>
    <row r="93">
      <c r="A93" s="55" t="n"/>
      <c r="B93" s="198" t="n"/>
      <c r="C93" s="95" t="n"/>
      <c r="D93" s="95" t="n"/>
      <c r="E93" s="95" t="n"/>
      <c r="F93" s="95" t="n"/>
      <c r="G93" s="95" t="n"/>
      <c r="H93" s="95" t="n"/>
      <c r="I93" s="196">
        <f>IF($A93="","",SUMIF('経費明細'!$A$5:$A$104,$A93,'経費明細'!$K$5:$K$104))</f>
        <v/>
      </c>
      <c r="J93" s="196">
        <f>IF($A93="","",SUMIF('経費明細'!$A$5:$A$104,$A93,'経費明細'!$L$5:$L$104))</f>
        <v/>
      </c>
      <c r="K93" s="196" t="n"/>
      <c r="L93" s="196">
        <f>IF($A93="","",MAX(0,$I93-$K93))</f>
        <v/>
      </c>
      <c r="M93" s="197">
        <f>IF($A93="","",COUNTIF('経費明細'!$A$5:$A$104,$A93))</f>
        <v/>
      </c>
      <c r="N93" s="197">
        <f>IF($A93="","",COUNTIFS('経費明細'!$A$5:$A$104,$A93,'経費明細'!$T$5:$T$104,"&lt;&gt;適合",'経費明細'!$T$5:$T$104,"&lt;&gt;"))</f>
        <v/>
      </c>
      <c r="O93" s="95" t="n"/>
      <c r="P93" s="95" t="n"/>
      <c r="Q93" s="95" t="n"/>
      <c r="R93" s="198">
        <f>IF($A93="","",IF(OR($O93="承認済み",$O93="支払待ち"),$B93+5,IF($O93="支払済み",$S93,"")))</f>
        <v/>
      </c>
      <c r="S93" s="198" t="n"/>
      <c r="T93" s="95" t="n"/>
      <c r="U93" s="95" t="n"/>
      <c r="V93" s="95" t="n"/>
      <c r="W93" s="95" t="n"/>
      <c r="X93" s="131" t="n"/>
    </row>
    <row r="94">
      <c r="A94" s="55" t="n"/>
      <c r="B94" s="198" t="n"/>
      <c r="C94" s="95" t="n"/>
      <c r="D94" s="95" t="n"/>
      <c r="E94" s="95" t="n"/>
      <c r="F94" s="95" t="n"/>
      <c r="G94" s="95" t="n"/>
      <c r="H94" s="95" t="n"/>
      <c r="I94" s="196">
        <f>IF($A94="","",SUMIF('経費明細'!$A$5:$A$104,$A94,'経費明細'!$K$5:$K$104))</f>
        <v/>
      </c>
      <c r="J94" s="196">
        <f>IF($A94="","",SUMIF('経費明細'!$A$5:$A$104,$A94,'経費明細'!$L$5:$L$104))</f>
        <v/>
      </c>
      <c r="K94" s="196" t="n"/>
      <c r="L94" s="196">
        <f>IF($A94="","",MAX(0,$I94-$K94))</f>
        <v/>
      </c>
      <c r="M94" s="197">
        <f>IF($A94="","",COUNTIF('経費明細'!$A$5:$A$104,$A94))</f>
        <v/>
      </c>
      <c r="N94" s="197">
        <f>IF($A94="","",COUNTIFS('経費明細'!$A$5:$A$104,$A94,'経費明細'!$T$5:$T$104,"&lt;&gt;適合",'経費明細'!$T$5:$T$104,"&lt;&gt;"))</f>
        <v/>
      </c>
      <c r="O94" s="95" t="n"/>
      <c r="P94" s="95" t="n"/>
      <c r="Q94" s="95" t="n"/>
      <c r="R94" s="198">
        <f>IF($A94="","",IF(OR($O94="承認済み",$O94="支払待ち"),$B94+5,IF($O94="支払済み",$S94,"")))</f>
        <v/>
      </c>
      <c r="S94" s="198" t="n"/>
      <c r="T94" s="95" t="n"/>
      <c r="U94" s="95" t="n"/>
      <c r="V94" s="95" t="n"/>
      <c r="W94" s="95" t="n"/>
      <c r="X94" s="131" t="n"/>
    </row>
    <row r="95">
      <c r="A95" s="55" t="n"/>
      <c r="B95" s="198" t="n"/>
      <c r="C95" s="95" t="n"/>
      <c r="D95" s="95" t="n"/>
      <c r="E95" s="95" t="n"/>
      <c r="F95" s="95" t="n"/>
      <c r="G95" s="95" t="n"/>
      <c r="H95" s="95" t="n"/>
      <c r="I95" s="196">
        <f>IF($A95="","",SUMIF('経費明細'!$A$5:$A$104,$A95,'経費明細'!$K$5:$K$104))</f>
        <v/>
      </c>
      <c r="J95" s="196">
        <f>IF($A95="","",SUMIF('経費明細'!$A$5:$A$104,$A95,'経費明細'!$L$5:$L$104))</f>
        <v/>
      </c>
      <c r="K95" s="196" t="n"/>
      <c r="L95" s="196">
        <f>IF($A95="","",MAX(0,$I95-$K95))</f>
        <v/>
      </c>
      <c r="M95" s="197">
        <f>IF($A95="","",COUNTIF('経費明細'!$A$5:$A$104,$A95))</f>
        <v/>
      </c>
      <c r="N95" s="197">
        <f>IF($A95="","",COUNTIFS('経費明細'!$A$5:$A$104,$A95,'経費明細'!$T$5:$T$104,"&lt;&gt;適合",'経費明細'!$T$5:$T$104,"&lt;&gt;"))</f>
        <v/>
      </c>
      <c r="O95" s="95" t="n"/>
      <c r="P95" s="95" t="n"/>
      <c r="Q95" s="95" t="n"/>
      <c r="R95" s="198">
        <f>IF($A95="","",IF(OR($O95="承認済み",$O95="支払待ち"),$B95+5,IF($O95="支払済み",$S95,"")))</f>
        <v/>
      </c>
      <c r="S95" s="198" t="n"/>
      <c r="T95" s="95" t="n"/>
      <c r="U95" s="95" t="n"/>
      <c r="V95" s="95" t="n"/>
      <c r="W95" s="95" t="n"/>
      <c r="X95" s="131" t="n"/>
    </row>
    <row r="96">
      <c r="A96" s="55" t="n"/>
      <c r="B96" s="198" t="n"/>
      <c r="C96" s="95" t="n"/>
      <c r="D96" s="95" t="n"/>
      <c r="E96" s="95" t="n"/>
      <c r="F96" s="95" t="n"/>
      <c r="G96" s="95" t="n"/>
      <c r="H96" s="95" t="n"/>
      <c r="I96" s="196">
        <f>IF($A96="","",SUMIF('経費明細'!$A$5:$A$104,$A96,'経費明細'!$K$5:$K$104))</f>
        <v/>
      </c>
      <c r="J96" s="196">
        <f>IF($A96="","",SUMIF('経費明細'!$A$5:$A$104,$A96,'経費明細'!$L$5:$L$104))</f>
        <v/>
      </c>
      <c r="K96" s="196" t="n"/>
      <c r="L96" s="196">
        <f>IF($A96="","",MAX(0,$I96-$K96))</f>
        <v/>
      </c>
      <c r="M96" s="197">
        <f>IF($A96="","",COUNTIF('経費明細'!$A$5:$A$104,$A96))</f>
        <v/>
      </c>
      <c r="N96" s="197">
        <f>IF($A96="","",COUNTIFS('経費明細'!$A$5:$A$104,$A96,'経費明細'!$T$5:$T$104,"&lt;&gt;適合",'経費明細'!$T$5:$T$104,"&lt;&gt;"))</f>
        <v/>
      </c>
      <c r="O96" s="95" t="n"/>
      <c r="P96" s="95" t="n"/>
      <c r="Q96" s="95" t="n"/>
      <c r="R96" s="198">
        <f>IF($A96="","",IF(OR($O96="承認済み",$O96="支払待ち"),$B96+5,IF($O96="支払済み",$S96,"")))</f>
        <v/>
      </c>
      <c r="S96" s="198" t="n"/>
      <c r="T96" s="95" t="n"/>
      <c r="U96" s="95" t="n"/>
      <c r="V96" s="95" t="n"/>
      <c r="W96" s="95" t="n"/>
      <c r="X96" s="131" t="n"/>
    </row>
    <row r="97">
      <c r="A97" s="55" t="n"/>
      <c r="B97" s="198" t="n"/>
      <c r="C97" s="95" t="n"/>
      <c r="D97" s="95" t="n"/>
      <c r="E97" s="95" t="n"/>
      <c r="F97" s="95" t="n"/>
      <c r="G97" s="95" t="n"/>
      <c r="H97" s="95" t="n"/>
      <c r="I97" s="196">
        <f>IF($A97="","",SUMIF('経費明細'!$A$5:$A$104,$A97,'経費明細'!$K$5:$K$104))</f>
        <v/>
      </c>
      <c r="J97" s="196">
        <f>IF($A97="","",SUMIF('経費明細'!$A$5:$A$104,$A97,'経費明細'!$L$5:$L$104))</f>
        <v/>
      </c>
      <c r="K97" s="196" t="n"/>
      <c r="L97" s="196">
        <f>IF($A97="","",MAX(0,$I97-$K97))</f>
        <v/>
      </c>
      <c r="M97" s="197">
        <f>IF($A97="","",COUNTIF('経費明細'!$A$5:$A$104,$A97))</f>
        <v/>
      </c>
      <c r="N97" s="197">
        <f>IF($A97="","",COUNTIFS('経費明細'!$A$5:$A$104,$A97,'経費明細'!$T$5:$T$104,"&lt;&gt;適合",'経費明細'!$T$5:$T$104,"&lt;&gt;"))</f>
        <v/>
      </c>
      <c r="O97" s="95" t="n"/>
      <c r="P97" s="95" t="n"/>
      <c r="Q97" s="95" t="n"/>
      <c r="R97" s="198">
        <f>IF($A97="","",IF(OR($O97="承認済み",$O97="支払待ち"),$B97+5,IF($O97="支払済み",$S97,"")))</f>
        <v/>
      </c>
      <c r="S97" s="198" t="n"/>
      <c r="T97" s="95" t="n"/>
      <c r="U97" s="95" t="n"/>
      <c r="V97" s="95" t="n"/>
      <c r="W97" s="95" t="n"/>
      <c r="X97" s="131" t="n"/>
    </row>
    <row r="98">
      <c r="A98" s="55" t="n"/>
      <c r="B98" s="198" t="n"/>
      <c r="C98" s="95" t="n"/>
      <c r="D98" s="95" t="n"/>
      <c r="E98" s="95" t="n"/>
      <c r="F98" s="95" t="n"/>
      <c r="G98" s="95" t="n"/>
      <c r="H98" s="95" t="n"/>
      <c r="I98" s="196">
        <f>IF($A98="","",SUMIF('経費明細'!$A$5:$A$104,$A98,'経費明細'!$K$5:$K$104))</f>
        <v/>
      </c>
      <c r="J98" s="196">
        <f>IF($A98="","",SUMIF('経費明細'!$A$5:$A$104,$A98,'経費明細'!$L$5:$L$104))</f>
        <v/>
      </c>
      <c r="K98" s="196" t="n"/>
      <c r="L98" s="196">
        <f>IF($A98="","",MAX(0,$I98-$K98))</f>
        <v/>
      </c>
      <c r="M98" s="197">
        <f>IF($A98="","",COUNTIF('経費明細'!$A$5:$A$104,$A98))</f>
        <v/>
      </c>
      <c r="N98" s="197">
        <f>IF($A98="","",COUNTIFS('経費明細'!$A$5:$A$104,$A98,'経費明細'!$T$5:$T$104,"&lt;&gt;適合",'経費明細'!$T$5:$T$104,"&lt;&gt;"))</f>
        <v/>
      </c>
      <c r="O98" s="95" t="n"/>
      <c r="P98" s="95" t="n"/>
      <c r="Q98" s="95" t="n"/>
      <c r="R98" s="198">
        <f>IF($A98="","",IF(OR($O98="承認済み",$O98="支払待ち"),$B98+5,IF($O98="支払済み",$S98,"")))</f>
        <v/>
      </c>
      <c r="S98" s="198" t="n"/>
      <c r="T98" s="95" t="n"/>
      <c r="U98" s="95" t="n"/>
      <c r="V98" s="95" t="n"/>
      <c r="W98" s="95" t="n"/>
      <c r="X98" s="131" t="n"/>
    </row>
    <row r="99">
      <c r="A99" s="55" t="n"/>
      <c r="B99" s="198" t="n"/>
      <c r="C99" s="95" t="n"/>
      <c r="D99" s="95" t="n"/>
      <c r="E99" s="95" t="n"/>
      <c r="F99" s="95" t="n"/>
      <c r="G99" s="95" t="n"/>
      <c r="H99" s="95" t="n"/>
      <c r="I99" s="196">
        <f>IF($A99="","",SUMIF('経費明細'!$A$5:$A$104,$A99,'経費明細'!$K$5:$K$104))</f>
        <v/>
      </c>
      <c r="J99" s="196">
        <f>IF($A99="","",SUMIF('経費明細'!$A$5:$A$104,$A99,'経費明細'!$L$5:$L$104))</f>
        <v/>
      </c>
      <c r="K99" s="196" t="n"/>
      <c r="L99" s="196">
        <f>IF($A99="","",MAX(0,$I99-$K99))</f>
        <v/>
      </c>
      <c r="M99" s="197">
        <f>IF($A99="","",COUNTIF('経費明細'!$A$5:$A$104,$A99))</f>
        <v/>
      </c>
      <c r="N99" s="197">
        <f>IF($A99="","",COUNTIFS('経費明細'!$A$5:$A$104,$A99,'経費明細'!$T$5:$T$104,"&lt;&gt;適合",'経費明細'!$T$5:$T$104,"&lt;&gt;"))</f>
        <v/>
      </c>
      <c r="O99" s="95" t="n"/>
      <c r="P99" s="95" t="n"/>
      <c r="Q99" s="95" t="n"/>
      <c r="R99" s="198">
        <f>IF($A99="","",IF(OR($O99="承認済み",$O99="支払待ち"),$B99+5,IF($O99="支払済み",$S99,"")))</f>
        <v/>
      </c>
      <c r="S99" s="198" t="n"/>
      <c r="T99" s="95" t="n"/>
      <c r="U99" s="95" t="n"/>
      <c r="V99" s="95" t="n"/>
      <c r="W99" s="95" t="n"/>
      <c r="X99" s="131" t="n"/>
    </row>
    <row r="100">
      <c r="A100" s="55" t="n"/>
      <c r="B100" s="198" t="n"/>
      <c r="C100" s="95" t="n"/>
      <c r="D100" s="95" t="n"/>
      <c r="E100" s="95" t="n"/>
      <c r="F100" s="95" t="n"/>
      <c r="G100" s="95" t="n"/>
      <c r="H100" s="95" t="n"/>
      <c r="I100" s="196">
        <f>IF($A100="","",SUMIF('経費明細'!$A$5:$A$104,$A100,'経費明細'!$K$5:$K$104))</f>
        <v/>
      </c>
      <c r="J100" s="196">
        <f>IF($A100="","",SUMIF('経費明細'!$A$5:$A$104,$A100,'経費明細'!$L$5:$L$104))</f>
        <v/>
      </c>
      <c r="K100" s="196" t="n"/>
      <c r="L100" s="196">
        <f>IF($A100="","",MAX(0,$I100-$K100))</f>
        <v/>
      </c>
      <c r="M100" s="197">
        <f>IF($A100="","",COUNTIF('経費明細'!$A$5:$A$104,$A100))</f>
        <v/>
      </c>
      <c r="N100" s="197">
        <f>IF($A100="","",COUNTIFS('経費明細'!$A$5:$A$104,$A100,'経費明細'!$T$5:$T$104,"&lt;&gt;適合",'経費明細'!$T$5:$T$104,"&lt;&gt;"))</f>
        <v/>
      </c>
      <c r="O100" s="95" t="n"/>
      <c r="P100" s="95" t="n"/>
      <c r="Q100" s="95" t="n"/>
      <c r="R100" s="198">
        <f>IF($A100="","",IF(OR($O100="承認済み",$O100="支払待ち"),$B100+5,IF($O100="支払済み",$S100,"")))</f>
        <v/>
      </c>
      <c r="S100" s="198" t="n"/>
      <c r="T100" s="95" t="n"/>
      <c r="U100" s="95" t="n"/>
      <c r="V100" s="95" t="n"/>
      <c r="W100" s="95" t="n"/>
      <c r="X100" s="131" t="n"/>
    </row>
    <row r="101">
      <c r="A101" s="55" t="n"/>
      <c r="B101" s="198" t="n"/>
      <c r="C101" s="95" t="n"/>
      <c r="D101" s="95" t="n"/>
      <c r="E101" s="95" t="n"/>
      <c r="F101" s="95" t="n"/>
      <c r="G101" s="95" t="n"/>
      <c r="H101" s="95" t="n"/>
      <c r="I101" s="196">
        <f>IF($A101="","",SUMIF('経費明細'!$A$5:$A$104,$A101,'経費明細'!$K$5:$K$104))</f>
        <v/>
      </c>
      <c r="J101" s="196">
        <f>IF($A101="","",SUMIF('経費明細'!$A$5:$A$104,$A101,'経費明細'!$L$5:$L$104))</f>
        <v/>
      </c>
      <c r="K101" s="196" t="n"/>
      <c r="L101" s="196">
        <f>IF($A101="","",MAX(0,$I101-$K101))</f>
        <v/>
      </c>
      <c r="M101" s="197">
        <f>IF($A101="","",COUNTIF('経費明細'!$A$5:$A$104,$A101))</f>
        <v/>
      </c>
      <c r="N101" s="197">
        <f>IF($A101="","",COUNTIFS('経費明細'!$A$5:$A$104,$A101,'経費明細'!$T$5:$T$104,"&lt;&gt;適合",'経費明細'!$T$5:$T$104,"&lt;&gt;"))</f>
        <v/>
      </c>
      <c r="O101" s="95" t="n"/>
      <c r="P101" s="95" t="n"/>
      <c r="Q101" s="95" t="n"/>
      <c r="R101" s="198">
        <f>IF($A101="","",IF(OR($O101="承認済み",$O101="支払待ち"),$B101+5,IF($O101="支払済み",$S101,"")))</f>
        <v/>
      </c>
      <c r="S101" s="198" t="n"/>
      <c r="T101" s="95" t="n"/>
      <c r="U101" s="95" t="n"/>
      <c r="V101" s="95" t="n"/>
      <c r="W101" s="95" t="n"/>
      <c r="X101" s="131" t="n"/>
    </row>
    <row r="102">
      <c r="A102" s="55" t="n"/>
      <c r="B102" s="198" t="n"/>
      <c r="C102" s="95" t="n"/>
      <c r="D102" s="95" t="n"/>
      <c r="E102" s="95" t="n"/>
      <c r="F102" s="95" t="n"/>
      <c r="G102" s="95" t="n"/>
      <c r="H102" s="95" t="n"/>
      <c r="I102" s="196">
        <f>IF($A102="","",SUMIF('経費明細'!$A$5:$A$104,$A102,'経費明細'!$K$5:$K$104))</f>
        <v/>
      </c>
      <c r="J102" s="196">
        <f>IF($A102="","",SUMIF('経費明細'!$A$5:$A$104,$A102,'経費明細'!$L$5:$L$104))</f>
        <v/>
      </c>
      <c r="K102" s="196" t="n"/>
      <c r="L102" s="196">
        <f>IF($A102="","",MAX(0,$I102-$K102))</f>
        <v/>
      </c>
      <c r="M102" s="197">
        <f>IF($A102="","",COUNTIF('経費明細'!$A$5:$A$104,$A102))</f>
        <v/>
      </c>
      <c r="N102" s="197">
        <f>IF($A102="","",COUNTIFS('経費明細'!$A$5:$A$104,$A102,'経費明細'!$T$5:$T$104,"&lt;&gt;適合",'経費明細'!$T$5:$T$104,"&lt;&gt;"))</f>
        <v/>
      </c>
      <c r="O102" s="95" t="n"/>
      <c r="P102" s="95" t="n"/>
      <c r="Q102" s="95" t="n"/>
      <c r="R102" s="198">
        <f>IF($A102="","",IF(OR($O102="承認済み",$O102="支払待ち"),$B102+5,IF($O102="支払済み",$S102,"")))</f>
        <v/>
      </c>
      <c r="S102" s="198" t="n"/>
      <c r="T102" s="95" t="n"/>
      <c r="U102" s="95" t="n"/>
      <c r="V102" s="95" t="n"/>
      <c r="W102" s="95" t="n"/>
      <c r="X102" s="131" t="n"/>
    </row>
    <row r="103">
      <c r="A103" s="55" t="n"/>
      <c r="B103" s="198" t="n"/>
      <c r="C103" s="95" t="n"/>
      <c r="D103" s="95" t="n"/>
      <c r="E103" s="95" t="n"/>
      <c r="F103" s="95" t="n"/>
      <c r="G103" s="95" t="n"/>
      <c r="H103" s="95" t="n"/>
      <c r="I103" s="196">
        <f>IF($A103="","",SUMIF('経費明細'!$A$5:$A$104,$A103,'経費明細'!$K$5:$K$104))</f>
        <v/>
      </c>
      <c r="J103" s="196">
        <f>IF($A103="","",SUMIF('経費明細'!$A$5:$A$104,$A103,'経費明細'!$L$5:$L$104))</f>
        <v/>
      </c>
      <c r="K103" s="196" t="n"/>
      <c r="L103" s="196">
        <f>IF($A103="","",MAX(0,$I103-$K103))</f>
        <v/>
      </c>
      <c r="M103" s="197">
        <f>IF($A103="","",COUNTIF('経費明細'!$A$5:$A$104,$A103))</f>
        <v/>
      </c>
      <c r="N103" s="197">
        <f>IF($A103="","",COUNTIFS('経費明細'!$A$5:$A$104,$A103,'経費明細'!$T$5:$T$104,"&lt;&gt;適合",'経費明細'!$T$5:$T$104,"&lt;&gt;"))</f>
        <v/>
      </c>
      <c r="O103" s="95" t="n"/>
      <c r="P103" s="95" t="n"/>
      <c r="Q103" s="95" t="n"/>
      <c r="R103" s="198">
        <f>IF($A103="","",IF(OR($O103="承認済み",$O103="支払待ち"),$B103+5,IF($O103="支払済み",$S103,"")))</f>
        <v/>
      </c>
      <c r="S103" s="198" t="n"/>
      <c r="T103" s="95" t="n"/>
      <c r="U103" s="95" t="n"/>
      <c r="V103" s="95" t="n"/>
      <c r="W103" s="95" t="n"/>
      <c r="X103" s="131" t="n"/>
    </row>
    <row r="104">
      <c r="A104" s="57" t="n"/>
      <c r="B104" s="203" t="n"/>
      <c r="C104" s="96" t="n"/>
      <c r="D104" s="96" t="n"/>
      <c r="E104" s="96" t="n"/>
      <c r="F104" s="96" t="n"/>
      <c r="G104" s="96" t="n"/>
      <c r="H104" s="96" t="n"/>
      <c r="I104" s="201">
        <f>IF($A104="","",SUMIF('経費明細'!$A$5:$A$104,$A104,'経費明細'!$K$5:$K$104))</f>
        <v/>
      </c>
      <c r="J104" s="201">
        <f>IF($A104="","",SUMIF('経費明細'!$A$5:$A$104,$A104,'経費明細'!$L$5:$L$104))</f>
        <v/>
      </c>
      <c r="K104" s="201" t="n"/>
      <c r="L104" s="201">
        <f>IF($A104="","",MAX(0,$I104-$K104))</f>
        <v/>
      </c>
      <c r="M104" s="202">
        <f>IF($A104="","",COUNTIF('経費明細'!$A$5:$A$104,$A104))</f>
        <v/>
      </c>
      <c r="N104" s="202">
        <f>IF($A104="","",COUNTIFS('経費明細'!$A$5:$A$104,$A104,'経費明細'!$T$5:$T$104,"&lt;&gt;適合",'経費明細'!$T$5:$T$104,"&lt;&gt;"))</f>
        <v/>
      </c>
      <c r="O104" s="96" t="n"/>
      <c r="P104" s="96" t="n"/>
      <c r="Q104" s="96" t="n"/>
      <c r="R104" s="203">
        <f>IF($A104="","",IF(OR($O104="承認済み",$O104="支払待ち"),$B104+5,IF($O104="支払済み",$S104,"")))</f>
        <v/>
      </c>
      <c r="S104" s="203" t="n"/>
      <c r="T104" s="96" t="n"/>
      <c r="U104" s="96" t="n"/>
      <c r="V104" s="96" t="n"/>
      <c r="W104" s="96" t="n"/>
      <c r="X104" s="132" t="n"/>
    </row>
  </sheetData>
  <mergeCells count="2">
    <mergeCell ref="A2:X2"/>
    <mergeCell ref="A1:X1"/>
  </mergeCells>
  <conditionalFormatting sqref="O5:O104">
    <cfRule type="containsText" priority="1" operator="containsText" dxfId="0" text="支払済み"/>
    <cfRule type="containsText" priority="2" operator="containsText" dxfId="1" text="待"/>
    <cfRule type="containsText" priority="3" operator="containsText" dxfId="2" text="退回"/>
  </conditionalFormatting>
  <conditionalFormatting sqref="N5:N104">
    <cfRule type="expression" priority="4" dxfId="2">
      <formula>AND(LEN($A5)&gt;0,$N5&gt;0)</formula>
    </cfRule>
  </conditionalFormatting>
  <dataValidations count="6">
    <dataValidation sqref="E5:E104" showDropDown="0" showInputMessage="0" showErrorMessage="0" allowBlank="1" type="list">
      <formula1>"営業部,マーケティング部,開発部,オペレーション部,総務部,経理部,人事部,カスタマーサポート部,サプライチェーン部,経営層"</formula1>
    </dataValidation>
    <dataValidation sqref="G5:G104" showDropDown="0" showInputMessage="0" showErrorMessage="0" allowBlank="1" type="list">
      <formula1>"出張精算,顧客接待,備品購入,研修会議,マーケティング施策,福利厚生,リモートワーク,プロジェクト支出,市内交通,その他"</formula1>
    </dataValidation>
    <dataValidation sqref="H5:H104" showDropDown="0" showInputMessage="0" showErrorMessage="0" allowBlank="1" type="list">
      <formula1>"CNY,USD,EUR,GBP,JPY,HKD"</formula1>
    </dataValidation>
    <dataValidation sqref="O5:O104" showDropDown="0" showInputMessage="0" showErrorMessage="0" allowBlank="1" type="list">
      <formula1>"下書き,部門承認待ち,プロジェクト承認待ち,経理確認待ちち,承認済み,支払待ち,支払済み,差し戻し,却下,取消済み"</formula1>
    </dataValidation>
    <dataValidation sqref="T5:T104" showDropDown="0" showInputMessage="0" showErrorMessage="0" allowBlank="1" type="list">
      <formula1>"个人垫付,法人カード,银行转账,現金,第三者決済,仕入先直払い"</formula1>
    </dataValidation>
    <dataValidation sqref="W5:W104" showDropDown="0" showInputMessage="0" showErrorMessage="0" allowBlank="1" type="list">
      <formula1>"完整,添付不足,請求書不足,需补説明"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Y104"/>
  <sheetViews>
    <sheetView showGridLines="0" workbookViewId="0">
      <selection activeCell="A1" sqref="A1"/>
    </sheetView>
  </sheetViews>
  <sheetFormatPr baseColWidth="8" defaultRowHeight="15"/>
  <cols>
    <col width="16" customWidth="1" style="162" min="1" max="1"/>
    <col width="8" customWidth="1" style="162" min="2" max="2"/>
    <col width="12" customWidth="1" style="162" min="3" max="3"/>
    <col width="14" customWidth="1" style="162" min="4" max="4"/>
    <col width="18" customWidth="1" style="162" min="5" max="5"/>
    <col width="14" customWidth="1" style="162" min="6" max="6"/>
    <col width="18" customWidth="1" style="162" min="7" max="9"/>
    <col width="10" customWidth="1" style="162" min="10" max="10"/>
    <col width="12" customWidth="1" style="162" min="11" max="13"/>
    <col width="14" customWidth="1" style="162" min="14" max="14"/>
    <col width="18" customWidth="1" style="162" min="15" max="15"/>
    <col width="16" customWidth="1" style="162" min="16" max="16"/>
    <col width="18" customWidth="1" style="162" min="17" max="17"/>
    <col width="12" customWidth="1" style="162" min="18" max="19"/>
    <col width="14" customWidth="1" style="162" min="20" max="20"/>
    <col width="12" customWidth="1" style="162" min="21" max="21"/>
    <col width="30" customWidth="1" style="162" min="22" max="22"/>
    <col width="12" customWidth="1" style="162" min="23" max="23"/>
    <col width="14" customWidth="1" style="162" min="24" max="24"/>
    <col width="12" customWidth="1" style="162" min="25" max="25"/>
  </cols>
  <sheetData>
    <row r="1" ht="30" customHeight="1" s="162">
      <c r="A1" s="9" t="inlineStr">
        <is>
          <t>経費明細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</row>
    <row r="2" ht="22" customHeight="1" s="162">
      <c r="A2" s="13" t="inlineStr">
        <is>
          <t>費用、請求書、証憑を明細行ごとに記録し、数式で税額、上限、コンプライアンス状態を自動計算します。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</row>
    <row r="3"/>
    <row r="4">
      <c r="A4" s="38" t="inlineStr">
        <is>
          <t>入力例</t>
        </is>
      </c>
      <c r="B4" s="39" t="inlineStr">
        <is>
          <t>入力例</t>
        </is>
      </c>
      <c r="C4" s="39" t="inlineStr">
        <is>
          <t>費用日</t>
        </is>
      </c>
      <c r="D4" s="39" t="inlineStr">
        <is>
          <t>費目</t>
        </is>
      </c>
      <c r="E4" s="39" t="inlineStr">
        <is>
          <t>費目内訳/用途</t>
        </is>
      </c>
      <c r="F4" s="39" t="inlineStr">
        <is>
          <t>業務シーン</t>
        </is>
      </c>
      <c r="G4" s="39" t="inlineStr">
        <is>
          <t>取引先/加盟店</t>
        </is>
      </c>
      <c r="H4" s="39" t="inlineStr">
        <is>
          <t>請求書種別</t>
        </is>
      </c>
      <c r="I4" s="39" t="inlineStr">
        <is>
          <t>入力例</t>
        </is>
      </c>
      <c r="J4" s="39" t="inlineStr">
        <is>
          <t>税率</t>
        </is>
      </c>
      <c r="K4" s="39" t="inlineStr">
        <is>
          <t>含税金額</t>
        </is>
      </c>
      <c r="L4" s="39" t="inlineStr">
        <is>
          <t>控除可能税額</t>
        </is>
      </c>
      <c r="M4" s="39" t="inlineStr">
        <is>
          <t>入力例</t>
        </is>
      </c>
      <c r="N4" s="39" t="inlineStr">
        <is>
          <t>支払方法</t>
        </is>
      </c>
      <c r="O4" s="39" t="inlineStr">
        <is>
          <t>プロジェクト/コストセンター</t>
        </is>
      </c>
      <c r="P4" s="39" t="inlineStr">
        <is>
          <t>顧客転嫁可否</t>
        </is>
      </c>
      <c r="Q4" s="39" t="inlineStr">
        <is>
          <t>入力例</t>
        </is>
      </c>
      <c r="R4" s="39" t="inlineStr">
        <is>
          <t>単価上限</t>
        </is>
      </c>
      <c r="S4" s="39" t="inlineStr">
        <is>
          <t>超過額</t>
        </is>
      </c>
      <c r="T4" s="39" t="inlineStr">
        <is>
          <t>コンプライアンス状態</t>
        </is>
      </c>
      <c r="U4" s="39" t="inlineStr">
        <is>
          <t>追加承認が必要</t>
        </is>
      </c>
      <c r="V4" s="39" t="inlineStr">
        <is>
          <t>備考/説明</t>
        </is>
      </c>
      <c r="W4" s="39" t="inlineStr">
        <is>
          <t>法人カード利用</t>
        </is>
      </c>
      <c r="X4" s="39" t="inlineStr">
        <is>
          <t>請求書認証状態</t>
        </is>
      </c>
      <c r="Y4" s="40" t="inlineStr">
        <is>
          <t>費用帰属月</t>
        </is>
      </c>
    </row>
    <row r="5">
      <c r="A5" s="52" t="inlineStr">
        <is>
          <t>ER-2026-0001</t>
        </is>
      </c>
      <c r="B5" s="94" t="n">
        <v>1</v>
      </c>
      <c r="C5" s="193" t="n">
        <v>46028</v>
      </c>
      <c r="D5" s="94" t="inlineStr">
        <is>
          <t>出張交通費</t>
        </is>
      </c>
      <c r="E5" s="94" t="inlineStr">
        <is>
          <t>新幹線チケット</t>
        </is>
      </c>
      <c r="F5" s="94" t="inlineStr">
        <is>
          <t>出張精算</t>
        </is>
      </c>
      <c r="G5" s="94" t="inlineStr">
        <is>
          <t>鉄道予約サービス</t>
        </is>
      </c>
      <c r="H5" s="94" t="inlineStr">
        <is>
          <t>旅程表/乗車券</t>
        </is>
      </c>
      <c r="I5" s="94" t="inlineStr">
        <is>
          <t>INV-TR-001</t>
        </is>
      </c>
      <c r="J5" s="204" t="n">
        <v>0.09</v>
      </c>
      <c r="K5" s="191" t="n">
        <v>860</v>
      </c>
      <c r="L5" s="191">
        <f>IF($K5="","",ROUND($K5*$J5/(1+$J5),2))</f>
        <v/>
      </c>
      <c r="M5" s="191">
        <f>IF($K5="","",ROUND($K5-$L5,2))</f>
        <v/>
      </c>
      <c r="N5" s="94" t="inlineStr">
        <is>
          <t>立替払い</t>
        </is>
      </c>
      <c r="O5" s="94" t="inlineStr">
        <is>
          <t>CC-SALES-01</t>
        </is>
      </c>
      <c r="P5" s="94" t="inlineStr">
        <is>
          <t>はい</t>
        </is>
      </c>
      <c r="Q5" s="94" t="inlineStr">
        <is>
          <t>ATT-001</t>
        </is>
      </c>
      <c r="R5" s="191">
        <f>IF($D5="","",IFERROR(VLOOKUP($D5,'基本設定'!$K$5:$O$15,2,FALSE),""))</f>
        <v/>
      </c>
      <c r="S5" s="191">
        <f>IF($K5="","",IF($R5="",0,MAX(0,$K5-$R5)))</f>
        <v/>
      </c>
      <c r="T5" s="94">
        <f>IF($A5="","",IF($Q5="","証憑不足",IF($S5&gt;0,"上限超過の説明要","適合")))</f>
        <v/>
      </c>
      <c r="U5" s="94">
        <f>IF($A5="","",IF($T5="適合","いいえ","はい"))</f>
        <v/>
      </c>
      <c r="V5" s="94" t="inlineStr">
        <is>
          <t>東京顧客訪問往復</t>
        </is>
      </c>
      <c r="W5" s="94" t="inlineStr">
        <is>
          <t>いいえ</t>
        </is>
      </c>
      <c r="X5" s="94" t="inlineStr">
        <is>
          <t>認証不要</t>
        </is>
      </c>
      <c r="Y5" s="205">
        <f>IF($C5="","",DATE(YEAR($C5),MONTH($C5),1))</f>
        <v/>
      </c>
    </row>
    <row r="6">
      <c r="A6" s="55" t="inlineStr">
        <is>
          <t>ER-2026-0001</t>
        </is>
      </c>
      <c r="B6" s="95" t="n">
        <v>2</v>
      </c>
      <c r="C6" s="198" t="n">
        <v>46028</v>
      </c>
      <c r="D6" s="95" t="inlineStr">
        <is>
          <t>宿泊費</t>
        </is>
      </c>
      <c r="E6" s="95" t="inlineStr">
        <is>
          <t>ホテル</t>
        </is>
      </c>
      <c r="F6" s="95" t="inlineStr">
        <is>
          <t>出張精算</t>
        </is>
      </c>
      <c r="G6" s="95" t="inlineStr">
        <is>
          <t>東京某ホテル</t>
        </is>
      </c>
      <c r="H6" s="95" t="inlineStr">
        <is>
          <t>一般請求書</t>
        </is>
      </c>
      <c r="I6" s="95" t="inlineStr">
        <is>
          <t>INV-HT-001</t>
        </is>
      </c>
      <c r="J6" s="206" t="n">
        <v>0.06</v>
      </c>
      <c r="K6" s="196" t="n">
        <v>1200</v>
      </c>
      <c r="L6" s="196">
        <f>IF($K6="","",ROUND($K6*$J6/(1+$J6),2))</f>
        <v/>
      </c>
      <c r="M6" s="196">
        <f>IF($K6="","",ROUND($K6-$L6,2))</f>
        <v/>
      </c>
      <c r="N6" s="95" t="inlineStr">
        <is>
          <t>立替払い</t>
        </is>
      </c>
      <c r="O6" s="95" t="inlineStr">
        <is>
          <t>CC-SALES-01</t>
        </is>
      </c>
      <c r="P6" s="95" t="inlineStr">
        <is>
          <t>はい</t>
        </is>
      </c>
      <c r="Q6" s="95" t="inlineStr">
        <is>
          <t>ATT-002</t>
        </is>
      </c>
      <c r="R6" s="196">
        <f>IF($D6="","",IFERROR(VLOOKUP($D6,'基本設定'!$K$5:$O$15,2,FALSE),""))</f>
        <v/>
      </c>
      <c r="S6" s="196">
        <f>IF($K6="","",IF($R6="",0,MAX(0,$K6-$R6)))</f>
        <v/>
      </c>
      <c r="T6" s="95">
        <f>IF($A6="","",IF($Q6="","証憑不足",IF($S6&gt;0,"上限超過の説明要","適合")))</f>
        <v/>
      </c>
      <c r="U6" s="95">
        <f>IF($A6="","",IF($T6="適合","いいえ","はい"))</f>
        <v/>
      </c>
      <c r="V6" s="95" t="inlineStr">
        <is>
          <t>1泊宿泊</t>
        </is>
      </c>
      <c r="W6" s="95" t="inlineStr">
        <is>
          <t>いいえ</t>
        </is>
      </c>
      <c r="X6" s="95" t="inlineStr">
        <is>
          <t>認証待ち</t>
        </is>
      </c>
      <c r="Y6" s="207">
        <f>IF($C6="","",DATE(YEAR($C6),MONTH($C6),1))</f>
        <v/>
      </c>
    </row>
    <row r="7">
      <c r="A7" s="55" t="inlineStr">
        <is>
          <t>ER-2026-0001</t>
        </is>
      </c>
      <c r="B7" s="95" t="n">
        <v>3</v>
      </c>
      <c r="C7" s="198" t="n">
        <v>46029</v>
      </c>
      <c r="D7" s="95" t="inlineStr">
        <is>
          <t>会食接待</t>
        </is>
      </c>
      <c r="E7" s="95" t="inlineStr">
        <is>
          <t>顧客ランチ</t>
        </is>
      </c>
      <c r="F7" s="95" t="inlineStr">
        <is>
          <t>顧客接待</t>
        </is>
      </c>
      <c r="G7" s="95" t="inlineStr">
        <is>
          <t>東京某レストラン</t>
        </is>
      </c>
      <c r="H7" s="95" t="inlineStr">
        <is>
          <t>一般請求書</t>
        </is>
      </c>
      <c r="I7" s="95" t="inlineStr">
        <is>
          <t>INV-ME-001</t>
        </is>
      </c>
      <c r="J7" s="206" t="n">
        <v>0.06</v>
      </c>
      <c r="K7" s="196" t="n">
        <v>300</v>
      </c>
      <c r="L7" s="196">
        <f>IF($K7="","",ROUND($K7*$J7/(1+$J7),2))</f>
        <v/>
      </c>
      <c r="M7" s="196">
        <f>IF($K7="","",ROUND($K7-$L7,2))</f>
        <v/>
      </c>
      <c r="N7" s="95" t="inlineStr">
        <is>
          <t>立替払い</t>
        </is>
      </c>
      <c r="O7" s="95" t="inlineStr">
        <is>
          <t>CC-SALES-01</t>
        </is>
      </c>
      <c r="P7" s="95" t="inlineStr">
        <is>
          <t>はい</t>
        </is>
      </c>
      <c r="Q7" s="95" t="inlineStr">
        <is>
          <t>ATT-003</t>
        </is>
      </c>
      <c r="R7" s="196">
        <f>IF($D7="","",IFERROR(VLOOKUP($D7,'基本設定'!$K$5:$O$15,2,FALSE),""))</f>
        <v/>
      </c>
      <c r="S7" s="196">
        <f>IF($K7="","",IF($R7="",0,MAX(0,$K7-$R7)))</f>
        <v/>
      </c>
      <c r="T7" s="95">
        <f>IF($A7="","",IF($Q7="","証憑不足",IF($S7&gt;0,"上限超過の説明要","適合")))</f>
        <v/>
      </c>
      <c r="U7" s="95">
        <f>IF($A7="","",IF($T7="適合","いいえ","はい"))</f>
        <v/>
      </c>
      <c r="V7" s="95" t="inlineStr">
        <is>
          <t>顧客Aとのプロジェクト打ち合わせ</t>
        </is>
      </c>
      <c r="W7" s="95" t="inlineStr">
        <is>
          <t>いいえ</t>
        </is>
      </c>
      <c r="X7" s="95" t="inlineStr">
        <is>
          <t>認証待ち</t>
        </is>
      </c>
      <c r="Y7" s="207">
        <f>IF($C7="","",DATE(YEAR($C7),MONTH($C7),1))</f>
        <v/>
      </c>
    </row>
    <row r="8">
      <c r="A8" s="55" t="inlineStr">
        <is>
          <t>ER-2026-0002</t>
        </is>
      </c>
      <c r="B8" s="95" t="n">
        <v>1</v>
      </c>
      <c r="C8" s="198" t="n">
        <v>46056</v>
      </c>
      <c r="D8" s="95" t="inlineStr">
        <is>
          <t>事務用品</t>
        </is>
      </c>
      <c r="E8" s="95" t="inlineStr">
        <is>
          <t>印刷用紙/消耗品</t>
        </is>
      </c>
      <c r="F8" s="95" t="inlineStr">
        <is>
          <t>備品購入</t>
        </is>
      </c>
      <c r="G8" s="95" t="inlineStr">
        <is>
          <t>事務用品サプライヤー</t>
        </is>
      </c>
      <c r="H8" s="95" t="inlineStr">
        <is>
          <t>適格請求書</t>
        </is>
      </c>
      <c r="I8" s="95" t="inlineStr">
        <is>
          <t>INV-OF-001</t>
        </is>
      </c>
      <c r="J8" s="206" t="n">
        <v>0.13</v>
      </c>
      <c r="K8" s="196" t="n">
        <v>980</v>
      </c>
      <c r="L8" s="196">
        <f>IF($K8="","",ROUND($K8*$J8/(1+$J8),2))</f>
        <v/>
      </c>
      <c r="M8" s="196">
        <f>IF($K8="","",ROUND($K8-$L8,2))</f>
        <v/>
      </c>
      <c r="N8" s="95" t="inlineStr">
        <is>
          <t>立替払い</t>
        </is>
      </c>
      <c r="O8" s="95" t="inlineStr">
        <is>
          <t>CC-ADMIN-01</t>
        </is>
      </c>
      <c r="P8" s="95" t="inlineStr">
        <is>
          <t>いいえ</t>
        </is>
      </c>
      <c r="Q8" s="95" t="inlineStr">
        <is>
          <t>ATT-004</t>
        </is>
      </c>
      <c r="R8" s="196">
        <f>IF($D8="","",IFERROR(VLOOKUP($D8,'基本設定'!$K$5:$O$15,2,FALSE),""))</f>
        <v/>
      </c>
      <c r="S8" s="196">
        <f>IF($K8="","",IF($R8="",0,MAX(0,$K8-$R8)))</f>
        <v/>
      </c>
      <c r="T8" s="95">
        <f>IF($A8="","",IF($Q8="","証憑不足",IF($S8&gt;0,"上限超過の説明要","適合")))</f>
        <v/>
      </c>
      <c r="U8" s="95">
        <f>IF($A8="","",IF($T8="適合","いいえ","はい"))</f>
        <v/>
      </c>
      <c r="V8" s="95" t="inlineStr">
        <is>
          <t>総務消耗品</t>
        </is>
      </c>
      <c r="W8" s="95" t="inlineStr">
        <is>
          <t>いいえ</t>
        </is>
      </c>
      <c r="X8" s="95" t="inlineStr">
        <is>
          <t>認証待ち</t>
        </is>
      </c>
      <c r="Y8" s="207">
        <f>IF($C8="","",DATE(YEAR($C8),MONTH($C8),1))</f>
        <v/>
      </c>
    </row>
    <row r="9">
      <c r="A9" s="55" t="inlineStr">
        <is>
          <t>ER-2026-0002</t>
        </is>
      </c>
      <c r="B9" s="95" t="n">
        <v>2</v>
      </c>
      <c r="C9" s="198" t="n">
        <v>46056</v>
      </c>
      <c r="D9" s="95" t="inlineStr">
        <is>
          <t>市内交通</t>
        </is>
      </c>
      <c r="E9" s="95" t="inlineStr">
        <is>
          <t>配送料</t>
        </is>
      </c>
      <c r="F9" s="95" t="inlineStr">
        <is>
          <t>備品購入</t>
        </is>
      </c>
      <c r="G9" s="95" t="inlineStr">
        <is>
          <t>都内配送</t>
        </is>
      </c>
      <c r="H9" s="95" t="inlineStr">
        <is>
          <t>電子請求書</t>
        </is>
      </c>
      <c r="I9" s="95" t="inlineStr">
        <is>
          <t>INV-DS-001</t>
        </is>
      </c>
      <c r="J9" s="206" t="n">
        <v>0</v>
      </c>
      <c r="K9" s="196" t="n">
        <v>80</v>
      </c>
      <c r="L9" s="196">
        <f>IF($K9="","",ROUND($K9*$J9/(1+$J9),2))</f>
        <v/>
      </c>
      <c r="M9" s="196">
        <f>IF($K9="","",ROUND($K9-$L9,2))</f>
        <v/>
      </c>
      <c r="N9" s="95" t="inlineStr">
        <is>
          <t>立替払い</t>
        </is>
      </c>
      <c r="O9" s="95" t="inlineStr">
        <is>
          <t>CC-ADMIN-01</t>
        </is>
      </c>
      <c r="P9" s="95" t="inlineStr">
        <is>
          <t>いいえ</t>
        </is>
      </c>
      <c r="Q9" s="95" t="inlineStr">
        <is>
          <t>ATT-005</t>
        </is>
      </c>
      <c r="R9" s="196">
        <f>IF($D9="","",IFERROR(VLOOKUP($D9,'基本設定'!$K$5:$O$15,2,FALSE),""))</f>
        <v/>
      </c>
      <c r="S9" s="196">
        <f>IF($K9="","",IF($R9="",0,MAX(0,$K9-$R9)))</f>
        <v/>
      </c>
      <c r="T9" s="95">
        <f>IF($A9="","",IF($Q9="","証憑不足",IF($S9&gt;0,"上限超過の説明要","適合")))</f>
        <v/>
      </c>
      <c r="U9" s="95">
        <f>IF($A9="","",IF($T9="適合","いいえ","はい"))</f>
        <v/>
      </c>
      <c r="V9" s="95" t="inlineStr">
        <is>
          <t>配送料</t>
        </is>
      </c>
      <c r="W9" s="95" t="inlineStr">
        <is>
          <t>いいえ</t>
        </is>
      </c>
      <c r="X9" s="95" t="inlineStr">
        <is>
          <t>認証不要</t>
        </is>
      </c>
      <c r="Y9" s="207">
        <f>IF($C9="","",DATE(YEAR($C9),MONTH($C9),1))</f>
        <v/>
      </c>
    </row>
    <row r="10">
      <c r="A10" s="55" t="inlineStr">
        <is>
          <t>ER-2026-0003</t>
        </is>
      </c>
      <c r="B10" s="95" t="n">
        <v>1</v>
      </c>
      <c r="C10" s="198" t="n">
        <v>46091</v>
      </c>
      <c r="D10" s="95" t="inlineStr">
        <is>
          <t>会食接待</t>
        </is>
      </c>
      <c r="E10" s="95" t="inlineStr">
        <is>
          <t>顧客ディナー</t>
        </is>
      </c>
      <c r="F10" s="95" t="inlineStr">
        <is>
          <t>顧客接待</t>
        </is>
      </c>
      <c r="G10" s="95" t="inlineStr">
        <is>
          <t>レストラン</t>
        </is>
      </c>
      <c r="H10" s="95" t="inlineStr">
        <is>
          <t>一般請求書</t>
        </is>
      </c>
      <c r="I10" s="95" t="inlineStr">
        <is>
          <t>INV-ME-002</t>
        </is>
      </c>
      <c r="J10" s="206" t="n">
        <v>0.06</v>
      </c>
      <c r="K10" s="196" t="n">
        <v>1800</v>
      </c>
      <c r="L10" s="196">
        <f>IF($K10="","",ROUND($K10*$J10/(1+$J10),2))</f>
        <v/>
      </c>
      <c r="M10" s="196">
        <f>IF($K10="","",ROUND($K10-$L10,2))</f>
        <v/>
      </c>
      <c r="N10" s="95" t="inlineStr">
        <is>
          <t>立替払い</t>
        </is>
      </c>
      <c r="O10" s="95" t="inlineStr">
        <is>
          <t>CC-MKT-02</t>
        </is>
      </c>
      <c r="P10" s="95" t="inlineStr">
        <is>
          <t>いいえ</t>
        </is>
      </c>
      <c r="Q10" s="95" t="n"/>
      <c r="R10" s="196">
        <f>IF($D10="","",IFERROR(VLOOKUP($D10,'基本設定'!$K$5:$O$15,2,FALSE),""))</f>
        <v/>
      </c>
      <c r="S10" s="196">
        <f>IF($K10="","",IF($R10="",0,MAX(0,$K10-$R10)))</f>
        <v/>
      </c>
      <c r="T10" s="95">
        <f>IF($A10="","",IF($Q10="","証憑不足",IF($S10&gt;0,"上限超過の説明要","適合")))</f>
        <v/>
      </c>
      <c r="U10" s="95">
        <f>IF($A10="","",IF($T10="適合","いいえ","はい"))</f>
        <v/>
      </c>
      <c r="V10" s="95" t="inlineStr">
        <is>
          <t>金額上限超過かつ証憑不足</t>
        </is>
      </c>
      <c r="W10" s="95" t="inlineStr">
        <is>
          <t>いいえ</t>
        </is>
      </c>
      <c r="X10" s="95" t="inlineStr">
        <is>
          <t>異常</t>
        </is>
      </c>
      <c r="Y10" s="207">
        <f>IF($C10="","",DATE(YEAR($C10),MONTH($C10),1))</f>
        <v/>
      </c>
    </row>
    <row r="11">
      <c r="A11" s="55" t="inlineStr">
        <is>
          <t>ER-2026-0004</t>
        </is>
      </c>
      <c r="B11" s="95" t="n">
        <v>1</v>
      </c>
      <c r="C11" s="198" t="n">
        <v>46113</v>
      </c>
      <c r="D11" s="95" t="inlineStr">
        <is>
          <t>研修会議</t>
        </is>
      </c>
      <c r="E11" s="95" t="inlineStr">
        <is>
          <t>技術会議参加費</t>
        </is>
      </c>
      <c r="F11" s="95" t="inlineStr">
        <is>
          <t>研修会議</t>
        </is>
      </c>
      <c r="G11" s="95" t="inlineStr">
        <is>
          <t>会議サービス会社</t>
        </is>
      </c>
      <c r="H11" s="95" t="inlineStr">
        <is>
          <t>適格請求書</t>
        </is>
      </c>
      <c r="I11" s="95" t="inlineStr">
        <is>
          <t>INV-TRN-001</t>
        </is>
      </c>
      <c r="J11" s="206" t="n">
        <v>0.06</v>
      </c>
      <c r="K11" s="196" t="n">
        <v>2600</v>
      </c>
      <c r="L11" s="196">
        <f>IF($K11="","",ROUND($K11*$J11/(1+$J11),2))</f>
        <v/>
      </c>
      <c r="M11" s="196">
        <f>IF($K11="","",ROUND($K11-$L11,2))</f>
        <v/>
      </c>
      <c r="N11" s="95" t="inlineStr">
        <is>
          <t>立替払い</t>
        </is>
      </c>
      <c r="O11" s="95" t="inlineStr">
        <is>
          <t>PRJ-AI-01</t>
        </is>
      </c>
      <c r="P11" s="95" t="inlineStr">
        <is>
          <t>いいえ</t>
        </is>
      </c>
      <c r="Q11" s="95" t="inlineStr">
        <is>
          <t>ATT-006</t>
        </is>
      </c>
      <c r="R11" s="196">
        <f>IF($D11="","",IFERROR(VLOOKUP($D11,'基本設定'!$K$5:$O$15,2,FALSE),""))</f>
        <v/>
      </c>
      <c r="S11" s="196">
        <f>IF($K11="","",IF($R11="",0,MAX(0,$K11-$R11)))</f>
        <v/>
      </c>
      <c r="T11" s="95">
        <f>IF($A11="","",IF($Q11="","証憑不足",IF($S11&gt;0,"上限超過の説明要","適合")))</f>
        <v/>
      </c>
      <c r="U11" s="95">
        <f>IF($A11="","",IF($T11="適合","いいえ","はい"))</f>
        <v/>
      </c>
      <c r="V11" s="95" t="inlineStr">
        <is>
          <t>AI技術サミット登録</t>
        </is>
      </c>
      <c r="W11" s="95" t="inlineStr">
        <is>
          <t>いいえ</t>
        </is>
      </c>
      <c r="X11" s="95" t="inlineStr">
        <is>
          <t>認証待ち</t>
        </is>
      </c>
      <c r="Y11" s="207">
        <f>IF($C11="","",DATE(YEAR($C11),MONTH($C11),1))</f>
        <v/>
      </c>
    </row>
    <row r="12">
      <c r="A12" s="55" t="inlineStr">
        <is>
          <t>ER-2026-0004</t>
        </is>
      </c>
      <c r="B12" s="95" t="n">
        <v>2</v>
      </c>
      <c r="C12" s="198" t="n">
        <v>46114</v>
      </c>
      <c r="D12" s="95" t="inlineStr">
        <is>
          <t>出張交通費</t>
        </is>
      </c>
      <c r="E12" s="95" t="inlineStr">
        <is>
          <t>都市間交通</t>
        </is>
      </c>
      <c r="F12" s="95" t="inlineStr">
        <is>
          <t>出張精算</t>
        </is>
      </c>
      <c r="G12" s="95" t="inlineStr">
        <is>
          <t>航空会社</t>
        </is>
      </c>
      <c r="H12" s="95" t="inlineStr">
        <is>
          <t>旅程表/乗車券</t>
        </is>
      </c>
      <c r="I12" s="95" t="inlineStr">
        <is>
          <t>INV-AIR-001</t>
        </is>
      </c>
      <c r="J12" s="206" t="n">
        <v>0.09</v>
      </c>
      <c r="K12" s="196" t="n">
        <v>1280</v>
      </c>
      <c r="L12" s="196">
        <f>IF($K12="","",ROUND($K12*$J12/(1+$J12),2))</f>
        <v/>
      </c>
      <c r="M12" s="196">
        <f>IF($K12="","",ROUND($K12-$L12,2))</f>
        <v/>
      </c>
      <c r="N12" s="95" t="inlineStr">
        <is>
          <t>立替払い</t>
        </is>
      </c>
      <c r="O12" s="95" t="inlineStr">
        <is>
          <t>PRJ-AI-01</t>
        </is>
      </c>
      <c r="P12" s="95" t="inlineStr">
        <is>
          <t>いいえ</t>
        </is>
      </c>
      <c r="Q12" s="95" t="inlineStr">
        <is>
          <t>ATT-007</t>
        </is>
      </c>
      <c r="R12" s="196">
        <f>IF($D12="","",IFERROR(VLOOKUP($D12,'基本設定'!$K$5:$O$15,2,FALSE),""))</f>
        <v/>
      </c>
      <c r="S12" s="196">
        <f>IF($K12="","",IF($R12="",0,MAX(0,$K12-$R12)))</f>
        <v/>
      </c>
      <c r="T12" s="95">
        <f>IF($A12="","",IF($Q12="","証憑不足",IF($S12&gt;0,"上限超過の説明要","適合")))</f>
        <v/>
      </c>
      <c r="U12" s="95">
        <f>IF($A12="","",IF($T12="適合","いいえ","はい"))</f>
        <v/>
      </c>
      <c r="V12" s="95" t="inlineStr">
        <is>
          <t>参加交通費</t>
        </is>
      </c>
      <c r="W12" s="95" t="inlineStr">
        <is>
          <t>いいえ</t>
        </is>
      </c>
      <c r="X12" s="95" t="inlineStr">
        <is>
          <t>認証不要</t>
        </is>
      </c>
      <c r="Y12" s="207">
        <f>IF($C12="","",DATE(YEAR($C12),MONTH($C12),1))</f>
        <v/>
      </c>
    </row>
    <row r="13">
      <c r="A13" s="55" t="inlineStr">
        <is>
          <t>ER-2026-0005</t>
        </is>
      </c>
      <c r="B13" s="95" t="n">
        <v>1</v>
      </c>
      <c r="C13" s="198" t="n">
        <v>46128</v>
      </c>
      <c r="D13" s="95" t="inlineStr">
        <is>
          <t>ソフトウェア/SaaS</t>
        </is>
      </c>
      <c r="E13" s="95" t="inlineStr">
        <is>
          <t>コラボレーションソフト月額費</t>
        </is>
      </c>
      <c r="F13" s="95" t="inlineStr">
        <is>
          <t>リモートワーク</t>
        </is>
      </c>
      <c r="G13" s="95" t="inlineStr">
        <is>
          <t>SaaSベンダー</t>
        </is>
      </c>
      <c r="H13" s="95" t="inlineStr">
        <is>
          <t>電子請求書</t>
        </is>
      </c>
      <c r="I13" s="95" t="inlineStr">
        <is>
          <t>INV-SAAS-001</t>
        </is>
      </c>
      <c r="J13" s="206" t="n">
        <v>0.06</v>
      </c>
      <c r="K13" s="196" t="n">
        <v>560</v>
      </c>
      <c r="L13" s="196">
        <f>IF($K13="","",ROUND($K13*$J13/(1+$J13),2))</f>
        <v/>
      </c>
      <c r="M13" s="196">
        <f>IF($K13="","",ROUND($K13-$L13,2))</f>
        <v/>
      </c>
      <c r="N13" s="95" t="inlineStr">
        <is>
          <t>立替払い</t>
        </is>
      </c>
      <c r="O13" s="95" t="inlineStr">
        <is>
          <t>CC-OPS-01</t>
        </is>
      </c>
      <c r="P13" s="95" t="inlineStr">
        <is>
          <t>いいえ</t>
        </is>
      </c>
      <c r="Q13" s="95" t="inlineStr">
        <is>
          <t>ATT-008</t>
        </is>
      </c>
      <c r="R13" s="196">
        <f>IF($D13="","",IFERROR(VLOOKUP($D13,'基本設定'!$K$5:$O$15,2,FALSE),""))</f>
        <v/>
      </c>
      <c r="S13" s="196">
        <f>IF($K13="","",IF($R13="",0,MAX(0,$K13-$R13)))</f>
        <v/>
      </c>
      <c r="T13" s="95">
        <f>IF($A13="","",IF($Q13="","証憑不足",IF($S13&gt;0,"上限超過の説明要","適合")))</f>
        <v/>
      </c>
      <c r="U13" s="95">
        <f>IF($A13="","",IF($T13="適合","いいえ","はい"))</f>
        <v/>
      </c>
      <c r="V13" s="95" t="inlineStr">
        <is>
          <t>リモートワークサブスクリプション</t>
        </is>
      </c>
      <c r="W13" s="95" t="inlineStr">
        <is>
          <t>いいえ</t>
        </is>
      </c>
      <c r="X13" s="95" t="inlineStr">
        <is>
          <t>認証待ち</t>
        </is>
      </c>
      <c r="Y13" s="207">
        <f>IF($C13="","",DATE(YEAR($C13),MONTH($C13),1))</f>
        <v/>
      </c>
    </row>
    <row r="14">
      <c r="A14" s="55" t="inlineStr">
        <is>
          <t>ER-2026-0005</t>
        </is>
      </c>
      <c r="B14" s="95" t="n">
        <v>2</v>
      </c>
      <c r="C14" s="198" t="n">
        <v>46129</v>
      </c>
      <c r="D14" s="95" t="inlineStr">
        <is>
          <t>通信費</t>
        </is>
      </c>
      <c r="E14" s="95" t="inlineStr">
        <is>
          <t>携帯通話料</t>
        </is>
      </c>
      <c r="F14" s="95" t="inlineStr">
        <is>
          <t>リモートワーク</t>
        </is>
      </c>
      <c r="G14" s="95" t="inlineStr">
        <is>
          <t>通信事業者</t>
        </is>
      </c>
      <c r="H14" s="95" t="inlineStr">
        <is>
          <t>電子請求書</t>
        </is>
      </c>
      <c r="I14" s="95" t="inlineStr">
        <is>
          <t>INV-TEL-001</t>
        </is>
      </c>
      <c r="J14" s="206" t="n">
        <v>0.09</v>
      </c>
      <c r="K14" s="196" t="n">
        <v>230</v>
      </c>
      <c r="L14" s="196">
        <f>IF($K14="","",ROUND($K14*$J14/(1+$J14),2))</f>
        <v/>
      </c>
      <c r="M14" s="196">
        <f>IF($K14="","",ROUND($K14-$L14,2))</f>
        <v/>
      </c>
      <c r="N14" s="95" t="inlineStr">
        <is>
          <t>立替払い</t>
        </is>
      </c>
      <c r="O14" s="95" t="inlineStr">
        <is>
          <t>CC-OPS-01</t>
        </is>
      </c>
      <c r="P14" s="95" t="inlineStr">
        <is>
          <t>いいえ</t>
        </is>
      </c>
      <c r="Q14" s="95" t="inlineStr">
        <is>
          <t>ATT-009</t>
        </is>
      </c>
      <c r="R14" s="196">
        <f>IF($D14="","",IFERROR(VLOOKUP($D14,'基本設定'!$K$5:$O$15,2,FALSE),""))</f>
        <v/>
      </c>
      <c r="S14" s="196">
        <f>IF($K14="","",IF($R14="",0,MAX(0,$K14-$R14)))</f>
        <v/>
      </c>
      <c r="T14" s="95">
        <f>IF($A14="","",IF($Q14="","証憑不足",IF($S14&gt;0,"上限超過の説明要","適合")))</f>
        <v/>
      </c>
      <c r="U14" s="95">
        <f>IF($A14="","",IF($T14="適合","いいえ","はい"))</f>
        <v/>
      </c>
      <c r="V14" s="95" t="inlineStr">
        <is>
          <t>業務用電話代</t>
        </is>
      </c>
      <c r="W14" s="95" t="inlineStr">
        <is>
          <t>いいえ</t>
        </is>
      </c>
      <c r="X14" s="95" t="inlineStr">
        <is>
          <t>認証待ち</t>
        </is>
      </c>
      <c r="Y14" s="207">
        <f>IF($C14="","",DATE(YEAR($C14),MONTH($C14),1))</f>
        <v/>
      </c>
    </row>
    <row r="15">
      <c r="A15" s="55" t="n"/>
      <c r="B15" s="95" t="n"/>
      <c r="C15" s="198" t="n"/>
      <c r="D15" s="95" t="n"/>
      <c r="E15" s="95" t="n"/>
      <c r="F15" s="95" t="n"/>
      <c r="G15" s="95" t="n"/>
      <c r="H15" s="95" t="n"/>
      <c r="I15" s="95" t="n"/>
      <c r="J15" s="206" t="n"/>
      <c r="K15" s="196" t="n"/>
      <c r="L15" s="196">
        <f>IF($K15="","",ROUND($K15*$J15/(1+$J15),2))</f>
        <v/>
      </c>
      <c r="M15" s="196">
        <f>IF($K15="","",ROUND($K15-$L15,2))</f>
        <v/>
      </c>
      <c r="N15" s="95" t="n"/>
      <c r="O15" s="95" t="n"/>
      <c r="P15" s="95" t="n"/>
      <c r="Q15" s="95" t="n"/>
      <c r="R15" s="196">
        <f>IF($D15="","",IFERROR(VLOOKUP($D15,'基本設定'!$K$5:$O$15,2,FALSE),""))</f>
        <v/>
      </c>
      <c r="S15" s="196">
        <f>IF($K15="","",IF($R15="",0,MAX(0,$K15-$R15)))</f>
        <v/>
      </c>
      <c r="T15" s="95">
        <f>IF($A15="","",IF($Q15="","証憑不足",IF($S15&gt;0,"上限超過の説明要","適合")))</f>
        <v/>
      </c>
      <c r="U15" s="95">
        <f>IF($A15="","",IF($T15="適合","いいえ","はい"))</f>
        <v/>
      </c>
      <c r="V15" s="95" t="n"/>
      <c r="W15" s="95" t="n"/>
      <c r="X15" s="95" t="n"/>
      <c r="Y15" s="207">
        <f>IF($C15="","",DATE(YEAR($C15),MONTH($C15),1))</f>
        <v/>
      </c>
    </row>
    <row r="16">
      <c r="A16" s="55" t="n"/>
      <c r="B16" s="95" t="n"/>
      <c r="C16" s="198" t="n"/>
      <c r="D16" s="95" t="n"/>
      <c r="E16" s="95" t="n"/>
      <c r="F16" s="95" t="n"/>
      <c r="G16" s="95" t="n"/>
      <c r="H16" s="95" t="n"/>
      <c r="I16" s="95" t="n"/>
      <c r="J16" s="206" t="n"/>
      <c r="K16" s="196" t="n"/>
      <c r="L16" s="196">
        <f>IF($K16="","",ROUND($K16*$J16/(1+$J16),2))</f>
        <v/>
      </c>
      <c r="M16" s="196">
        <f>IF($K16="","",ROUND($K16-$L16,2))</f>
        <v/>
      </c>
      <c r="N16" s="95" t="n"/>
      <c r="O16" s="95" t="n"/>
      <c r="P16" s="95" t="n"/>
      <c r="Q16" s="95" t="n"/>
      <c r="R16" s="196">
        <f>IF($D16="","",IFERROR(VLOOKUP($D16,'基本設定'!$K$5:$O$15,2,FALSE),""))</f>
        <v/>
      </c>
      <c r="S16" s="196">
        <f>IF($K16="","",IF($R16="",0,MAX(0,$K16-$R16)))</f>
        <v/>
      </c>
      <c r="T16" s="95">
        <f>IF($A16="","",IF($Q16="","証憑不足",IF($S16&gt;0,"上限超過の説明要","適合")))</f>
        <v/>
      </c>
      <c r="U16" s="95">
        <f>IF($A16="","",IF($T16="適合","いいえ","はい"))</f>
        <v/>
      </c>
      <c r="V16" s="95" t="n"/>
      <c r="W16" s="95" t="n"/>
      <c r="X16" s="95" t="n"/>
      <c r="Y16" s="207">
        <f>IF($C16="","",DATE(YEAR($C16),MONTH($C16),1))</f>
        <v/>
      </c>
    </row>
    <row r="17">
      <c r="A17" s="55" t="n"/>
      <c r="B17" s="95" t="n"/>
      <c r="C17" s="198" t="n"/>
      <c r="D17" s="95" t="n"/>
      <c r="E17" s="95" t="n"/>
      <c r="F17" s="95" t="n"/>
      <c r="G17" s="95" t="n"/>
      <c r="H17" s="95" t="n"/>
      <c r="I17" s="95" t="n"/>
      <c r="J17" s="206" t="n"/>
      <c r="K17" s="196" t="n"/>
      <c r="L17" s="196">
        <f>IF($K17="","",ROUND($K17*$J17/(1+$J17),2))</f>
        <v/>
      </c>
      <c r="M17" s="196">
        <f>IF($K17="","",ROUND($K17-$L17,2))</f>
        <v/>
      </c>
      <c r="N17" s="95" t="n"/>
      <c r="O17" s="95" t="n"/>
      <c r="P17" s="95" t="n"/>
      <c r="Q17" s="95" t="n"/>
      <c r="R17" s="196">
        <f>IF($D17="","",IFERROR(VLOOKUP($D17,'基本設定'!$K$5:$O$15,2,FALSE),""))</f>
        <v/>
      </c>
      <c r="S17" s="196">
        <f>IF($K17="","",IF($R17="",0,MAX(0,$K17-$R17)))</f>
        <v/>
      </c>
      <c r="T17" s="95">
        <f>IF($A17="","",IF($Q17="","証憑不足",IF($S17&gt;0,"上限超過の説明要","適合")))</f>
        <v/>
      </c>
      <c r="U17" s="95">
        <f>IF($A17="","",IF($T17="適合","いいえ","はい"))</f>
        <v/>
      </c>
      <c r="V17" s="95" t="n"/>
      <c r="W17" s="95" t="n"/>
      <c r="X17" s="95" t="n"/>
      <c r="Y17" s="207">
        <f>IF($C17="","",DATE(YEAR($C17),MONTH($C17),1))</f>
        <v/>
      </c>
    </row>
    <row r="18">
      <c r="A18" s="55" t="n"/>
      <c r="B18" s="95" t="n"/>
      <c r="C18" s="198" t="n"/>
      <c r="D18" s="95" t="n"/>
      <c r="E18" s="95" t="n"/>
      <c r="F18" s="95" t="n"/>
      <c r="G18" s="95" t="n"/>
      <c r="H18" s="95" t="n"/>
      <c r="I18" s="95" t="n"/>
      <c r="J18" s="206" t="n"/>
      <c r="K18" s="196" t="n"/>
      <c r="L18" s="196">
        <f>IF($K18="","",ROUND($K18*$J18/(1+$J18),2))</f>
        <v/>
      </c>
      <c r="M18" s="196">
        <f>IF($K18="","",ROUND($K18-$L18,2))</f>
        <v/>
      </c>
      <c r="N18" s="95" t="n"/>
      <c r="O18" s="95" t="n"/>
      <c r="P18" s="95" t="n"/>
      <c r="Q18" s="95" t="n"/>
      <c r="R18" s="196">
        <f>IF($D18="","",IFERROR(VLOOKUP($D18,'基本設定'!$K$5:$O$15,2,FALSE),""))</f>
        <v/>
      </c>
      <c r="S18" s="196">
        <f>IF($K18="","",IF($R18="",0,MAX(0,$K18-$R18)))</f>
        <v/>
      </c>
      <c r="T18" s="95">
        <f>IF($A18="","",IF($Q18="","証憑不足",IF($S18&gt;0,"上限超過の説明要","適合")))</f>
        <v/>
      </c>
      <c r="U18" s="95">
        <f>IF($A18="","",IF($T18="適合","いいえ","はい"))</f>
        <v/>
      </c>
      <c r="V18" s="95" t="n"/>
      <c r="W18" s="95" t="n"/>
      <c r="X18" s="95" t="n"/>
      <c r="Y18" s="207">
        <f>IF($C18="","",DATE(YEAR($C18),MONTH($C18),1))</f>
        <v/>
      </c>
    </row>
    <row r="19">
      <c r="A19" s="55" t="n"/>
      <c r="B19" s="95" t="n"/>
      <c r="C19" s="198" t="n"/>
      <c r="D19" s="95" t="n"/>
      <c r="E19" s="95" t="n"/>
      <c r="F19" s="95" t="n"/>
      <c r="G19" s="95" t="n"/>
      <c r="H19" s="95" t="n"/>
      <c r="I19" s="95" t="n"/>
      <c r="J19" s="206" t="n"/>
      <c r="K19" s="196" t="n"/>
      <c r="L19" s="196">
        <f>IF($K19="","",ROUND($K19*$J19/(1+$J19),2))</f>
        <v/>
      </c>
      <c r="M19" s="196">
        <f>IF($K19="","",ROUND($K19-$L19,2))</f>
        <v/>
      </c>
      <c r="N19" s="95" t="n"/>
      <c r="O19" s="95" t="n"/>
      <c r="P19" s="95" t="n"/>
      <c r="Q19" s="95" t="n"/>
      <c r="R19" s="196">
        <f>IF($D19="","",IFERROR(VLOOKUP($D19,'基本設定'!$K$5:$O$15,2,FALSE),""))</f>
        <v/>
      </c>
      <c r="S19" s="196">
        <f>IF($K19="","",IF($R19="",0,MAX(0,$K19-$R19)))</f>
        <v/>
      </c>
      <c r="T19" s="95">
        <f>IF($A19="","",IF($Q19="","証憑不足",IF($S19&gt;0,"上限超過の説明要","適合")))</f>
        <v/>
      </c>
      <c r="U19" s="95">
        <f>IF($A19="","",IF($T19="適合","いいえ","はい"))</f>
        <v/>
      </c>
      <c r="V19" s="95" t="n"/>
      <c r="W19" s="95" t="n"/>
      <c r="X19" s="95" t="n"/>
      <c r="Y19" s="207">
        <f>IF($C19="","",DATE(YEAR($C19),MONTH($C19),1))</f>
        <v/>
      </c>
    </row>
    <row r="20">
      <c r="A20" s="55" t="n"/>
      <c r="B20" s="95" t="n"/>
      <c r="C20" s="198" t="n"/>
      <c r="D20" s="95" t="n"/>
      <c r="E20" s="95" t="n"/>
      <c r="F20" s="95" t="n"/>
      <c r="G20" s="95" t="n"/>
      <c r="H20" s="95" t="n"/>
      <c r="I20" s="95" t="n"/>
      <c r="J20" s="206" t="n"/>
      <c r="K20" s="196" t="n"/>
      <c r="L20" s="196">
        <f>IF($K20="","",ROUND($K20*$J20/(1+$J20),2))</f>
        <v/>
      </c>
      <c r="M20" s="196">
        <f>IF($K20="","",ROUND($K20-$L20,2))</f>
        <v/>
      </c>
      <c r="N20" s="95" t="n"/>
      <c r="O20" s="95" t="n"/>
      <c r="P20" s="95" t="n"/>
      <c r="Q20" s="95" t="n"/>
      <c r="R20" s="196">
        <f>IF($D20="","",IFERROR(VLOOKUP($D20,'基本設定'!$K$5:$O$15,2,FALSE),""))</f>
        <v/>
      </c>
      <c r="S20" s="196">
        <f>IF($K20="","",IF($R20="",0,MAX(0,$K20-$R20)))</f>
        <v/>
      </c>
      <c r="T20" s="95">
        <f>IF($A20="","",IF($Q20="","証憑不足",IF($S20&gt;0,"上限超過の説明要","適合")))</f>
        <v/>
      </c>
      <c r="U20" s="95">
        <f>IF($A20="","",IF($T20="適合","いいえ","はい"))</f>
        <v/>
      </c>
      <c r="V20" s="95" t="n"/>
      <c r="W20" s="95" t="n"/>
      <c r="X20" s="95" t="n"/>
      <c r="Y20" s="207">
        <f>IF($C20="","",DATE(YEAR($C20),MONTH($C20),1))</f>
        <v/>
      </c>
    </row>
    <row r="21">
      <c r="A21" s="55" t="n"/>
      <c r="B21" s="95" t="n"/>
      <c r="C21" s="198" t="n"/>
      <c r="D21" s="95" t="n"/>
      <c r="E21" s="95" t="n"/>
      <c r="F21" s="95" t="n"/>
      <c r="G21" s="95" t="n"/>
      <c r="H21" s="95" t="n"/>
      <c r="I21" s="95" t="n"/>
      <c r="J21" s="206" t="n"/>
      <c r="K21" s="196" t="n"/>
      <c r="L21" s="196">
        <f>IF($K21="","",ROUND($K21*$J21/(1+$J21),2))</f>
        <v/>
      </c>
      <c r="M21" s="196">
        <f>IF($K21="","",ROUND($K21-$L21,2))</f>
        <v/>
      </c>
      <c r="N21" s="95" t="n"/>
      <c r="O21" s="95" t="n"/>
      <c r="P21" s="95" t="n"/>
      <c r="Q21" s="95" t="n"/>
      <c r="R21" s="196">
        <f>IF($D21="","",IFERROR(VLOOKUP($D21,'基本設定'!$K$5:$O$15,2,FALSE),""))</f>
        <v/>
      </c>
      <c r="S21" s="196">
        <f>IF($K21="","",IF($R21="",0,MAX(0,$K21-$R21)))</f>
        <v/>
      </c>
      <c r="T21" s="95">
        <f>IF($A21="","",IF($Q21="","証憑不足",IF($S21&gt;0,"上限超過の説明要","適合")))</f>
        <v/>
      </c>
      <c r="U21" s="95">
        <f>IF($A21="","",IF($T21="適合","いいえ","はい"))</f>
        <v/>
      </c>
      <c r="V21" s="95" t="n"/>
      <c r="W21" s="95" t="n"/>
      <c r="X21" s="95" t="n"/>
      <c r="Y21" s="207">
        <f>IF($C21="","",DATE(YEAR($C21),MONTH($C21),1))</f>
        <v/>
      </c>
    </row>
    <row r="22">
      <c r="A22" s="55" t="n"/>
      <c r="B22" s="95" t="n"/>
      <c r="C22" s="198" t="n"/>
      <c r="D22" s="95" t="n"/>
      <c r="E22" s="95" t="n"/>
      <c r="F22" s="95" t="n"/>
      <c r="G22" s="95" t="n"/>
      <c r="H22" s="95" t="n"/>
      <c r="I22" s="95" t="n"/>
      <c r="J22" s="206" t="n"/>
      <c r="K22" s="196" t="n"/>
      <c r="L22" s="196">
        <f>IF($K22="","",ROUND($K22*$J22/(1+$J22),2))</f>
        <v/>
      </c>
      <c r="M22" s="196">
        <f>IF($K22="","",ROUND($K22-$L22,2))</f>
        <v/>
      </c>
      <c r="N22" s="95" t="n"/>
      <c r="O22" s="95" t="n"/>
      <c r="P22" s="95" t="n"/>
      <c r="Q22" s="95" t="n"/>
      <c r="R22" s="196">
        <f>IF($D22="","",IFERROR(VLOOKUP($D22,'基本設定'!$K$5:$O$15,2,FALSE),""))</f>
        <v/>
      </c>
      <c r="S22" s="196">
        <f>IF($K22="","",IF($R22="",0,MAX(0,$K22-$R22)))</f>
        <v/>
      </c>
      <c r="T22" s="95">
        <f>IF($A22="","",IF($Q22="","証憑不足",IF($S22&gt;0,"上限超過の説明要","適合")))</f>
        <v/>
      </c>
      <c r="U22" s="95">
        <f>IF($A22="","",IF($T22="適合","いいえ","はい"))</f>
        <v/>
      </c>
      <c r="V22" s="95" t="n"/>
      <c r="W22" s="95" t="n"/>
      <c r="X22" s="95" t="n"/>
      <c r="Y22" s="207">
        <f>IF($C22="","",DATE(YEAR($C22),MONTH($C22),1))</f>
        <v/>
      </c>
    </row>
    <row r="23">
      <c r="A23" s="55" t="n"/>
      <c r="B23" s="95" t="n"/>
      <c r="C23" s="198" t="n"/>
      <c r="D23" s="95" t="n"/>
      <c r="E23" s="95" t="n"/>
      <c r="F23" s="95" t="n"/>
      <c r="G23" s="95" t="n"/>
      <c r="H23" s="95" t="n"/>
      <c r="I23" s="95" t="n"/>
      <c r="J23" s="206" t="n"/>
      <c r="K23" s="196" t="n"/>
      <c r="L23" s="196">
        <f>IF($K23="","",ROUND($K23*$J23/(1+$J23),2))</f>
        <v/>
      </c>
      <c r="M23" s="196">
        <f>IF($K23="","",ROUND($K23-$L23,2))</f>
        <v/>
      </c>
      <c r="N23" s="95" t="n"/>
      <c r="O23" s="95" t="n"/>
      <c r="P23" s="95" t="n"/>
      <c r="Q23" s="95" t="n"/>
      <c r="R23" s="196">
        <f>IF($D23="","",IFERROR(VLOOKUP($D23,'基本設定'!$K$5:$O$15,2,FALSE),""))</f>
        <v/>
      </c>
      <c r="S23" s="196">
        <f>IF($K23="","",IF($R23="",0,MAX(0,$K23-$R23)))</f>
        <v/>
      </c>
      <c r="T23" s="95">
        <f>IF($A23="","",IF($Q23="","証憑不足",IF($S23&gt;0,"上限超過の説明要","適合")))</f>
        <v/>
      </c>
      <c r="U23" s="95">
        <f>IF($A23="","",IF($T23="適合","いいえ","はい"))</f>
        <v/>
      </c>
      <c r="V23" s="95" t="n"/>
      <c r="W23" s="95" t="n"/>
      <c r="X23" s="95" t="n"/>
      <c r="Y23" s="207">
        <f>IF($C23="","",DATE(YEAR($C23),MONTH($C23),1))</f>
        <v/>
      </c>
    </row>
    <row r="24">
      <c r="A24" s="55" t="n"/>
      <c r="B24" s="95" t="n"/>
      <c r="C24" s="198" t="n"/>
      <c r="D24" s="95" t="n"/>
      <c r="E24" s="95" t="n"/>
      <c r="F24" s="95" t="n"/>
      <c r="G24" s="95" t="n"/>
      <c r="H24" s="95" t="n"/>
      <c r="I24" s="95" t="n"/>
      <c r="J24" s="206" t="n"/>
      <c r="K24" s="196" t="n"/>
      <c r="L24" s="196">
        <f>IF($K24="","",ROUND($K24*$J24/(1+$J24),2))</f>
        <v/>
      </c>
      <c r="M24" s="196">
        <f>IF($K24="","",ROUND($K24-$L24,2))</f>
        <v/>
      </c>
      <c r="N24" s="95" t="n"/>
      <c r="O24" s="95" t="n"/>
      <c r="P24" s="95" t="n"/>
      <c r="Q24" s="95" t="n"/>
      <c r="R24" s="196">
        <f>IF($D24="","",IFERROR(VLOOKUP($D24,'基本設定'!$K$5:$O$15,2,FALSE),""))</f>
        <v/>
      </c>
      <c r="S24" s="196">
        <f>IF($K24="","",IF($R24="",0,MAX(0,$K24-$R24)))</f>
        <v/>
      </c>
      <c r="T24" s="95">
        <f>IF($A24="","",IF($Q24="","証憑不足",IF($S24&gt;0,"上限超過の説明要","適合")))</f>
        <v/>
      </c>
      <c r="U24" s="95">
        <f>IF($A24="","",IF($T24="適合","いいえ","はい"))</f>
        <v/>
      </c>
      <c r="V24" s="95" t="n"/>
      <c r="W24" s="95" t="n"/>
      <c r="X24" s="95" t="n"/>
      <c r="Y24" s="207">
        <f>IF($C24="","",DATE(YEAR($C24),MONTH($C24),1))</f>
        <v/>
      </c>
    </row>
    <row r="25">
      <c r="A25" s="55" t="n"/>
      <c r="B25" s="95" t="n"/>
      <c r="C25" s="198" t="n"/>
      <c r="D25" s="95" t="n"/>
      <c r="E25" s="95" t="n"/>
      <c r="F25" s="95" t="n"/>
      <c r="G25" s="95" t="n"/>
      <c r="H25" s="95" t="n"/>
      <c r="I25" s="95" t="n"/>
      <c r="J25" s="206" t="n"/>
      <c r="K25" s="196" t="n"/>
      <c r="L25" s="196">
        <f>IF($K25="","",ROUND($K25*$J25/(1+$J25),2))</f>
        <v/>
      </c>
      <c r="M25" s="196">
        <f>IF($K25="","",ROUND($K25-$L25,2))</f>
        <v/>
      </c>
      <c r="N25" s="95" t="n"/>
      <c r="O25" s="95" t="n"/>
      <c r="P25" s="95" t="n"/>
      <c r="Q25" s="95" t="n"/>
      <c r="R25" s="196">
        <f>IF($D25="","",IFERROR(VLOOKUP($D25,'基本設定'!$K$5:$O$15,2,FALSE),""))</f>
        <v/>
      </c>
      <c r="S25" s="196">
        <f>IF($K25="","",IF($R25="",0,MAX(0,$K25-$R25)))</f>
        <v/>
      </c>
      <c r="T25" s="95">
        <f>IF($A25="","",IF($Q25="","証憑不足",IF($S25&gt;0,"上限超過の説明要","適合")))</f>
        <v/>
      </c>
      <c r="U25" s="95">
        <f>IF($A25="","",IF($T25="適合","いいえ","はい"))</f>
        <v/>
      </c>
      <c r="V25" s="95" t="n"/>
      <c r="W25" s="95" t="n"/>
      <c r="X25" s="95" t="n"/>
      <c r="Y25" s="207">
        <f>IF($C25="","",DATE(YEAR($C25),MONTH($C25),1))</f>
        <v/>
      </c>
    </row>
    <row r="26">
      <c r="A26" s="55" t="n"/>
      <c r="B26" s="95" t="n"/>
      <c r="C26" s="198" t="n"/>
      <c r="D26" s="95" t="n"/>
      <c r="E26" s="95" t="n"/>
      <c r="F26" s="95" t="n"/>
      <c r="G26" s="95" t="n"/>
      <c r="H26" s="95" t="n"/>
      <c r="I26" s="95" t="n"/>
      <c r="J26" s="206" t="n"/>
      <c r="K26" s="196" t="n"/>
      <c r="L26" s="196">
        <f>IF($K26="","",ROUND($K26*$J26/(1+$J26),2))</f>
        <v/>
      </c>
      <c r="M26" s="196">
        <f>IF($K26="","",ROUND($K26-$L26,2))</f>
        <v/>
      </c>
      <c r="N26" s="95" t="n"/>
      <c r="O26" s="95" t="n"/>
      <c r="P26" s="95" t="n"/>
      <c r="Q26" s="95" t="n"/>
      <c r="R26" s="196">
        <f>IF($D26="","",IFERROR(VLOOKUP($D26,'基本設定'!$K$5:$O$15,2,FALSE),""))</f>
        <v/>
      </c>
      <c r="S26" s="196">
        <f>IF($K26="","",IF($R26="",0,MAX(0,$K26-$R26)))</f>
        <v/>
      </c>
      <c r="T26" s="95">
        <f>IF($A26="","",IF($Q26="","証憑不足",IF($S26&gt;0,"上限超過の説明要","適合")))</f>
        <v/>
      </c>
      <c r="U26" s="95">
        <f>IF($A26="","",IF($T26="適合","いいえ","はい"))</f>
        <v/>
      </c>
      <c r="V26" s="95" t="n"/>
      <c r="W26" s="95" t="n"/>
      <c r="X26" s="95" t="n"/>
      <c r="Y26" s="207">
        <f>IF($C26="","",DATE(YEAR($C26),MONTH($C26),1))</f>
        <v/>
      </c>
    </row>
    <row r="27">
      <c r="A27" s="55" t="n"/>
      <c r="B27" s="95" t="n"/>
      <c r="C27" s="198" t="n"/>
      <c r="D27" s="95" t="n"/>
      <c r="E27" s="95" t="n"/>
      <c r="F27" s="95" t="n"/>
      <c r="G27" s="95" t="n"/>
      <c r="H27" s="95" t="n"/>
      <c r="I27" s="95" t="n"/>
      <c r="J27" s="206" t="n"/>
      <c r="K27" s="196" t="n"/>
      <c r="L27" s="196">
        <f>IF($K27="","",ROUND($K27*$J27/(1+$J27),2))</f>
        <v/>
      </c>
      <c r="M27" s="196">
        <f>IF($K27="","",ROUND($K27-$L27,2))</f>
        <v/>
      </c>
      <c r="N27" s="95" t="n"/>
      <c r="O27" s="95" t="n"/>
      <c r="P27" s="95" t="n"/>
      <c r="Q27" s="95" t="n"/>
      <c r="R27" s="196">
        <f>IF($D27="","",IFERROR(VLOOKUP($D27,'基本設定'!$K$5:$O$15,2,FALSE),""))</f>
        <v/>
      </c>
      <c r="S27" s="196">
        <f>IF($K27="","",IF($R27="",0,MAX(0,$K27-$R27)))</f>
        <v/>
      </c>
      <c r="T27" s="95">
        <f>IF($A27="","",IF($Q27="","証憑不足",IF($S27&gt;0,"上限超過の説明要","適合")))</f>
        <v/>
      </c>
      <c r="U27" s="95">
        <f>IF($A27="","",IF($T27="適合","いいえ","はい"))</f>
        <v/>
      </c>
      <c r="V27" s="95" t="n"/>
      <c r="W27" s="95" t="n"/>
      <c r="X27" s="95" t="n"/>
      <c r="Y27" s="207">
        <f>IF($C27="","",DATE(YEAR($C27),MONTH($C27),1))</f>
        <v/>
      </c>
    </row>
    <row r="28">
      <c r="A28" s="55" t="n"/>
      <c r="B28" s="95" t="n"/>
      <c r="C28" s="198" t="n"/>
      <c r="D28" s="95" t="n"/>
      <c r="E28" s="95" t="n"/>
      <c r="F28" s="95" t="n"/>
      <c r="G28" s="95" t="n"/>
      <c r="H28" s="95" t="n"/>
      <c r="I28" s="95" t="n"/>
      <c r="J28" s="206" t="n"/>
      <c r="K28" s="196" t="n"/>
      <c r="L28" s="196">
        <f>IF($K28="","",ROUND($K28*$J28/(1+$J28),2))</f>
        <v/>
      </c>
      <c r="M28" s="196">
        <f>IF($K28="","",ROUND($K28-$L28,2))</f>
        <v/>
      </c>
      <c r="N28" s="95" t="n"/>
      <c r="O28" s="95" t="n"/>
      <c r="P28" s="95" t="n"/>
      <c r="Q28" s="95" t="n"/>
      <c r="R28" s="196">
        <f>IF($D28="","",IFERROR(VLOOKUP($D28,'基本設定'!$K$5:$O$15,2,FALSE),""))</f>
        <v/>
      </c>
      <c r="S28" s="196">
        <f>IF($K28="","",IF($R28="",0,MAX(0,$K28-$R28)))</f>
        <v/>
      </c>
      <c r="T28" s="95">
        <f>IF($A28="","",IF($Q28="","証憑不足",IF($S28&gt;0,"上限超過の説明要","適合")))</f>
        <v/>
      </c>
      <c r="U28" s="95">
        <f>IF($A28="","",IF($T28="適合","いいえ","はい"))</f>
        <v/>
      </c>
      <c r="V28" s="95" t="n"/>
      <c r="W28" s="95" t="n"/>
      <c r="X28" s="95" t="n"/>
      <c r="Y28" s="207">
        <f>IF($C28="","",DATE(YEAR($C28),MONTH($C28),1))</f>
        <v/>
      </c>
    </row>
    <row r="29">
      <c r="A29" s="55" t="n"/>
      <c r="B29" s="95" t="n"/>
      <c r="C29" s="198" t="n"/>
      <c r="D29" s="95" t="n"/>
      <c r="E29" s="95" t="n"/>
      <c r="F29" s="95" t="n"/>
      <c r="G29" s="95" t="n"/>
      <c r="H29" s="95" t="n"/>
      <c r="I29" s="95" t="n"/>
      <c r="J29" s="206" t="n"/>
      <c r="K29" s="196" t="n"/>
      <c r="L29" s="196">
        <f>IF($K29="","",ROUND($K29*$J29/(1+$J29),2))</f>
        <v/>
      </c>
      <c r="M29" s="196">
        <f>IF($K29="","",ROUND($K29-$L29,2))</f>
        <v/>
      </c>
      <c r="N29" s="95" t="n"/>
      <c r="O29" s="95" t="n"/>
      <c r="P29" s="95" t="n"/>
      <c r="Q29" s="95" t="n"/>
      <c r="R29" s="196">
        <f>IF($D29="","",IFERROR(VLOOKUP($D29,'基本設定'!$K$5:$O$15,2,FALSE),""))</f>
        <v/>
      </c>
      <c r="S29" s="196">
        <f>IF($K29="","",IF($R29="",0,MAX(0,$K29-$R29)))</f>
        <v/>
      </c>
      <c r="T29" s="95">
        <f>IF($A29="","",IF($Q29="","証憑不足",IF($S29&gt;0,"上限超過の説明要","適合")))</f>
        <v/>
      </c>
      <c r="U29" s="95">
        <f>IF($A29="","",IF($T29="適合","いいえ","はい"))</f>
        <v/>
      </c>
      <c r="V29" s="95" t="n"/>
      <c r="W29" s="95" t="n"/>
      <c r="X29" s="95" t="n"/>
      <c r="Y29" s="207">
        <f>IF($C29="","",DATE(YEAR($C29),MONTH($C29),1))</f>
        <v/>
      </c>
    </row>
    <row r="30">
      <c r="A30" s="55" t="n"/>
      <c r="B30" s="95" t="n"/>
      <c r="C30" s="198" t="n"/>
      <c r="D30" s="95" t="n"/>
      <c r="E30" s="95" t="n"/>
      <c r="F30" s="95" t="n"/>
      <c r="G30" s="95" t="n"/>
      <c r="H30" s="95" t="n"/>
      <c r="I30" s="95" t="n"/>
      <c r="J30" s="206" t="n"/>
      <c r="K30" s="196" t="n"/>
      <c r="L30" s="196">
        <f>IF($K30="","",ROUND($K30*$J30/(1+$J30),2))</f>
        <v/>
      </c>
      <c r="M30" s="196">
        <f>IF($K30="","",ROUND($K30-$L30,2))</f>
        <v/>
      </c>
      <c r="N30" s="95" t="n"/>
      <c r="O30" s="95" t="n"/>
      <c r="P30" s="95" t="n"/>
      <c r="Q30" s="95" t="n"/>
      <c r="R30" s="196">
        <f>IF($D30="","",IFERROR(VLOOKUP($D30,'基本設定'!$K$5:$O$15,2,FALSE),""))</f>
        <v/>
      </c>
      <c r="S30" s="196">
        <f>IF($K30="","",IF($R30="",0,MAX(0,$K30-$R30)))</f>
        <v/>
      </c>
      <c r="T30" s="95">
        <f>IF($A30="","",IF($Q30="","証憑不足",IF($S30&gt;0,"上限超過の説明要","適合")))</f>
        <v/>
      </c>
      <c r="U30" s="95">
        <f>IF($A30="","",IF($T30="適合","いいえ","はい"))</f>
        <v/>
      </c>
      <c r="V30" s="95" t="n"/>
      <c r="W30" s="95" t="n"/>
      <c r="X30" s="95" t="n"/>
      <c r="Y30" s="207">
        <f>IF($C30="","",DATE(YEAR($C30),MONTH($C30),1))</f>
        <v/>
      </c>
    </row>
    <row r="31">
      <c r="A31" s="55" t="n"/>
      <c r="B31" s="95" t="n"/>
      <c r="C31" s="198" t="n"/>
      <c r="D31" s="95" t="n"/>
      <c r="E31" s="95" t="n"/>
      <c r="F31" s="95" t="n"/>
      <c r="G31" s="95" t="n"/>
      <c r="H31" s="95" t="n"/>
      <c r="I31" s="95" t="n"/>
      <c r="J31" s="206" t="n"/>
      <c r="K31" s="196" t="n"/>
      <c r="L31" s="196">
        <f>IF($K31="","",ROUND($K31*$J31/(1+$J31),2))</f>
        <v/>
      </c>
      <c r="M31" s="196">
        <f>IF($K31="","",ROUND($K31-$L31,2))</f>
        <v/>
      </c>
      <c r="N31" s="95" t="n"/>
      <c r="O31" s="95" t="n"/>
      <c r="P31" s="95" t="n"/>
      <c r="Q31" s="95" t="n"/>
      <c r="R31" s="196">
        <f>IF($D31="","",IFERROR(VLOOKUP($D31,'基本設定'!$K$5:$O$15,2,FALSE),""))</f>
        <v/>
      </c>
      <c r="S31" s="196">
        <f>IF($K31="","",IF($R31="",0,MAX(0,$K31-$R31)))</f>
        <v/>
      </c>
      <c r="T31" s="95">
        <f>IF($A31="","",IF($Q31="","証憑不足",IF($S31&gt;0,"上限超過の説明要","適合")))</f>
        <v/>
      </c>
      <c r="U31" s="95">
        <f>IF($A31="","",IF($T31="適合","いいえ","はい"))</f>
        <v/>
      </c>
      <c r="V31" s="95" t="n"/>
      <c r="W31" s="95" t="n"/>
      <c r="X31" s="95" t="n"/>
      <c r="Y31" s="207">
        <f>IF($C31="","",DATE(YEAR($C31),MONTH($C31),1))</f>
        <v/>
      </c>
    </row>
    <row r="32">
      <c r="A32" s="55" t="n"/>
      <c r="B32" s="95" t="n"/>
      <c r="C32" s="198" t="n"/>
      <c r="D32" s="95" t="n"/>
      <c r="E32" s="95" t="n"/>
      <c r="F32" s="95" t="n"/>
      <c r="G32" s="95" t="n"/>
      <c r="H32" s="95" t="n"/>
      <c r="I32" s="95" t="n"/>
      <c r="J32" s="206" t="n"/>
      <c r="K32" s="196" t="n"/>
      <c r="L32" s="196">
        <f>IF($K32="","",ROUND($K32*$J32/(1+$J32),2))</f>
        <v/>
      </c>
      <c r="M32" s="196">
        <f>IF($K32="","",ROUND($K32-$L32,2))</f>
        <v/>
      </c>
      <c r="N32" s="95" t="n"/>
      <c r="O32" s="95" t="n"/>
      <c r="P32" s="95" t="n"/>
      <c r="Q32" s="95" t="n"/>
      <c r="R32" s="196">
        <f>IF($D32="","",IFERROR(VLOOKUP($D32,'基本設定'!$K$5:$O$15,2,FALSE),""))</f>
        <v/>
      </c>
      <c r="S32" s="196">
        <f>IF($K32="","",IF($R32="",0,MAX(0,$K32-$R32)))</f>
        <v/>
      </c>
      <c r="T32" s="95">
        <f>IF($A32="","",IF($Q32="","証憑不足",IF($S32&gt;0,"上限超過の説明要","適合")))</f>
        <v/>
      </c>
      <c r="U32" s="95">
        <f>IF($A32="","",IF($T32="適合","いいえ","はい"))</f>
        <v/>
      </c>
      <c r="V32" s="95" t="n"/>
      <c r="W32" s="95" t="n"/>
      <c r="X32" s="95" t="n"/>
      <c r="Y32" s="207">
        <f>IF($C32="","",DATE(YEAR($C32),MONTH($C32),1))</f>
        <v/>
      </c>
    </row>
    <row r="33">
      <c r="A33" s="55" t="n"/>
      <c r="B33" s="95" t="n"/>
      <c r="C33" s="198" t="n"/>
      <c r="D33" s="95" t="n"/>
      <c r="E33" s="95" t="n"/>
      <c r="F33" s="95" t="n"/>
      <c r="G33" s="95" t="n"/>
      <c r="H33" s="95" t="n"/>
      <c r="I33" s="95" t="n"/>
      <c r="J33" s="206" t="n"/>
      <c r="K33" s="196" t="n"/>
      <c r="L33" s="196">
        <f>IF($K33="","",ROUND($K33*$J33/(1+$J33),2))</f>
        <v/>
      </c>
      <c r="M33" s="196">
        <f>IF($K33="","",ROUND($K33-$L33,2))</f>
        <v/>
      </c>
      <c r="N33" s="95" t="n"/>
      <c r="O33" s="95" t="n"/>
      <c r="P33" s="95" t="n"/>
      <c r="Q33" s="95" t="n"/>
      <c r="R33" s="196">
        <f>IF($D33="","",IFERROR(VLOOKUP($D33,'基本設定'!$K$5:$O$15,2,FALSE),""))</f>
        <v/>
      </c>
      <c r="S33" s="196">
        <f>IF($K33="","",IF($R33="",0,MAX(0,$K33-$R33)))</f>
        <v/>
      </c>
      <c r="T33" s="95">
        <f>IF($A33="","",IF($Q33="","証憑不足",IF($S33&gt;0,"上限超過の説明要","適合")))</f>
        <v/>
      </c>
      <c r="U33" s="95">
        <f>IF($A33="","",IF($T33="適合","いいえ","はい"))</f>
        <v/>
      </c>
      <c r="V33" s="95" t="n"/>
      <c r="W33" s="95" t="n"/>
      <c r="X33" s="95" t="n"/>
      <c r="Y33" s="207">
        <f>IF($C33="","",DATE(YEAR($C33),MONTH($C33),1))</f>
        <v/>
      </c>
    </row>
    <row r="34">
      <c r="A34" s="55" t="n"/>
      <c r="B34" s="95" t="n"/>
      <c r="C34" s="198" t="n"/>
      <c r="D34" s="95" t="n"/>
      <c r="E34" s="95" t="n"/>
      <c r="F34" s="95" t="n"/>
      <c r="G34" s="95" t="n"/>
      <c r="H34" s="95" t="n"/>
      <c r="I34" s="95" t="n"/>
      <c r="J34" s="206" t="n"/>
      <c r="K34" s="196" t="n"/>
      <c r="L34" s="196">
        <f>IF($K34="","",ROUND($K34*$J34/(1+$J34),2))</f>
        <v/>
      </c>
      <c r="M34" s="196">
        <f>IF($K34="","",ROUND($K34-$L34,2))</f>
        <v/>
      </c>
      <c r="N34" s="95" t="n"/>
      <c r="O34" s="95" t="n"/>
      <c r="P34" s="95" t="n"/>
      <c r="Q34" s="95" t="n"/>
      <c r="R34" s="196">
        <f>IF($D34="","",IFERROR(VLOOKUP($D34,'基本設定'!$K$5:$O$15,2,FALSE),""))</f>
        <v/>
      </c>
      <c r="S34" s="196">
        <f>IF($K34="","",IF($R34="",0,MAX(0,$K34-$R34)))</f>
        <v/>
      </c>
      <c r="T34" s="95">
        <f>IF($A34="","",IF($Q34="","証憑不足",IF($S34&gt;0,"上限超過の説明要","適合")))</f>
        <v/>
      </c>
      <c r="U34" s="95">
        <f>IF($A34="","",IF($T34="適合","いいえ","はい"))</f>
        <v/>
      </c>
      <c r="V34" s="95" t="n"/>
      <c r="W34" s="95" t="n"/>
      <c r="X34" s="95" t="n"/>
      <c r="Y34" s="207">
        <f>IF($C34="","",DATE(YEAR($C34),MONTH($C34),1))</f>
        <v/>
      </c>
    </row>
    <row r="35">
      <c r="A35" s="55" t="n"/>
      <c r="B35" s="95" t="n"/>
      <c r="C35" s="198" t="n"/>
      <c r="D35" s="95" t="n"/>
      <c r="E35" s="95" t="n"/>
      <c r="F35" s="95" t="n"/>
      <c r="G35" s="95" t="n"/>
      <c r="H35" s="95" t="n"/>
      <c r="I35" s="95" t="n"/>
      <c r="J35" s="206" t="n"/>
      <c r="K35" s="196" t="n"/>
      <c r="L35" s="196">
        <f>IF($K35="","",ROUND($K35*$J35/(1+$J35),2))</f>
        <v/>
      </c>
      <c r="M35" s="196">
        <f>IF($K35="","",ROUND($K35-$L35,2))</f>
        <v/>
      </c>
      <c r="N35" s="95" t="n"/>
      <c r="O35" s="95" t="n"/>
      <c r="P35" s="95" t="n"/>
      <c r="Q35" s="95" t="n"/>
      <c r="R35" s="196">
        <f>IF($D35="","",IFERROR(VLOOKUP($D35,'基本設定'!$K$5:$O$15,2,FALSE),""))</f>
        <v/>
      </c>
      <c r="S35" s="196">
        <f>IF($K35="","",IF($R35="",0,MAX(0,$K35-$R35)))</f>
        <v/>
      </c>
      <c r="T35" s="95">
        <f>IF($A35="","",IF($Q35="","証憑不足",IF($S35&gt;0,"上限超過の説明要","適合")))</f>
        <v/>
      </c>
      <c r="U35" s="95">
        <f>IF($A35="","",IF($T35="適合","いいえ","はい"))</f>
        <v/>
      </c>
      <c r="V35" s="95" t="n"/>
      <c r="W35" s="95" t="n"/>
      <c r="X35" s="95" t="n"/>
      <c r="Y35" s="207">
        <f>IF($C35="","",DATE(YEAR($C35),MONTH($C35),1))</f>
        <v/>
      </c>
    </row>
    <row r="36">
      <c r="A36" s="55" t="n"/>
      <c r="B36" s="95" t="n"/>
      <c r="C36" s="198" t="n"/>
      <c r="D36" s="95" t="n"/>
      <c r="E36" s="95" t="n"/>
      <c r="F36" s="95" t="n"/>
      <c r="G36" s="95" t="n"/>
      <c r="H36" s="95" t="n"/>
      <c r="I36" s="95" t="n"/>
      <c r="J36" s="206" t="n"/>
      <c r="K36" s="196" t="n"/>
      <c r="L36" s="196">
        <f>IF($K36="","",ROUND($K36*$J36/(1+$J36),2))</f>
        <v/>
      </c>
      <c r="M36" s="196">
        <f>IF($K36="","",ROUND($K36-$L36,2))</f>
        <v/>
      </c>
      <c r="N36" s="95" t="n"/>
      <c r="O36" s="95" t="n"/>
      <c r="P36" s="95" t="n"/>
      <c r="Q36" s="95" t="n"/>
      <c r="R36" s="196">
        <f>IF($D36="","",IFERROR(VLOOKUP($D36,'基本設定'!$K$5:$O$15,2,FALSE),""))</f>
        <v/>
      </c>
      <c r="S36" s="196">
        <f>IF($K36="","",IF($R36="",0,MAX(0,$K36-$R36)))</f>
        <v/>
      </c>
      <c r="T36" s="95">
        <f>IF($A36="","",IF($Q36="","証憑不足",IF($S36&gt;0,"上限超過の説明要","適合")))</f>
        <v/>
      </c>
      <c r="U36" s="95">
        <f>IF($A36="","",IF($T36="適合","いいえ","はい"))</f>
        <v/>
      </c>
      <c r="V36" s="95" t="n"/>
      <c r="W36" s="95" t="n"/>
      <c r="X36" s="95" t="n"/>
      <c r="Y36" s="207">
        <f>IF($C36="","",DATE(YEAR($C36),MONTH($C36),1))</f>
        <v/>
      </c>
    </row>
    <row r="37">
      <c r="A37" s="55" t="n"/>
      <c r="B37" s="95" t="n"/>
      <c r="C37" s="198" t="n"/>
      <c r="D37" s="95" t="n"/>
      <c r="E37" s="95" t="n"/>
      <c r="F37" s="95" t="n"/>
      <c r="G37" s="95" t="n"/>
      <c r="H37" s="95" t="n"/>
      <c r="I37" s="95" t="n"/>
      <c r="J37" s="206" t="n"/>
      <c r="K37" s="196" t="n"/>
      <c r="L37" s="196">
        <f>IF($K37="","",ROUND($K37*$J37/(1+$J37),2))</f>
        <v/>
      </c>
      <c r="M37" s="196">
        <f>IF($K37="","",ROUND($K37-$L37,2))</f>
        <v/>
      </c>
      <c r="N37" s="95" t="n"/>
      <c r="O37" s="95" t="n"/>
      <c r="P37" s="95" t="n"/>
      <c r="Q37" s="95" t="n"/>
      <c r="R37" s="196">
        <f>IF($D37="","",IFERROR(VLOOKUP($D37,'基本設定'!$K$5:$O$15,2,FALSE),""))</f>
        <v/>
      </c>
      <c r="S37" s="196">
        <f>IF($K37="","",IF($R37="",0,MAX(0,$K37-$R37)))</f>
        <v/>
      </c>
      <c r="T37" s="95">
        <f>IF($A37="","",IF($Q37="","証憑不足",IF($S37&gt;0,"上限超過の説明要","適合")))</f>
        <v/>
      </c>
      <c r="U37" s="95">
        <f>IF($A37="","",IF($T37="適合","いいえ","はい"))</f>
        <v/>
      </c>
      <c r="V37" s="95" t="n"/>
      <c r="W37" s="95" t="n"/>
      <c r="X37" s="95" t="n"/>
      <c r="Y37" s="207">
        <f>IF($C37="","",DATE(YEAR($C37),MONTH($C37),1))</f>
        <v/>
      </c>
    </row>
    <row r="38">
      <c r="A38" s="55" t="n"/>
      <c r="B38" s="95" t="n"/>
      <c r="C38" s="198" t="n"/>
      <c r="D38" s="95" t="n"/>
      <c r="E38" s="95" t="n"/>
      <c r="F38" s="95" t="n"/>
      <c r="G38" s="95" t="n"/>
      <c r="H38" s="95" t="n"/>
      <c r="I38" s="95" t="n"/>
      <c r="J38" s="206" t="n"/>
      <c r="K38" s="196" t="n"/>
      <c r="L38" s="196">
        <f>IF($K38="","",ROUND($K38*$J38/(1+$J38),2))</f>
        <v/>
      </c>
      <c r="M38" s="196">
        <f>IF($K38="","",ROUND($K38-$L38,2))</f>
        <v/>
      </c>
      <c r="N38" s="95" t="n"/>
      <c r="O38" s="95" t="n"/>
      <c r="P38" s="95" t="n"/>
      <c r="Q38" s="95" t="n"/>
      <c r="R38" s="196">
        <f>IF($D38="","",IFERROR(VLOOKUP($D38,'基本設定'!$K$5:$O$15,2,FALSE),""))</f>
        <v/>
      </c>
      <c r="S38" s="196">
        <f>IF($K38="","",IF($R38="",0,MAX(0,$K38-$R38)))</f>
        <v/>
      </c>
      <c r="T38" s="95">
        <f>IF($A38="","",IF($Q38="","証憑不足",IF($S38&gt;0,"上限超過の説明要","適合")))</f>
        <v/>
      </c>
      <c r="U38" s="95">
        <f>IF($A38="","",IF($T38="適合","いいえ","はい"))</f>
        <v/>
      </c>
      <c r="V38" s="95" t="n"/>
      <c r="W38" s="95" t="n"/>
      <c r="X38" s="95" t="n"/>
      <c r="Y38" s="207">
        <f>IF($C38="","",DATE(YEAR($C38),MONTH($C38),1))</f>
        <v/>
      </c>
    </row>
    <row r="39">
      <c r="A39" s="55" t="n"/>
      <c r="B39" s="95" t="n"/>
      <c r="C39" s="198" t="n"/>
      <c r="D39" s="95" t="n"/>
      <c r="E39" s="95" t="n"/>
      <c r="F39" s="95" t="n"/>
      <c r="G39" s="95" t="n"/>
      <c r="H39" s="95" t="n"/>
      <c r="I39" s="95" t="n"/>
      <c r="J39" s="206" t="n"/>
      <c r="K39" s="196" t="n"/>
      <c r="L39" s="196">
        <f>IF($K39="","",ROUND($K39*$J39/(1+$J39),2))</f>
        <v/>
      </c>
      <c r="M39" s="196">
        <f>IF($K39="","",ROUND($K39-$L39,2))</f>
        <v/>
      </c>
      <c r="N39" s="95" t="n"/>
      <c r="O39" s="95" t="n"/>
      <c r="P39" s="95" t="n"/>
      <c r="Q39" s="95" t="n"/>
      <c r="R39" s="196">
        <f>IF($D39="","",IFERROR(VLOOKUP($D39,'基本設定'!$K$5:$O$15,2,FALSE),""))</f>
        <v/>
      </c>
      <c r="S39" s="196">
        <f>IF($K39="","",IF($R39="",0,MAX(0,$K39-$R39)))</f>
        <v/>
      </c>
      <c r="T39" s="95">
        <f>IF($A39="","",IF($Q39="","証憑不足",IF($S39&gt;0,"上限超過の説明要","適合")))</f>
        <v/>
      </c>
      <c r="U39" s="95">
        <f>IF($A39="","",IF($T39="適合","いいえ","はい"))</f>
        <v/>
      </c>
      <c r="V39" s="95" t="n"/>
      <c r="W39" s="95" t="n"/>
      <c r="X39" s="95" t="n"/>
      <c r="Y39" s="207">
        <f>IF($C39="","",DATE(YEAR($C39),MONTH($C39),1))</f>
        <v/>
      </c>
    </row>
    <row r="40">
      <c r="A40" s="55" t="n"/>
      <c r="B40" s="95" t="n"/>
      <c r="C40" s="198" t="n"/>
      <c r="D40" s="95" t="n"/>
      <c r="E40" s="95" t="n"/>
      <c r="F40" s="95" t="n"/>
      <c r="G40" s="95" t="n"/>
      <c r="H40" s="95" t="n"/>
      <c r="I40" s="95" t="n"/>
      <c r="J40" s="206" t="n"/>
      <c r="K40" s="196" t="n"/>
      <c r="L40" s="196">
        <f>IF($K40="","",ROUND($K40*$J40/(1+$J40),2))</f>
        <v/>
      </c>
      <c r="M40" s="196">
        <f>IF($K40="","",ROUND($K40-$L40,2))</f>
        <v/>
      </c>
      <c r="N40" s="95" t="n"/>
      <c r="O40" s="95" t="n"/>
      <c r="P40" s="95" t="n"/>
      <c r="Q40" s="95" t="n"/>
      <c r="R40" s="196">
        <f>IF($D40="","",IFERROR(VLOOKUP($D40,'基本設定'!$K$5:$O$15,2,FALSE),""))</f>
        <v/>
      </c>
      <c r="S40" s="196">
        <f>IF($K40="","",IF($R40="",0,MAX(0,$K40-$R40)))</f>
        <v/>
      </c>
      <c r="T40" s="95">
        <f>IF($A40="","",IF($Q40="","証憑不足",IF($S40&gt;0,"上限超過の説明要","適合")))</f>
        <v/>
      </c>
      <c r="U40" s="95">
        <f>IF($A40="","",IF($T40="適合","いいえ","はい"))</f>
        <v/>
      </c>
      <c r="V40" s="95" t="n"/>
      <c r="W40" s="95" t="n"/>
      <c r="X40" s="95" t="n"/>
      <c r="Y40" s="207">
        <f>IF($C40="","",DATE(YEAR($C40),MONTH($C40),1))</f>
        <v/>
      </c>
    </row>
    <row r="41">
      <c r="A41" s="55" t="n"/>
      <c r="B41" s="95" t="n"/>
      <c r="C41" s="198" t="n"/>
      <c r="D41" s="95" t="n"/>
      <c r="E41" s="95" t="n"/>
      <c r="F41" s="95" t="n"/>
      <c r="G41" s="95" t="n"/>
      <c r="H41" s="95" t="n"/>
      <c r="I41" s="95" t="n"/>
      <c r="J41" s="206" t="n"/>
      <c r="K41" s="196" t="n"/>
      <c r="L41" s="196">
        <f>IF($K41="","",ROUND($K41*$J41/(1+$J41),2))</f>
        <v/>
      </c>
      <c r="M41" s="196">
        <f>IF($K41="","",ROUND($K41-$L41,2))</f>
        <v/>
      </c>
      <c r="N41" s="95" t="n"/>
      <c r="O41" s="95" t="n"/>
      <c r="P41" s="95" t="n"/>
      <c r="Q41" s="95" t="n"/>
      <c r="R41" s="196">
        <f>IF($D41="","",IFERROR(VLOOKUP($D41,'基本設定'!$K$5:$O$15,2,FALSE),""))</f>
        <v/>
      </c>
      <c r="S41" s="196">
        <f>IF($K41="","",IF($R41="",0,MAX(0,$K41-$R41)))</f>
        <v/>
      </c>
      <c r="T41" s="95">
        <f>IF($A41="","",IF($Q41="","証憑不足",IF($S41&gt;0,"上限超過の説明要","適合")))</f>
        <v/>
      </c>
      <c r="U41" s="95">
        <f>IF($A41="","",IF($T41="適合","いいえ","はい"))</f>
        <v/>
      </c>
      <c r="V41" s="95" t="n"/>
      <c r="W41" s="95" t="n"/>
      <c r="X41" s="95" t="n"/>
      <c r="Y41" s="207">
        <f>IF($C41="","",DATE(YEAR($C41),MONTH($C41),1))</f>
        <v/>
      </c>
    </row>
    <row r="42">
      <c r="A42" s="55" t="n"/>
      <c r="B42" s="95" t="n"/>
      <c r="C42" s="198" t="n"/>
      <c r="D42" s="95" t="n"/>
      <c r="E42" s="95" t="n"/>
      <c r="F42" s="95" t="n"/>
      <c r="G42" s="95" t="n"/>
      <c r="H42" s="95" t="n"/>
      <c r="I42" s="95" t="n"/>
      <c r="J42" s="206" t="n"/>
      <c r="K42" s="196" t="n"/>
      <c r="L42" s="196">
        <f>IF($K42="","",ROUND($K42*$J42/(1+$J42),2))</f>
        <v/>
      </c>
      <c r="M42" s="196">
        <f>IF($K42="","",ROUND($K42-$L42,2))</f>
        <v/>
      </c>
      <c r="N42" s="95" t="n"/>
      <c r="O42" s="95" t="n"/>
      <c r="P42" s="95" t="n"/>
      <c r="Q42" s="95" t="n"/>
      <c r="R42" s="196">
        <f>IF($D42="","",IFERROR(VLOOKUP($D42,'基本設定'!$K$5:$O$15,2,FALSE),""))</f>
        <v/>
      </c>
      <c r="S42" s="196">
        <f>IF($K42="","",IF($R42="",0,MAX(0,$K42-$R42)))</f>
        <v/>
      </c>
      <c r="T42" s="95">
        <f>IF($A42="","",IF($Q42="","証憑不足",IF($S42&gt;0,"上限超過の説明要","適合")))</f>
        <v/>
      </c>
      <c r="U42" s="95">
        <f>IF($A42="","",IF($T42="適合","いいえ","はい"))</f>
        <v/>
      </c>
      <c r="V42" s="95" t="n"/>
      <c r="W42" s="95" t="n"/>
      <c r="X42" s="95" t="n"/>
      <c r="Y42" s="207">
        <f>IF($C42="","",DATE(YEAR($C42),MONTH($C42),1))</f>
        <v/>
      </c>
    </row>
    <row r="43">
      <c r="A43" s="55" t="n"/>
      <c r="B43" s="95" t="n"/>
      <c r="C43" s="198" t="n"/>
      <c r="D43" s="95" t="n"/>
      <c r="E43" s="95" t="n"/>
      <c r="F43" s="95" t="n"/>
      <c r="G43" s="95" t="n"/>
      <c r="H43" s="95" t="n"/>
      <c r="I43" s="95" t="n"/>
      <c r="J43" s="206" t="n"/>
      <c r="K43" s="196" t="n"/>
      <c r="L43" s="196">
        <f>IF($K43="","",ROUND($K43*$J43/(1+$J43),2))</f>
        <v/>
      </c>
      <c r="M43" s="196">
        <f>IF($K43="","",ROUND($K43-$L43,2))</f>
        <v/>
      </c>
      <c r="N43" s="95" t="n"/>
      <c r="O43" s="95" t="n"/>
      <c r="P43" s="95" t="n"/>
      <c r="Q43" s="95" t="n"/>
      <c r="R43" s="196">
        <f>IF($D43="","",IFERROR(VLOOKUP($D43,'基本設定'!$K$5:$O$15,2,FALSE),""))</f>
        <v/>
      </c>
      <c r="S43" s="196">
        <f>IF($K43="","",IF($R43="",0,MAX(0,$K43-$R43)))</f>
        <v/>
      </c>
      <c r="T43" s="95">
        <f>IF($A43="","",IF($Q43="","証憑不足",IF($S43&gt;0,"上限超過の説明要","適合")))</f>
        <v/>
      </c>
      <c r="U43" s="95">
        <f>IF($A43="","",IF($T43="適合","いいえ","はい"))</f>
        <v/>
      </c>
      <c r="V43" s="95" t="n"/>
      <c r="W43" s="95" t="n"/>
      <c r="X43" s="95" t="n"/>
      <c r="Y43" s="207">
        <f>IF($C43="","",DATE(YEAR($C43),MONTH($C43),1))</f>
        <v/>
      </c>
    </row>
    <row r="44">
      <c r="A44" s="55" t="n"/>
      <c r="B44" s="95" t="n"/>
      <c r="C44" s="198" t="n"/>
      <c r="D44" s="95" t="n"/>
      <c r="E44" s="95" t="n"/>
      <c r="F44" s="95" t="n"/>
      <c r="G44" s="95" t="n"/>
      <c r="H44" s="95" t="n"/>
      <c r="I44" s="95" t="n"/>
      <c r="J44" s="206" t="n"/>
      <c r="K44" s="196" t="n"/>
      <c r="L44" s="196">
        <f>IF($K44="","",ROUND($K44*$J44/(1+$J44),2))</f>
        <v/>
      </c>
      <c r="M44" s="196">
        <f>IF($K44="","",ROUND($K44-$L44,2))</f>
        <v/>
      </c>
      <c r="N44" s="95" t="n"/>
      <c r="O44" s="95" t="n"/>
      <c r="P44" s="95" t="n"/>
      <c r="Q44" s="95" t="n"/>
      <c r="R44" s="196">
        <f>IF($D44="","",IFERROR(VLOOKUP($D44,'基本設定'!$K$5:$O$15,2,FALSE),""))</f>
        <v/>
      </c>
      <c r="S44" s="196">
        <f>IF($K44="","",IF($R44="",0,MAX(0,$K44-$R44)))</f>
        <v/>
      </c>
      <c r="T44" s="95">
        <f>IF($A44="","",IF($Q44="","証憑不足",IF($S44&gt;0,"上限超過の説明要","適合")))</f>
        <v/>
      </c>
      <c r="U44" s="95">
        <f>IF($A44="","",IF($T44="適合","いいえ","はい"))</f>
        <v/>
      </c>
      <c r="V44" s="95" t="n"/>
      <c r="W44" s="95" t="n"/>
      <c r="X44" s="95" t="n"/>
      <c r="Y44" s="207">
        <f>IF($C44="","",DATE(YEAR($C44),MONTH($C44),1))</f>
        <v/>
      </c>
    </row>
    <row r="45">
      <c r="A45" s="55" t="n"/>
      <c r="B45" s="95" t="n"/>
      <c r="C45" s="198" t="n"/>
      <c r="D45" s="95" t="n"/>
      <c r="E45" s="95" t="n"/>
      <c r="F45" s="95" t="n"/>
      <c r="G45" s="95" t="n"/>
      <c r="H45" s="95" t="n"/>
      <c r="I45" s="95" t="n"/>
      <c r="J45" s="206" t="n"/>
      <c r="K45" s="196" t="n"/>
      <c r="L45" s="196">
        <f>IF($K45="","",ROUND($K45*$J45/(1+$J45),2))</f>
        <v/>
      </c>
      <c r="M45" s="196">
        <f>IF($K45="","",ROUND($K45-$L45,2))</f>
        <v/>
      </c>
      <c r="N45" s="95" t="n"/>
      <c r="O45" s="95" t="n"/>
      <c r="P45" s="95" t="n"/>
      <c r="Q45" s="95" t="n"/>
      <c r="R45" s="196">
        <f>IF($D45="","",IFERROR(VLOOKUP($D45,'基本設定'!$K$5:$O$15,2,FALSE),""))</f>
        <v/>
      </c>
      <c r="S45" s="196">
        <f>IF($K45="","",IF($R45="",0,MAX(0,$K45-$R45)))</f>
        <v/>
      </c>
      <c r="T45" s="95">
        <f>IF($A45="","",IF($Q45="","証憑不足",IF($S45&gt;0,"上限超過の説明要","適合")))</f>
        <v/>
      </c>
      <c r="U45" s="95">
        <f>IF($A45="","",IF($T45="適合","いいえ","はい"))</f>
        <v/>
      </c>
      <c r="V45" s="95" t="n"/>
      <c r="W45" s="95" t="n"/>
      <c r="X45" s="95" t="n"/>
      <c r="Y45" s="207">
        <f>IF($C45="","",DATE(YEAR($C45),MONTH($C45),1))</f>
        <v/>
      </c>
    </row>
    <row r="46">
      <c r="A46" s="55" t="n"/>
      <c r="B46" s="95" t="n"/>
      <c r="C46" s="198" t="n"/>
      <c r="D46" s="95" t="n"/>
      <c r="E46" s="95" t="n"/>
      <c r="F46" s="95" t="n"/>
      <c r="G46" s="95" t="n"/>
      <c r="H46" s="95" t="n"/>
      <c r="I46" s="95" t="n"/>
      <c r="J46" s="206" t="n"/>
      <c r="K46" s="196" t="n"/>
      <c r="L46" s="196">
        <f>IF($K46="","",ROUND($K46*$J46/(1+$J46),2))</f>
        <v/>
      </c>
      <c r="M46" s="196">
        <f>IF($K46="","",ROUND($K46-$L46,2))</f>
        <v/>
      </c>
      <c r="N46" s="95" t="n"/>
      <c r="O46" s="95" t="n"/>
      <c r="P46" s="95" t="n"/>
      <c r="Q46" s="95" t="n"/>
      <c r="R46" s="196">
        <f>IF($D46="","",IFERROR(VLOOKUP($D46,'基本設定'!$K$5:$O$15,2,FALSE),""))</f>
        <v/>
      </c>
      <c r="S46" s="196">
        <f>IF($K46="","",IF($R46="",0,MAX(0,$K46-$R46)))</f>
        <v/>
      </c>
      <c r="T46" s="95">
        <f>IF($A46="","",IF($Q46="","証憑不足",IF($S46&gt;0,"上限超過の説明要","適合")))</f>
        <v/>
      </c>
      <c r="U46" s="95">
        <f>IF($A46="","",IF($T46="適合","いいえ","はい"))</f>
        <v/>
      </c>
      <c r="V46" s="95" t="n"/>
      <c r="W46" s="95" t="n"/>
      <c r="X46" s="95" t="n"/>
      <c r="Y46" s="207">
        <f>IF($C46="","",DATE(YEAR($C46),MONTH($C46),1))</f>
        <v/>
      </c>
    </row>
    <row r="47">
      <c r="A47" s="55" t="n"/>
      <c r="B47" s="95" t="n"/>
      <c r="C47" s="198" t="n"/>
      <c r="D47" s="95" t="n"/>
      <c r="E47" s="95" t="n"/>
      <c r="F47" s="95" t="n"/>
      <c r="G47" s="95" t="n"/>
      <c r="H47" s="95" t="n"/>
      <c r="I47" s="95" t="n"/>
      <c r="J47" s="206" t="n"/>
      <c r="K47" s="196" t="n"/>
      <c r="L47" s="196">
        <f>IF($K47="","",ROUND($K47*$J47/(1+$J47),2))</f>
        <v/>
      </c>
      <c r="M47" s="196">
        <f>IF($K47="","",ROUND($K47-$L47,2))</f>
        <v/>
      </c>
      <c r="N47" s="95" t="n"/>
      <c r="O47" s="95" t="n"/>
      <c r="P47" s="95" t="n"/>
      <c r="Q47" s="95" t="n"/>
      <c r="R47" s="196">
        <f>IF($D47="","",IFERROR(VLOOKUP($D47,'基本設定'!$K$5:$O$15,2,FALSE),""))</f>
        <v/>
      </c>
      <c r="S47" s="196">
        <f>IF($K47="","",IF($R47="",0,MAX(0,$K47-$R47)))</f>
        <v/>
      </c>
      <c r="T47" s="95">
        <f>IF($A47="","",IF($Q47="","証憑不足",IF($S47&gt;0,"上限超過の説明要","適合")))</f>
        <v/>
      </c>
      <c r="U47" s="95">
        <f>IF($A47="","",IF($T47="適合","いいえ","はい"))</f>
        <v/>
      </c>
      <c r="V47" s="95" t="n"/>
      <c r="W47" s="95" t="n"/>
      <c r="X47" s="95" t="n"/>
      <c r="Y47" s="207">
        <f>IF($C47="","",DATE(YEAR($C47),MONTH($C47),1))</f>
        <v/>
      </c>
    </row>
    <row r="48">
      <c r="A48" s="55" t="n"/>
      <c r="B48" s="95" t="n"/>
      <c r="C48" s="198" t="n"/>
      <c r="D48" s="95" t="n"/>
      <c r="E48" s="95" t="n"/>
      <c r="F48" s="95" t="n"/>
      <c r="G48" s="95" t="n"/>
      <c r="H48" s="95" t="n"/>
      <c r="I48" s="95" t="n"/>
      <c r="J48" s="206" t="n"/>
      <c r="K48" s="196" t="n"/>
      <c r="L48" s="196">
        <f>IF($K48="","",ROUND($K48*$J48/(1+$J48),2))</f>
        <v/>
      </c>
      <c r="M48" s="196">
        <f>IF($K48="","",ROUND($K48-$L48,2))</f>
        <v/>
      </c>
      <c r="N48" s="95" t="n"/>
      <c r="O48" s="95" t="n"/>
      <c r="P48" s="95" t="n"/>
      <c r="Q48" s="95" t="n"/>
      <c r="R48" s="196">
        <f>IF($D48="","",IFERROR(VLOOKUP($D48,'基本設定'!$K$5:$O$15,2,FALSE),""))</f>
        <v/>
      </c>
      <c r="S48" s="196">
        <f>IF($K48="","",IF($R48="",0,MAX(0,$K48-$R48)))</f>
        <v/>
      </c>
      <c r="T48" s="95">
        <f>IF($A48="","",IF($Q48="","証憑不足",IF($S48&gt;0,"上限超過の説明要","適合")))</f>
        <v/>
      </c>
      <c r="U48" s="95">
        <f>IF($A48="","",IF($T48="適合","いいえ","はい"))</f>
        <v/>
      </c>
      <c r="V48" s="95" t="n"/>
      <c r="W48" s="95" t="n"/>
      <c r="X48" s="95" t="n"/>
      <c r="Y48" s="207">
        <f>IF($C48="","",DATE(YEAR($C48),MONTH($C48),1))</f>
        <v/>
      </c>
    </row>
    <row r="49">
      <c r="A49" s="55" t="n"/>
      <c r="B49" s="95" t="n"/>
      <c r="C49" s="198" t="n"/>
      <c r="D49" s="95" t="n"/>
      <c r="E49" s="95" t="n"/>
      <c r="F49" s="95" t="n"/>
      <c r="G49" s="95" t="n"/>
      <c r="H49" s="95" t="n"/>
      <c r="I49" s="95" t="n"/>
      <c r="J49" s="206" t="n"/>
      <c r="K49" s="196" t="n"/>
      <c r="L49" s="196">
        <f>IF($K49="","",ROUND($K49*$J49/(1+$J49),2))</f>
        <v/>
      </c>
      <c r="M49" s="196">
        <f>IF($K49="","",ROUND($K49-$L49,2))</f>
        <v/>
      </c>
      <c r="N49" s="95" t="n"/>
      <c r="O49" s="95" t="n"/>
      <c r="P49" s="95" t="n"/>
      <c r="Q49" s="95" t="n"/>
      <c r="R49" s="196">
        <f>IF($D49="","",IFERROR(VLOOKUP($D49,'基本設定'!$K$5:$O$15,2,FALSE),""))</f>
        <v/>
      </c>
      <c r="S49" s="196">
        <f>IF($K49="","",IF($R49="",0,MAX(0,$K49-$R49)))</f>
        <v/>
      </c>
      <c r="T49" s="95">
        <f>IF($A49="","",IF($Q49="","証憑不足",IF($S49&gt;0,"上限超過の説明要","適合")))</f>
        <v/>
      </c>
      <c r="U49" s="95">
        <f>IF($A49="","",IF($T49="適合","いいえ","はい"))</f>
        <v/>
      </c>
      <c r="V49" s="95" t="n"/>
      <c r="W49" s="95" t="n"/>
      <c r="X49" s="95" t="n"/>
      <c r="Y49" s="207">
        <f>IF($C49="","",DATE(YEAR($C49),MONTH($C49),1))</f>
        <v/>
      </c>
    </row>
    <row r="50">
      <c r="A50" s="55" t="n"/>
      <c r="B50" s="95" t="n"/>
      <c r="C50" s="198" t="n"/>
      <c r="D50" s="95" t="n"/>
      <c r="E50" s="95" t="n"/>
      <c r="F50" s="95" t="n"/>
      <c r="G50" s="95" t="n"/>
      <c r="H50" s="95" t="n"/>
      <c r="I50" s="95" t="n"/>
      <c r="J50" s="206" t="n"/>
      <c r="K50" s="196" t="n"/>
      <c r="L50" s="196">
        <f>IF($K50="","",ROUND($K50*$J50/(1+$J50),2))</f>
        <v/>
      </c>
      <c r="M50" s="196">
        <f>IF($K50="","",ROUND($K50-$L50,2))</f>
        <v/>
      </c>
      <c r="N50" s="95" t="n"/>
      <c r="O50" s="95" t="n"/>
      <c r="P50" s="95" t="n"/>
      <c r="Q50" s="95" t="n"/>
      <c r="R50" s="196">
        <f>IF($D50="","",IFERROR(VLOOKUP($D50,'基本設定'!$K$5:$O$15,2,FALSE),""))</f>
        <v/>
      </c>
      <c r="S50" s="196">
        <f>IF($K50="","",IF($R50="",0,MAX(0,$K50-$R50)))</f>
        <v/>
      </c>
      <c r="T50" s="95">
        <f>IF($A50="","",IF($Q50="","証憑不足",IF($S50&gt;0,"上限超過の説明要","適合")))</f>
        <v/>
      </c>
      <c r="U50" s="95">
        <f>IF($A50="","",IF($T50="適合","いいえ","はい"))</f>
        <v/>
      </c>
      <c r="V50" s="95" t="n"/>
      <c r="W50" s="95" t="n"/>
      <c r="X50" s="95" t="n"/>
      <c r="Y50" s="207">
        <f>IF($C50="","",DATE(YEAR($C50),MONTH($C50),1))</f>
        <v/>
      </c>
    </row>
    <row r="51">
      <c r="A51" s="55" t="n"/>
      <c r="B51" s="95" t="n"/>
      <c r="C51" s="198" t="n"/>
      <c r="D51" s="95" t="n"/>
      <c r="E51" s="95" t="n"/>
      <c r="F51" s="95" t="n"/>
      <c r="G51" s="95" t="n"/>
      <c r="H51" s="95" t="n"/>
      <c r="I51" s="95" t="n"/>
      <c r="J51" s="206" t="n"/>
      <c r="K51" s="196" t="n"/>
      <c r="L51" s="196">
        <f>IF($K51="","",ROUND($K51*$J51/(1+$J51),2))</f>
        <v/>
      </c>
      <c r="M51" s="196">
        <f>IF($K51="","",ROUND($K51-$L51,2))</f>
        <v/>
      </c>
      <c r="N51" s="95" t="n"/>
      <c r="O51" s="95" t="n"/>
      <c r="P51" s="95" t="n"/>
      <c r="Q51" s="95" t="n"/>
      <c r="R51" s="196">
        <f>IF($D51="","",IFERROR(VLOOKUP($D51,'基本設定'!$K$5:$O$15,2,FALSE),""))</f>
        <v/>
      </c>
      <c r="S51" s="196">
        <f>IF($K51="","",IF($R51="",0,MAX(0,$K51-$R51)))</f>
        <v/>
      </c>
      <c r="T51" s="95">
        <f>IF($A51="","",IF($Q51="","証憑不足",IF($S51&gt;0,"上限超過の説明要","適合")))</f>
        <v/>
      </c>
      <c r="U51" s="95">
        <f>IF($A51="","",IF($T51="適合","いいえ","はい"))</f>
        <v/>
      </c>
      <c r="V51" s="95" t="n"/>
      <c r="W51" s="95" t="n"/>
      <c r="X51" s="95" t="n"/>
      <c r="Y51" s="207">
        <f>IF($C51="","",DATE(YEAR($C51),MONTH($C51),1))</f>
        <v/>
      </c>
    </row>
    <row r="52">
      <c r="A52" s="55" t="n"/>
      <c r="B52" s="95" t="n"/>
      <c r="C52" s="198" t="n"/>
      <c r="D52" s="95" t="n"/>
      <c r="E52" s="95" t="n"/>
      <c r="F52" s="95" t="n"/>
      <c r="G52" s="95" t="n"/>
      <c r="H52" s="95" t="n"/>
      <c r="I52" s="95" t="n"/>
      <c r="J52" s="206" t="n"/>
      <c r="K52" s="196" t="n"/>
      <c r="L52" s="196">
        <f>IF($K52="","",ROUND($K52*$J52/(1+$J52),2))</f>
        <v/>
      </c>
      <c r="M52" s="196">
        <f>IF($K52="","",ROUND($K52-$L52,2))</f>
        <v/>
      </c>
      <c r="N52" s="95" t="n"/>
      <c r="O52" s="95" t="n"/>
      <c r="P52" s="95" t="n"/>
      <c r="Q52" s="95" t="n"/>
      <c r="R52" s="196">
        <f>IF($D52="","",IFERROR(VLOOKUP($D52,'基本設定'!$K$5:$O$15,2,FALSE),""))</f>
        <v/>
      </c>
      <c r="S52" s="196">
        <f>IF($K52="","",IF($R52="",0,MAX(0,$K52-$R52)))</f>
        <v/>
      </c>
      <c r="T52" s="95">
        <f>IF($A52="","",IF($Q52="","証憑不足",IF($S52&gt;0,"上限超過の説明要","適合")))</f>
        <v/>
      </c>
      <c r="U52" s="95">
        <f>IF($A52="","",IF($T52="適合","いいえ","はい"))</f>
        <v/>
      </c>
      <c r="V52" s="95" t="n"/>
      <c r="W52" s="95" t="n"/>
      <c r="X52" s="95" t="n"/>
      <c r="Y52" s="207">
        <f>IF($C52="","",DATE(YEAR($C52),MONTH($C52),1))</f>
        <v/>
      </c>
    </row>
    <row r="53">
      <c r="A53" s="55" t="n"/>
      <c r="B53" s="95" t="n"/>
      <c r="C53" s="198" t="n"/>
      <c r="D53" s="95" t="n"/>
      <c r="E53" s="95" t="n"/>
      <c r="F53" s="95" t="n"/>
      <c r="G53" s="95" t="n"/>
      <c r="H53" s="95" t="n"/>
      <c r="I53" s="95" t="n"/>
      <c r="J53" s="206" t="n"/>
      <c r="K53" s="196" t="n"/>
      <c r="L53" s="196">
        <f>IF($K53="","",ROUND($K53*$J53/(1+$J53),2))</f>
        <v/>
      </c>
      <c r="M53" s="196">
        <f>IF($K53="","",ROUND($K53-$L53,2))</f>
        <v/>
      </c>
      <c r="N53" s="95" t="n"/>
      <c r="O53" s="95" t="n"/>
      <c r="P53" s="95" t="n"/>
      <c r="Q53" s="95" t="n"/>
      <c r="R53" s="196">
        <f>IF($D53="","",IFERROR(VLOOKUP($D53,'基本設定'!$K$5:$O$15,2,FALSE),""))</f>
        <v/>
      </c>
      <c r="S53" s="196">
        <f>IF($K53="","",IF($R53="",0,MAX(0,$K53-$R53)))</f>
        <v/>
      </c>
      <c r="T53" s="95">
        <f>IF($A53="","",IF($Q53="","証憑不足",IF($S53&gt;0,"上限超過の説明要","適合")))</f>
        <v/>
      </c>
      <c r="U53" s="95">
        <f>IF($A53="","",IF($T53="適合","いいえ","はい"))</f>
        <v/>
      </c>
      <c r="V53" s="95" t="n"/>
      <c r="W53" s="95" t="n"/>
      <c r="X53" s="95" t="n"/>
      <c r="Y53" s="207">
        <f>IF($C53="","",DATE(YEAR($C53),MONTH($C53),1))</f>
        <v/>
      </c>
    </row>
    <row r="54">
      <c r="A54" s="55" t="n"/>
      <c r="B54" s="95" t="n"/>
      <c r="C54" s="198" t="n"/>
      <c r="D54" s="95" t="n"/>
      <c r="E54" s="95" t="n"/>
      <c r="F54" s="95" t="n"/>
      <c r="G54" s="95" t="n"/>
      <c r="H54" s="95" t="n"/>
      <c r="I54" s="95" t="n"/>
      <c r="J54" s="206" t="n"/>
      <c r="K54" s="196" t="n"/>
      <c r="L54" s="196">
        <f>IF($K54="","",ROUND($K54*$J54/(1+$J54),2))</f>
        <v/>
      </c>
      <c r="M54" s="196">
        <f>IF($K54="","",ROUND($K54-$L54,2))</f>
        <v/>
      </c>
      <c r="N54" s="95" t="n"/>
      <c r="O54" s="95" t="n"/>
      <c r="P54" s="95" t="n"/>
      <c r="Q54" s="95" t="n"/>
      <c r="R54" s="196">
        <f>IF($D54="","",IFERROR(VLOOKUP($D54,'基本設定'!$K$5:$O$15,2,FALSE),""))</f>
        <v/>
      </c>
      <c r="S54" s="196">
        <f>IF($K54="","",IF($R54="",0,MAX(0,$K54-$R54)))</f>
        <v/>
      </c>
      <c r="T54" s="95">
        <f>IF($A54="","",IF($Q54="","証憑不足",IF($S54&gt;0,"上限超過の説明要","適合")))</f>
        <v/>
      </c>
      <c r="U54" s="95">
        <f>IF($A54="","",IF($T54="適合","いいえ","はい"))</f>
        <v/>
      </c>
      <c r="V54" s="95" t="n"/>
      <c r="W54" s="95" t="n"/>
      <c r="X54" s="95" t="n"/>
      <c r="Y54" s="207">
        <f>IF($C54="","",DATE(YEAR($C54),MONTH($C54),1))</f>
        <v/>
      </c>
    </row>
    <row r="55">
      <c r="A55" s="55" t="n"/>
      <c r="B55" s="95" t="n"/>
      <c r="C55" s="198" t="n"/>
      <c r="D55" s="95" t="n"/>
      <c r="E55" s="95" t="n"/>
      <c r="F55" s="95" t="n"/>
      <c r="G55" s="95" t="n"/>
      <c r="H55" s="95" t="n"/>
      <c r="I55" s="95" t="n"/>
      <c r="J55" s="206" t="n"/>
      <c r="K55" s="196" t="n"/>
      <c r="L55" s="196">
        <f>IF($K55="","",ROUND($K55*$J55/(1+$J55),2))</f>
        <v/>
      </c>
      <c r="M55" s="196">
        <f>IF($K55="","",ROUND($K55-$L55,2))</f>
        <v/>
      </c>
      <c r="N55" s="95" t="n"/>
      <c r="O55" s="95" t="n"/>
      <c r="P55" s="95" t="n"/>
      <c r="Q55" s="95" t="n"/>
      <c r="R55" s="196">
        <f>IF($D55="","",IFERROR(VLOOKUP($D55,'基本設定'!$K$5:$O$15,2,FALSE),""))</f>
        <v/>
      </c>
      <c r="S55" s="196">
        <f>IF($K55="","",IF($R55="",0,MAX(0,$K55-$R55)))</f>
        <v/>
      </c>
      <c r="T55" s="95">
        <f>IF($A55="","",IF($Q55="","証憑不足",IF($S55&gt;0,"上限超過の説明要","適合")))</f>
        <v/>
      </c>
      <c r="U55" s="95">
        <f>IF($A55="","",IF($T55="適合","いいえ","はい"))</f>
        <v/>
      </c>
      <c r="V55" s="95" t="n"/>
      <c r="W55" s="95" t="n"/>
      <c r="X55" s="95" t="n"/>
      <c r="Y55" s="207">
        <f>IF($C55="","",DATE(YEAR($C55),MONTH($C55),1))</f>
        <v/>
      </c>
    </row>
    <row r="56">
      <c r="A56" s="55" t="n"/>
      <c r="B56" s="95" t="n"/>
      <c r="C56" s="198" t="n"/>
      <c r="D56" s="95" t="n"/>
      <c r="E56" s="95" t="n"/>
      <c r="F56" s="95" t="n"/>
      <c r="G56" s="95" t="n"/>
      <c r="H56" s="95" t="n"/>
      <c r="I56" s="95" t="n"/>
      <c r="J56" s="206" t="n"/>
      <c r="K56" s="196" t="n"/>
      <c r="L56" s="196">
        <f>IF($K56="","",ROUND($K56*$J56/(1+$J56),2))</f>
        <v/>
      </c>
      <c r="M56" s="196">
        <f>IF($K56="","",ROUND($K56-$L56,2))</f>
        <v/>
      </c>
      <c r="N56" s="95" t="n"/>
      <c r="O56" s="95" t="n"/>
      <c r="P56" s="95" t="n"/>
      <c r="Q56" s="95" t="n"/>
      <c r="R56" s="196">
        <f>IF($D56="","",IFERROR(VLOOKUP($D56,'基本設定'!$K$5:$O$15,2,FALSE),""))</f>
        <v/>
      </c>
      <c r="S56" s="196">
        <f>IF($K56="","",IF($R56="",0,MAX(0,$K56-$R56)))</f>
        <v/>
      </c>
      <c r="T56" s="95">
        <f>IF($A56="","",IF($Q56="","証憑不足",IF($S56&gt;0,"上限超過の説明要","適合")))</f>
        <v/>
      </c>
      <c r="U56" s="95">
        <f>IF($A56="","",IF($T56="適合","いいえ","はい"))</f>
        <v/>
      </c>
      <c r="V56" s="95" t="n"/>
      <c r="W56" s="95" t="n"/>
      <c r="X56" s="95" t="n"/>
      <c r="Y56" s="207">
        <f>IF($C56="","",DATE(YEAR($C56),MONTH($C56),1))</f>
        <v/>
      </c>
    </row>
    <row r="57">
      <c r="A57" s="55" t="n"/>
      <c r="B57" s="95" t="n"/>
      <c r="C57" s="198" t="n"/>
      <c r="D57" s="95" t="n"/>
      <c r="E57" s="95" t="n"/>
      <c r="F57" s="95" t="n"/>
      <c r="G57" s="95" t="n"/>
      <c r="H57" s="95" t="n"/>
      <c r="I57" s="95" t="n"/>
      <c r="J57" s="206" t="n"/>
      <c r="K57" s="196" t="n"/>
      <c r="L57" s="196">
        <f>IF($K57="","",ROUND($K57*$J57/(1+$J57),2))</f>
        <v/>
      </c>
      <c r="M57" s="196">
        <f>IF($K57="","",ROUND($K57-$L57,2))</f>
        <v/>
      </c>
      <c r="N57" s="95" t="n"/>
      <c r="O57" s="95" t="n"/>
      <c r="P57" s="95" t="n"/>
      <c r="Q57" s="95" t="n"/>
      <c r="R57" s="196">
        <f>IF($D57="","",IFERROR(VLOOKUP($D57,'基本設定'!$K$5:$O$15,2,FALSE),""))</f>
        <v/>
      </c>
      <c r="S57" s="196">
        <f>IF($K57="","",IF($R57="",0,MAX(0,$K57-$R57)))</f>
        <v/>
      </c>
      <c r="T57" s="95">
        <f>IF($A57="","",IF($Q57="","証憑不足",IF($S57&gt;0,"上限超過の説明要","適合")))</f>
        <v/>
      </c>
      <c r="U57" s="95">
        <f>IF($A57="","",IF($T57="適合","いいえ","はい"))</f>
        <v/>
      </c>
      <c r="V57" s="95" t="n"/>
      <c r="W57" s="95" t="n"/>
      <c r="X57" s="95" t="n"/>
      <c r="Y57" s="207">
        <f>IF($C57="","",DATE(YEAR($C57),MONTH($C57),1))</f>
        <v/>
      </c>
    </row>
    <row r="58">
      <c r="A58" s="55" t="n"/>
      <c r="B58" s="95" t="n"/>
      <c r="C58" s="198" t="n"/>
      <c r="D58" s="95" t="n"/>
      <c r="E58" s="95" t="n"/>
      <c r="F58" s="95" t="n"/>
      <c r="G58" s="95" t="n"/>
      <c r="H58" s="95" t="n"/>
      <c r="I58" s="95" t="n"/>
      <c r="J58" s="206" t="n"/>
      <c r="K58" s="196" t="n"/>
      <c r="L58" s="196">
        <f>IF($K58="","",ROUND($K58*$J58/(1+$J58),2))</f>
        <v/>
      </c>
      <c r="M58" s="196">
        <f>IF($K58="","",ROUND($K58-$L58,2))</f>
        <v/>
      </c>
      <c r="N58" s="95" t="n"/>
      <c r="O58" s="95" t="n"/>
      <c r="P58" s="95" t="n"/>
      <c r="Q58" s="95" t="n"/>
      <c r="R58" s="196">
        <f>IF($D58="","",IFERROR(VLOOKUP($D58,'基本設定'!$K$5:$O$15,2,FALSE),""))</f>
        <v/>
      </c>
      <c r="S58" s="196">
        <f>IF($K58="","",IF($R58="",0,MAX(0,$K58-$R58)))</f>
        <v/>
      </c>
      <c r="T58" s="95">
        <f>IF($A58="","",IF($Q58="","証憑不足",IF($S58&gt;0,"上限超過の説明要","適合")))</f>
        <v/>
      </c>
      <c r="U58" s="95">
        <f>IF($A58="","",IF($T58="適合","いいえ","はい"))</f>
        <v/>
      </c>
      <c r="V58" s="95" t="n"/>
      <c r="W58" s="95" t="n"/>
      <c r="X58" s="95" t="n"/>
      <c r="Y58" s="207">
        <f>IF($C58="","",DATE(YEAR($C58),MONTH($C58),1))</f>
        <v/>
      </c>
    </row>
    <row r="59">
      <c r="A59" s="55" t="n"/>
      <c r="B59" s="95" t="n"/>
      <c r="C59" s="198" t="n"/>
      <c r="D59" s="95" t="n"/>
      <c r="E59" s="95" t="n"/>
      <c r="F59" s="95" t="n"/>
      <c r="G59" s="95" t="n"/>
      <c r="H59" s="95" t="n"/>
      <c r="I59" s="95" t="n"/>
      <c r="J59" s="206" t="n"/>
      <c r="K59" s="196" t="n"/>
      <c r="L59" s="196">
        <f>IF($K59="","",ROUND($K59*$J59/(1+$J59),2))</f>
        <v/>
      </c>
      <c r="M59" s="196">
        <f>IF($K59="","",ROUND($K59-$L59,2))</f>
        <v/>
      </c>
      <c r="N59" s="95" t="n"/>
      <c r="O59" s="95" t="n"/>
      <c r="P59" s="95" t="n"/>
      <c r="Q59" s="95" t="n"/>
      <c r="R59" s="196">
        <f>IF($D59="","",IFERROR(VLOOKUP($D59,'基本設定'!$K$5:$O$15,2,FALSE),""))</f>
        <v/>
      </c>
      <c r="S59" s="196">
        <f>IF($K59="","",IF($R59="",0,MAX(0,$K59-$R59)))</f>
        <v/>
      </c>
      <c r="T59" s="95">
        <f>IF($A59="","",IF($Q59="","証憑不足",IF($S59&gt;0,"上限超過の説明要","適合")))</f>
        <v/>
      </c>
      <c r="U59" s="95">
        <f>IF($A59="","",IF($T59="適合","いいえ","はい"))</f>
        <v/>
      </c>
      <c r="V59" s="95" t="n"/>
      <c r="W59" s="95" t="n"/>
      <c r="X59" s="95" t="n"/>
      <c r="Y59" s="207">
        <f>IF($C59="","",DATE(YEAR($C59),MONTH($C59),1))</f>
        <v/>
      </c>
    </row>
    <row r="60">
      <c r="A60" s="55" t="n"/>
      <c r="B60" s="95" t="n"/>
      <c r="C60" s="198" t="n"/>
      <c r="D60" s="95" t="n"/>
      <c r="E60" s="95" t="n"/>
      <c r="F60" s="95" t="n"/>
      <c r="G60" s="95" t="n"/>
      <c r="H60" s="95" t="n"/>
      <c r="I60" s="95" t="n"/>
      <c r="J60" s="206" t="n"/>
      <c r="K60" s="196" t="n"/>
      <c r="L60" s="196">
        <f>IF($K60="","",ROUND($K60*$J60/(1+$J60),2))</f>
        <v/>
      </c>
      <c r="M60" s="196">
        <f>IF($K60="","",ROUND($K60-$L60,2))</f>
        <v/>
      </c>
      <c r="N60" s="95" t="n"/>
      <c r="O60" s="95" t="n"/>
      <c r="P60" s="95" t="n"/>
      <c r="Q60" s="95" t="n"/>
      <c r="R60" s="196">
        <f>IF($D60="","",IFERROR(VLOOKUP($D60,'基本設定'!$K$5:$O$15,2,FALSE),""))</f>
        <v/>
      </c>
      <c r="S60" s="196">
        <f>IF($K60="","",IF($R60="",0,MAX(0,$K60-$R60)))</f>
        <v/>
      </c>
      <c r="T60" s="95">
        <f>IF($A60="","",IF($Q60="","証憑不足",IF($S60&gt;0,"上限超過の説明要","適合")))</f>
        <v/>
      </c>
      <c r="U60" s="95">
        <f>IF($A60="","",IF($T60="適合","いいえ","はい"))</f>
        <v/>
      </c>
      <c r="V60" s="95" t="n"/>
      <c r="W60" s="95" t="n"/>
      <c r="X60" s="95" t="n"/>
      <c r="Y60" s="207">
        <f>IF($C60="","",DATE(YEAR($C60),MONTH($C60),1))</f>
        <v/>
      </c>
    </row>
    <row r="61">
      <c r="A61" s="55" t="n"/>
      <c r="B61" s="95" t="n"/>
      <c r="C61" s="198" t="n"/>
      <c r="D61" s="95" t="n"/>
      <c r="E61" s="95" t="n"/>
      <c r="F61" s="95" t="n"/>
      <c r="G61" s="95" t="n"/>
      <c r="H61" s="95" t="n"/>
      <c r="I61" s="95" t="n"/>
      <c r="J61" s="206" t="n"/>
      <c r="K61" s="196" t="n"/>
      <c r="L61" s="196">
        <f>IF($K61="","",ROUND($K61*$J61/(1+$J61),2))</f>
        <v/>
      </c>
      <c r="M61" s="196">
        <f>IF($K61="","",ROUND($K61-$L61,2))</f>
        <v/>
      </c>
      <c r="N61" s="95" t="n"/>
      <c r="O61" s="95" t="n"/>
      <c r="P61" s="95" t="n"/>
      <c r="Q61" s="95" t="n"/>
      <c r="R61" s="196">
        <f>IF($D61="","",IFERROR(VLOOKUP($D61,'基本設定'!$K$5:$O$15,2,FALSE),""))</f>
        <v/>
      </c>
      <c r="S61" s="196">
        <f>IF($K61="","",IF($R61="",0,MAX(0,$K61-$R61)))</f>
        <v/>
      </c>
      <c r="T61" s="95">
        <f>IF($A61="","",IF($Q61="","証憑不足",IF($S61&gt;0,"上限超過の説明要","適合")))</f>
        <v/>
      </c>
      <c r="U61" s="95">
        <f>IF($A61="","",IF($T61="適合","いいえ","はい"))</f>
        <v/>
      </c>
      <c r="V61" s="95" t="n"/>
      <c r="W61" s="95" t="n"/>
      <c r="X61" s="95" t="n"/>
      <c r="Y61" s="207">
        <f>IF($C61="","",DATE(YEAR($C61),MONTH($C61),1))</f>
        <v/>
      </c>
    </row>
    <row r="62">
      <c r="A62" s="55" t="n"/>
      <c r="B62" s="95" t="n"/>
      <c r="C62" s="198" t="n"/>
      <c r="D62" s="95" t="n"/>
      <c r="E62" s="95" t="n"/>
      <c r="F62" s="95" t="n"/>
      <c r="G62" s="95" t="n"/>
      <c r="H62" s="95" t="n"/>
      <c r="I62" s="95" t="n"/>
      <c r="J62" s="206" t="n"/>
      <c r="K62" s="196" t="n"/>
      <c r="L62" s="196">
        <f>IF($K62="","",ROUND($K62*$J62/(1+$J62),2))</f>
        <v/>
      </c>
      <c r="M62" s="196">
        <f>IF($K62="","",ROUND($K62-$L62,2))</f>
        <v/>
      </c>
      <c r="N62" s="95" t="n"/>
      <c r="O62" s="95" t="n"/>
      <c r="P62" s="95" t="n"/>
      <c r="Q62" s="95" t="n"/>
      <c r="R62" s="196">
        <f>IF($D62="","",IFERROR(VLOOKUP($D62,'基本設定'!$K$5:$O$15,2,FALSE),""))</f>
        <v/>
      </c>
      <c r="S62" s="196">
        <f>IF($K62="","",IF($R62="",0,MAX(0,$K62-$R62)))</f>
        <v/>
      </c>
      <c r="T62" s="95">
        <f>IF($A62="","",IF($Q62="","証憑不足",IF($S62&gt;0,"上限超過の説明要","適合")))</f>
        <v/>
      </c>
      <c r="U62" s="95">
        <f>IF($A62="","",IF($T62="適合","いいえ","はい"))</f>
        <v/>
      </c>
      <c r="V62" s="95" t="n"/>
      <c r="W62" s="95" t="n"/>
      <c r="X62" s="95" t="n"/>
      <c r="Y62" s="207">
        <f>IF($C62="","",DATE(YEAR($C62),MONTH($C62),1))</f>
        <v/>
      </c>
    </row>
    <row r="63">
      <c r="A63" s="55" t="n"/>
      <c r="B63" s="95" t="n"/>
      <c r="C63" s="198" t="n"/>
      <c r="D63" s="95" t="n"/>
      <c r="E63" s="95" t="n"/>
      <c r="F63" s="95" t="n"/>
      <c r="G63" s="95" t="n"/>
      <c r="H63" s="95" t="n"/>
      <c r="I63" s="95" t="n"/>
      <c r="J63" s="206" t="n"/>
      <c r="K63" s="196" t="n"/>
      <c r="L63" s="196">
        <f>IF($K63="","",ROUND($K63*$J63/(1+$J63),2))</f>
        <v/>
      </c>
      <c r="M63" s="196">
        <f>IF($K63="","",ROUND($K63-$L63,2))</f>
        <v/>
      </c>
      <c r="N63" s="95" t="n"/>
      <c r="O63" s="95" t="n"/>
      <c r="P63" s="95" t="n"/>
      <c r="Q63" s="95" t="n"/>
      <c r="R63" s="196">
        <f>IF($D63="","",IFERROR(VLOOKUP($D63,'基本設定'!$K$5:$O$15,2,FALSE),""))</f>
        <v/>
      </c>
      <c r="S63" s="196">
        <f>IF($K63="","",IF($R63="",0,MAX(0,$K63-$R63)))</f>
        <v/>
      </c>
      <c r="T63" s="95">
        <f>IF($A63="","",IF($Q63="","証憑不足",IF($S63&gt;0,"上限超過の説明要","適合")))</f>
        <v/>
      </c>
      <c r="U63" s="95">
        <f>IF($A63="","",IF($T63="適合","いいえ","はい"))</f>
        <v/>
      </c>
      <c r="V63" s="95" t="n"/>
      <c r="W63" s="95" t="n"/>
      <c r="X63" s="95" t="n"/>
      <c r="Y63" s="207">
        <f>IF($C63="","",DATE(YEAR($C63),MONTH($C63),1))</f>
        <v/>
      </c>
    </row>
    <row r="64">
      <c r="A64" s="55" t="n"/>
      <c r="B64" s="95" t="n"/>
      <c r="C64" s="198" t="n"/>
      <c r="D64" s="95" t="n"/>
      <c r="E64" s="95" t="n"/>
      <c r="F64" s="95" t="n"/>
      <c r="G64" s="95" t="n"/>
      <c r="H64" s="95" t="n"/>
      <c r="I64" s="95" t="n"/>
      <c r="J64" s="206" t="n"/>
      <c r="K64" s="196" t="n"/>
      <c r="L64" s="196">
        <f>IF($K64="","",ROUND($K64*$J64/(1+$J64),2))</f>
        <v/>
      </c>
      <c r="M64" s="196">
        <f>IF($K64="","",ROUND($K64-$L64,2))</f>
        <v/>
      </c>
      <c r="N64" s="95" t="n"/>
      <c r="O64" s="95" t="n"/>
      <c r="P64" s="95" t="n"/>
      <c r="Q64" s="95" t="n"/>
      <c r="R64" s="196">
        <f>IF($D64="","",IFERROR(VLOOKUP($D64,'基本設定'!$K$5:$O$15,2,FALSE),""))</f>
        <v/>
      </c>
      <c r="S64" s="196">
        <f>IF($K64="","",IF($R64="",0,MAX(0,$K64-$R64)))</f>
        <v/>
      </c>
      <c r="T64" s="95">
        <f>IF($A64="","",IF($Q64="","証憑不足",IF($S64&gt;0,"上限超過の説明要","適合")))</f>
        <v/>
      </c>
      <c r="U64" s="95">
        <f>IF($A64="","",IF($T64="適合","いいえ","はい"))</f>
        <v/>
      </c>
      <c r="V64" s="95" t="n"/>
      <c r="W64" s="95" t="n"/>
      <c r="X64" s="95" t="n"/>
      <c r="Y64" s="207">
        <f>IF($C64="","",DATE(YEAR($C64),MONTH($C64),1))</f>
        <v/>
      </c>
    </row>
    <row r="65">
      <c r="A65" s="55" t="n"/>
      <c r="B65" s="95" t="n"/>
      <c r="C65" s="198" t="n"/>
      <c r="D65" s="95" t="n"/>
      <c r="E65" s="95" t="n"/>
      <c r="F65" s="95" t="n"/>
      <c r="G65" s="95" t="n"/>
      <c r="H65" s="95" t="n"/>
      <c r="I65" s="95" t="n"/>
      <c r="J65" s="206" t="n"/>
      <c r="K65" s="196" t="n"/>
      <c r="L65" s="196">
        <f>IF($K65="","",ROUND($K65*$J65/(1+$J65),2))</f>
        <v/>
      </c>
      <c r="M65" s="196">
        <f>IF($K65="","",ROUND($K65-$L65,2))</f>
        <v/>
      </c>
      <c r="N65" s="95" t="n"/>
      <c r="O65" s="95" t="n"/>
      <c r="P65" s="95" t="n"/>
      <c r="Q65" s="95" t="n"/>
      <c r="R65" s="196">
        <f>IF($D65="","",IFERROR(VLOOKUP($D65,'基本設定'!$K$5:$O$15,2,FALSE),""))</f>
        <v/>
      </c>
      <c r="S65" s="196">
        <f>IF($K65="","",IF($R65="",0,MAX(0,$K65-$R65)))</f>
        <v/>
      </c>
      <c r="T65" s="95">
        <f>IF($A65="","",IF($Q65="","証憑不足",IF($S65&gt;0,"上限超過の説明要","適合")))</f>
        <v/>
      </c>
      <c r="U65" s="95">
        <f>IF($A65="","",IF($T65="適合","いいえ","はい"))</f>
        <v/>
      </c>
      <c r="V65" s="95" t="n"/>
      <c r="W65" s="95" t="n"/>
      <c r="X65" s="95" t="n"/>
      <c r="Y65" s="207">
        <f>IF($C65="","",DATE(YEAR($C65),MONTH($C65),1))</f>
        <v/>
      </c>
    </row>
    <row r="66">
      <c r="A66" s="55" t="n"/>
      <c r="B66" s="95" t="n"/>
      <c r="C66" s="198" t="n"/>
      <c r="D66" s="95" t="n"/>
      <c r="E66" s="95" t="n"/>
      <c r="F66" s="95" t="n"/>
      <c r="G66" s="95" t="n"/>
      <c r="H66" s="95" t="n"/>
      <c r="I66" s="95" t="n"/>
      <c r="J66" s="206" t="n"/>
      <c r="K66" s="196" t="n"/>
      <c r="L66" s="196">
        <f>IF($K66="","",ROUND($K66*$J66/(1+$J66),2))</f>
        <v/>
      </c>
      <c r="M66" s="196">
        <f>IF($K66="","",ROUND($K66-$L66,2))</f>
        <v/>
      </c>
      <c r="N66" s="95" t="n"/>
      <c r="O66" s="95" t="n"/>
      <c r="P66" s="95" t="n"/>
      <c r="Q66" s="95" t="n"/>
      <c r="R66" s="196">
        <f>IF($D66="","",IFERROR(VLOOKUP($D66,'基本設定'!$K$5:$O$15,2,FALSE),""))</f>
        <v/>
      </c>
      <c r="S66" s="196">
        <f>IF($K66="","",IF($R66="",0,MAX(0,$K66-$R66)))</f>
        <v/>
      </c>
      <c r="T66" s="95">
        <f>IF($A66="","",IF($Q66="","証憑不足",IF($S66&gt;0,"上限超過の説明要","適合")))</f>
        <v/>
      </c>
      <c r="U66" s="95">
        <f>IF($A66="","",IF($T66="適合","いいえ","はい"))</f>
        <v/>
      </c>
      <c r="V66" s="95" t="n"/>
      <c r="W66" s="95" t="n"/>
      <c r="X66" s="95" t="n"/>
      <c r="Y66" s="207">
        <f>IF($C66="","",DATE(YEAR($C66),MONTH($C66),1))</f>
        <v/>
      </c>
    </row>
    <row r="67">
      <c r="A67" s="55" t="n"/>
      <c r="B67" s="95" t="n"/>
      <c r="C67" s="198" t="n"/>
      <c r="D67" s="95" t="n"/>
      <c r="E67" s="95" t="n"/>
      <c r="F67" s="95" t="n"/>
      <c r="G67" s="95" t="n"/>
      <c r="H67" s="95" t="n"/>
      <c r="I67" s="95" t="n"/>
      <c r="J67" s="206" t="n"/>
      <c r="K67" s="196" t="n"/>
      <c r="L67" s="196">
        <f>IF($K67="","",ROUND($K67*$J67/(1+$J67),2))</f>
        <v/>
      </c>
      <c r="M67" s="196">
        <f>IF($K67="","",ROUND($K67-$L67,2))</f>
        <v/>
      </c>
      <c r="N67" s="95" t="n"/>
      <c r="O67" s="95" t="n"/>
      <c r="P67" s="95" t="n"/>
      <c r="Q67" s="95" t="n"/>
      <c r="R67" s="196">
        <f>IF($D67="","",IFERROR(VLOOKUP($D67,'基本設定'!$K$5:$O$15,2,FALSE),""))</f>
        <v/>
      </c>
      <c r="S67" s="196">
        <f>IF($K67="","",IF($R67="",0,MAX(0,$K67-$R67)))</f>
        <v/>
      </c>
      <c r="T67" s="95">
        <f>IF($A67="","",IF($Q67="","証憑不足",IF($S67&gt;0,"上限超過の説明要","適合")))</f>
        <v/>
      </c>
      <c r="U67" s="95">
        <f>IF($A67="","",IF($T67="適合","いいえ","はい"))</f>
        <v/>
      </c>
      <c r="V67" s="95" t="n"/>
      <c r="W67" s="95" t="n"/>
      <c r="X67" s="95" t="n"/>
      <c r="Y67" s="207">
        <f>IF($C67="","",DATE(YEAR($C67),MONTH($C67),1))</f>
        <v/>
      </c>
    </row>
    <row r="68">
      <c r="A68" s="55" t="n"/>
      <c r="B68" s="95" t="n"/>
      <c r="C68" s="198" t="n"/>
      <c r="D68" s="95" t="n"/>
      <c r="E68" s="95" t="n"/>
      <c r="F68" s="95" t="n"/>
      <c r="G68" s="95" t="n"/>
      <c r="H68" s="95" t="n"/>
      <c r="I68" s="95" t="n"/>
      <c r="J68" s="206" t="n"/>
      <c r="K68" s="196" t="n"/>
      <c r="L68" s="196">
        <f>IF($K68="","",ROUND($K68*$J68/(1+$J68),2))</f>
        <v/>
      </c>
      <c r="M68" s="196">
        <f>IF($K68="","",ROUND($K68-$L68,2))</f>
        <v/>
      </c>
      <c r="N68" s="95" t="n"/>
      <c r="O68" s="95" t="n"/>
      <c r="P68" s="95" t="n"/>
      <c r="Q68" s="95" t="n"/>
      <c r="R68" s="196">
        <f>IF($D68="","",IFERROR(VLOOKUP($D68,'基本設定'!$K$5:$O$15,2,FALSE),""))</f>
        <v/>
      </c>
      <c r="S68" s="196">
        <f>IF($K68="","",IF($R68="",0,MAX(0,$K68-$R68)))</f>
        <v/>
      </c>
      <c r="T68" s="95">
        <f>IF($A68="","",IF($Q68="","証憑不足",IF($S68&gt;0,"上限超過の説明要","適合")))</f>
        <v/>
      </c>
      <c r="U68" s="95">
        <f>IF($A68="","",IF($T68="適合","いいえ","はい"))</f>
        <v/>
      </c>
      <c r="V68" s="95" t="n"/>
      <c r="W68" s="95" t="n"/>
      <c r="X68" s="95" t="n"/>
      <c r="Y68" s="207">
        <f>IF($C68="","",DATE(YEAR($C68),MONTH($C68),1))</f>
        <v/>
      </c>
    </row>
    <row r="69">
      <c r="A69" s="55" t="n"/>
      <c r="B69" s="95" t="n"/>
      <c r="C69" s="198" t="n"/>
      <c r="D69" s="95" t="n"/>
      <c r="E69" s="95" t="n"/>
      <c r="F69" s="95" t="n"/>
      <c r="G69" s="95" t="n"/>
      <c r="H69" s="95" t="n"/>
      <c r="I69" s="95" t="n"/>
      <c r="J69" s="206" t="n"/>
      <c r="K69" s="196" t="n"/>
      <c r="L69" s="196">
        <f>IF($K69="","",ROUND($K69*$J69/(1+$J69),2))</f>
        <v/>
      </c>
      <c r="M69" s="196">
        <f>IF($K69="","",ROUND($K69-$L69,2))</f>
        <v/>
      </c>
      <c r="N69" s="95" t="n"/>
      <c r="O69" s="95" t="n"/>
      <c r="P69" s="95" t="n"/>
      <c r="Q69" s="95" t="n"/>
      <c r="R69" s="196">
        <f>IF($D69="","",IFERROR(VLOOKUP($D69,'基本設定'!$K$5:$O$15,2,FALSE),""))</f>
        <v/>
      </c>
      <c r="S69" s="196">
        <f>IF($K69="","",IF($R69="",0,MAX(0,$K69-$R69)))</f>
        <v/>
      </c>
      <c r="T69" s="95">
        <f>IF($A69="","",IF($Q69="","証憑不足",IF($S69&gt;0,"上限超過の説明要","適合")))</f>
        <v/>
      </c>
      <c r="U69" s="95">
        <f>IF($A69="","",IF($T69="適合","いいえ","はい"))</f>
        <v/>
      </c>
      <c r="V69" s="95" t="n"/>
      <c r="W69" s="95" t="n"/>
      <c r="X69" s="95" t="n"/>
      <c r="Y69" s="207">
        <f>IF($C69="","",DATE(YEAR($C69),MONTH($C69),1))</f>
        <v/>
      </c>
    </row>
    <row r="70">
      <c r="A70" s="55" t="n"/>
      <c r="B70" s="95" t="n"/>
      <c r="C70" s="198" t="n"/>
      <c r="D70" s="95" t="n"/>
      <c r="E70" s="95" t="n"/>
      <c r="F70" s="95" t="n"/>
      <c r="G70" s="95" t="n"/>
      <c r="H70" s="95" t="n"/>
      <c r="I70" s="95" t="n"/>
      <c r="J70" s="206" t="n"/>
      <c r="K70" s="196" t="n"/>
      <c r="L70" s="196">
        <f>IF($K70="","",ROUND($K70*$J70/(1+$J70),2))</f>
        <v/>
      </c>
      <c r="M70" s="196">
        <f>IF($K70="","",ROUND($K70-$L70,2))</f>
        <v/>
      </c>
      <c r="N70" s="95" t="n"/>
      <c r="O70" s="95" t="n"/>
      <c r="P70" s="95" t="n"/>
      <c r="Q70" s="95" t="n"/>
      <c r="R70" s="196">
        <f>IF($D70="","",IFERROR(VLOOKUP($D70,'基本設定'!$K$5:$O$15,2,FALSE),""))</f>
        <v/>
      </c>
      <c r="S70" s="196">
        <f>IF($K70="","",IF($R70="",0,MAX(0,$K70-$R70)))</f>
        <v/>
      </c>
      <c r="T70" s="95">
        <f>IF($A70="","",IF($Q70="","証憑不足",IF($S70&gt;0,"上限超過の説明要","適合")))</f>
        <v/>
      </c>
      <c r="U70" s="95">
        <f>IF($A70="","",IF($T70="適合","いいえ","はい"))</f>
        <v/>
      </c>
      <c r="V70" s="95" t="n"/>
      <c r="W70" s="95" t="n"/>
      <c r="X70" s="95" t="n"/>
      <c r="Y70" s="207">
        <f>IF($C70="","",DATE(YEAR($C70),MONTH($C70),1))</f>
        <v/>
      </c>
    </row>
    <row r="71">
      <c r="A71" s="55" t="n"/>
      <c r="B71" s="95" t="n"/>
      <c r="C71" s="198" t="n"/>
      <c r="D71" s="95" t="n"/>
      <c r="E71" s="95" t="n"/>
      <c r="F71" s="95" t="n"/>
      <c r="G71" s="95" t="n"/>
      <c r="H71" s="95" t="n"/>
      <c r="I71" s="95" t="n"/>
      <c r="J71" s="206" t="n"/>
      <c r="K71" s="196" t="n"/>
      <c r="L71" s="196">
        <f>IF($K71="","",ROUND($K71*$J71/(1+$J71),2))</f>
        <v/>
      </c>
      <c r="M71" s="196">
        <f>IF($K71="","",ROUND($K71-$L71,2))</f>
        <v/>
      </c>
      <c r="N71" s="95" t="n"/>
      <c r="O71" s="95" t="n"/>
      <c r="P71" s="95" t="n"/>
      <c r="Q71" s="95" t="n"/>
      <c r="R71" s="196">
        <f>IF($D71="","",IFERROR(VLOOKUP($D71,'基本設定'!$K$5:$O$15,2,FALSE),""))</f>
        <v/>
      </c>
      <c r="S71" s="196">
        <f>IF($K71="","",IF($R71="",0,MAX(0,$K71-$R71)))</f>
        <v/>
      </c>
      <c r="T71" s="95">
        <f>IF($A71="","",IF($Q71="","証憑不足",IF($S71&gt;0,"上限超過の説明要","適合")))</f>
        <v/>
      </c>
      <c r="U71" s="95">
        <f>IF($A71="","",IF($T71="適合","いいえ","はい"))</f>
        <v/>
      </c>
      <c r="V71" s="95" t="n"/>
      <c r="W71" s="95" t="n"/>
      <c r="X71" s="95" t="n"/>
      <c r="Y71" s="207">
        <f>IF($C71="","",DATE(YEAR($C71),MONTH($C71),1))</f>
        <v/>
      </c>
    </row>
    <row r="72">
      <c r="A72" s="55" t="n"/>
      <c r="B72" s="95" t="n"/>
      <c r="C72" s="198" t="n"/>
      <c r="D72" s="95" t="n"/>
      <c r="E72" s="95" t="n"/>
      <c r="F72" s="95" t="n"/>
      <c r="G72" s="95" t="n"/>
      <c r="H72" s="95" t="n"/>
      <c r="I72" s="95" t="n"/>
      <c r="J72" s="206" t="n"/>
      <c r="K72" s="196" t="n"/>
      <c r="L72" s="196">
        <f>IF($K72="","",ROUND($K72*$J72/(1+$J72),2))</f>
        <v/>
      </c>
      <c r="M72" s="196">
        <f>IF($K72="","",ROUND($K72-$L72,2))</f>
        <v/>
      </c>
      <c r="N72" s="95" t="n"/>
      <c r="O72" s="95" t="n"/>
      <c r="P72" s="95" t="n"/>
      <c r="Q72" s="95" t="n"/>
      <c r="R72" s="196">
        <f>IF($D72="","",IFERROR(VLOOKUP($D72,'基本設定'!$K$5:$O$15,2,FALSE),""))</f>
        <v/>
      </c>
      <c r="S72" s="196">
        <f>IF($K72="","",IF($R72="",0,MAX(0,$K72-$R72)))</f>
        <v/>
      </c>
      <c r="T72" s="95">
        <f>IF($A72="","",IF($Q72="","証憑不足",IF($S72&gt;0,"上限超過の説明要","適合")))</f>
        <v/>
      </c>
      <c r="U72" s="95">
        <f>IF($A72="","",IF($T72="適合","いいえ","はい"))</f>
        <v/>
      </c>
      <c r="V72" s="95" t="n"/>
      <c r="W72" s="95" t="n"/>
      <c r="X72" s="95" t="n"/>
      <c r="Y72" s="207">
        <f>IF($C72="","",DATE(YEAR($C72),MONTH($C72),1))</f>
        <v/>
      </c>
    </row>
    <row r="73">
      <c r="A73" s="55" t="n"/>
      <c r="B73" s="95" t="n"/>
      <c r="C73" s="198" t="n"/>
      <c r="D73" s="95" t="n"/>
      <c r="E73" s="95" t="n"/>
      <c r="F73" s="95" t="n"/>
      <c r="G73" s="95" t="n"/>
      <c r="H73" s="95" t="n"/>
      <c r="I73" s="95" t="n"/>
      <c r="J73" s="206" t="n"/>
      <c r="K73" s="196" t="n"/>
      <c r="L73" s="196">
        <f>IF($K73="","",ROUND($K73*$J73/(1+$J73),2))</f>
        <v/>
      </c>
      <c r="M73" s="196">
        <f>IF($K73="","",ROUND($K73-$L73,2))</f>
        <v/>
      </c>
      <c r="N73" s="95" t="n"/>
      <c r="O73" s="95" t="n"/>
      <c r="P73" s="95" t="n"/>
      <c r="Q73" s="95" t="n"/>
      <c r="R73" s="196">
        <f>IF($D73="","",IFERROR(VLOOKUP($D73,'基本設定'!$K$5:$O$15,2,FALSE),""))</f>
        <v/>
      </c>
      <c r="S73" s="196">
        <f>IF($K73="","",IF($R73="",0,MAX(0,$K73-$R73)))</f>
        <v/>
      </c>
      <c r="T73" s="95">
        <f>IF($A73="","",IF($Q73="","証憑不足",IF($S73&gt;0,"上限超過の説明要","適合")))</f>
        <v/>
      </c>
      <c r="U73" s="95">
        <f>IF($A73="","",IF($T73="適合","いいえ","はい"))</f>
        <v/>
      </c>
      <c r="V73" s="95" t="n"/>
      <c r="W73" s="95" t="n"/>
      <c r="X73" s="95" t="n"/>
      <c r="Y73" s="207">
        <f>IF($C73="","",DATE(YEAR($C73),MONTH($C73),1))</f>
        <v/>
      </c>
    </row>
    <row r="74">
      <c r="A74" s="55" t="n"/>
      <c r="B74" s="95" t="n"/>
      <c r="C74" s="198" t="n"/>
      <c r="D74" s="95" t="n"/>
      <c r="E74" s="95" t="n"/>
      <c r="F74" s="95" t="n"/>
      <c r="G74" s="95" t="n"/>
      <c r="H74" s="95" t="n"/>
      <c r="I74" s="95" t="n"/>
      <c r="J74" s="206" t="n"/>
      <c r="K74" s="196" t="n"/>
      <c r="L74" s="196">
        <f>IF($K74="","",ROUND($K74*$J74/(1+$J74),2))</f>
        <v/>
      </c>
      <c r="M74" s="196">
        <f>IF($K74="","",ROUND($K74-$L74,2))</f>
        <v/>
      </c>
      <c r="N74" s="95" t="n"/>
      <c r="O74" s="95" t="n"/>
      <c r="P74" s="95" t="n"/>
      <c r="Q74" s="95" t="n"/>
      <c r="R74" s="196">
        <f>IF($D74="","",IFERROR(VLOOKUP($D74,'基本設定'!$K$5:$O$15,2,FALSE),""))</f>
        <v/>
      </c>
      <c r="S74" s="196">
        <f>IF($K74="","",IF($R74="",0,MAX(0,$K74-$R74)))</f>
        <v/>
      </c>
      <c r="T74" s="95">
        <f>IF($A74="","",IF($Q74="","証憑不足",IF($S74&gt;0,"上限超過の説明要","適合")))</f>
        <v/>
      </c>
      <c r="U74" s="95">
        <f>IF($A74="","",IF($T74="適合","いいえ","はい"))</f>
        <v/>
      </c>
      <c r="V74" s="95" t="n"/>
      <c r="W74" s="95" t="n"/>
      <c r="X74" s="95" t="n"/>
      <c r="Y74" s="207">
        <f>IF($C74="","",DATE(YEAR($C74),MONTH($C74),1))</f>
        <v/>
      </c>
    </row>
    <row r="75">
      <c r="A75" s="55" t="n"/>
      <c r="B75" s="95" t="n"/>
      <c r="C75" s="198" t="n"/>
      <c r="D75" s="95" t="n"/>
      <c r="E75" s="95" t="n"/>
      <c r="F75" s="95" t="n"/>
      <c r="G75" s="95" t="n"/>
      <c r="H75" s="95" t="n"/>
      <c r="I75" s="95" t="n"/>
      <c r="J75" s="206" t="n"/>
      <c r="K75" s="196" t="n"/>
      <c r="L75" s="196">
        <f>IF($K75="","",ROUND($K75*$J75/(1+$J75),2))</f>
        <v/>
      </c>
      <c r="M75" s="196">
        <f>IF($K75="","",ROUND($K75-$L75,2))</f>
        <v/>
      </c>
      <c r="N75" s="95" t="n"/>
      <c r="O75" s="95" t="n"/>
      <c r="P75" s="95" t="n"/>
      <c r="Q75" s="95" t="n"/>
      <c r="R75" s="196">
        <f>IF($D75="","",IFERROR(VLOOKUP($D75,'基本設定'!$K$5:$O$15,2,FALSE),""))</f>
        <v/>
      </c>
      <c r="S75" s="196">
        <f>IF($K75="","",IF($R75="",0,MAX(0,$K75-$R75)))</f>
        <v/>
      </c>
      <c r="T75" s="95">
        <f>IF($A75="","",IF($Q75="","証憑不足",IF($S75&gt;0,"上限超過の説明要","適合")))</f>
        <v/>
      </c>
      <c r="U75" s="95">
        <f>IF($A75="","",IF($T75="適合","いいえ","はい"))</f>
        <v/>
      </c>
      <c r="V75" s="95" t="n"/>
      <c r="W75" s="95" t="n"/>
      <c r="X75" s="95" t="n"/>
      <c r="Y75" s="207">
        <f>IF($C75="","",DATE(YEAR($C75),MONTH($C75),1))</f>
        <v/>
      </c>
    </row>
    <row r="76">
      <c r="A76" s="55" t="n"/>
      <c r="B76" s="95" t="n"/>
      <c r="C76" s="198" t="n"/>
      <c r="D76" s="95" t="n"/>
      <c r="E76" s="95" t="n"/>
      <c r="F76" s="95" t="n"/>
      <c r="G76" s="95" t="n"/>
      <c r="H76" s="95" t="n"/>
      <c r="I76" s="95" t="n"/>
      <c r="J76" s="206" t="n"/>
      <c r="K76" s="196" t="n"/>
      <c r="L76" s="196">
        <f>IF($K76="","",ROUND($K76*$J76/(1+$J76),2))</f>
        <v/>
      </c>
      <c r="M76" s="196">
        <f>IF($K76="","",ROUND($K76-$L76,2))</f>
        <v/>
      </c>
      <c r="N76" s="95" t="n"/>
      <c r="O76" s="95" t="n"/>
      <c r="P76" s="95" t="n"/>
      <c r="Q76" s="95" t="n"/>
      <c r="R76" s="196">
        <f>IF($D76="","",IFERROR(VLOOKUP($D76,'基本設定'!$K$5:$O$15,2,FALSE),""))</f>
        <v/>
      </c>
      <c r="S76" s="196">
        <f>IF($K76="","",IF($R76="",0,MAX(0,$K76-$R76)))</f>
        <v/>
      </c>
      <c r="T76" s="95">
        <f>IF($A76="","",IF($Q76="","証憑不足",IF($S76&gt;0,"上限超過の説明要","適合")))</f>
        <v/>
      </c>
      <c r="U76" s="95">
        <f>IF($A76="","",IF($T76="適合","いいえ","はい"))</f>
        <v/>
      </c>
      <c r="V76" s="95" t="n"/>
      <c r="W76" s="95" t="n"/>
      <c r="X76" s="95" t="n"/>
      <c r="Y76" s="207">
        <f>IF($C76="","",DATE(YEAR($C76),MONTH($C76),1))</f>
        <v/>
      </c>
    </row>
    <row r="77">
      <c r="A77" s="55" t="n"/>
      <c r="B77" s="95" t="n"/>
      <c r="C77" s="198" t="n"/>
      <c r="D77" s="95" t="n"/>
      <c r="E77" s="95" t="n"/>
      <c r="F77" s="95" t="n"/>
      <c r="G77" s="95" t="n"/>
      <c r="H77" s="95" t="n"/>
      <c r="I77" s="95" t="n"/>
      <c r="J77" s="206" t="n"/>
      <c r="K77" s="196" t="n"/>
      <c r="L77" s="196">
        <f>IF($K77="","",ROUND($K77*$J77/(1+$J77),2))</f>
        <v/>
      </c>
      <c r="M77" s="196">
        <f>IF($K77="","",ROUND($K77-$L77,2))</f>
        <v/>
      </c>
      <c r="N77" s="95" t="n"/>
      <c r="O77" s="95" t="n"/>
      <c r="P77" s="95" t="n"/>
      <c r="Q77" s="95" t="n"/>
      <c r="R77" s="196">
        <f>IF($D77="","",IFERROR(VLOOKUP($D77,'基本設定'!$K$5:$O$15,2,FALSE),""))</f>
        <v/>
      </c>
      <c r="S77" s="196">
        <f>IF($K77="","",IF($R77="",0,MAX(0,$K77-$R77)))</f>
        <v/>
      </c>
      <c r="T77" s="95">
        <f>IF($A77="","",IF($Q77="","証憑不足",IF($S77&gt;0,"上限超過の説明要","適合")))</f>
        <v/>
      </c>
      <c r="U77" s="95">
        <f>IF($A77="","",IF($T77="適合","いいえ","はい"))</f>
        <v/>
      </c>
      <c r="V77" s="95" t="n"/>
      <c r="W77" s="95" t="n"/>
      <c r="X77" s="95" t="n"/>
      <c r="Y77" s="207">
        <f>IF($C77="","",DATE(YEAR($C77),MONTH($C77),1))</f>
        <v/>
      </c>
    </row>
    <row r="78">
      <c r="A78" s="55" t="n"/>
      <c r="B78" s="95" t="n"/>
      <c r="C78" s="198" t="n"/>
      <c r="D78" s="95" t="n"/>
      <c r="E78" s="95" t="n"/>
      <c r="F78" s="95" t="n"/>
      <c r="G78" s="95" t="n"/>
      <c r="H78" s="95" t="n"/>
      <c r="I78" s="95" t="n"/>
      <c r="J78" s="206" t="n"/>
      <c r="K78" s="196" t="n"/>
      <c r="L78" s="196">
        <f>IF($K78="","",ROUND($K78*$J78/(1+$J78),2))</f>
        <v/>
      </c>
      <c r="M78" s="196">
        <f>IF($K78="","",ROUND($K78-$L78,2))</f>
        <v/>
      </c>
      <c r="N78" s="95" t="n"/>
      <c r="O78" s="95" t="n"/>
      <c r="P78" s="95" t="n"/>
      <c r="Q78" s="95" t="n"/>
      <c r="R78" s="196">
        <f>IF($D78="","",IFERROR(VLOOKUP($D78,'基本設定'!$K$5:$O$15,2,FALSE),""))</f>
        <v/>
      </c>
      <c r="S78" s="196">
        <f>IF($K78="","",IF($R78="",0,MAX(0,$K78-$R78)))</f>
        <v/>
      </c>
      <c r="T78" s="95">
        <f>IF($A78="","",IF($Q78="","証憑不足",IF($S78&gt;0,"上限超過の説明要","適合")))</f>
        <v/>
      </c>
      <c r="U78" s="95">
        <f>IF($A78="","",IF($T78="適合","いいえ","はい"))</f>
        <v/>
      </c>
      <c r="V78" s="95" t="n"/>
      <c r="W78" s="95" t="n"/>
      <c r="X78" s="95" t="n"/>
      <c r="Y78" s="207">
        <f>IF($C78="","",DATE(YEAR($C78),MONTH($C78),1))</f>
        <v/>
      </c>
    </row>
    <row r="79">
      <c r="A79" s="55" t="n"/>
      <c r="B79" s="95" t="n"/>
      <c r="C79" s="198" t="n"/>
      <c r="D79" s="95" t="n"/>
      <c r="E79" s="95" t="n"/>
      <c r="F79" s="95" t="n"/>
      <c r="G79" s="95" t="n"/>
      <c r="H79" s="95" t="n"/>
      <c r="I79" s="95" t="n"/>
      <c r="J79" s="206" t="n"/>
      <c r="K79" s="196" t="n"/>
      <c r="L79" s="196">
        <f>IF($K79="","",ROUND($K79*$J79/(1+$J79),2))</f>
        <v/>
      </c>
      <c r="M79" s="196">
        <f>IF($K79="","",ROUND($K79-$L79,2))</f>
        <v/>
      </c>
      <c r="N79" s="95" t="n"/>
      <c r="O79" s="95" t="n"/>
      <c r="P79" s="95" t="n"/>
      <c r="Q79" s="95" t="n"/>
      <c r="R79" s="196">
        <f>IF($D79="","",IFERROR(VLOOKUP($D79,'基本設定'!$K$5:$O$15,2,FALSE),""))</f>
        <v/>
      </c>
      <c r="S79" s="196">
        <f>IF($K79="","",IF($R79="",0,MAX(0,$K79-$R79)))</f>
        <v/>
      </c>
      <c r="T79" s="95">
        <f>IF($A79="","",IF($Q79="","証憑不足",IF($S79&gt;0,"上限超過の説明要","適合")))</f>
        <v/>
      </c>
      <c r="U79" s="95">
        <f>IF($A79="","",IF($T79="適合","いいえ","はい"))</f>
        <v/>
      </c>
      <c r="V79" s="95" t="n"/>
      <c r="W79" s="95" t="n"/>
      <c r="X79" s="95" t="n"/>
      <c r="Y79" s="207">
        <f>IF($C79="","",DATE(YEAR($C79),MONTH($C79),1))</f>
        <v/>
      </c>
    </row>
    <row r="80">
      <c r="A80" s="55" t="n"/>
      <c r="B80" s="95" t="n"/>
      <c r="C80" s="198" t="n"/>
      <c r="D80" s="95" t="n"/>
      <c r="E80" s="95" t="n"/>
      <c r="F80" s="95" t="n"/>
      <c r="G80" s="95" t="n"/>
      <c r="H80" s="95" t="n"/>
      <c r="I80" s="95" t="n"/>
      <c r="J80" s="206" t="n"/>
      <c r="K80" s="196" t="n"/>
      <c r="L80" s="196">
        <f>IF($K80="","",ROUND($K80*$J80/(1+$J80),2))</f>
        <v/>
      </c>
      <c r="M80" s="196">
        <f>IF($K80="","",ROUND($K80-$L80,2))</f>
        <v/>
      </c>
      <c r="N80" s="95" t="n"/>
      <c r="O80" s="95" t="n"/>
      <c r="P80" s="95" t="n"/>
      <c r="Q80" s="95" t="n"/>
      <c r="R80" s="196">
        <f>IF($D80="","",IFERROR(VLOOKUP($D80,'基本設定'!$K$5:$O$15,2,FALSE),""))</f>
        <v/>
      </c>
      <c r="S80" s="196">
        <f>IF($K80="","",IF($R80="",0,MAX(0,$K80-$R80)))</f>
        <v/>
      </c>
      <c r="T80" s="95">
        <f>IF($A80="","",IF($Q80="","証憑不足",IF($S80&gt;0,"上限超過の説明要","適合")))</f>
        <v/>
      </c>
      <c r="U80" s="95">
        <f>IF($A80="","",IF($T80="適合","いいえ","はい"))</f>
        <v/>
      </c>
      <c r="V80" s="95" t="n"/>
      <c r="W80" s="95" t="n"/>
      <c r="X80" s="95" t="n"/>
      <c r="Y80" s="207">
        <f>IF($C80="","",DATE(YEAR($C80),MONTH($C80),1))</f>
        <v/>
      </c>
    </row>
    <row r="81">
      <c r="A81" s="55" t="n"/>
      <c r="B81" s="95" t="n"/>
      <c r="C81" s="198" t="n"/>
      <c r="D81" s="95" t="n"/>
      <c r="E81" s="95" t="n"/>
      <c r="F81" s="95" t="n"/>
      <c r="G81" s="95" t="n"/>
      <c r="H81" s="95" t="n"/>
      <c r="I81" s="95" t="n"/>
      <c r="J81" s="206" t="n"/>
      <c r="K81" s="196" t="n"/>
      <c r="L81" s="196">
        <f>IF($K81="","",ROUND($K81*$J81/(1+$J81),2))</f>
        <v/>
      </c>
      <c r="M81" s="196">
        <f>IF($K81="","",ROUND($K81-$L81,2))</f>
        <v/>
      </c>
      <c r="N81" s="95" t="n"/>
      <c r="O81" s="95" t="n"/>
      <c r="P81" s="95" t="n"/>
      <c r="Q81" s="95" t="n"/>
      <c r="R81" s="196">
        <f>IF($D81="","",IFERROR(VLOOKUP($D81,'基本設定'!$K$5:$O$15,2,FALSE),""))</f>
        <v/>
      </c>
      <c r="S81" s="196">
        <f>IF($K81="","",IF($R81="",0,MAX(0,$K81-$R81)))</f>
        <v/>
      </c>
      <c r="T81" s="95">
        <f>IF($A81="","",IF($Q81="","証憑不足",IF($S81&gt;0,"上限超過の説明要","適合")))</f>
        <v/>
      </c>
      <c r="U81" s="95">
        <f>IF($A81="","",IF($T81="適合","いいえ","はい"))</f>
        <v/>
      </c>
      <c r="V81" s="95" t="n"/>
      <c r="W81" s="95" t="n"/>
      <c r="X81" s="95" t="n"/>
      <c r="Y81" s="207">
        <f>IF($C81="","",DATE(YEAR($C81),MONTH($C81),1))</f>
        <v/>
      </c>
    </row>
    <row r="82">
      <c r="A82" s="55" t="n"/>
      <c r="B82" s="95" t="n"/>
      <c r="C82" s="198" t="n"/>
      <c r="D82" s="95" t="n"/>
      <c r="E82" s="95" t="n"/>
      <c r="F82" s="95" t="n"/>
      <c r="G82" s="95" t="n"/>
      <c r="H82" s="95" t="n"/>
      <c r="I82" s="95" t="n"/>
      <c r="J82" s="206" t="n"/>
      <c r="K82" s="196" t="n"/>
      <c r="L82" s="196">
        <f>IF($K82="","",ROUND($K82*$J82/(1+$J82),2))</f>
        <v/>
      </c>
      <c r="M82" s="196">
        <f>IF($K82="","",ROUND($K82-$L82,2))</f>
        <v/>
      </c>
      <c r="N82" s="95" t="n"/>
      <c r="O82" s="95" t="n"/>
      <c r="P82" s="95" t="n"/>
      <c r="Q82" s="95" t="n"/>
      <c r="R82" s="196">
        <f>IF($D82="","",IFERROR(VLOOKUP($D82,'基本設定'!$K$5:$O$15,2,FALSE),""))</f>
        <v/>
      </c>
      <c r="S82" s="196">
        <f>IF($K82="","",IF($R82="",0,MAX(0,$K82-$R82)))</f>
        <v/>
      </c>
      <c r="T82" s="95">
        <f>IF($A82="","",IF($Q82="","証憑不足",IF($S82&gt;0,"上限超過の説明要","適合")))</f>
        <v/>
      </c>
      <c r="U82" s="95">
        <f>IF($A82="","",IF($T82="適合","いいえ","はい"))</f>
        <v/>
      </c>
      <c r="V82" s="95" t="n"/>
      <c r="W82" s="95" t="n"/>
      <c r="X82" s="95" t="n"/>
      <c r="Y82" s="207">
        <f>IF($C82="","",DATE(YEAR($C82),MONTH($C82),1))</f>
        <v/>
      </c>
    </row>
    <row r="83">
      <c r="A83" s="55" t="n"/>
      <c r="B83" s="95" t="n"/>
      <c r="C83" s="198" t="n"/>
      <c r="D83" s="95" t="n"/>
      <c r="E83" s="95" t="n"/>
      <c r="F83" s="95" t="n"/>
      <c r="G83" s="95" t="n"/>
      <c r="H83" s="95" t="n"/>
      <c r="I83" s="95" t="n"/>
      <c r="J83" s="206" t="n"/>
      <c r="K83" s="196" t="n"/>
      <c r="L83" s="196">
        <f>IF($K83="","",ROUND($K83*$J83/(1+$J83),2))</f>
        <v/>
      </c>
      <c r="M83" s="196">
        <f>IF($K83="","",ROUND($K83-$L83,2))</f>
        <v/>
      </c>
      <c r="N83" s="95" t="n"/>
      <c r="O83" s="95" t="n"/>
      <c r="P83" s="95" t="n"/>
      <c r="Q83" s="95" t="n"/>
      <c r="R83" s="196">
        <f>IF($D83="","",IFERROR(VLOOKUP($D83,'基本設定'!$K$5:$O$15,2,FALSE),""))</f>
        <v/>
      </c>
      <c r="S83" s="196">
        <f>IF($K83="","",IF($R83="",0,MAX(0,$K83-$R83)))</f>
        <v/>
      </c>
      <c r="T83" s="95">
        <f>IF($A83="","",IF($Q83="","証憑不足",IF($S83&gt;0,"上限超過の説明要","適合")))</f>
        <v/>
      </c>
      <c r="U83" s="95">
        <f>IF($A83="","",IF($T83="適合","いいえ","はい"))</f>
        <v/>
      </c>
      <c r="V83" s="95" t="n"/>
      <c r="W83" s="95" t="n"/>
      <c r="X83" s="95" t="n"/>
      <c r="Y83" s="207">
        <f>IF($C83="","",DATE(YEAR($C83),MONTH($C83),1))</f>
        <v/>
      </c>
    </row>
    <row r="84">
      <c r="A84" s="55" t="n"/>
      <c r="B84" s="95" t="n"/>
      <c r="C84" s="198" t="n"/>
      <c r="D84" s="95" t="n"/>
      <c r="E84" s="95" t="n"/>
      <c r="F84" s="95" t="n"/>
      <c r="G84" s="95" t="n"/>
      <c r="H84" s="95" t="n"/>
      <c r="I84" s="95" t="n"/>
      <c r="J84" s="206" t="n"/>
      <c r="K84" s="196" t="n"/>
      <c r="L84" s="196">
        <f>IF($K84="","",ROUND($K84*$J84/(1+$J84),2))</f>
        <v/>
      </c>
      <c r="M84" s="196">
        <f>IF($K84="","",ROUND($K84-$L84,2))</f>
        <v/>
      </c>
      <c r="N84" s="95" t="n"/>
      <c r="O84" s="95" t="n"/>
      <c r="P84" s="95" t="n"/>
      <c r="Q84" s="95" t="n"/>
      <c r="R84" s="196">
        <f>IF($D84="","",IFERROR(VLOOKUP($D84,'基本設定'!$K$5:$O$15,2,FALSE),""))</f>
        <v/>
      </c>
      <c r="S84" s="196">
        <f>IF($K84="","",IF($R84="",0,MAX(0,$K84-$R84)))</f>
        <v/>
      </c>
      <c r="T84" s="95">
        <f>IF($A84="","",IF($Q84="","証憑不足",IF($S84&gt;0,"上限超過の説明要","適合")))</f>
        <v/>
      </c>
      <c r="U84" s="95">
        <f>IF($A84="","",IF($T84="適合","いいえ","はい"))</f>
        <v/>
      </c>
      <c r="V84" s="95" t="n"/>
      <c r="W84" s="95" t="n"/>
      <c r="X84" s="95" t="n"/>
      <c r="Y84" s="207">
        <f>IF($C84="","",DATE(YEAR($C84),MONTH($C84),1))</f>
        <v/>
      </c>
    </row>
    <row r="85">
      <c r="A85" s="55" t="n"/>
      <c r="B85" s="95" t="n"/>
      <c r="C85" s="198" t="n"/>
      <c r="D85" s="95" t="n"/>
      <c r="E85" s="95" t="n"/>
      <c r="F85" s="95" t="n"/>
      <c r="G85" s="95" t="n"/>
      <c r="H85" s="95" t="n"/>
      <c r="I85" s="95" t="n"/>
      <c r="J85" s="206" t="n"/>
      <c r="K85" s="196" t="n"/>
      <c r="L85" s="196">
        <f>IF($K85="","",ROUND($K85*$J85/(1+$J85),2))</f>
        <v/>
      </c>
      <c r="M85" s="196">
        <f>IF($K85="","",ROUND($K85-$L85,2))</f>
        <v/>
      </c>
      <c r="N85" s="95" t="n"/>
      <c r="O85" s="95" t="n"/>
      <c r="P85" s="95" t="n"/>
      <c r="Q85" s="95" t="n"/>
      <c r="R85" s="196">
        <f>IF($D85="","",IFERROR(VLOOKUP($D85,'基本設定'!$K$5:$O$15,2,FALSE),""))</f>
        <v/>
      </c>
      <c r="S85" s="196">
        <f>IF($K85="","",IF($R85="",0,MAX(0,$K85-$R85)))</f>
        <v/>
      </c>
      <c r="T85" s="95">
        <f>IF($A85="","",IF($Q85="","証憑不足",IF($S85&gt;0,"上限超過の説明要","適合")))</f>
        <v/>
      </c>
      <c r="U85" s="95">
        <f>IF($A85="","",IF($T85="適合","いいえ","はい"))</f>
        <v/>
      </c>
      <c r="V85" s="95" t="n"/>
      <c r="W85" s="95" t="n"/>
      <c r="X85" s="95" t="n"/>
      <c r="Y85" s="207">
        <f>IF($C85="","",DATE(YEAR($C85),MONTH($C85),1))</f>
        <v/>
      </c>
    </row>
    <row r="86">
      <c r="A86" s="55" t="n"/>
      <c r="B86" s="95" t="n"/>
      <c r="C86" s="198" t="n"/>
      <c r="D86" s="95" t="n"/>
      <c r="E86" s="95" t="n"/>
      <c r="F86" s="95" t="n"/>
      <c r="G86" s="95" t="n"/>
      <c r="H86" s="95" t="n"/>
      <c r="I86" s="95" t="n"/>
      <c r="J86" s="206" t="n"/>
      <c r="K86" s="196" t="n"/>
      <c r="L86" s="196">
        <f>IF($K86="","",ROUND($K86*$J86/(1+$J86),2))</f>
        <v/>
      </c>
      <c r="M86" s="196">
        <f>IF($K86="","",ROUND($K86-$L86,2))</f>
        <v/>
      </c>
      <c r="N86" s="95" t="n"/>
      <c r="O86" s="95" t="n"/>
      <c r="P86" s="95" t="n"/>
      <c r="Q86" s="95" t="n"/>
      <c r="R86" s="196">
        <f>IF($D86="","",IFERROR(VLOOKUP($D86,'基本設定'!$K$5:$O$15,2,FALSE),""))</f>
        <v/>
      </c>
      <c r="S86" s="196">
        <f>IF($K86="","",IF($R86="",0,MAX(0,$K86-$R86)))</f>
        <v/>
      </c>
      <c r="T86" s="95">
        <f>IF($A86="","",IF($Q86="","証憑不足",IF($S86&gt;0,"上限超過の説明要","適合")))</f>
        <v/>
      </c>
      <c r="U86" s="95">
        <f>IF($A86="","",IF($T86="適合","いいえ","はい"))</f>
        <v/>
      </c>
      <c r="V86" s="95" t="n"/>
      <c r="W86" s="95" t="n"/>
      <c r="X86" s="95" t="n"/>
      <c r="Y86" s="207">
        <f>IF($C86="","",DATE(YEAR($C86),MONTH($C86),1))</f>
        <v/>
      </c>
    </row>
    <row r="87">
      <c r="A87" s="55" t="n"/>
      <c r="B87" s="95" t="n"/>
      <c r="C87" s="198" t="n"/>
      <c r="D87" s="95" t="n"/>
      <c r="E87" s="95" t="n"/>
      <c r="F87" s="95" t="n"/>
      <c r="G87" s="95" t="n"/>
      <c r="H87" s="95" t="n"/>
      <c r="I87" s="95" t="n"/>
      <c r="J87" s="206" t="n"/>
      <c r="K87" s="196" t="n"/>
      <c r="L87" s="196">
        <f>IF($K87="","",ROUND($K87*$J87/(1+$J87),2))</f>
        <v/>
      </c>
      <c r="M87" s="196">
        <f>IF($K87="","",ROUND($K87-$L87,2))</f>
        <v/>
      </c>
      <c r="N87" s="95" t="n"/>
      <c r="O87" s="95" t="n"/>
      <c r="P87" s="95" t="n"/>
      <c r="Q87" s="95" t="n"/>
      <c r="R87" s="196">
        <f>IF($D87="","",IFERROR(VLOOKUP($D87,'基本設定'!$K$5:$O$15,2,FALSE),""))</f>
        <v/>
      </c>
      <c r="S87" s="196">
        <f>IF($K87="","",IF($R87="",0,MAX(0,$K87-$R87)))</f>
        <v/>
      </c>
      <c r="T87" s="95">
        <f>IF($A87="","",IF($Q87="","証憑不足",IF($S87&gt;0,"上限超過の説明要","適合")))</f>
        <v/>
      </c>
      <c r="U87" s="95">
        <f>IF($A87="","",IF($T87="適合","いいえ","はい"))</f>
        <v/>
      </c>
      <c r="V87" s="95" t="n"/>
      <c r="W87" s="95" t="n"/>
      <c r="X87" s="95" t="n"/>
      <c r="Y87" s="207">
        <f>IF($C87="","",DATE(YEAR($C87),MONTH($C87),1))</f>
        <v/>
      </c>
    </row>
    <row r="88">
      <c r="A88" s="55" t="n"/>
      <c r="B88" s="95" t="n"/>
      <c r="C88" s="198" t="n"/>
      <c r="D88" s="95" t="n"/>
      <c r="E88" s="95" t="n"/>
      <c r="F88" s="95" t="n"/>
      <c r="G88" s="95" t="n"/>
      <c r="H88" s="95" t="n"/>
      <c r="I88" s="95" t="n"/>
      <c r="J88" s="206" t="n"/>
      <c r="K88" s="196" t="n"/>
      <c r="L88" s="196">
        <f>IF($K88="","",ROUND($K88*$J88/(1+$J88),2))</f>
        <v/>
      </c>
      <c r="M88" s="196">
        <f>IF($K88="","",ROUND($K88-$L88,2))</f>
        <v/>
      </c>
      <c r="N88" s="95" t="n"/>
      <c r="O88" s="95" t="n"/>
      <c r="P88" s="95" t="n"/>
      <c r="Q88" s="95" t="n"/>
      <c r="R88" s="196">
        <f>IF($D88="","",IFERROR(VLOOKUP($D88,'基本設定'!$K$5:$O$15,2,FALSE),""))</f>
        <v/>
      </c>
      <c r="S88" s="196">
        <f>IF($K88="","",IF($R88="",0,MAX(0,$K88-$R88)))</f>
        <v/>
      </c>
      <c r="T88" s="95">
        <f>IF($A88="","",IF($Q88="","証憑不足",IF($S88&gt;0,"上限超過の説明要","適合")))</f>
        <v/>
      </c>
      <c r="U88" s="95">
        <f>IF($A88="","",IF($T88="適合","いいえ","はい"))</f>
        <v/>
      </c>
      <c r="V88" s="95" t="n"/>
      <c r="W88" s="95" t="n"/>
      <c r="X88" s="95" t="n"/>
      <c r="Y88" s="207">
        <f>IF($C88="","",DATE(YEAR($C88),MONTH($C88),1))</f>
        <v/>
      </c>
    </row>
    <row r="89">
      <c r="A89" s="55" t="n"/>
      <c r="B89" s="95" t="n"/>
      <c r="C89" s="198" t="n"/>
      <c r="D89" s="95" t="n"/>
      <c r="E89" s="95" t="n"/>
      <c r="F89" s="95" t="n"/>
      <c r="G89" s="95" t="n"/>
      <c r="H89" s="95" t="n"/>
      <c r="I89" s="95" t="n"/>
      <c r="J89" s="206" t="n"/>
      <c r="K89" s="196" t="n"/>
      <c r="L89" s="196">
        <f>IF($K89="","",ROUND($K89*$J89/(1+$J89),2))</f>
        <v/>
      </c>
      <c r="M89" s="196">
        <f>IF($K89="","",ROUND($K89-$L89,2))</f>
        <v/>
      </c>
      <c r="N89" s="95" t="n"/>
      <c r="O89" s="95" t="n"/>
      <c r="P89" s="95" t="n"/>
      <c r="Q89" s="95" t="n"/>
      <c r="R89" s="196">
        <f>IF($D89="","",IFERROR(VLOOKUP($D89,'基本設定'!$K$5:$O$15,2,FALSE),""))</f>
        <v/>
      </c>
      <c r="S89" s="196">
        <f>IF($K89="","",IF($R89="",0,MAX(0,$K89-$R89)))</f>
        <v/>
      </c>
      <c r="T89" s="95">
        <f>IF($A89="","",IF($Q89="","証憑不足",IF($S89&gt;0,"上限超過の説明要","適合")))</f>
        <v/>
      </c>
      <c r="U89" s="95">
        <f>IF($A89="","",IF($T89="適合","いいえ","はい"))</f>
        <v/>
      </c>
      <c r="V89" s="95" t="n"/>
      <c r="W89" s="95" t="n"/>
      <c r="X89" s="95" t="n"/>
      <c r="Y89" s="207">
        <f>IF($C89="","",DATE(YEAR($C89),MONTH($C89),1))</f>
        <v/>
      </c>
    </row>
    <row r="90">
      <c r="A90" s="55" t="n"/>
      <c r="B90" s="95" t="n"/>
      <c r="C90" s="198" t="n"/>
      <c r="D90" s="95" t="n"/>
      <c r="E90" s="95" t="n"/>
      <c r="F90" s="95" t="n"/>
      <c r="G90" s="95" t="n"/>
      <c r="H90" s="95" t="n"/>
      <c r="I90" s="95" t="n"/>
      <c r="J90" s="206" t="n"/>
      <c r="K90" s="196" t="n"/>
      <c r="L90" s="196">
        <f>IF($K90="","",ROUND($K90*$J90/(1+$J90),2))</f>
        <v/>
      </c>
      <c r="M90" s="196">
        <f>IF($K90="","",ROUND($K90-$L90,2))</f>
        <v/>
      </c>
      <c r="N90" s="95" t="n"/>
      <c r="O90" s="95" t="n"/>
      <c r="P90" s="95" t="n"/>
      <c r="Q90" s="95" t="n"/>
      <c r="R90" s="196">
        <f>IF($D90="","",IFERROR(VLOOKUP($D90,'基本設定'!$K$5:$O$15,2,FALSE),""))</f>
        <v/>
      </c>
      <c r="S90" s="196">
        <f>IF($K90="","",IF($R90="",0,MAX(0,$K90-$R90)))</f>
        <v/>
      </c>
      <c r="T90" s="95">
        <f>IF($A90="","",IF($Q90="","証憑不足",IF($S90&gt;0,"上限超過の説明要","適合")))</f>
        <v/>
      </c>
      <c r="U90" s="95">
        <f>IF($A90="","",IF($T90="適合","いいえ","はい"))</f>
        <v/>
      </c>
      <c r="V90" s="95" t="n"/>
      <c r="W90" s="95" t="n"/>
      <c r="X90" s="95" t="n"/>
      <c r="Y90" s="207">
        <f>IF($C90="","",DATE(YEAR($C90),MONTH($C90),1))</f>
        <v/>
      </c>
    </row>
    <row r="91">
      <c r="A91" s="55" t="n"/>
      <c r="B91" s="95" t="n"/>
      <c r="C91" s="198" t="n"/>
      <c r="D91" s="95" t="n"/>
      <c r="E91" s="95" t="n"/>
      <c r="F91" s="95" t="n"/>
      <c r="G91" s="95" t="n"/>
      <c r="H91" s="95" t="n"/>
      <c r="I91" s="95" t="n"/>
      <c r="J91" s="206" t="n"/>
      <c r="K91" s="196" t="n"/>
      <c r="L91" s="196">
        <f>IF($K91="","",ROUND($K91*$J91/(1+$J91),2))</f>
        <v/>
      </c>
      <c r="M91" s="196">
        <f>IF($K91="","",ROUND($K91-$L91,2))</f>
        <v/>
      </c>
      <c r="N91" s="95" t="n"/>
      <c r="O91" s="95" t="n"/>
      <c r="P91" s="95" t="n"/>
      <c r="Q91" s="95" t="n"/>
      <c r="R91" s="196">
        <f>IF($D91="","",IFERROR(VLOOKUP($D91,'基本設定'!$K$5:$O$15,2,FALSE),""))</f>
        <v/>
      </c>
      <c r="S91" s="196">
        <f>IF($K91="","",IF($R91="",0,MAX(0,$K91-$R91)))</f>
        <v/>
      </c>
      <c r="T91" s="95">
        <f>IF($A91="","",IF($Q91="","証憑不足",IF($S91&gt;0,"上限超過の説明要","適合")))</f>
        <v/>
      </c>
      <c r="U91" s="95">
        <f>IF($A91="","",IF($T91="適合","いいえ","はい"))</f>
        <v/>
      </c>
      <c r="V91" s="95" t="n"/>
      <c r="W91" s="95" t="n"/>
      <c r="X91" s="95" t="n"/>
      <c r="Y91" s="207">
        <f>IF($C91="","",DATE(YEAR($C91),MONTH($C91),1))</f>
        <v/>
      </c>
    </row>
    <row r="92">
      <c r="A92" s="55" t="n"/>
      <c r="B92" s="95" t="n"/>
      <c r="C92" s="198" t="n"/>
      <c r="D92" s="95" t="n"/>
      <c r="E92" s="95" t="n"/>
      <c r="F92" s="95" t="n"/>
      <c r="G92" s="95" t="n"/>
      <c r="H92" s="95" t="n"/>
      <c r="I92" s="95" t="n"/>
      <c r="J92" s="206" t="n"/>
      <c r="K92" s="196" t="n"/>
      <c r="L92" s="196">
        <f>IF($K92="","",ROUND($K92*$J92/(1+$J92),2))</f>
        <v/>
      </c>
      <c r="M92" s="196">
        <f>IF($K92="","",ROUND($K92-$L92,2))</f>
        <v/>
      </c>
      <c r="N92" s="95" t="n"/>
      <c r="O92" s="95" t="n"/>
      <c r="P92" s="95" t="n"/>
      <c r="Q92" s="95" t="n"/>
      <c r="R92" s="196">
        <f>IF($D92="","",IFERROR(VLOOKUP($D92,'基本設定'!$K$5:$O$15,2,FALSE),""))</f>
        <v/>
      </c>
      <c r="S92" s="196">
        <f>IF($K92="","",IF($R92="",0,MAX(0,$K92-$R92)))</f>
        <v/>
      </c>
      <c r="T92" s="95">
        <f>IF($A92="","",IF($Q92="","証憑不足",IF($S92&gt;0,"上限超過の説明要","適合")))</f>
        <v/>
      </c>
      <c r="U92" s="95">
        <f>IF($A92="","",IF($T92="適合","いいえ","はい"))</f>
        <v/>
      </c>
      <c r="V92" s="95" t="n"/>
      <c r="W92" s="95" t="n"/>
      <c r="X92" s="95" t="n"/>
      <c r="Y92" s="207">
        <f>IF($C92="","",DATE(YEAR($C92),MONTH($C92),1))</f>
        <v/>
      </c>
    </row>
    <row r="93">
      <c r="A93" s="55" t="n"/>
      <c r="B93" s="95" t="n"/>
      <c r="C93" s="198" t="n"/>
      <c r="D93" s="95" t="n"/>
      <c r="E93" s="95" t="n"/>
      <c r="F93" s="95" t="n"/>
      <c r="G93" s="95" t="n"/>
      <c r="H93" s="95" t="n"/>
      <c r="I93" s="95" t="n"/>
      <c r="J93" s="206" t="n"/>
      <c r="K93" s="196" t="n"/>
      <c r="L93" s="196">
        <f>IF($K93="","",ROUND($K93*$J93/(1+$J93),2))</f>
        <v/>
      </c>
      <c r="M93" s="196">
        <f>IF($K93="","",ROUND($K93-$L93,2))</f>
        <v/>
      </c>
      <c r="N93" s="95" t="n"/>
      <c r="O93" s="95" t="n"/>
      <c r="P93" s="95" t="n"/>
      <c r="Q93" s="95" t="n"/>
      <c r="R93" s="196">
        <f>IF($D93="","",IFERROR(VLOOKUP($D93,'基本設定'!$K$5:$O$15,2,FALSE),""))</f>
        <v/>
      </c>
      <c r="S93" s="196">
        <f>IF($K93="","",IF($R93="",0,MAX(0,$K93-$R93)))</f>
        <v/>
      </c>
      <c r="T93" s="95">
        <f>IF($A93="","",IF($Q93="","証憑不足",IF($S93&gt;0,"上限超過の説明要","適合")))</f>
        <v/>
      </c>
      <c r="U93" s="95">
        <f>IF($A93="","",IF($T93="適合","いいえ","はい"))</f>
        <v/>
      </c>
      <c r="V93" s="95" t="n"/>
      <c r="W93" s="95" t="n"/>
      <c r="X93" s="95" t="n"/>
      <c r="Y93" s="207">
        <f>IF($C93="","",DATE(YEAR($C93),MONTH($C93),1))</f>
        <v/>
      </c>
    </row>
    <row r="94">
      <c r="A94" s="55" t="n"/>
      <c r="B94" s="95" t="n"/>
      <c r="C94" s="198" t="n"/>
      <c r="D94" s="95" t="n"/>
      <c r="E94" s="95" t="n"/>
      <c r="F94" s="95" t="n"/>
      <c r="G94" s="95" t="n"/>
      <c r="H94" s="95" t="n"/>
      <c r="I94" s="95" t="n"/>
      <c r="J94" s="206" t="n"/>
      <c r="K94" s="196" t="n"/>
      <c r="L94" s="196">
        <f>IF($K94="","",ROUND($K94*$J94/(1+$J94),2))</f>
        <v/>
      </c>
      <c r="M94" s="196">
        <f>IF($K94="","",ROUND($K94-$L94,2))</f>
        <v/>
      </c>
      <c r="N94" s="95" t="n"/>
      <c r="O94" s="95" t="n"/>
      <c r="P94" s="95" t="n"/>
      <c r="Q94" s="95" t="n"/>
      <c r="R94" s="196">
        <f>IF($D94="","",IFERROR(VLOOKUP($D94,'基本設定'!$K$5:$O$15,2,FALSE),""))</f>
        <v/>
      </c>
      <c r="S94" s="196">
        <f>IF($K94="","",IF($R94="",0,MAX(0,$K94-$R94)))</f>
        <v/>
      </c>
      <c r="T94" s="95">
        <f>IF($A94="","",IF($Q94="","証憑不足",IF($S94&gt;0,"上限超過の説明要","適合")))</f>
        <v/>
      </c>
      <c r="U94" s="95">
        <f>IF($A94="","",IF($T94="適合","いいえ","はい"))</f>
        <v/>
      </c>
      <c r="V94" s="95" t="n"/>
      <c r="W94" s="95" t="n"/>
      <c r="X94" s="95" t="n"/>
      <c r="Y94" s="207">
        <f>IF($C94="","",DATE(YEAR($C94),MONTH($C94),1))</f>
        <v/>
      </c>
    </row>
    <row r="95">
      <c r="A95" s="55" t="n"/>
      <c r="B95" s="95" t="n"/>
      <c r="C95" s="198" t="n"/>
      <c r="D95" s="95" t="n"/>
      <c r="E95" s="95" t="n"/>
      <c r="F95" s="95" t="n"/>
      <c r="G95" s="95" t="n"/>
      <c r="H95" s="95" t="n"/>
      <c r="I95" s="95" t="n"/>
      <c r="J95" s="206" t="n"/>
      <c r="K95" s="196" t="n"/>
      <c r="L95" s="196">
        <f>IF($K95="","",ROUND($K95*$J95/(1+$J95),2))</f>
        <v/>
      </c>
      <c r="M95" s="196">
        <f>IF($K95="","",ROUND($K95-$L95,2))</f>
        <v/>
      </c>
      <c r="N95" s="95" t="n"/>
      <c r="O95" s="95" t="n"/>
      <c r="P95" s="95" t="n"/>
      <c r="Q95" s="95" t="n"/>
      <c r="R95" s="196">
        <f>IF($D95="","",IFERROR(VLOOKUP($D95,'基本設定'!$K$5:$O$15,2,FALSE),""))</f>
        <v/>
      </c>
      <c r="S95" s="196">
        <f>IF($K95="","",IF($R95="",0,MAX(0,$K95-$R95)))</f>
        <v/>
      </c>
      <c r="T95" s="95">
        <f>IF($A95="","",IF($Q95="","証憑不足",IF($S95&gt;0,"上限超過の説明要","適合")))</f>
        <v/>
      </c>
      <c r="U95" s="95">
        <f>IF($A95="","",IF($T95="適合","いいえ","はい"))</f>
        <v/>
      </c>
      <c r="V95" s="95" t="n"/>
      <c r="W95" s="95" t="n"/>
      <c r="X95" s="95" t="n"/>
      <c r="Y95" s="207">
        <f>IF($C95="","",DATE(YEAR($C95),MONTH($C95),1))</f>
        <v/>
      </c>
    </row>
    <row r="96">
      <c r="A96" s="55" t="n"/>
      <c r="B96" s="95" t="n"/>
      <c r="C96" s="198" t="n"/>
      <c r="D96" s="95" t="n"/>
      <c r="E96" s="95" t="n"/>
      <c r="F96" s="95" t="n"/>
      <c r="G96" s="95" t="n"/>
      <c r="H96" s="95" t="n"/>
      <c r="I96" s="95" t="n"/>
      <c r="J96" s="206" t="n"/>
      <c r="K96" s="196" t="n"/>
      <c r="L96" s="196">
        <f>IF($K96="","",ROUND($K96*$J96/(1+$J96),2))</f>
        <v/>
      </c>
      <c r="M96" s="196">
        <f>IF($K96="","",ROUND($K96-$L96,2))</f>
        <v/>
      </c>
      <c r="N96" s="95" t="n"/>
      <c r="O96" s="95" t="n"/>
      <c r="P96" s="95" t="n"/>
      <c r="Q96" s="95" t="n"/>
      <c r="R96" s="196">
        <f>IF($D96="","",IFERROR(VLOOKUP($D96,'基本設定'!$K$5:$O$15,2,FALSE),""))</f>
        <v/>
      </c>
      <c r="S96" s="196">
        <f>IF($K96="","",IF($R96="",0,MAX(0,$K96-$R96)))</f>
        <v/>
      </c>
      <c r="T96" s="95">
        <f>IF($A96="","",IF($Q96="","証憑不足",IF($S96&gt;0,"上限超過の説明要","適合")))</f>
        <v/>
      </c>
      <c r="U96" s="95">
        <f>IF($A96="","",IF($T96="適合","いいえ","はい"))</f>
        <v/>
      </c>
      <c r="V96" s="95" t="n"/>
      <c r="W96" s="95" t="n"/>
      <c r="X96" s="95" t="n"/>
      <c r="Y96" s="207">
        <f>IF($C96="","",DATE(YEAR($C96),MONTH($C96),1))</f>
        <v/>
      </c>
    </row>
    <row r="97">
      <c r="A97" s="55" t="n"/>
      <c r="B97" s="95" t="n"/>
      <c r="C97" s="198" t="n"/>
      <c r="D97" s="95" t="n"/>
      <c r="E97" s="95" t="n"/>
      <c r="F97" s="95" t="n"/>
      <c r="G97" s="95" t="n"/>
      <c r="H97" s="95" t="n"/>
      <c r="I97" s="95" t="n"/>
      <c r="J97" s="206" t="n"/>
      <c r="K97" s="196" t="n"/>
      <c r="L97" s="196">
        <f>IF($K97="","",ROUND($K97*$J97/(1+$J97),2))</f>
        <v/>
      </c>
      <c r="M97" s="196">
        <f>IF($K97="","",ROUND($K97-$L97,2))</f>
        <v/>
      </c>
      <c r="N97" s="95" t="n"/>
      <c r="O97" s="95" t="n"/>
      <c r="P97" s="95" t="n"/>
      <c r="Q97" s="95" t="n"/>
      <c r="R97" s="196">
        <f>IF($D97="","",IFERROR(VLOOKUP($D97,'基本設定'!$K$5:$O$15,2,FALSE),""))</f>
        <v/>
      </c>
      <c r="S97" s="196">
        <f>IF($K97="","",IF($R97="",0,MAX(0,$K97-$R97)))</f>
        <v/>
      </c>
      <c r="T97" s="95">
        <f>IF($A97="","",IF($Q97="","証憑不足",IF($S97&gt;0,"上限超過の説明要","適合")))</f>
        <v/>
      </c>
      <c r="U97" s="95">
        <f>IF($A97="","",IF($T97="適合","いいえ","はい"))</f>
        <v/>
      </c>
      <c r="V97" s="95" t="n"/>
      <c r="W97" s="95" t="n"/>
      <c r="X97" s="95" t="n"/>
      <c r="Y97" s="207">
        <f>IF($C97="","",DATE(YEAR($C97),MONTH($C97),1))</f>
        <v/>
      </c>
    </row>
    <row r="98">
      <c r="A98" s="55" t="n"/>
      <c r="B98" s="95" t="n"/>
      <c r="C98" s="198" t="n"/>
      <c r="D98" s="95" t="n"/>
      <c r="E98" s="95" t="n"/>
      <c r="F98" s="95" t="n"/>
      <c r="G98" s="95" t="n"/>
      <c r="H98" s="95" t="n"/>
      <c r="I98" s="95" t="n"/>
      <c r="J98" s="206" t="n"/>
      <c r="K98" s="196" t="n"/>
      <c r="L98" s="196">
        <f>IF($K98="","",ROUND($K98*$J98/(1+$J98),2))</f>
        <v/>
      </c>
      <c r="M98" s="196">
        <f>IF($K98="","",ROUND($K98-$L98,2))</f>
        <v/>
      </c>
      <c r="N98" s="95" t="n"/>
      <c r="O98" s="95" t="n"/>
      <c r="P98" s="95" t="n"/>
      <c r="Q98" s="95" t="n"/>
      <c r="R98" s="196">
        <f>IF($D98="","",IFERROR(VLOOKUP($D98,'基本設定'!$K$5:$O$15,2,FALSE),""))</f>
        <v/>
      </c>
      <c r="S98" s="196">
        <f>IF($K98="","",IF($R98="",0,MAX(0,$K98-$R98)))</f>
        <v/>
      </c>
      <c r="T98" s="95">
        <f>IF($A98="","",IF($Q98="","証憑不足",IF($S98&gt;0,"上限超過の説明要","適合")))</f>
        <v/>
      </c>
      <c r="U98" s="95">
        <f>IF($A98="","",IF($T98="適合","いいえ","はい"))</f>
        <v/>
      </c>
      <c r="V98" s="95" t="n"/>
      <c r="W98" s="95" t="n"/>
      <c r="X98" s="95" t="n"/>
      <c r="Y98" s="207">
        <f>IF($C98="","",DATE(YEAR($C98),MONTH($C98),1))</f>
        <v/>
      </c>
    </row>
    <row r="99">
      <c r="A99" s="55" t="n"/>
      <c r="B99" s="95" t="n"/>
      <c r="C99" s="198" t="n"/>
      <c r="D99" s="95" t="n"/>
      <c r="E99" s="95" t="n"/>
      <c r="F99" s="95" t="n"/>
      <c r="G99" s="95" t="n"/>
      <c r="H99" s="95" t="n"/>
      <c r="I99" s="95" t="n"/>
      <c r="J99" s="206" t="n"/>
      <c r="K99" s="196" t="n"/>
      <c r="L99" s="196">
        <f>IF($K99="","",ROUND($K99*$J99/(1+$J99),2))</f>
        <v/>
      </c>
      <c r="M99" s="196">
        <f>IF($K99="","",ROUND($K99-$L99,2))</f>
        <v/>
      </c>
      <c r="N99" s="95" t="n"/>
      <c r="O99" s="95" t="n"/>
      <c r="P99" s="95" t="n"/>
      <c r="Q99" s="95" t="n"/>
      <c r="R99" s="196">
        <f>IF($D99="","",IFERROR(VLOOKUP($D99,'基本設定'!$K$5:$O$15,2,FALSE),""))</f>
        <v/>
      </c>
      <c r="S99" s="196">
        <f>IF($K99="","",IF($R99="",0,MAX(0,$K99-$R99)))</f>
        <v/>
      </c>
      <c r="T99" s="95">
        <f>IF($A99="","",IF($Q99="","証憑不足",IF($S99&gt;0,"上限超過の説明要","適合")))</f>
        <v/>
      </c>
      <c r="U99" s="95">
        <f>IF($A99="","",IF($T99="適合","いいえ","はい"))</f>
        <v/>
      </c>
      <c r="V99" s="95" t="n"/>
      <c r="W99" s="95" t="n"/>
      <c r="X99" s="95" t="n"/>
      <c r="Y99" s="207">
        <f>IF($C99="","",DATE(YEAR($C99),MONTH($C99),1))</f>
        <v/>
      </c>
    </row>
    <row r="100">
      <c r="A100" s="55" t="n"/>
      <c r="B100" s="95" t="n"/>
      <c r="C100" s="198" t="n"/>
      <c r="D100" s="95" t="n"/>
      <c r="E100" s="95" t="n"/>
      <c r="F100" s="95" t="n"/>
      <c r="G100" s="95" t="n"/>
      <c r="H100" s="95" t="n"/>
      <c r="I100" s="95" t="n"/>
      <c r="J100" s="206" t="n"/>
      <c r="K100" s="196" t="n"/>
      <c r="L100" s="196">
        <f>IF($K100="","",ROUND($K100*$J100/(1+$J100),2))</f>
        <v/>
      </c>
      <c r="M100" s="196">
        <f>IF($K100="","",ROUND($K100-$L100,2))</f>
        <v/>
      </c>
      <c r="N100" s="95" t="n"/>
      <c r="O100" s="95" t="n"/>
      <c r="P100" s="95" t="n"/>
      <c r="Q100" s="95" t="n"/>
      <c r="R100" s="196">
        <f>IF($D100="","",IFERROR(VLOOKUP($D100,'基本設定'!$K$5:$O$15,2,FALSE),""))</f>
        <v/>
      </c>
      <c r="S100" s="196">
        <f>IF($K100="","",IF($R100="",0,MAX(0,$K100-$R100)))</f>
        <v/>
      </c>
      <c r="T100" s="95">
        <f>IF($A100="","",IF($Q100="","証憑不足",IF($S100&gt;0,"上限超過の説明要","適合")))</f>
        <v/>
      </c>
      <c r="U100" s="95">
        <f>IF($A100="","",IF($T100="適合","いいえ","はい"))</f>
        <v/>
      </c>
      <c r="V100" s="95" t="n"/>
      <c r="W100" s="95" t="n"/>
      <c r="X100" s="95" t="n"/>
      <c r="Y100" s="207">
        <f>IF($C100="","",DATE(YEAR($C100),MONTH($C100),1))</f>
        <v/>
      </c>
    </row>
    <row r="101">
      <c r="A101" s="55" t="n"/>
      <c r="B101" s="95" t="n"/>
      <c r="C101" s="198" t="n"/>
      <c r="D101" s="95" t="n"/>
      <c r="E101" s="95" t="n"/>
      <c r="F101" s="95" t="n"/>
      <c r="G101" s="95" t="n"/>
      <c r="H101" s="95" t="n"/>
      <c r="I101" s="95" t="n"/>
      <c r="J101" s="206" t="n"/>
      <c r="K101" s="196" t="n"/>
      <c r="L101" s="196">
        <f>IF($K101="","",ROUND($K101*$J101/(1+$J101),2))</f>
        <v/>
      </c>
      <c r="M101" s="196">
        <f>IF($K101="","",ROUND($K101-$L101,2))</f>
        <v/>
      </c>
      <c r="N101" s="95" t="n"/>
      <c r="O101" s="95" t="n"/>
      <c r="P101" s="95" t="n"/>
      <c r="Q101" s="95" t="n"/>
      <c r="R101" s="196">
        <f>IF($D101="","",IFERROR(VLOOKUP($D101,'基本設定'!$K$5:$O$15,2,FALSE),""))</f>
        <v/>
      </c>
      <c r="S101" s="196">
        <f>IF($K101="","",IF($R101="",0,MAX(0,$K101-$R101)))</f>
        <v/>
      </c>
      <c r="T101" s="95">
        <f>IF($A101="","",IF($Q101="","証憑不足",IF($S101&gt;0,"上限超過の説明要","適合")))</f>
        <v/>
      </c>
      <c r="U101" s="95">
        <f>IF($A101="","",IF($T101="適合","いいえ","はい"))</f>
        <v/>
      </c>
      <c r="V101" s="95" t="n"/>
      <c r="W101" s="95" t="n"/>
      <c r="X101" s="95" t="n"/>
      <c r="Y101" s="207">
        <f>IF($C101="","",DATE(YEAR($C101),MONTH($C101),1))</f>
        <v/>
      </c>
    </row>
    <row r="102">
      <c r="A102" s="55" t="n"/>
      <c r="B102" s="95" t="n"/>
      <c r="C102" s="198" t="n"/>
      <c r="D102" s="95" t="n"/>
      <c r="E102" s="95" t="n"/>
      <c r="F102" s="95" t="n"/>
      <c r="G102" s="95" t="n"/>
      <c r="H102" s="95" t="n"/>
      <c r="I102" s="95" t="n"/>
      <c r="J102" s="206" t="n"/>
      <c r="K102" s="196" t="n"/>
      <c r="L102" s="196">
        <f>IF($K102="","",ROUND($K102*$J102/(1+$J102),2))</f>
        <v/>
      </c>
      <c r="M102" s="196">
        <f>IF($K102="","",ROUND($K102-$L102,2))</f>
        <v/>
      </c>
      <c r="N102" s="95" t="n"/>
      <c r="O102" s="95" t="n"/>
      <c r="P102" s="95" t="n"/>
      <c r="Q102" s="95" t="n"/>
      <c r="R102" s="196">
        <f>IF($D102="","",IFERROR(VLOOKUP($D102,'基本設定'!$K$5:$O$15,2,FALSE),""))</f>
        <v/>
      </c>
      <c r="S102" s="196">
        <f>IF($K102="","",IF($R102="",0,MAX(0,$K102-$R102)))</f>
        <v/>
      </c>
      <c r="T102" s="95">
        <f>IF($A102="","",IF($Q102="","証憑不足",IF($S102&gt;0,"上限超過の説明要","適合")))</f>
        <v/>
      </c>
      <c r="U102" s="95">
        <f>IF($A102="","",IF($T102="適合","いいえ","はい"))</f>
        <v/>
      </c>
      <c r="V102" s="95" t="n"/>
      <c r="W102" s="95" t="n"/>
      <c r="X102" s="95" t="n"/>
      <c r="Y102" s="207">
        <f>IF($C102="","",DATE(YEAR($C102),MONTH($C102),1))</f>
        <v/>
      </c>
    </row>
    <row r="103">
      <c r="A103" s="55" t="n"/>
      <c r="B103" s="95" t="n"/>
      <c r="C103" s="198" t="n"/>
      <c r="D103" s="95" t="n"/>
      <c r="E103" s="95" t="n"/>
      <c r="F103" s="95" t="n"/>
      <c r="G103" s="95" t="n"/>
      <c r="H103" s="95" t="n"/>
      <c r="I103" s="95" t="n"/>
      <c r="J103" s="206" t="n"/>
      <c r="K103" s="196" t="n"/>
      <c r="L103" s="196">
        <f>IF($K103="","",ROUND($K103*$J103/(1+$J103),2))</f>
        <v/>
      </c>
      <c r="M103" s="196">
        <f>IF($K103="","",ROUND($K103-$L103,2))</f>
        <v/>
      </c>
      <c r="N103" s="95" t="n"/>
      <c r="O103" s="95" t="n"/>
      <c r="P103" s="95" t="n"/>
      <c r="Q103" s="95" t="n"/>
      <c r="R103" s="196">
        <f>IF($D103="","",IFERROR(VLOOKUP($D103,'基本設定'!$K$5:$O$15,2,FALSE),""))</f>
        <v/>
      </c>
      <c r="S103" s="196">
        <f>IF($K103="","",IF($R103="",0,MAX(0,$K103-$R103)))</f>
        <v/>
      </c>
      <c r="T103" s="95">
        <f>IF($A103="","",IF($Q103="","証憑不足",IF($S103&gt;0,"上限超過の説明要","適合")))</f>
        <v/>
      </c>
      <c r="U103" s="95">
        <f>IF($A103="","",IF($T103="適合","いいえ","はい"))</f>
        <v/>
      </c>
      <c r="V103" s="95" t="n"/>
      <c r="W103" s="95" t="n"/>
      <c r="X103" s="95" t="n"/>
      <c r="Y103" s="207">
        <f>IF($C103="","",DATE(YEAR($C103),MONTH($C103),1))</f>
        <v/>
      </c>
    </row>
    <row r="104">
      <c r="A104" s="57" t="n"/>
      <c r="B104" s="96" t="n"/>
      <c r="C104" s="203" t="n"/>
      <c r="D104" s="96" t="n"/>
      <c r="E104" s="96" t="n"/>
      <c r="F104" s="96" t="n"/>
      <c r="G104" s="96" t="n"/>
      <c r="H104" s="96" t="n"/>
      <c r="I104" s="96" t="n"/>
      <c r="J104" s="208" t="n"/>
      <c r="K104" s="201" t="n"/>
      <c r="L104" s="201">
        <f>IF($K104="","",ROUND($K104*$J104/(1+$J104),2))</f>
        <v/>
      </c>
      <c r="M104" s="201">
        <f>IF($K104="","",ROUND($K104-$L104,2))</f>
        <v/>
      </c>
      <c r="N104" s="96" t="n"/>
      <c r="O104" s="96" t="n"/>
      <c r="P104" s="96" t="n"/>
      <c r="Q104" s="96" t="n"/>
      <c r="R104" s="201">
        <f>IF($D104="","",IFERROR(VLOOKUP($D104,'基本設定'!$K$5:$O$15,2,FALSE),""))</f>
        <v/>
      </c>
      <c r="S104" s="201">
        <f>IF($K104="","",IF($R104="",0,MAX(0,$K104-$R104)))</f>
        <v/>
      </c>
      <c r="T104" s="96">
        <f>IF($A104="","",IF($Q104="","証憑不足",IF($S104&gt;0,"上限超過の説明要","適合")))</f>
        <v/>
      </c>
      <c r="U104" s="96">
        <f>IF($A104="","",IF($T104="適合","いいえ","はい"))</f>
        <v/>
      </c>
      <c r="V104" s="96" t="n"/>
      <c r="W104" s="96" t="n"/>
      <c r="X104" s="96" t="n"/>
      <c r="Y104" s="209">
        <f>IF($C104="","",DATE(YEAR($C104),MONTH($C104),1))</f>
        <v/>
      </c>
    </row>
  </sheetData>
  <mergeCells count="2">
    <mergeCell ref="A2:Y2"/>
    <mergeCell ref="A1:Y1"/>
  </mergeCells>
  <conditionalFormatting sqref="T5:T104">
    <cfRule type="containsText" priority="1" operator="containsText" dxfId="0" text="合规"/>
    <cfRule type="containsText" priority="2" operator="containsText" dxfId="1" text="超限"/>
    <cfRule type="containsText" priority="3" operator="containsText" dxfId="2" text="証憑不足"/>
  </conditionalFormatting>
  <dataValidations count="8">
    <dataValidation sqref="D5:D104" showDropDown="0" showInputMessage="0" showErrorMessage="0" allowBlank="1" type="list">
      <formula1>"出張交通費,宿泊費,会食接待,市内交通,事務用品,研修会議,通信費,マーケティング施策,ソフトウェア/SaaS,福利厚生,その他"</formula1>
    </dataValidation>
    <dataValidation sqref="F5:F104" showDropDown="0" showInputMessage="0" showErrorMessage="0" allowBlank="1" type="list">
      <formula1>"出張精算,顧客接待,備品購入,研修会議,マーケティング施策,福利厚生,リモートワーク,プロジェクト支出,市内交通,その他"</formula1>
    </dataValidation>
    <dataValidation sqref="H5:H104" showDropDown="0" showInputMessage="0" showErrorMessage="0" allowBlank="1" type="list">
      <formula1>"適格請求書,一般請求書,電子請求書,旅程表/乗車券,領収書,証憑なし説明"</formula1>
    </dataValidation>
    <dataValidation sqref="J5:J104" showDropDown="0" showInputMessage="0" showErrorMessage="0" allowBlank="1" type="list">
      <formula1>"0,0.01,0.03,0.06,0.09,0.13"</formula1>
    </dataValidation>
    <dataValidation sqref="N5:N104" showDropDown="0" showInputMessage="0" showErrorMessage="0" allowBlank="1" type="list">
      <formula1>"个人垫付,法人カード,银行转账,現金,第三者決済,仕入先直払い"</formula1>
    </dataValidation>
    <dataValidation sqref="P5:P104" showDropDown="0" showInputMessage="0" showErrorMessage="0" allowBlank="1" type="list">
      <formula1>"はい,いいえ"</formula1>
    </dataValidation>
    <dataValidation sqref="W5:W104" showDropDown="0" showInputMessage="0" showErrorMessage="0" allowBlank="1" type="list">
      <formula1>"はい,いいえ"</formula1>
    </dataValidation>
    <dataValidation sqref="X5:X104" showDropDown="0" showInputMessage="0" showErrorMessage="0" allowBlank="1" type="list">
      <formula1>"認証待ち,認証済み,認証不要,异常,対象外"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8"/>
  <sheetViews>
    <sheetView showGridLines="0" workbookViewId="0">
      <selection activeCell="A1" sqref="A1"/>
    </sheetView>
  </sheetViews>
  <sheetFormatPr baseColWidth="8" defaultRowHeight="15"/>
  <cols>
    <col width="14" customWidth="1" style="162" min="1" max="1"/>
    <col width="18" customWidth="1" style="162" min="2" max="3"/>
    <col width="22" customWidth="1" style="162" min="4" max="4"/>
    <col width="18" customWidth="1" style="162" min="5" max="5"/>
    <col width="14" customWidth="1" style="162" min="6" max="6"/>
    <col width="34" customWidth="1" style="162" min="7" max="7"/>
    <col width="22" customWidth="1" style="162" min="8" max="8"/>
  </cols>
  <sheetData>
    <row r="1" ht="30" customHeight="1" s="162">
      <c r="A1" s="9" t="inlineStr">
        <is>
          <t>承認フローと統制マトリクス</t>
        </is>
      </c>
      <c r="B1" s="1" t="n"/>
      <c r="C1" s="1" t="n"/>
      <c r="D1" s="1" t="n"/>
      <c r="E1" s="1" t="n"/>
      <c r="F1" s="1" t="n"/>
      <c r="G1" s="1" t="n"/>
      <c r="H1" s="1" t="n"/>
    </row>
    <row r="2" ht="22" customHeight="1" s="162">
      <c r="A2" s="13" t="inlineStr">
        <is>
          <t>会社の権限設定、金額しきい値、プロジェクト帰属、請求書ポリシーに応じて承認ステップを調整できます。</t>
        </is>
      </c>
      <c r="B2" s="1" t="n"/>
      <c r="C2" s="1" t="n"/>
      <c r="D2" s="1" t="n"/>
      <c r="E2" s="1" t="n"/>
      <c r="F2" s="1" t="n"/>
      <c r="G2" s="1" t="n"/>
      <c r="H2" s="1" t="n"/>
    </row>
    <row r="3"/>
    <row r="4">
      <c r="A4" s="38" t="inlineStr">
        <is>
          <t>ステップ</t>
        </is>
      </c>
      <c r="B4" s="39" t="inlineStr">
        <is>
          <t>工程</t>
        </is>
      </c>
      <c r="C4" s="39" t="inlineStr">
        <is>
          <t>処理ロール</t>
        </is>
      </c>
      <c r="D4" s="39" t="inlineStr">
        <is>
          <t>このテンプレートの入力例です。必要に応じて自社データに置き換えてください。</t>
        </is>
      </c>
      <c r="E4" s="39" t="inlineStr">
        <is>
          <t>通過後ステータス</t>
        </is>
      </c>
      <c r="F4" s="39" t="inlineStr">
        <is>
          <t>推奨サービスレベル</t>
        </is>
      </c>
      <c r="G4" s="39" t="inlineStr">
        <is>
          <t>主要統制点</t>
        </is>
      </c>
      <c r="H4" s="40" t="inlineStr">
        <is>
          <t>適用シーン</t>
        </is>
      </c>
    </row>
    <row r="5" ht="34" customHeight="1" s="162">
      <c r="A5" s="52" t="n">
        <v>1</v>
      </c>
      <c r="B5" s="94" t="inlineStr">
        <is>
          <t>申請提出</t>
        </is>
      </c>
      <c r="C5" s="94" t="inlineStr">
        <is>
          <t>精算申請者</t>
        </is>
      </c>
      <c r="D5" s="94" t="inlineStr">
        <is>
          <t>下書きかつ資料完備</t>
        </is>
      </c>
      <c r="E5" s="94" t="inlineStr">
        <is>
          <t>部門承認待ち</t>
        </is>
      </c>
      <c r="F5" s="94" t="inlineStr">
        <is>
          <t>当日</t>
        </is>
      </c>
      <c r="G5" s="94" t="inlineStr">
        <is>
          <t>このテンプレートの入力例です。必要に応じて自社データに置き換えてください。</t>
        </is>
      </c>
      <c r="H5" s="130" t="inlineStr">
        <is>
          <t>全件</t>
        </is>
      </c>
    </row>
    <row r="6" ht="34" customHeight="1" s="162">
      <c r="A6" s="55" t="n">
        <v>2</v>
      </c>
      <c r="B6" s="95" t="inlineStr">
        <is>
          <t>業務承認</t>
        </is>
      </c>
      <c r="C6" s="95" t="inlineStr">
        <is>
          <t>部門マネージャー</t>
        </is>
      </c>
      <c r="D6" s="95" t="inlineStr">
        <is>
          <t>部門承認待ち</t>
        </is>
      </c>
      <c r="E6" s="95" t="inlineStr">
        <is>
          <t>プロジェクト承認待ち/経理確認待ちち</t>
        </is>
      </c>
      <c r="F6" s="95" t="inlineStr">
        <is>
          <t>2営業日</t>
        </is>
      </c>
      <c r="G6" s="95" t="inlineStr">
        <is>
          <t>実在性、予算帰属、出張/接待目的</t>
        </is>
      </c>
      <c r="H6" s="131" t="inlineStr">
        <is>
          <t>全件</t>
        </is>
      </c>
    </row>
    <row r="7" ht="34" customHeight="1" s="162">
      <c r="A7" s="55" t="n">
        <v>3</v>
      </c>
      <c r="B7" s="95" t="inlineStr">
        <is>
          <t>プロジェクト承認</t>
        </is>
      </c>
      <c r="C7" s="95" t="inlineStr">
        <is>
          <t>プロジェクト責任者</t>
        </is>
      </c>
      <c r="D7" s="95" t="inlineStr">
        <is>
          <t>プロジェクト支出または顧客転嫁可</t>
        </is>
      </c>
      <c r="E7" s="95" t="inlineStr">
        <is>
          <t>経理確認待ちち</t>
        </is>
      </c>
      <c r="F7" s="95" t="inlineStr">
        <is>
          <t>2営業日</t>
        </is>
      </c>
      <c r="G7" s="95" t="inlineStr">
        <is>
          <t>このテンプレートの入力例です。必要に応じて自社データに置き換えてください。</t>
        </is>
      </c>
      <c r="H7" s="131" t="inlineStr">
        <is>
          <t>プロジェクト支出/差旅</t>
        </is>
      </c>
    </row>
    <row r="8" ht="34" customHeight="1" s="162">
      <c r="A8" s="55" t="n">
        <v>4</v>
      </c>
      <c r="B8" s="95" t="inlineStr">
        <is>
          <t>経理一次確認</t>
        </is>
      </c>
      <c r="C8" s="95" t="inlineStr">
        <is>
          <t>経理担当</t>
        </is>
      </c>
      <c r="D8" s="95" t="inlineStr">
        <is>
          <t>経理確認待ちち</t>
        </is>
      </c>
      <c r="E8" s="95" t="inlineStr">
        <is>
          <t>承認済み/差し戻し</t>
        </is>
      </c>
      <c r="F8" s="95" t="inlineStr">
        <is>
          <t>3営業日</t>
        </is>
      </c>
      <c r="G8" s="95" t="inlineStr">
        <is>
          <t>請求書、税率、上限超過、証憑不足、重複精算</t>
        </is>
      </c>
      <c r="H8" s="131" t="inlineStr">
        <is>
          <t>全件</t>
        </is>
      </c>
    </row>
    <row r="9" ht="34" customHeight="1" s="162">
      <c r="A9" s="55" t="n">
        <v>5</v>
      </c>
      <c r="B9" s="95" t="inlineStr">
        <is>
          <t>異常再確認</t>
        </is>
      </c>
      <c r="C9" s="95" t="inlineStr">
        <is>
          <t>経理マネージャー/権限者</t>
        </is>
      </c>
      <c r="D9" s="95" t="inlineStr">
        <is>
          <t>上限超過、欠票、金額重大</t>
        </is>
      </c>
      <c r="E9" s="95" t="inlineStr">
        <is>
          <t>承認済み/却下</t>
        </is>
      </c>
      <c r="F9" s="95" t="inlineStr">
        <is>
          <t>3営業日</t>
        </is>
      </c>
      <c r="G9" s="95" t="inlineStr">
        <is>
          <t>金額閾値、規程例外、コンプライアンスリスク</t>
        </is>
      </c>
      <c r="H9" s="131" t="inlineStr">
        <is>
          <t>接待/購買/販促</t>
        </is>
      </c>
    </row>
    <row r="10" ht="34" customHeight="1" s="162">
      <c r="A10" s="57" t="n">
        <v>6</v>
      </c>
      <c r="B10" s="96" t="inlineStr">
        <is>
          <t>支払・保管</t>
        </is>
      </c>
      <c r="C10" s="96" t="inlineStr">
        <is>
          <t>出納/経理</t>
        </is>
      </c>
      <c r="D10" s="96" t="inlineStr">
        <is>
          <t>承認済みまたは支払待ち</t>
        </is>
      </c>
      <c r="E10" s="96" t="inlineStr">
        <is>
          <t>支払済み</t>
        </is>
      </c>
      <c r="F10" s="96" t="inlineStr">
        <is>
          <t>2営業日</t>
        </is>
      </c>
      <c r="G10" s="96" t="inlineStr">
        <is>
          <t>このテンプレートの入力例です。必要に応じて自社データに置き換えてください。</t>
        </is>
      </c>
      <c r="H10" s="132" t="inlineStr">
        <is>
          <t>全件</t>
        </is>
      </c>
    </row>
    <row r="11" ht="34" customHeight="1" s="162"/>
    <row r="12" ht="34" customHeight="1" s="162"/>
    <row r="13" ht="34" customHeight="1" s="162">
      <c r="A13" s="175" t="inlineStr">
        <is>
          <t>よく使う自動通知ルール</t>
        </is>
      </c>
      <c r="B13" s="176" t="n"/>
      <c r="C13" s="176" t="n"/>
      <c r="D13" s="176" t="n"/>
      <c r="E13" s="176" t="n"/>
      <c r="F13" s="176" t="n"/>
      <c r="G13" s="176" t="n"/>
      <c r="H13" s="177" t="n"/>
    </row>
    <row r="14" ht="34" customHeight="1" s="162">
      <c r="A14" s="38" t="inlineStr">
        <is>
          <t>このテンプレートの入力例です。必要に応じて自社データに置き換えてください。</t>
        </is>
      </c>
      <c r="B14" s="39" t="inlineStr">
        <is>
          <t>自動通知</t>
        </is>
      </c>
      <c r="C14" s="39" t="inlineStr">
        <is>
          <t>処理提案</t>
        </is>
      </c>
      <c r="D14" s="39" t="inlineStr">
        <is>
          <t>承認エスカレーション</t>
        </is>
      </c>
      <c r="E14" s="39" t="inlineStr">
        <is>
          <t>経理再確認</t>
        </is>
      </c>
      <c r="F14" s="39" t="inlineStr">
        <is>
          <t>税務/請求書の確認</t>
        </is>
      </c>
      <c r="G14" s="39" t="inlineStr">
        <is>
          <t>入力例</t>
        </is>
      </c>
      <c r="H14" s="40" t="inlineStr">
        <is>
          <t>備考</t>
        </is>
      </c>
    </row>
    <row r="15" ht="34" customHeight="1" s="162">
      <c r="A15" s="52" t="inlineStr">
        <is>
          <t>証憑不足</t>
        </is>
      </c>
      <c r="B15" s="94" t="inlineStr">
        <is>
          <t>添付追加または無票説明</t>
        </is>
      </c>
      <c r="C15" s="94" t="inlineStr">
        <is>
          <t>差し戻し或例外承認</t>
        </is>
      </c>
      <c r="D15" s="94" t="inlineStr">
        <is>
          <t>入力例</t>
        </is>
      </c>
      <c r="E15" s="94" t="inlineStr">
        <is>
          <t>入力例</t>
        </is>
      </c>
      <c r="F15" s="94" t="inlineStr">
        <is>
          <t>不可抵扣或需説明</t>
        </is>
      </c>
      <c r="G15" s="94" t="inlineStr">
        <is>
          <t>異常明細+1</t>
        </is>
      </c>
      <c r="H15" s="130" t="inlineStr">
        <is>
          <t>明細数式で自動マーク</t>
        </is>
      </c>
    </row>
    <row r="16" ht="34" customHeight="1" s="162">
      <c r="A16" s="55" t="inlineStr">
        <is>
          <t>上限超過額&gt;0</t>
        </is>
      </c>
      <c r="B16" s="95" t="inlineStr">
        <is>
          <t>業務説明を記入</t>
        </is>
      </c>
      <c r="C16" s="95" t="inlineStr">
        <is>
          <t>権限者の追加承認</t>
        </is>
      </c>
      <c r="D16" s="95" t="inlineStr">
        <is>
          <t>エスカレーション推奨</t>
        </is>
      </c>
      <c r="E16" s="95" t="inlineStr">
        <is>
          <t>入力例</t>
        </is>
      </c>
      <c r="F16" s="95" t="inlineStr">
        <is>
          <t>証憑に基づき処理</t>
        </is>
      </c>
      <c r="G16" s="95" t="inlineStr">
        <is>
          <t>異常明細+1</t>
        </is>
      </c>
      <c r="H16" s="131" t="inlineStr">
        <is>
          <t>上限は基本設定で変更</t>
        </is>
      </c>
    </row>
    <row r="17" ht="34" customHeight="1" s="162">
      <c r="A17" s="55" t="inlineStr">
        <is>
          <t>承認済み未払い</t>
        </is>
      </c>
      <c r="B17" s="95" t="inlineStr">
        <is>
          <t>支払スケジュールに組み込む</t>
        </is>
      </c>
      <c r="C17" s="95" t="inlineStr">
        <is>
          <t>支払待ちキューに入れる</t>
        </is>
      </c>
      <c r="D17" s="95" t="inlineStr">
        <is>
          <t>通常不要</t>
        </is>
      </c>
      <c r="E17" s="95" t="inlineStr">
        <is>
          <t>支払前に再確認</t>
        </is>
      </c>
      <c r="F17" s="95" t="inlineStr">
        <is>
          <t>振込情報を確認</t>
        </is>
      </c>
      <c r="G17" s="95" t="inlineStr">
        <is>
          <t>保留中金額</t>
        </is>
      </c>
      <c r="H17" s="131" t="inlineStr">
        <is>
          <t>予定支払日を自動生成</t>
        </is>
      </c>
    </row>
    <row r="18" ht="34" customHeight="1" s="162">
      <c r="A18" s="57" t="inlineStr">
        <is>
          <t>請求書認証異常</t>
        </is>
      </c>
      <c r="B18" s="96" t="inlineStr">
        <is>
          <t>このテンプレートの入力例です。必要に応じて自社データに置き換えてください。</t>
        </is>
      </c>
      <c r="C18" s="96" t="inlineStr">
        <is>
          <t>支払停止または追加書類提出</t>
        </is>
      </c>
      <c r="D18" s="96" t="inlineStr">
        <is>
          <t>リスクに応じて上位承認</t>
        </is>
      </c>
      <c r="E18" s="96" t="inlineStr">
        <is>
          <t>入力例</t>
        </is>
      </c>
      <c r="F18" s="96" t="inlineStr">
        <is>
          <t>控除不可または調整</t>
        </is>
      </c>
      <c r="G18" s="96" t="inlineStr">
        <is>
          <t>異常フラグ</t>
        </is>
      </c>
      <c r="H18" s="132" t="inlineStr">
        <is>
          <t>請求書検証インターフェースに接続可能</t>
        </is>
      </c>
    </row>
  </sheetData>
  <mergeCells count="3">
    <mergeCell ref="A13:H13"/>
    <mergeCell ref="A2:H2"/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Z15"/>
  <sheetViews>
    <sheetView showGridLines="0" workbookViewId="0">
      <selection activeCell="A1" sqref="A1"/>
    </sheetView>
  </sheetViews>
  <sheetFormatPr baseColWidth="8" defaultRowHeight="15"/>
  <cols>
    <col width="14" customWidth="1" style="162" min="1" max="1"/>
    <col width="14" customWidth="1" style="162" min="3" max="3"/>
    <col width="14" customWidth="1" style="162" min="5" max="5"/>
    <col width="14" customWidth="1" style="162" min="7" max="7"/>
    <col width="18" customWidth="1" style="162" min="9" max="9"/>
    <col width="14" customWidth="1" style="162" min="11" max="11"/>
    <col width="12" customWidth="1" style="162" min="12" max="14"/>
    <col width="34" customWidth="1" style="162" min="15" max="15"/>
    <col width="10" customWidth="1" style="162" min="17" max="17"/>
    <col width="12" customWidth="1" style="162" min="19" max="19"/>
    <col width="10" customWidth="1" style="162" min="21" max="21"/>
    <col width="16" customWidth="1" style="162" min="23" max="23"/>
    <col width="10" customWidth="1" style="162" min="25" max="25"/>
  </cols>
  <sheetData>
    <row r="1" ht="30" customHeight="1" s="162">
      <c r="A1" s="9" t="inlineStr">
        <is>
          <t>基本設定とポリシー設定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</row>
    <row r="2" ht="22" customHeight="1" s="162">
      <c r="A2" s="13" t="inlineStr">
        <is>
          <t>ドロップダウン項目、費目、単価上限、デフォルト税率、統制説明を管理します。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</row>
    <row r="3">
      <c r="A3" s="68" t="inlineStr">
        <is>
          <t>部門</t>
        </is>
      </c>
      <c r="C3" s="68" t="inlineStr">
        <is>
          <t>業務シーン</t>
        </is>
      </c>
      <c r="E3" s="68" t="inlineStr">
        <is>
          <t>精算ステータス</t>
        </is>
      </c>
      <c r="G3" s="68" t="inlineStr">
        <is>
          <t>支払方法</t>
        </is>
      </c>
      <c r="I3" s="68" t="inlineStr">
        <is>
          <t>請求書種別</t>
        </is>
      </c>
      <c r="K3" s="69" t="inlineStr">
        <is>
          <t>ポリシー上限表</t>
        </is>
      </c>
      <c r="L3" s="176" t="n"/>
      <c r="M3" s="176" t="n"/>
      <c r="N3" s="176" t="n"/>
      <c r="O3" s="177" t="n"/>
      <c r="Q3" s="68" t="inlineStr">
        <is>
          <t>通貨</t>
        </is>
      </c>
      <c r="S3" s="68" t="inlineStr">
        <is>
          <t>書類完備性</t>
        </is>
      </c>
      <c r="U3" s="68" t="inlineStr">
        <is>
          <t>はい/いいえ</t>
        </is>
      </c>
      <c r="W3" s="68" t="inlineStr">
        <is>
          <t>請求書認証状態</t>
        </is>
      </c>
      <c r="Y3" s="68" t="inlineStr">
        <is>
          <t>標準税率</t>
        </is>
      </c>
    </row>
    <row r="4">
      <c r="A4" s="70" t="inlineStr">
        <is>
          <t>営業部</t>
        </is>
      </c>
      <c r="C4" s="70" t="inlineStr">
        <is>
          <t>出張精算</t>
        </is>
      </c>
      <c r="E4" s="70" t="inlineStr">
        <is>
          <t>下書き</t>
        </is>
      </c>
      <c r="G4" s="70" t="inlineStr">
        <is>
          <t>立替払い</t>
        </is>
      </c>
      <c r="I4" s="70" t="inlineStr">
        <is>
          <t>適格請求書</t>
        </is>
      </c>
      <c r="K4" s="38" t="inlineStr">
        <is>
          <t>費目</t>
        </is>
      </c>
      <c r="L4" s="39" t="inlineStr">
        <is>
          <t>単価上限</t>
        </is>
      </c>
      <c r="M4" s="39" t="inlineStr">
        <is>
          <t>デフォルト税率</t>
        </is>
      </c>
      <c r="N4" s="39" t="inlineStr">
        <is>
          <t>請求書要件</t>
        </is>
      </c>
      <c r="O4" s="40" t="inlineStr">
        <is>
          <t>統制説明</t>
        </is>
      </c>
      <c r="Q4" s="70" t="inlineStr">
        <is>
          <t>CNY</t>
        </is>
      </c>
      <c r="S4" s="70" t="inlineStr">
        <is>
          <t>完整</t>
        </is>
      </c>
      <c r="U4" s="70" t="inlineStr">
        <is>
          <t>はい</t>
        </is>
      </c>
      <c r="W4" s="70" t="inlineStr">
        <is>
          <t>認証待ち</t>
        </is>
      </c>
      <c r="Y4" s="210" t="n">
        <v>0</v>
      </c>
    </row>
    <row r="5">
      <c r="A5" s="71" t="inlineStr">
        <is>
          <t>マーケティング部</t>
        </is>
      </c>
      <c r="C5" s="71" t="inlineStr">
        <is>
          <t>顧客接待</t>
        </is>
      </c>
      <c r="E5" s="71" t="inlineStr">
        <is>
          <t>部門承認待ち</t>
        </is>
      </c>
      <c r="G5" s="71" t="inlineStr">
        <is>
          <t>法人カード</t>
        </is>
      </c>
      <c r="I5" s="71" t="inlineStr">
        <is>
          <t>一般請求書</t>
        </is>
      </c>
      <c r="K5" s="52" t="inlineStr">
        <is>
          <t>出張交通費</t>
        </is>
      </c>
      <c r="L5" s="183" t="n">
        <v>2000</v>
      </c>
      <c r="M5" s="204" t="n">
        <v>0.09</v>
      </c>
      <c r="N5" s="94" t="inlineStr">
        <is>
          <t>必須</t>
        </is>
      </c>
      <c r="O5" s="130" t="inlineStr">
        <is>
          <t>航空券/乗車券/配車サービスなど、旅程と一致している必要があります。</t>
        </is>
      </c>
      <c r="Q5" s="71" t="inlineStr">
        <is>
          <t>USD</t>
        </is>
      </c>
      <c r="S5" s="71" t="inlineStr">
        <is>
          <t>添付不足</t>
        </is>
      </c>
      <c r="U5" s="72" t="inlineStr">
        <is>
          <t>いいえ</t>
        </is>
      </c>
      <c r="W5" s="71" t="inlineStr">
        <is>
          <t>認証済み</t>
        </is>
      </c>
      <c r="Y5" s="211" t="n">
        <v>0.01</v>
      </c>
    </row>
    <row r="6">
      <c r="A6" s="71" t="inlineStr">
        <is>
          <t>開発部</t>
        </is>
      </c>
      <c r="C6" s="71" t="inlineStr">
        <is>
          <t>備品購入</t>
        </is>
      </c>
      <c r="E6" s="71" t="inlineStr">
        <is>
          <t>プロジェクト承認待ち</t>
        </is>
      </c>
      <c r="G6" s="71" t="inlineStr">
        <is>
          <t>銀行振込</t>
        </is>
      </c>
      <c r="I6" s="71" t="inlineStr">
        <is>
          <t>電子請求書</t>
        </is>
      </c>
      <c r="K6" s="55" t="inlineStr">
        <is>
          <t>宿泊費</t>
        </is>
      </c>
      <c r="L6" s="180" t="n">
        <v>1500</v>
      </c>
      <c r="M6" s="206" t="n">
        <v>0.06</v>
      </c>
      <c r="N6" s="95" t="inlineStr">
        <is>
          <t>必須</t>
        </is>
      </c>
      <c r="O6" s="131" t="inlineStr">
        <is>
          <t>都市や等級ごとにさらに細分可能</t>
        </is>
      </c>
      <c r="Q6" s="71" t="inlineStr">
        <is>
          <t>EUR</t>
        </is>
      </c>
      <c r="S6" s="71" t="inlineStr">
        <is>
          <t>請求書不足</t>
        </is>
      </c>
      <c r="W6" s="71" t="inlineStr">
        <is>
          <t>認証不要</t>
        </is>
      </c>
      <c r="Y6" s="211" t="n">
        <v>0.03</v>
      </c>
    </row>
    <row r="7">
      <c r="A7" s="71" t="inlineStr">
        <is>
          <t>オペレーション部</t>
        </is>
      </c>
      <c r="C7" s="71" t="inlineStr">
        <is>
          <t>研修会議</t>
        </is>
      </c>
      <c r="E7" s="71" t="inlineStr">
        <is>
          <t>経理確認待ちち</t>
        </is>
      </c>
      <c r="G7" s="71" t="inlineStr">
        <is>
          <t>現金</t>
        </is>
      </c>
      <c r="I7" s="71" t="inlineStr">
        <is>
          <t>旅程表/乗車券</t>
        </is>
      </c>
      <c r="K7" s="55" t="inlineStr">
        <is>
          <t>会食接待</t>
        </is>
      </c>
      <c r="L7" s="180" t="n">
        <v>500</v>
      </c>
      <c r="M7" s="206" t="n">
        <v>0.06</v>
      </c>
      <c r="N7" s="95" t="inlineStr">
        <is>
          <t>必須</t>
        </is>
      </c>
      <c r="O7" s="131" t="inlineStr">
        <is>
          <t>業務目的、参加者、顧客情報の説明が必要です。</t>
        </is>
      </c>
      <c r="Q7" s="71" t="inlineStr">
        <is>
          <t>GBP</t>
        </is>
      </c>
      <c r="S7" s="72" t="inlineStr">
        <is>
          <t>需补説明</t>
        </is>
      </c>
      <c r="W7" s="71" t="inlineStr">
        <is>
          <t>異常</t>
        </is>
      </c>
      <c r="Y7" s="211" t="n">
        <v>0.06</v>
      </c>
    </row>
    <row r="8">
      <c r="A8" s="71" t="inlineStr">
        <is>
          <t>総務部</t>
        </is>
      </c>
      <c r="C8" s="71" t="inlineStr">
        <is>
          <t>マーケティング施策</t>
        </is>
      </c>
      <c r="E8" s="71" t="inlineStr">
        <is>
          <t>承認済み</t>
        </is>
      </c>
      <c r="G8" s="71" t="inlineStr">
        <is>
          <t>第三者決済</t>
        </is>
      </c>
      <c r="I8" s="71" t="inlineStr">
        <is>
          <t>領収書</t>
        </is>
      </c>
      <c r="K8" s="55" t="inlineStr">
        <is>
          <t>市内交通</t>
        </is>
      </c>
      <c r="L8" s="180" t="n">
        <v>300</v>
      </c>
      <c r="M8" s="206" t="n">
        <v>0</v>
      </c>
      <c r="N8" s="95" t="inlineStr">
        <is>
          <t>任意</t>
        </is>
      </c>
      <c r="O8" s="131" t="inlineStr">
        <is>
          <t>少額交通費は規程に従って簡略化可能です。</t>
        </is>
      </c>
      <c r="Q8" s="71" t="inlineStr">
        <is>
          <t>JPY</t>
        </is>
      </c>
      <c r="W8" s="72" t="inlineStr">
        <is>
          <t>対象外</t>
        </is>
      </c>
      <c r="Y8" s="211" t="n">
        <v>0.09</v>
      </c>
    </row>
    <row r="9">
      <c r="A9" s="71" t="inlineStr">
        <is>
          <t>経理部</t>
        </is>
      </c>
      <c r="C9" s="71" t="inlineStr">
        <is>
          <t>福利厚生</t>
        </is>
      </c>
      <c r="E9" s="71" t="inlineStr">
        <is>
          <t>支払待ち</t>
        </is>
      </c>
      <c r="G9" s="72" t="inlineStr">
        <is>
          <t>仕入先直払い</t>
        </is>
      </c>
      <c r="I9" s="72" t="inlineStr">
        <is>
          <t>証憑なし説明</t>
        </is>
      </c>
      <c r="K9" s="55" t="inlineStr">
        <is>
          <t>事務用品</t>
        </is>
      </c>
      <c r="L9" s="180" t="n">
        <v>1000</v>
      </c>
      <c r="M9" s="206" t="n">
        <v>0.13</v>
      </c>
      <c r="N9" s="95" t="inlineStr">
        <is>
          <t>必須</t>
        </is>
      </c>
      <c r="O9" s="131" t="inlineStr">
        <is>
          <t>受領または検収記録が必要です。</t>
        </is>
      </c>
      <c r="Q9" s="72" t="inlineStr">
        <is>
          <t>HKD</t>
        </is>
      </c>
      <c r="Y9" s="212" t="n">
        <v>0.13</v>
      </c>
    </row>
    <row r="10">
      <c r="A10" s="71" t="inlineStr">
        <is>
          <t>人事部</t>
        </is>
      </c>
      <c r="C10" s="71" t="inlineStr">
        <is>
          <t>リモートワーク</t>
        </is>
      </c>
      <c r="E10" s="71" t="inlineStr">
        <is>
          <t>支払済み</t>
        </is>
      </c>
      <c r="K10" s="55" t="inlineStr">
        <is>
          <t>研修会議</t>
        </is>
      </c>
      <c r="L10" s="180" t="n">
        <v>3000</v>
      </c>
      <c r="M10" s="206" t="n">
        <v>0.06</v>
      </c>
      <c r="N10" s="95" t="inlineStr">
        <is>
          <t>必須</t>
        </is>
      </c>
      <c r="O10" s="131" t="inlineStr">
        <is>
          <t>会議通知または参加者名簿が必要です。</t>
        </is>
      </c>
    </row>
    <row r="11">
      <c r="A11" s="71" t="inlineStr">
        <is>
          <t>カスタマーサポート部</t>
        </is>
      </c>
      <c r="C11" s="71" t="inlineStr">
        <is>
          <t>プロジェクト支出</t>
        </is>
      </c>
      <c r="E11" s="71" t="inlineStr">
        <is>
          <t>差し戻し</t>
        </is>
      </c>
      <c r="K11" s="55" t="inlineStr">
        <is>
          <t>通信費</t>
        </is>
      </c>
      <c r="L11" s="180" t="n">
        <v>300</v>
      </c>
      <c r="M11" s="206" t="n">
        <v>0.09</v>
      </c>
      <c r="N11" s="95" t="inlineStr">
        <is>
          <t>任意</t>
        </is>
      </c>
      <c r="O11" s="131" t="inlineStr">
        <is>
          <t>月額補助または実費精算のいずれかを選択してください。</t>
        </is>
      </c>
    </row>
    <row r="12">
      <c r="A12" s="71" t="inlineStr">
        <is>
          <t>サプライチェーン部</t>
        </is>
      </c>
      <c r="C12" s="71" t="inlineStr">
        <is>
          <t>市内交通</t>
        </is>
      </c>
      <c r="E12" s="71" t="inlineStr">
        <is>
          <t>却下</t>
        </is>
      </c>
      <c r="K12" s="55" t="inlineStr">
        <is>
          <t>マーケティング施策</t>
        </is>
      </c>
      <c r="L12" s="180" t="n">
        <v>5000</v>
      </c>
      <c r="M12" s="206" t="n">
        <v>0.06</v>
      </c>
      <c r="N12" s="95" t="inlineStr">
        <is>
          <t>必須</t>
        </is>
      </c>
      <c r="O12" s="131" t="inlineStr">
        <is>
          <t>企画書、契約書、または検収証明が必要です。</t>
        </is>
      </c>
    </row>
    <row r="13">
      <c r="A13" s="72" t="inlineStr">
        <is>
          <t>経営層</t>
        </is>
      </c>
      <c r="C13" s="72" t="inlineStr">
        <is>
          <t>その他</t>
        </is>
      </c>
      <c r="E13" s="72" t="inlineStr">
        <is>
          <t>取消済み</t>
        </is>
      </c>
      <c r="K13" s="55" t="inlineStr">
        <is>
          <t>ソフトウェア/SaaS</t>
        </is>
      </c>
      <c r="L13" s="180" t="n">
        <v>2000</v>
      </c>
      <c r="M13" s="206" t="n">
        <v>0.06</v>
      </c>
      <c r="N13" s="95" t="inlineStr">
        <is>
          <t>必須</t>
        </is>
      </c>
      <c r="O13" s="131" t="inlineStr">
        <is>
          <t>サブスクリプション期間と使用部門が必要です。</t>
        </is>
      </c>
    </row>
    <row r="14">
      <c r="K14" s="55" t="inlineStr">
        <is>
          <t>福利厚生</t>
        </is>
      </c>
      <c r="L14" s="180" t="n">
        <v>1000</v>
      </c>
      <c r="M14" s="206" t="n">
        <v>0.06</v>
      </c>
      <c r="N14" s="95" t="inlineStr">
        <is>
          <t>必須</t>
        </is>
      </c>
      <c r="O14" s="131" t="inlineStr">
        <is>
          <t>福利厚生案または名簿が必要です。</t>
        </is>
      </c>
    </row>
    <row r="15">
      <c r="K15" s="57" t="inlineStr">
        <is>
          <t>その他</t>
        </is>
      </c>
      <c r="L15" s="181" t="n">
        <v>999999</v>
      </c>
      <c r="M15" s="208" t="n">
        <v>0</v>
      </c>
      <c r="N15" s="96" t="inlineStr">
        <is>
          <t>状況に応じる</t>
        </is>
      </c>
      <c r="O15" s="132" t="inlineStr">
        <is>
          <t>業務説明と承認意見の補足が必要です。</t>
        </is>
      </c>
    </row>
  </sheetData>
  <mergeCells count="3">
    <mergeCell ref="A1:Z1"/>
    <mergeCell ref="K3:O3"/>
    <mergeCell ref="A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Finite Field</dc:creator>
  <dc:title xmlns:dc="http://purl.org/dc/elements/1.1/">金融経費精算記録テンプレート</dc:title>
  <dc:description xmlns:dc="http://purl.org/dc/elements/1.1/">汎用の経費精算記録、明細、承認、ダッシュボードのテンプレートです。各社の規程に合わせて調整できます。</dc:description>
  <dcterms:created xmlns:dcterms="http://purl.org/dc/terms/" xmlns:xsi="http://www.w3.org/2001/XMLSchema-instance" xsi:type="dcterms:W3CDTF">2026-04-25T12:27:52Z</dcterms:created>
  <dcterms:modified xmlns:dcterms="http://purl.org/dc/terms/" xmlns:xsi="http://www.w3.org/2001/XMLSchema-instance" xsi:type="dcterms:W3CDTF">2026-05-26T10:42:25Z</dcterms:modified>
  <cp:category>Finance</cp:category>
</cp:coreProperties>
</file>