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tables/table3.xml" ContentType="application/vnd.openxmlformats-officedocument.spreadsheetml.table+xml"/>
  <Override PartName="/xl/worksheets/sheet6.xml" ContentType="application/vnd.openxmlformats-officedocument.spreadsheetml.worksheet+xml"/>
  <Override PartName="/xl/tables/table4.xml" ContentType="application/vnd.openxmlformats-officedocument.spreadsheetml.table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dc8d209a3dd247a6" Target="xl/workbook.xml" Type="http://schemas.openxmlformats.org/officeDocument/2006/relationships/officeDocument"></Relationship></Relationships>
</file>

<file path=xl/workbook.xml><?xml version="1.0" encoding="utf-8"?>
<workbook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bookViews>
    <workbookView/>
  </bookViews>
  <sheets>
    <sheet name="使い方" sheetId="1" r:id="R7c22319a7f3c4b0c"/>
    <sheet name="設定" sheetId="2" r:id="Rc1e39853784e48fa"/>
    <sheet name="顧客マスタ" sheetId="3" r:id="R9a79e90168bd4bf3"/>
    <sheet name="売掛明細" sheetId="4" r:id="R937ad7c33fec4966"/>
    <sheet name="入金記録" sheetId="5" r:id="R5b66286dc24c4ea5"/>
    <sheet name="争議・回収" sheetId="6" r:id="Rc6bba1fa170c4543"/>
    <sheet name="債権年齢分析" sheetId="7" r:id="R413adf88355247e8"/>
    <sheet name="ダッシュボード" sheetId="8" r:id="Ra71e4c18211d44f1"/>
  </sheets>
</workbook>
</file>

<file path=xl/sharedStrings.xml><?xml version="1.0" encoding="utf-8"?>
<sst xmlns="http://schemas.openxmlformats.org/spreadsheetml/2006/main" count="290" uniqueCount="188">
  <si>
    <t>金融売掛債権トラッキングテンプレート | 使い方</t>
  </si>
  <si>
    <t>複数会社・複数業務に対応した売掛金/売掛債権トラッキングです。まず顧客を登録し、その後に売掛伝票と入金を入力すると、債権年齢とダッシュボードが自動集計されます。</t>
  </si>
  <si>
    <t>一、入力順のおすすめ</t>
  </si>
  <si>
    <t>1. [顧客マスタ]で顧客ID、顧客名、支払件件付き付き、与信限度額、担当者、既定通貨を管理します。</t>
  </si>
  <si>
    <t>2. [売掛明細]で伝票番号、業務シナリオ、顧客ID、確定日、売掛金額を入力します。グレー列は自動計算列です。</t>
  </si>
  <si>
    <t>3. [入金記録]で各入金の金額、日付、対応する伝票番号を登録します。[売掛明細]が回収済み金額を自動集計します。</t>
  </si>
  <si>
    <t>4. [争議・回収]で争議理由、責任者、次のアクション、計画フォロー日を登録します。</t>
  </si>
  <si>
    <t>二、対応する業務シナリオ</t>
  </si>
  <si>
    <t>掛売上、サービス料、プロジェクト/マイルストーン、リース/分割、保証金/敷金、グループ内取引、手形/引受、その他のカスタムシナリオに対応します。</t>
  </si>
  <si>
    <t>三、重要ルール</t>
  </si>
  <si>
    <t>伝票番号は一意に保ち、入金記録は伝票番号で売掛明細と紐付けます。</t>
  </si>
  <si>
    <t>債権年齢区分は未回収金額と期日で自動判定されます。期日前、1-30日、31-60日、61-90日、90日超です。</t>
  </si>
  <si>
    <t>リスクレベルは延滞日数、未回収残高、争議ステータスに基づいて自動ヒントされます。会社は内部統制に合わせて数式を調整できます。</t>
  </si>
  <si>
    <t>四、参考と制約</t>
  </si>
  <si>
    <t>ユーザー提供の参考リンクはローカルアドレスです：http://localhost:2020/excel-templates/finance/accounts-receivable-tracker/</t>
  </si>
  <si>
    <t>生成環境ではこの localhost ページを直接読み取れません。本テンプレートは汎用の売掛債権トラッキング項目、債権年齢管理、入金消込フローに基づいて作成しています。</t>
  </si>
  <si>
    <t>設定 | プルダウン項目と拡張可能な辞書</t>
  </si>
  <si>
    <t>このシートで選択肢を拡張できます。新しいプルダウン項目を追加する場合は、対応列のデータ検証範囲を更新するか、明細表へ直接入力してください。</t>
  </si>
  <si>
    <t>業務シーン</t>
  </si>
  <si>
    <t>顧客タイプ</t>
  </si>
  <si>
    <t>顧客ランク</t>
  </si>
  <si>
    <t>信用格付</t>
  </si>
  <si>
    <t>通貨</t>
  </si>
  <si>
    <t>支払方法</t>
  </si>
  <si>
    <t>督促段階</t>
  </si>
  <si>
    <t>争議ステータス</t>
  </si>
  <si>
    <t>リスクレベル</t>
  </si>
  <si>
    <t>優先度</t>
  </si>
  <si>
    <t>争議タイプ</t>
  </si>
  <si>
    <t>掛売上</t>
  </si>
  <si>
    <t>法人顧客</t>
  </si>
  <si>
    <t>電信送金</t>
  </si>
  <si>
    <t>未督促</t>
  </si>
  <si>
    <t>争議なし</t>
  </si>
  <si>
    <t>価格争議</t>
  </si>
  <si>
    <t>サービス料</t>
  </si>
  <si>
    <t>チャネル顧客</t>
  </si>
  <si>
    <t>通常</t>
  </si>
  <si>
    <t>銀行振込</t>
  </si>
  <si>
    <t>ソフトリマインド</t>
  </si>
  <si>
    <t>対応中</t>
  </si>
  <si>
    <t>品質/納品争議</t>
  </si>
  <si>
    <t>プロジェクト/マイルストーン</t>
  </si>
  <si>
    <t>機関顧客</t>
  </si>
  <si>
    <t>要注意</t>
  </si>
  <si>
    <t>現金</t>
  </si>
  <si>
    <t>初回督促</t>
  </si>
  <si>
    <t>資料提出済み</t>
  </si>
  <si>
    <t>請求誤り</t>
  </si>
  <si>
    <t>リース/分割</t>
  </si>
  <si>
    <t>プロジェクト顧客</t>
  </si>
  <si>
    <t>制限</t>
  </si>
  <si>
    <t>受取手形</t>
  </si>
  <si>
    <t>再督促</t>
  </si>
  <si>
    <t>顧客確認待ちちち</t>
  </si>
  <si>
    <t>緊急</t>
  </si>
  <si>
    <t>検収未完了</t>
  </si>
  <si>
    <t>保証金/敷金</t>
  </si>
  <si>
    <t>グループ顧客</t>
  </si>
  <si>
    <t>停止</t>
  </si>
  <si>
    <t>小切手</t>
  </si>
  <si>
    <t>経営層介入</t>
  </si>
  <si>
    <t>クローズ済み</t>
  </si>
  <si>
    <t>契約件件付き付き</t>
  </si>
  <si>
    <t>グループ内取引</t>
  </si>
  <si>
    <t>個人/その他</t>
  </si>
  <si>
    <t>第三者決済</t>
  </si>
  <si>
    <t>法務/外部ヤード委託</t>
  </si>
  <si>
    <t>顧客の資金繰り逼迫</t>
  </si>
  <si>
    <t>手形/引受</t>
  </si>
  <si>
    <t>その他</t>
  </si>
  <si>
    <t>相殺/消込</t>
  </si>
  <si>
    <t>サービス/出荷停止</t>
  </si>
  <si>
    <t>顧客マスタ | 支払件件付き付き、与信限度額、利用率</t>
  </si>
  <si>
    <t>顧客ID</t>
  </si>
  <si>
    <t>顧客名</t>
  </si>
  <si>
    <t>業種</t>
  </si>
  <si>
    <t>与信限度額</t>
  </si>
  <si>
    <t>支払件件付き付き（日数）</t>
  </si>
  <si>
    <t>担当者</t>
  </si>
  <si>
    <t>メール</t>
  </si>
  <si>
    <t>電話</t>
  </si>
  <si>
    <t>地域</t>
  </si>
  <si>
    <t>既定通貨</t>
  </si>
  <si>
    <t>備考</t>
  </si>
  <si>
    <t>現在の未回収残高</t>
  </si>
  <si>
    <t>限度額使用率</t>
  </si>
  <si>
    <t>限度額ステータス</t>
  </si>
  <si>
    <t>関東製作株式会社</t>
  </si>
  <si>
    <t>製造業</t>
  </si>
  <si>
    <t>佐藤 健</t>
  </si>
  <si>
    <t>sato.takeshi@example.com</t>
  </si>
  <si>
    <t>関東</t>
  </si>
  <si>
    <t>山田 太郎</t>
  </si>
  <si>
    <t>標準与信顧客</t>
  </si>
  <si>
    <t>北日本商事グループ</t>
  </si>
  <si>
    <t>卸売業</t>
  </si>
  <si>
    <t>鈴木 花子</t>
  </si>
  <si>
    <t>suzuki.hanako@example.com</t>
  </si>
  <si>
    <t>北海道・東北</t>
  </si>
  <si>
    <t>斎藤 美咲</t>
  </si>
  <si>
    <t>チャネル期間が長い</t>
  </si>
  <si>
    <t>さくらテックサービス株式会社</t>
  </si>
  <si>
    <t>クラウド業務サービス</t>
  </si>
  <si>
    <t>高橋 亮</t>
  </si>
  <si>
    <t>takahashi.ryo@example.com</t>
  </si>
  <si>
    <t>関西</t>
  </si>
  <si>
    <t>中村 亮</t>
  </si>
  <si>
    <t>サービス料月締め</t>
  </si>
  <si>
    <t>みなみ中央病院</t>
  </si>
  <si>
    <t>医療・公共サービス</t>
  </si>
  <si>
    <t>田中 静</t>
  </si>
  <si>
    <t>tanaka.shizu@example.com</t>
  </si>
  <si>
    <t>検収期間が長い</t>
  </si>
  <si>
    <t>みなと不動産株式会社</t>
  </si>
  <si>
    <t>不動産/リース</t>
  </si>
  <si>
    <t>小林 透</t>
  </si>
  <si>
    <t>kobayashi.toru@example.com</t>
  </si>
  <si>
    <t>分割回収</t>
  </si>
  <si>
    <t>売掛明細 | 請求書/売掛伝票トラッキング</t>
  </si>
  <si>
    <t>伝票番号</t>
  </si>
  <si>
    <t>プロジェクト/契約番号</t>
  </si>
  <si>
    <t>請求書/確定日</t>
  </si>
  <si>
    <t>支払件件付き付き日数</t>
  </si>
  <si>
    <t>期日</t>
  </si>
  <si>
    <t>売掛金額</t>
  </si>
  <si>
    <t>税額</t>
  </si>
  <si>
    <t>回収済み金額</t>
  </si>
  <si>
    <t>未回収金額</t>
  </si>
  <si>
    <t>入金ステータス</t>
  </si>
  <si>
    <t>延滞日数</t>
  </si>
  <si>
    <t>債権年齢区分</t>
  </si>
  <si>
    <t>一部入金、継続フォロー要</t>
  </si>
  <si>
    <t>四半期サービス料</t>
  </si>
  <si>
    <t>分割代金残高未回収</t>
  </si>
  <si>
    <t>検収資料の補完が必要</t>
  </si>
  <si>
    <t>履行保証金</t>
  </si>
  <si>
    <t>入金記録 | 入金、消込、未照合アラート</t>
  </si>
  <si>
    <t>入金番号</t>
  </si>
  <si>
    <t>入金日</t>
  </si>
  <si>
    <t>入金金額</t>
  </si>
  <si>
    <t>銀行取引番号/手形番号</t>
  </si>
  <si>
    <t>消込ステータス</t>
  </si>
  <si>
    <t>初回入金</t>
  </si>
  <si>
    <t>第1回入金</t>
  </si>
  <si>
    <t>争議・回収 | 責任者、アクション、フォロー日</t>
  </si>
  <si>
    <t>案件番号</t>
  </si>
  <si>
    <t>争議/督促タイプ</t>
  </si>
  <si>
    <t>発生日</t>
  </si>
  <si>
    <t>現在のステータス</t>
  </si>
  <si>
    <t>責任者</t>
  </si>
  <si>
    <t>次のアクション</t>
  </si>
  <si>
    <t>計画フォロー日</t>
  </si>
  <si>
    <t>影響金額</t>
  </si>
  <si>
    <t>最新進捗</t>
  </si>
  <si>
    <t>検収チェックリストを補完し、顧客確認を設定</t>
  </si>
  <si>
    <t>資料提出済み、顧客フィードバック待ち</t>
  </si>
  <si>
    <t>第2期支払計画を確認</t>
  </si>
  <si>
    <t>顧客は月末までに支払うと約束</t>
  </si>
  <si>
    <t>債権年齢分析 | 自動集計</t>
  </si>
  <si>
    <t>伝票数</t>
  </si>
  <si>
    <t>比率</t>
  </si>
  <si>
    <t>売掛総額</t>
  </si>
  <si>
    <t>延滞金額</t>
  </si>
  <si>
    <t>期日前</t>
  </si>
  <si>
    <t>1-30日</t>
  </si>
  <si>
    <t>31-60日</t>
  </si>
  <si>
    <t>61-90日</t>
  </si>
  <si>
    <t>90日超</t>
  </si>
  <si>
    <t>合計</t>
  </si>
  <si>
    <t>未回収残高</t>
  </si>
  <si>
    <t>金融売掛債権トラッキングダッシュボード</t>
  </si>
  <si>
    <t>このシートは[売掛明細][入金記録][顧客マスタ][争議・回収]を自動集計します。延滞、争議、限度額使用率は毎週確認することをおすすめします。</t>
  </si>
  <si>
    <t>回収済み総額</t>
  </si>
  <si>
    <t>延滞残高</t>
  </si>
  <si>
    <t>延滞率</t>
  </si>
  <si>
    <t>延滞伝票数</t>
  </si>
  <si>
    <t>高リスク残高</t>
  </si>
  <si>
    <t>争議中残高</t>
  </si>
  <si>
    <t>平均延滞日数</t>
  </si>
  <si>
    <t>期日前残高</t>
  </si>
  <si>
    <t>重要アクションリマインダー</t>
  </si>
  <si>
    <t>90日超残高</t>
  </si>
  <si>
    <t>今後7日でフォローが必要な項目</t>
  </si>
  <si>
    <t>限度額超過顧客数</t>
  </si>
  <si>
    <t>未照合/未消込入金</t>
  </si>
  <si>
    <t>争議中件数</t>
  </si>
  <si>
    <t>このリンクはローカルアドレスのため、現在の環境ではページ内容を読み取れません。本テンプレートは金融経費精算記録の共通項目、内部統制要件、複数の業務シーンに基づいて構成しています。</t>
  </si>
</sst>
</file>

<file path=xl/styles.xml><?xml version="1.0" encoding="utf-8"?>
<styleSheet xmlns="http://schemas.openxmlformats.org/spreadsheetml/2006/main">
  <numFmts count="5">
    <numFmt numFmtId="200" formatCode="#,##0.00"/>
    <numFmt numFmtId="201" formatCode="0.0%"/>
    <numFmt numFmtId="202" formatCode="yyyy-mm-dd"/>
    <numFmt numFmtId="203" formatCode="0"/>
    <numFmt numFmtId="204" formatCode="0.0"/>
  </numFmts>
  <fonts count="7">
    <font>
      <sz val="11"/>
      <name val="Carlito"/>
    </font>
    <font>
      <b val="1"/>
      <sz val="16"/>
      <color rgb="FF111827"/>
      <name val="Microsoft YaHei"/>
    </font>
    <font>
      <sz val="10"/>
      <color rgb="FF6B7280"/>
      <name val="Microsoft YaHei"/>
    </font>
    <font>
      <b val="1"/>
      <sz val="12"/>
      <color rgb="FF111827"/>
      <name val="Microsoft YaHei"/>
    </font>
    <font>
      <sz val="10"/>
      <color rgb="FF111827"/>
      <name val="Microsoft YaHei"/>
    </font>
    <font>
      <b val="1"/>
      <sz val="10"/>
      <color rgb="FF111827"/>
      <name val="Microsoft YaHei"/>
    </font>
    <font>
      <b val="1"/>
      <sz val="11"/>
      <color rgb="FF2563EB"/>
      <name val="Microsoft YaHei"/>
    </font>
  </fonts>
  <fills count="6">
    <fill>
      <patternFill patternType="none"/>
    </fill>
    <fill>
      <patternFill patternType="gray125"/>
    </fill>
    <fill>
      <patternFill patternType="solid">
        <fgColor rgb="FFEFF6FF"/>
      </patternFill>
    </fill>
    <fill>
      <patternFill patternType="solid">
        <fgColor rgb="FFDBEAFE"/>
      </patternFill>
    </fill>
    <fill>
      <patternFill patternType="solid">
        <fgColor rgb="FFE0F2FE"/>
      </patternFill>
    </fill>
    <fill>
      <patternFill patternType="solid">
        <fgColor rgb="FFF8FAFC"/>
      </patternFill>
    </fill>
  </fills>
  <borders count="20">
    <border/>
    <border/>
    <border>
      <left style="thin">
        <color rgb="FFE5E7EB"/>
      </left>
      <top style="thin">
        <color rgb="FFE5E7EB"/>
      </top>
    </border>
    <border>
      <top style="thin">
        <color rgb="FFE5E7EB"/>
      </top>
    </border>
    <border>
      <right style="thin">
        <color rgb="FFE5E7EB"/>
      </right>
      <top style="thin">
        <color rgb="FFE5E7EB"/>
      </top>
    </border>
    <border>
      <left style="thin">
        <color rgb="FFE5E7EB"/>
      </left>
    </border>
    <border>
      <right style="thin">
        <color rgb="FFE5E7EB"/>
      </right>
    </border>
    <border>
      <left style="thin">
        <color rgb="FFE5E7EB"/>
      </left>
      <bottom style="thin">
        <color rgb="FFE5E7EB"/>
      </bottom>
    </border>
    <border>
      <bottom style="thin">
        <color rgb="FFE5E7EB"/>
      </bottom>
    </border>
    <border>
      <right style="thin">
        <color rgb="FFE5E7EB"/>
      </right>
      <bottom style="thin">
        <color rgb="FFE5E7EB"/>
      </bottom>
    </border>
    <border>
      <left style="thin">
        <color rgb="FFE5E7EB"/>
      </left>
      <top style="thin">
        <color rgb="FFE5E7EB"/>
      </top>
    </border>
    <border>
      <top style="thin">
        <color rgb="FFE5E7EB"/>
      </top>
    </border>
    <border>
      <right style="thin">
        <color rgb="FFE5E7EB"/>
      </right>
      <top style="thin">
        <color rgb="FFE5E7EB"/>
      </top>
    </border>
    <border>
      <left style="thin">
        <color rgb="FFE5E7EB"/>
      </left>
    </border>
    <border>
      <right style="thin">
        <color rgb="FFE5E7EB"/>
      </right>
    </border>
    <border>
      <left style="thin">
        <color rgb="FFE5E7EB"/>
      </left>
      <bottom style="thin">
        <color rgb="FFE5E7EB"/>
      </bottom>
    </border>
    <border>
      <bottom style="thin">
        <color rgb="FFE5E7EB"/>
      </bottom>
    </border>
    <border>
      <right style="thin">
        <color rgb="FFE5E7EB"/>
      </right>
      <bottom style="thin">
        <color rgb="FFE5E7EB"/>
      </bottom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</border>
  </borders>
  <cellStyleXfs count="1">
    <xf numFmtId="0" fontId="0" fillId="0" borderId="0"/>
  </cellStyleXfs>
  <cellXfs count="133">
    <xf numFmtId="0" fontId="0" fillId="0" borderId="0" xfId="0"/>
    <xf numFmtId="0" fontId="0" fillId="0" borderId="1" xfId="0" applyNumberFormat="true" applyFont="true" applyFill="true" applyBorder="true"/>
    <xf numFmtId="0" fontId="0" fillId="2" borderId="0" xfId="0" applyNumberFormat="true" applyFont="true" applyFill="true" applyBorder="true"/>
    <xf numFmtId="0" fontId="1" fillId="2" borderId="0" xfId="0" applyNumberFormat="true" applyFont="true" applyFill="true" applyBorder="true"/>
    <xf numFmtId="0" fontId="1" fillId="2" borderId="0" xfId="0" applyNumberFormat="true" applyFont="true" applyFill="true" applyBorder="true" applyAlignment="true">
      <alignment horizontal="left"/>
    </xf>
    <xf numFmtId="0" fontId="1" fillId="2" borderId="0" xfId="0" applyNumberFormat="true" applyFont="true" applyFill="true" applyBorder="true" applyAlignment="true">
      <alignment horizontal="left" vertical="center"/>
    </xf>
    <xf numFmtId="0" fontId="0" fillId="2" borderId="1" xfId="0" applyNumberFormat="true" applyFont="true" applyFill="true" applyBorder="true"/>
    <xf numFmtId="0" fontId="1" fillId="2" borderId="1" xfId="0" applyNumberFormat="true" applyFont="true" applyFill="true" applyBorder="true"/>
    <xf numFmtId="0" fontId="1" fillId="2" borderId="1" xfId="0" applyNumberFormat="true" applyFont="true" applyFill="true" applyBorder="true" applyAlignment="true">
      <alignment horizontal="left"/>
    </xf>
    <xf numFmtId="0" fontId="1" fillId="2" borderId="1" xfId="0" applyNumberFormat="true" applyFont="true" applyFill="true" applyBorder="true" applyAlignment="true">
      <alignment horizontal="left" vertical="center"/>
    </xf>
    <xf numFmtId="0" fontId="2" fillId="0" borderId="0" xfId="0" applyNumberFormat="true" applyFont="true" applyFill="true" applyBorder="true"/>
    <xf numFmtId="0" fontId="2" fillId="0" borderId="0" xfId="0" applyNumberFormat="true" applyFont="true" applyFill="true" applyBorder="true" applyAlignment="true">
      <alignment wrapText="true"/>
    </xf>
    <xf numFmtId="0" fontId="2" fillId="0" borderId="1" xfId="0" applyNumberFormat="true" applyFont="true" applyFill="true" applyBorder="true"/>
    <xf numFmtId="0" fontId="2" fillId="0" borderId="1" xfId="0" applyNumberFormat="true" applyFont="true" applyFill="true" applyBorder="true" applyAlignment="true">
      <alignment wrapText="true"/>
    </xf>
    <xf numFmtId="0" fontId="0" fillId="3" borderId="0" xfId="0" applyNumberFormat="true" applyFont="true" applyFill="true" applyBorder="true"/>
    <xf numFmtId="0" fontId="3" fillId="3" borderId="0" xfId="0" applyNumberFormat="true" applyFont="true" applyFill="true" applyBorder="true"/>
    <xf numFmtId="0" fontId="3" fillId="3" borderId="0" xfId="0" applyNumberFormat="true" applyFont="true" applyFill="true" applyBorder="true" applyAlignment="true">
      <alignment vertical="center"/>
    </xf>
    <xf numFmtId="0" fontId="0" fillId="3" borderId="1" xfId="0" applyNumberFormat="true" applyFont="true" applyFill="true" applyBorder="true"/>
    <xf numFmtId="0" fontId="3" fillId="3" borderId="1" xfId="0" applyNumberFormat="true" applyFont="true" applyFill="true" applyBorder="true"/>
    <xf numFmtId="0" fontId="3" fillId="3" borderId="1" xfId="0" applyNumberFormat="true" applyFont="true" applyFill="true" applyBorder="true" applyAlignment="true">
      <alignment vertical="center"/>
    </xf>
    <xf numFmtId="0" fontId="4" fillId="0" borderId="0" xfId="0" applyNumberFormat="true" applyFont="true" applyFill="true" applyBorder="true"/>
    <xf numFmtId="0" fontId="4" fillId="0" borderId="2" xfId="0" applyNumberFormat="true" applyFont="true" applyFill="true" applyBorder="true"/>
    <xf numFmtId="0" fontId="4" fillId="0" borderId="3" xfId="0" applyNumberFormat="true" applyFont="true" applyFill="true" applyBorder="true"/>
    <xf numFmtId="0" fontId="4" fillId="0" borderId="4" xfId="0" applyNumberFormat="true" applyFont="true" applyFill="true" applyBorder="true"/>
    <xf numFmtId="0" fontId="4" fillId="0" borderId="5" xfId="0" applyNumberFormat="true" applyFont="true" applyFill="true" applyBorder="true"/>
    <xf numFmtId="0" fontId="4" fillId="0" borderId="6" xfId="0" applyNumberFormat="true" applyFont="true" applyFill="true" applyBorder="true"/>
    <xf numFmtId="0" fontId="4" fillId="0" borderId="7" xfId="0" applyNumberFormat="true" applyFont="true" applyFill="true" applyBorder="true"/>
    <xf numFmtId="0" fontId="4" fillId="0" borderId="8" xfId="0" applyNumberFormat="true" applyFont="true" applyFill="true" applyBorder="true"/>
    <xf numFmtId="0" fontId="4" fillId="0" borderId="9" xfId="0" applyNumberFormat="true" applyFont="true" applyFill="true" applyBorder="true"/>
    <xf numFmtId="0" fontId="4" fillId="0" borderId="2" xfId="0" applyNumberFormat="true" applyFont="true" applyFill="true" applyBorder="true" applyAlignment="true">
      <alignment wrapText="true"/>
    </xf>
    <xf numFmtId="0" fontId="4" fillId="0" borderId="3" xfId="0" applyNumberFormat="true" applyFont="true" applyFill="true" applyBorder="true" applyAlignment="true">
      <alignment wrapText="true"/>
    </xf>
    <xf numFmtId="0" fontId="4" fillId="0" borderId="4" xfId="0" applyNumberFormat="true" applyFont="true" applyFill="true" applyBorder="true" applyAlignment="true">
      <alignment wrapText="true"/>
    </xf>
    <xf numFmtId="0" fontId="4" fillId="0" borderId="5" xfId="0" applyNumberFormat="true" applyFont="true" applyFill="true" applyBorder="true" applyAlignment="true">
      <alignment wrapText="true"/>
    </xf>
    <xf numFmtId="0" fontId="4" fillId="0" borderId="0" xfId="0" applyNumberFormat="true" applyFont="true" applyFill="true" applyBorder="true" applyAlignment="true">
      <alignment wrapText="true"/>
    </xf>
    <xf numFmtId="0" fontId="4" fillId="0" borderId="6" xfId="0" applyNumberFormat="true" applyFont="true" applyFill="true" applyBorder="true" applyAlignment="true">
      <alignment wrapText="true"/>
    </xf>
    <xf numFmtId="0" fontId="4" fillId="0" borderId="7" xfId="0" applyNumberFormat="true" applyFont="true" applyFill="true" applyBorder="true" applyAlignment="true">
      <alignment wrapText="true"/>
    </xf>
    <xf numFmtId="0" fontId="4" fillId="0" borderId="8" xfId="0" applyNumberFormat="true" applyFont="true" applyFill="true" applyBorder="true" applyAlignment="true">
      <alignment wrapText="true"/>
    </xf>
    <xf numFmtId="0" fontId="4" fillId="0" borderId="9" xfId="0" applyNumberFormat="true" applyFont="true" applyFill="true" applyBorder="true" applyAlignment="true">
      <alignment wrapText="true"/>
    </xf>
    <xf numFmtId="0" fontId="4" fillId="0" borderId="2" xfId="0" applyNumberFormat="true" applyFont="true" applyFill="true" applyBorder="true" applyAlignment="true">
      <alignment vertical="top" wrapText="true"/>
    </xf>
    <xf numFmtId="0" fontId="4" fillId="0" borderId="3" xfId="0" applyNumberFormat="true" applyFont="true" applyFill="true" applyBorder="true" applyAlignment="true">
      <alignment vertical="top" wrapText="true"/>
    </xf>
    <xf numFmtId="0" fontId="4" fillId="0" borderId="4" xfId="0" applyNumberFormat="true" applyFont="true" applyFill="true" applyBorder="true" applyAlignment="true">
      <alignment vertical="top" wrapText="true"/>
    </xf>
    <xf numFmtId="0" fontId="4" fillId="0" borderId="5" xfId="0" applyNumberFormat="true" applyFont="true" applyFill="true" applyBorder="true" applyAlignment="true">
      <alignment vertical="top" wrapText="true"/>
    </xf>
    <xf numFmtId="0" fontId="4" fillId="0" borderId="0" xfId="0" applyNumberFormat="true" applyFont="true" applyFill="true" applyBorder="true" applyAlignment="true">
      <alignment vertical="top" wrapText="true"/>
    </xf>
    <xf numFmtId="0" fontId="4" fillId="0" borderId="6" xfId="0" applyNumberFormat="true" applyFont="true" applyFill="true" applyBorder="true" applyAlignment="true">
      <alignment vertical="top" wrapText="true"/>
    </xf>
    <xf numFmtId="0" fontId="4" fillId="0" borderId="7" xfId="0" applyNumberFormat="true" applyFont="true" applyFill="true" applyBorder="true" applyAlignment="true">
      <alignment vertical="top" wrapText="true"/>
    </xf>
    <xf numFmtId="0" fontId="4" fillId="0" borderId="8" xfId="0" applyNumberFormat="true" applyFont="true" applyFill="true" applyBorder="true" applyAlignment="true">
      <alignment vertical="top" wrapText="true"/>
    </xf>
    <xf numFmtId="0" fontId="4" fillId="0" borderId="9" xfId="0" applyNumberFormat="true" applyFont="true" applyFill="true" applyBorder="true" applyAlignment="true">
      <alignment vertical="top" wrapText="true"/>
    </xf>
    <xf numFmtId="0" fontId="4" fillId="0" borderId="1" xfId="0" applyNumberFormat="true" applyFont="true" applyFill="true" applyBorder="true"/>
    <xf numFmtId="0" fontId="4" fillId="0" borderId="10" xfId="0" applyNumberFormat="true" applyFont="true" applyFill="true" applyBorder="true"/>
    <xf numFmtId="0" fontId="4" fillId="0" borderId="11" xfId="0" applyNumberFormat="true" applyFont="true" applyFill="true" applyBorder="true"/>
    <xf numFmtId="0" fontId="4" fillId="0" borderId="12" xfId="0" applyNumberFormat="true" applyFont="true" applyFill="true" applyBorder="true"/>
    <xf numFmtId="0" fontId="4" fillId="0" borderId="13" xfId="0" applyNumberFormat="true" applyFont="true" applyFill="true" applyBorder="true"/>
    <xf numFmtId="0" fontId="4" fillId="0" borderId="14" xfId="0" applyNumberFormat="true" applyFont="true" applyFill="true" applyBorder="true"/>
    <xf numFmtId="0" fontId="4" fillId="0" borderId="15" xfId="0" applyNumberFormat="true" applyFont="true" applyFill="true" applyBorder="true"/>
    <xf numFmtId="0" fontId="4" fillId="0" borderId="16" xfId="0" applyNumberFormat="true" applyFont="true" applyFill="true" applyBorder="true"/>
    <xf numFmtId="0" fontId="4" fillId="0" borderId="17" xfId="0" applyNumberFormat="true" applyFont="true" applyFill="true" applyBorder="true"/>
    <xf numFmtId="0" fontId="4" fillId="0" borderId="10" xfId="0" applyNumberFormat="true" applyFont="true" applyFill="true" applyBorder="true" applyAlignment="true">
      <alignment wrapText="true"/>
    </xf>
    <xf numFmtId="0" fontId="4" fillId="0" borderId="11" xfId="0" applyNumberFormat="true" applyFont="true" applyFill="true" applyBorder="true" applyAlignment="true">
      <alignment wrapText="true"/>
    </xf>
    <xf numFmtId="0" fontId="4" fillId="0" borderId="12" xfId="0" applyNumberFormat="true" applyFont="true" applyFill="true" applyBorder="true" applyAlignment="true">
      <alignment wrapText="true"/>
    </xf>
    <xf numFmtId="0" fontId="4" fillId="0" borderId="13" xfId="0" applyNumberFormat="true" applyFont="true" applyFill="true" applyBorder="true" applyAlignment="true">
      <alignment wrapText="true"/>
    </xf>
    <xf numFmtId="0" fontId="4" fillId="0" borderId="1" xfId="0" applyNumberFormat="true" applyFont="true" applyFill="true" applyBorder="true" applyAlignment="true">
      <alignment wrapText="true"/>
    </xf>
    <xf numFmtId="0" fontId="4" fillId="0" borderId="14" xfId="0" applyNumberFormat="true" applyFont="true" applyFill="true" applyBorder="true" applyAlignment="true">
      <alignment wrapText="true"/>
    </xf>
    <xf numFmtId="0" fontId="4" fillId="0" borderId="15" xfId="0" applyNumberFormat="true" applyFont="true" applyFill="true" applyBorder="true" applyAlignment="true">
      <alignment wrapText="true"/>
    </xf>
    <xf numFmtId="0" fontId="4" fillId="0" borderId="16" xfId="0" applyNumberFormat="true" applyFont="true" applyFill="true" applyBorder="true" applyAlignment="true">
      <alignment wrapText="true"/>
    </xf>
    <xf numFmtId="0" fontId="4" fillId="0" borderId="17" xfId="0" applyNumberFormat="true" applyFont="true" applyFill="true" applyBorder="true" applyAlignment="true">
      <alignment wrapText="true"/>
    </xf>
    <xf numFmtId="0" fontId="4" fillId="0" borderId="10" xfId="0" applyNumberFormat="true" applyFont="true" applyFill="true" applyBorder="true" applyAlignment="true">
      <alignment vertical="top" wrapText="true"/>
    </xf>
    <xf numFmtId="0" fontId="4" fillId="0" borderId="11" xfId="0" applyNumberFormat="true" applyFont="true" applyFill="true" applyBorder="true" applyAlignment="true">
      <alignment vertical="top" wrapText="true"/>
    </xf>
    <xf numFmtId="0" fontId="4" fillId="0" borderId="12" xfId="0" applyNumberFormat="true" applyFont="true" applyFill="true" applyBorder="true" applyAlignment="true">
      <alignment vertical="top" wrapText="true"/>
    </xf>
    <xf numFmtId="0" fontId="4" fillId="0" borderId="13" xfId="0" applyNumberFormat="true" applyFont="true" applyFill="true" applyBorder="true" applyAlignment="true">
      <alignment vertical="top" wrapText="true"/>
    </xf>
    <xf numFmtId="0" fontId="4" fillId="0" borderId="1" xfId="0" applyNumberFormat="true" applyFont="true" applyFill="true" applyBorder="true" applyAlignment="true">
      <alignment vertical="top" wrapText="true"/>
    </xf>
    <xf numFmtId="0" fontId="4" fillId="0" borderId="14" xfId="0" applyNumberFormat="true" applyFont="true" applyFill="true" applyBorder="true" applyAlignment="true">
      <alignment vertical="top" wrapText="true"/>
    </xf>
    <xf numFmtId="0" fontId="4" fillId="0" borderId="15" xfId="0" applyNumberFormat="true" applyFont="true" applyFill="true" applyBorder="true" applyAlignment="true">
      <alignment vertical="top" wrapText="true"/>
    </xf>
    <xf numFmtId="0" fontId="4" fillId="0" borderId="16" xfId="0" applyNumberFormat="true" applyFont="true" applyFill="true" applyBorder="true" applyAlignment="true">
      <alignment vertical="top" wrapText="true"/>
    </xf>
    <xf numFmtId="0" fontId="4" fillId="0" borderId="17" xfId="0" applyNumberFormat="true" applyFont="true" applyFill="true" applyBorder="true" applyAlignment="true">
      <alignment vertical="top" wrapText="true"/>
    </xf>
    <xf numFmtId="0" fontId="0" fillId="4" borderId="0" xfId="0" applyNumberFormat="true" applyFont="true" applyFill="true" applyBorder="true"/>
    <xf numFmtId="0" fontId="5" fillId="4" borderId="0" xfId="0" applyNumberFormat="true" applyFont="true" applyFill="true" applyBorder="true"/>
    <xf numFmtId="0" fontId="5" fillId="4" borderId="18" xfId="0" applyNumberFormat="true" applyFont="true" applyFill="true" applyBorder="true"/>
    <xf numFmtId="0" fontId="5" fillId="4" borderId="18" xfId="0" applyNumberFormat="true" applyFont="true" applyFill="true" applyBorder="true" applyAlignment="true">
      <alignment wrapText="true"/>
    </xf>
    <xf numFmtId="0" fontId="5" fillId="4" borderId="18" xfId="0" applyNumberFormat="true" applyFont="true" applyFill="true" applyBorder="true" applyAlignment="true">
      <alignment horizontal="center" wrapText="true"/>
    </xf>
    <xf numFmtId="0" fontId="5" fillId="4" borderId="18" xfId="0" applyNumberFormat="true" applyFont="true" applyFill="true" applyBorder="true" applyAlignment="true">
      <alignment horizontal="center" vertical="center" wrapText="true"/>
    </xf>
    <xf numFmtId="0" fontId="0" fillId="4" borderId="1" xfId="0" applyNumberFormat="true" applyFont="true" applyFill="true" applyBorder="true"/>
    <xf numFmtId="0" fontId="5" fillId="4" borderId="1" xfId="0" applyNumberFormat="true" applyFont="true" applyFill="true" applyBorder="true"/>
    <xf numFmtId="0" fontId="5" fillId="4" borderId="19" xfId="0" applyNumberFormat="true" applyFont="true" applyFill="true" applyBorder="true"/>
    <xf numFmtId="0" fontId="5" fillId="4" borderId="19" xfId="0" applyNumberFormat="true" applyFont="true" applyFill="true" applyBorder="true" applyAlignment="true">
      <alignment wrapText="true"/>
    </xf>
    <xf numFmtId="0" fontId="5" fillId="4" borderId="19" xfId="0" applyNumberFormat="true" applyFont="true" applyFill="true" applyBorder="true" applyAlignment="true">
      <alignment horizontal="center" wrapText="true"/>
    </xf>
    <xf numFmtId="0" fontId="5" fillId="4" borderId="19" xfId="0" applyNumberFormat="true" applyFont="true" applyFill="true" applyBorder="true" applyAlignment="true">
      <alignment horizontal="center" vertical="center" wrapText="true"/>
    </xf>
    <xf numFmtId="0" fontId="4" fillId="0" borderId="18" xfId="0" applyNumberFormat="true" applyFont="true" applyFill="true" applyBorder="true"/>
    <xf numFmtId="0" fontId="4" fillId="0" borderId="18" xfId="0" applyNumberFormat="true" applyFont="true" applyFill="true" applyBorder="true" applyAlignment="true">
      <alignment/>
    </xf>
    <xf numFmtId="0" fontId="4" fillId="0" borderId="18" xfId="0" applyNumberFormat="true" applyFont="true" applyFill="true" applyBorder="true" applyAlignment="true">
      <alignment vertical="center"/>
    </xf>
    <xf numFmtId="0" fontId="4" fillId="0" borderId="19" xfId="0" applyNumberFormat="true" applyFont="true" applyFill="true" applyBorder="true"/>
    <xf numFmtId="0" fontId="4" fillId="0" borderId="19" xfId="0" applyNumberFormat="true" applyFont="true" applyFill="true" applyBorder="true" applyAlignment="true">
      <alignment/>
    </xf>
    <xf numFmtId="0" fontId="4" fillId="0" borderId="19" xfId="0" applyNumberFormat="true" applyFont="true" applyFill="true" applyBorder="true" applyAlignment="true">
      <alignment vertical="center"/>
    </xf>
    <xf numFmtId="200" fontId="4" fillId="0" borderId="18" xfId="0" applyNumberFormat="true" applyFont="true" applyFill="true" applyBorder="true" applyAlignment="true">
      <alignment vertical="center"/>
    </xf>
    <xf numFmtId="200" fontId="4" fillId="0" borderId="19" xfId="0" applyNumberFormat="true" applyFont="true" applyFill="true" applyBorder="true" applyAlignment="true">
      <alignment vertical="center"/>
    </xf>
    <xf numFmtId="201" fontId="4" fillId="0" borderId="18" xfId="0" applyNumberFormat="true" applyFont="true" applyFill="true" applyBorder="true" applyAlignment="true">
      <alignment vertical="center"/>
    </xf>
    <xf numFmtId="201" fontId="4" fillId="0" borderId="19" xfId="0" applyNumberFormat="true" applyFont="true" applyFill="true" applyBorder="true" applyAlignment="true">
      <alignment vertical="center"/>
    </xf>
    <xf numFmtId="200" fontId="4" fillId="5" borderId="18" xfId="0" applyNumberFormat="true" applyFont="true" applyFill="true" applyBorder="true" applyAlignment="true">
      <alignment vertical="center"/>
    </xf>
    <xf numFmtId="201" fontId="4" fillId="5" borderId="18" xfId="0" applyNumberFormat="true" applyFont="true" applyFill="true" applyBorder="true" applyAlignment="true">
      <alignment vertical="center"/>
    </xf>
    <xf numFmtId="0" fontId="4" fillId="5" borderId="18" xfId="0" applyNumberFormat="true" applyFont="true" applyFill="true" applyBorder="true" applyAlignment="true">
      <alignment vertical="center"/>
    </xf>
    <xf numFmtId="200" fontId="4" fillId="5" borderId="19" xfId="0" applyNumberFormat="true" applyFont="true" applyFill="true" applyBorder="true" applyAlignment="true">
      <alignment vertical="center"/>
    </xf>
    <xf numFmtId="201" fontId="4" fillId="5" borderId="19" xfId="0" applyNumberFormat="true" applyFont="true" applyFill="true" applyBorder="true" applyAlignment="true">
      <alignment vertical="center"/>
    </xf>
    <xf numFmtId="0" fontId="4" fillId="5" borderId="19" xfId="0" applyNumberFormat="true" applyFont="true" applyFill="true" applyBorder="true" applyAlignment="true">
      <alignment vertical="center"/>
    </xf>
    <xf numFmtId="202" fontId="4" fillId="0" borderId="18" xfId="0" applyNumberFormat="true" applyFont="true" applyFill="true" applyBorder="true" applyAlignment="true">
      <alignment vertical="center"/>
    </xf>
    <xf numFmtId="202" fontId="4" fillId="0" borderId="19" xfId="0" applyNumberFormat="true" applyFont="true" applyFill="true" applyBorder="true" applyAlignment="true">
      <alignment vertical="center"/>
    </xf>
    <xf numFmtId="202" fontId="4" fillId="5" borderId="18" xfId="0" applyNumberFormat="true" applyFont="true" applyFill="true" applyBorder="true" applyAlignment="true">
      <alignment vertical="center"/>
    </xf>
    <xf numFmtId="202" fontId="4" fillId="5" borderId="19" xfId="0" applyNumberFormat="true" applyFont="true" applyFill="true" applyBorder="true" applyAlignment="true">
      <alignment vertical="center"/>
    </xf>
    <xf numFmtId="203" fontId="4" fillId="5" borderId="18" xfId="0" applyNumberFormat="true" applyFont="true" applyFill="true" applyBorder="true" applyAlignment="true">
      <alignment vertical="center"/>
    </xf>
    <xf numFmtId="203" fontId="4" fillId="5" borderId="19" xfId="0" applyNumberFormat="true" applyFont="true" applyFill="true" applyBorder="true" applyAlignment="true">
      <alignment vertical="center"/>
    </xf>
    <xf numFmtId="0" fontId="0" fillId="5" borderId="0" xfId="0" applyNumberFormat="true" applyFont="true" applyFill="true" applyBorder="true"/>
    <xf numFmtId="0" fontId="5" fillId="5" borderId="0" xfId="0" applyNumberFormat="true" applyFont="true" applyFill="true" applyBorder="true"/>
    <xf numFmtId="0" fontId="5" fillId="5" borderId="18" xfId="0" applyNumberFormat="true" applyFont="true" applyFill="true" applyBorder="true"/>
    <xf numFmtId="0" fontId="5" fillId="5" borderId="18" xfId="0" applyNumberFormat="true" applyFont="true" applyFill="true" applyBorder="true" applyAlignment="true">
      <alignment horizontal="center"/>
    </xf>
    <xf numFmtId="0" fontId="5" fillId="5" borderId="18" xfId="0" applyNumberFormat="true" applyFont="true" applyFill="true" applyBorder="true" applyAlignment="true">
      <alignment horizontal="center" vertical="center"/>
    </xf>
    <xf numFmtId="0" fontId="0" fillId="5" borderId="1" xfId="0" applyNumberFormat="true" applyFont="true" applyFill="true" applyBorder="true"/>
    <xf numFmtId="0" fontId="5" fillId="5" borderId="1" xfId="0" applyNumberFormat="true" applyFont="true" applyFill="true" applyBorder="true"/>
    <xf numFmtId="0" fontId="5" fillId="5" borderId="19" xfId="0" applyNumberFormat="true" applyFont="true" applyFill="true" applyBorder="true"/>
    <xf numFmtId="0" fontId="5" fillId="5" borderId="19" xfId="0" applyNumberFormat="true" applyFont="true" applyFill="true" applyBorder="true" applyAlignment="true">
      <alignment horizontal="center"/>
    </xf>
    <xf numFmtId="0" fontId="5" fillId="5" borderId="19" xfId="0" applyNumberFormat="true" applyFont="true" applyFill="true" applyBorder="true" applyAlignment="true">
      <alignment horizontal="center" vertical="center"/>
    </xf>
    <xf numFmtId="0" fontId="6" fillId="5" borderId="18" xfId="0" applyNumberFormat="true" applyFont="true" applyFill="true" applyBorder="true" applyAlignment="true">
      <alignment horizontal="center" vertical="center"/>
    </xf>
    <xf numFmtId="0" fontId="6" fillId="5" borderId="19" xfId="0" applyNumberFormat="true" applyFont="true" applyFill="true" applyBorder="true" applyAlignment="true">
      <alignment horizontal="center" vertical="center"/>
    </xf>
    <xf numFmtId="200" fontId="6" fillId="5" borderId="18" xfId="0" applyNumberFormat="true" applyFont="true" applyFill="true" applyBorder="true" applyAlignment="true">
      <alignment horizontal="center" vertical="center"/>
    </xf>
    <xf numFmtId="200" fontId="6" fillId="5" borderId="19" xfId="0" applyNumberFormat="true" applyFont="true" applyFill="true" applyBorder="true" applyAlignment="true">
      <alignment horizontal="center" vertical="center"/>
    </xf>
    <xf numFmtId="201" fontId="6" fillId="5" borderId="18" xfId="0" applyNumberFormat="true" applyFont="true" applyFill="true" applyBorder="true" applyAlignment="true">
      <alignment horizontal="center" vertical="center"/>
    </xf>
    <xf numFmtId="201" fontId="6" fillId="5" borderId="19" xfId="0" applyNumberFormat="true" applyFont="true" applyFill="true" applyBorder="true" applyAlignment="true">
      <alignment horizontal="center" vertical="center"/>
    </xf>
    <xf numFmtId="204" fontId="6" fillId="5" borderId="18" xfId="0" applyNumberFormat="true" applyFont="true" applyFill="true" applyBorder="true" applyAlignment="true">
      <alignment horizontal="center" vertical="center"/>
    </xf>
    <xf numFmtId="204" fontId="6" fillId="5" borderId="19" xfId="0" applyNumberFormat="true" applyFont="true" applyFill="true" applyBorder="true" applyAlignment="true">
      <alignment horizontal="center" vertical="center"/>
    </xf>
    <xf numFmtId="0" fontId="0" fillId="0" borderId="0" xfId="0" applyNumberFormat="true" applyFont="true" applyFill="true" applyBorder="true"/>
    <xf numFmtId="203" fontId="6" fillId="5" borderId="18" xfId="0" applyNumberFormat="true" applyFont="true" applyFill="true" applyBorder="true" applyAlignment="true">
      <alignment horizontal="center" vertical="center"/>
    </xf>
    <xf numFmtId="203" fontId="4" fillId="0" borderId="18" xfId="0" applyNumberFormat="true" applyFont="true" applyFill="true" applyBorder="true" applyAlignment="true">
      <alignment vertical="center"/>
    </xf>
    <xf numFmtId="0" fontId="5" fillId="5" borderId="18" xfId="0" applyNumberFormat="true" applyFont="true" applyFill="true" applyBorder="true" applyAlignment="true">
      <alignment horizontal="center" vertical="center" wrapText="true"/>
    </xf>
    <xf numFmtId="200" fontId="6" fillId="5" borderId="18" xfId="0" applyNumberFormat="true" applyFont="true" applyFill="true" applyBorder="true" applyAlignment="true">
      <alignment horizontal="center" vertical="center" wrapText="true"/>
    </xf>
    <xf numFmtId="0" fontId="6" fillId="5" borderId="18" xfId="0" applyNumberFormat="true" applyFont="true" applyFill="true" applyBorder="true" applyAlignment="true">
      <alignment horizontal="center" vertical="center" wrapText="true"/>
    </xf>
    <xf numFmtId="203" fontId="6" fillId="5" borderId="18" xfId="0" applyNumberFormat="true" applyFont="true" applyFill="true" applyBorder="true" applyAlignment="true">
      <alignment horizontal="center" vertical="center" wrapText="true"/>
    </xf>
  </cellXfs>
  <cellStyles count="1">
    <cellStyle name="Normal" xfId="0"/>
  </cellStyles>
  <dxfs count="11">
    <dxf>
      <font>
        <b val="1"/>
        <color rgb="FF991B1B"/>
      </font>
      <fill>
        <patternFill>
          <bgColor rgb="FFFEE2E2"/>
        </patternFill>
      </fill>
    </dxf>
    <dxf>
      <font>
        <b val="1"/>
        <color rgb="FF92400E"/>
      </font>
      <fill>
        <patternFill>
          <bgColor rgb="FFFEF3C7"/>
        </patternFill>
      </fill>
    </dxf>
    <dxf>
      <font>
        <b val="1"/>
        <color rgb="FF166534"/>
      </font>
      <fill>
        <patternFill>
          <bgColor rgb="FFDCFCE7"/>
        </patternFill>
      </fill>
    </dxf>
    <dxf>
      <font>
        <b val="1"/>
        <color rgb="FF991B1B"/>
      </font>
      <fill>
        <patternFill>
          <bgColor rgb="FFFEE2E2"/>
        </patternFill>
      </fill>
    </dxf>
    <dxf>
      <font>
        <b val="1"/>
        <color rgb="FF92400E"/>
      </font>
      <fill>
        <patternFill>
          <bgColor rgb="FFFEF3C7"/>
        </patternFill>
      </fill>
    </dxf>
    <dxf>
      <font>
        <b val="1"/>
        <color rgb="FF991B1B"/>
      </font>
      <fill>
        <patternFill>
          <bgColor rgb="FFFEE2E2"/>
        </patternFill>
      </fill>
    </dxf>
    <dxf>
      <font>
        <b val="1"/>
        <color rgb="FF92400E"/>
      </font>
      <fill>
        <patternFill>
          <bgColor rgb="FFFEF3C7"/>
        </patternFill>
      </fill>
    </dxf>
    <dxf>
      <font>
        <b val="1"/>
        <color rgb="FF991B1B"/>
      </font>
      <fill>
        <patternFill>
          <bgColor rgb="FFFEE2E2"/>
        </patternFill>
      </fill>
    </dxf>
    <dxf>
      <font>
        <b val="1"/>
        <color rgb="FF92400E"/>
      </font>
      <fill>
        <patternFill>
          <bgColor rgb="FFFEF3C7"/>
        </patternFill>
      </fill>
    </dxf>
    <dxf>
      <fill>
        <patternFill>
          <bgColor rgb="FFFEF3C7"/>
        </patternFill>
      </fill>
    </dxf>
    <dxf>
      <font>
        <b val="1"/>
        <color rgb="FF991B1B"/>
      </font>
      <fill>
        <patternFill>
          <bgColor rgb="FFFEE2E2"/>
        </patternFill>
      </fill>
    </dxf>
  </dxfs>
</styleSheet>
</file>

<file path=xl/_rels/workbook.xml.rels><?xml version="1.0" encoding="UTF-8"?>
<Relationships xmlns="http://schemas.openxmlformats.org/package/2006/relationships"><Relationship Id="Rc0a7e433c24a492f" Target="styles.xml" Type="http://schemas.openxmlformats.org/officeDocument/2006/relationships/styles"></Relationship><Relationship Id="Rce2b36546c1b4150" Target="theme/theme1.xml" Type="http://schemas.openxmlformats.org/officeDocument/2006/relationships/theme"></Relationship><Relationship Id="R56cbd37750aa4c0f" Target="sharedStrings.xml" Type="http://schemas.openxmlformats.org/officeDocument/2006/relationships/sharedStrings"></Relationship><Relationship Id="R7c22319a7f3c4b0c" Target="worksheets/sheet1.xml" Type="http://schemas.openxmlformats.org/officeDocument/2006/relationships/worksheet"></Relationship><Relationship Id="Rc1e39853784e48fa" Target="worksheets/sheet2.xml" Type="http://schemas.openxmlformats.org/officeDocument/2006/relationships/worksheet"></Relationship><Relationship Id="R9a79e90168bd4bf3" Target="worksheets/sheet3.xml" Type="http://schemas.openxmlformats.org/officeDocument/2006/relationships/worksheet"></Relationship><Relationship Id="R937ad7c33fec4966" Target="worksheets/sheet4.xml" Type="http://schemas.openxmlformats.org/officeDocument/2006/relationships/worksheet"></Relationship><Relationship Id="R5b66286dc24c4ea5" Target="worksheets/sheet5.xml" Type="http://schemas.openxmlformats.org/officeDocument/2006/relationships/worksheet"></Relationship><Relationship Id="Rc6bba1fa170c4543" Target="worksheets/sheet6.xml" Type="http://schemas.openxmlformats.org/officeDocument/2006/relationships/worksheet"></Relationship><Relationship Id="R413adf88355247e8" Target="worksheets/sheet7.xml" Type="http://schemas.openxmlformats.org/officeDocument/2006/relationships/worksheet"></Relationship><Relationship Id="Ra71e4c18211d44f1" Target="worksheets/sheet8.xml" Type="http://schemas.openxmlformats.org/officeDocument/2006/relationships/worksheet"></Relationship></Relationships>
</file>

<file path=xl/tables/table1.xml><?xml version="1.0" encoding="utf-8"?>
<x:table xmlns:x="http://schemas.openxmlformats.org/spreadsheetml/2006/main" id="1" name="CustomerMaster" displayName="CustomerMaster" ref="A3:R8" headerRowCount="1">
  <x:tableColumns count="18">
    <x:tableColumn id="1" name="顧客ID"/>
    <x:tableColumn id="2" name="顧客名"/>
    <x:tableColumn id="3" name="顧客タイプ"/>
    <x:tableColumn id="4" name="業種"/>
    <x:tableColumn id="5" name="顧客ランク"/>
    <x:tableColumn id="6" name="信用格付"/>
    <x:tableColumn id="7" name="与信限度額"/>
    <x:tableColumn id="8" name="支払件件付き付き（日数）"/>
    <x:tableColumn id="9" name="担当者"/>
    <x:tableColumn id="10" name="メール"/>
    <x:tableColumn id="11" name="電話"/>
    <x:tableColumn id="12" name="地域"/>
    <x:tableColumn id="13" name="担当者"/>
    <x:tableColumn id="14" name="既定通貨"/>
    <x:tableColumn id="15" name="備考"/>
    <x:tableColumn id="16" name="現在の未回収残高"/>
    <x:tableColumn id="17" name="限度額使用率"/>
    <x:tableColumn id="18" name="限度額ステータス"/>
  </x:tableColumns>
  <x:tableStyleInfo name="TableStyleMedium2" showRowStripes="1"/>
</x:table>
</file>

<file path=xl/tables/table2.xml><?xml version="1.0" encoding="utf-8"?>
<x:table xmlns:x="http://schemas.openxmlformats.org/spreadsheetml/2006/main" id="2" name="ARLedger" displayName="ARLedger" ref="A3:U8" headerRowCount="1">
  <x:tableColumns count="21">
    <x:tableColumn id="1" name="伝票番号"/>
    <x:tableColumn id="2" name="業務シーン"/>
    <x:tableColumn id="3" name="顧客ID"/>
    <x:tableColumn id="4" name="顧客名"/>
    <x:tableColumn id="5" name="プロジェクト/契約番号"/>
    <x:tableColumn id="6" name="請求書/確定日"/>
    <x:tableColumn id="7" name="支払件件付き付き日数"/>
    <x:tableColumn id="8" name="期日"/>
    <x:tableColumn id="9" name="通貨"/>
    <x:tableColumn id="10" name="売掛金額"/>
    <x:tableColumn id="11" name="税額"/>
    <x:tableColumn id="12" name="回収済み金額"/>
    <x:tableColumn id="13" name="未回収金額"/>
    <x:tableColumn id="14" name="入金ステータス"/>
    <x:tableColumn id="15" name="延滞日数"/>
    <x:tableColumn id="16" name="債権年齢区分"/>
    <x:tableColumn id="17" name="担当者"/>
    <x:tableColumn id="18" name="督促段階"/>
    <x:tableColumn id="19" name="争議ステータス"/>
    <x:tableColumn id="20" name="リスクレベル"/>
    <x:tableColumn id="21" name="備考"/>
  </x:tableColumns>
  <x:tableStyleInfo name="TableStyleMedium2" showRowStripes="1"/>
</x:table>
</file>

<file path=xl/tables/table3.xml><?xml version="1.0" encoding="utf-8"?>
<x:table xmlns:x="http://schemas.openxmlformats.org/spreadsheetml/2006/main" id="3" name="PaymentLog" displayName="PaymentLog" ref="A3:K5" headerRowCount="1">
  <x:tableColumns count="11">
    <x:tableColumn id="1" name="入金番号"/>
    <x:tableColumn id="2" name="伝票番号"/>
    <x:tableColumn id="3" name="顧客ID"/>
    <x:tableColumn id="4" name="顧客名"/>
    <x:tableColumn id="5" name="入金日"/>
    <x:tableColumn id="6" name="入金金額"/>
    <x:tableColumn id="7" name="通貨"/>
    <x:tableColumn id="8" name="支払方法"/>
    <x:tableColumn id="9" name="銀行取引番号/手形番号"/>
    <x:tableColumn id="10" name="消込ステータス"/>
    <x:tableColumn id="11" name="備考"/>
  </x:tableColumns>
  <x:tableStyleInfo name="TableStyleMedium2" showRowStripes="1"/>
</x:table>
</file>

<file path=xl/tables/table4.xml><?xml version="1.0" encoding="utf-8"?>
<x:table xmlns:x="http://schemas.openxmlformats.org/spreadsheetml/2006/main" id="4" name="DisputeCollection" displayName="DisputeCollection" ref="A3:M5" headerRowCount="1">
  <x:tableColumns count="13">
    <x:tableColumn id="1" name="案件番号"/>
    <x:tableColumn id="2" name="伝票番号"/>
    <x:tableColumn id="3" name="顧客ID"/>
    <x:tableColumn id="4" name="顧客名"/>
    <x:tableColumn id="5" name="争議/督促タイプ"/>
    <x:tableColumn id="6" name="発生日"/>
    <x:tableColumn id="7" name="現在のステータス"/>
    <x:tableColumn id="8" name="責任者"/>
    <x:tableColumn id="9" name="次のアクション"/>
    <x:tableColumn id="10" name="計画フォロー日"/>
    <x:tableColumn id="11" name="影響金額"/>
    <x:tableColumn id="12" name="優先度"/>
    <x:tableColumn id="13" name="最新進捗"/>
  </x:tableColumns>
  <x:tableStyleInfo name="TableStyleMedium2" showRowStripes="1"/>
</x:table>
</file>

<file path=xl/theme/theme1.xml><?xml version="1.0" encoding="utf-8"?>
<a:theme xmlns:a="http://schemas.openxmlformats.org/drawingml/2006/main" xmlns:r="http://schemas.openxmlformats.org/officeDocument/2006/relationships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../tables/table1.xml" Id="R0f44afd992ff444b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../tables/table2.xml" Id="R97336af9d4024a4e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../tables/table3.xml" Id="R75550d22891847fa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../tables/table4.xml" Id="R2d43a51ebff64cf0" /></Relationships>
</file>

<file path=xl/worksheets/sheet1.xml><?xml version="1.0" encoding="utf-8"?>
<worksheet xmlns:x="http://schemas.openxmlformats.org/spreadsheetml/2006/main" xmlns="http://schemas.openxmlformats.org/spreadsheetml/2006/main">
  <sheetViews>
    <sheetView tabSelected="true" workbookViewId="0"/>
  </sheetViews>
  <sheetFormatPr defaultRowHeight="15"/>
  <cols>
    <col customWidth="true" max="1" min="1" width="18"/>
    <col customWidth="true" max="6" min="2" width="16"/>
  </cols>
  <sheetData>
    <row r="1" ht="21" customHeight="true">
      <c r="A1" s="5" t="s">
        <v>0</v>
      </c>
      <c r="B1" s="5"/>
      <c r="C1" s="5"/>
      <c r="D1" s="5"/>
      <c r="E1" s="5"/>
      <c r="F1" s="5"/>
    </row>
    <row r="2" ht="21" customHeight="true"/>
    <row r="3" ht="21" customHeight="true">
      <c r="A3" s="11" t="s">
        <v>1</v>
      </c>
      <c r="B3" s="11"/>
      <c r="C3" s="11"/>
      <c r="D3" s="11"/>
      <c r="E3" s="11"/>
      <c r="F3" s="11"/>
    </row>
    <row r="4" ht="21" customHeight="true"/>
    <row r="5" ht="21" customHeight="true">
      <c r="A5" s="16" t="s">
        <v>2</v>
      </c>
      <c r="B5" s="16"/>
      <c r="C5" s="16"/>
      <c r="D5" s="16"/>
      <c r="E5" s="16"/>
      <c r="F5" s="16"/>
    </row>
    <row r="6" ht="21" customHeight="true">
      <c r="A6" s="38" t="s">
        <v>3</v>
      </c>
      <c r="B6" s="39"/>
      <c r="C6" s="39"/>
      <c r="D6" s="39"/>
      <c r="E6" s="39"/>
      <c r="F6" s="40"/>
    </row>
    <row r="7" ht="21" customHeight="true">
      <c r="A7" s="41" t="s">
        <v>4</v>
      </c>
      <c r="B7" s="42"/>
      <c r="C7" s="42"/>
      <c r="D7" s="42"/>
      <c r="E7" s="42"/>
      <c r="F7" s="43"/>
    </row>
    <row r="8" ht="21" customHeight="true">
      <c r="A8" s="41" t="s">
        <v>5</v>
      </c>
      <c r="B8" s="42"/>
      <c r="C8" s="42"/>
      <c r="D8" s="42"/>
      <c r="E8" s="42"/>
      <c r="F8" s="43"/>
    </row>
    <row r="9" ht="21" customHeight="true">
      <c r="A9" s="44" t="s">
        <v>6</v>
      </c>
      <c r="B9" s="45"/>
      <c r="C9" s="45"/>
      <c r="D9" s="45"/>
      <c r="E9" s="45"/>
      <c r="F9" s="46"/>
    </row>
    <row r="10" ht="21" customHeight="true"/>
    <row r="11" ht="21" customHeight="true"/>
    <row r="12" ht="21" customHeight="true">
      <c r="A12" s="16" t="s">
        <v>7</v>
      </c>
      <c r="B12" s="16"/>
      <c r="C12" s="16"/>
      <c r="D12" s="16"/>
      <c r="E12" s="16"/>
      <c r="F12" s="16"/>
    </row>
    <row r="13" ht="21" customHeight="true">
      <c r="A13" s="38" t="s">
        <v>8</v>
      </c>
      <c r="B13" s="39"/>
      <c r="C13" s="39"/>
      <c r="D13" s="39"/>
      <c r="E13" s="39"/>
      <c r="F13" s="40"/>
    </row>
    <row r="14" ht="21" customHeight="true">
      <c r="A14" s="44" t="s">
        <v>187</v>
      </c>
      <c r="B14" s="45"/>
      <c r="C14" s="45"/>
      <c r="D14" s="45"/>
      <c r="E14" s="45"/>
      <c r="F14" s="46"/>
    </row>
    <row r="15" ht="21" customHeight="true"/>
    <row r="16" ht="21" customHeight="true"/>
    <row r="17" ht="21" customHeight="true">
      <c r="A17" s="16" t="s">
        <v>9</v>
      </c>
      <c r="B17" s="16"/>
      <c r="C17" s="16"/>
      <c r="D17" s="16"/>
      <c r="E17" s="16"/>
      <c r="F17" s="16"/>
    </row>
    <row r="18" ht="21" customHeight="true">
      <c r="A18" s="38" t="s">
        <v>10</v>
      </c>
      <c r="B18" s="39"/>
      <c r="C18" s="39"/>
      <c r="D18" s="39"/>
      <c r="E18" s="39"/>
      <c r="F18" s="40"/>
    </row>
    <row r="19" ht="21" customHeight="true">
      <c r="A19" s="41" t="s">
        <v>11</v>
      </c>
      <c r="B19" s="42"/>
      <c r="C19" s="42"/>
      <c r="D19" s="42"/>
      <c r="E19" s="42"/>
      <c r="F19" s="43"/>
    </row>
    <row r="20" ht="21" customHeight="true">
      <c r="A20" s="44" t="s">
        <v>12</v>
      </c>
      <c r="B20" s="45"/>
      <c r="C20" s="45"/>
      <c r="D20" s="45"/>
      <c r="E20" s="45"/>
      <c r="F20" s="46"/>
    </row>
    <row r="21" ht="21" customHeight="true"/>
    <row r="22" ht="21" customHeight="true"/>
    <row r="23" ht="21" customHeight="true">
      <c r="A23" s="16" t="s">
        <v>13</v>
      </c>
      <c r="B23" s="16"/>
      <c r="C23" s="16"/>
      <c r="D23" s="16"/>
      <c r="E23" s="16"/>
      <c r="F23" s="16"/>
    </row>
    <row r="24" ht="21" customHeight="true">
      <c r="A24" s="38" t="s">
        <v>14</v>
      </c>
      <c r="B24" s="39"/>
      <c r="C24" s="39"/>
      <c r="D24" s="39"/>
      <c r="E24" s="39"/>
      <c r="F24" s="40"/>
    </row>
    <row r="25" ht="21" customHeight="true">
      <c r="A25" s="44" t="s">
        <v>15</v>
      </c>
      <c r="B25" s="45"/>
      <c r="C25" s="45"/>
      <c r="D25" s="45"/>
      <c r="E25" s="45"/>
      <c r="F25" s="46"/>
    </row>
    <row r="26" ht="21" customHeight="true"/>
    <row r="27" ht="21" customHeight="true"/>
    <row r="28" ht="21" customHeight="true"/>
    <row r="29" ht="21" customHeight="true"/>
    <row r="30" ht="21" customHeight="true"/>
  </sheetData>
  <mergeCells count="17">
    <mergeCell ref="A1:F1"/>
    <mergeCell ref="A3:F3"/>
    <mergeCell ref="A5:F5"/>
    <mergeCell ref="A6:F6"/>
    <mergeCell ref="A7:F7"/>
    <mergeCell ref="A8:F8"/>
    <mergeCell ref="A9:F9"/>
    <mergeCell ref="A12:F12"/>
    <mergeCell ref="A13:F13"/>
    <mergeCell ref="A14:F14"/>
    <mergeCell ref="A17:F17"/>
    <mergeCell ref="A18:F18"/>
    <mergeCell ref="A19:F19"/>
    <mergeCell ref="A20:F20"/>
    <mergeCell ref="A23:F23"/>
    <mergeCell ref="A24:F24"/>
    <mergeCell ref="A25:F25"/>
  </mergeCells>
  <pageMargins left="0.7" right="0.7" top="0.75" bottom="0.75" header="0.3" footer="0.3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</worksheet>
</file>

<file path=xl/worksheets/sheet2.xml><?xml version="1.0" encoding="utf-8"?>
<worksheet xmlns:x="http://schemas.openxmlformats.org/spreadsheetml/2006/main" xmlns="http://schemas.openxmlformats.org/spreadsheetml/2006/main">
  <sheetViews>
    <sheetView workbookViewId="0"/>
  </sheetViews>
  <sheetFormatPr defaultRowHeight="15"/>
  <cols>
    <col customWidth="true" max="11" min="1" width="16"/>
  </cols>
  <sheetData>
    <row r="1" ht="32" customHeight="true">
      <c r="A1" s="5" t="s">
        <v>16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>
      <c r="A2" s="11" t="s">
        <v>17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ht="25" customHeight="true">
      <c r="A3" s="79" t="s">
        <v>18</v>
      </c>
      <c r="B3" s="79" t="s">
        <v>19</v>
      </c>
      <c r="C3" s="79" t="s">
        <v>20</v>
      </c>
      <c r="D3" s="79" t="s">
        <v>21</v>
      </c>
      <c r="E3" s="79" t="s">
        <v>22</v>
      </c>
      <c r="F3" s="79" t="s">
        <v>23</v>
      </c>
      <c r="G3" s="79" t="s">
        <v>24</v>
      </c>
      <c r="H3" s="79" t="s">
        <v>25</v>
      </c>
      <c r="I3" s="79" t="s">
        <v>26</v>
      </c>
      <c r="J3" s="79" t="s">
        <v>27</v>
      </c>
      <c r="K3" s="79" t="s">
        <v>28</v>
      </c>
    </row>
    <row r="4">
      <c r="A4" s="88" t="s">
        <v>29</v>
      </c>
      <c r="B4" s="88" t="s">
        <v>30</v>
      </c>
      <c r="C4" s="88" t="str">
        <v>A</v>
      </c>
      <c r="D4" s="88" t="str">
        <v>良好</v>
      </c>
      <c r="E4" s="88" t="str">
        <v>CNY</v>
      </c>
      <c r="F4" s="88" t="s">
        <v>31</v>
      </c>
      <c r="G4" s="88" t="s">
        <v>32</v>
      </c>
      <c r="H4" s="88" t="s">
        <v>33</v>
      </c>
      <c r="I4" s="88" t="str">
        <v>低</v>
      </c>
      <c r="J4" s="88" t="str">
        <v>低</v>
      </c>
      <c r="K4" s="88" t="s">
        <v>34</v>
      </c>
    </row>
    <row r="5">
      <c r="A5" s="88" t="s">
        <v>35</v>
      </c>
      <c r="B5" s="88" t="s">
        <v>36</v>
      </c>
      <c r="C5" s="88" t="str">
        <v>B</v>
      </c>
      <c r="D5" s="88" t="s">
        <v>37</v>
      </c>
      <c r="E5" s="88" t="str">
        <v>USD</v>
      </c>
      <c r="F5" s="88" t="s">
        <v>38</v>
      </c>
      <c r="G5" s="88" t="s">
        <v>39</v>
      </c>
      <c r="H5" s="88" t="s">
        <v>40</v>
      </c>
      <c r="I5" s="88" t="str">
        <v>中</v>
      </c>
      <c r="J5" s="88" t="str">
        <v>中</v>
      </c>
      <c r="K5" s="88" t="s">
        <v>41</v>
      </c>
    </row>
    <row r="6">
      <c r="A6" s="88" t="s">
        <v>42</v>
      </c>
      <c r="B6" s="88" t="s">
        <v>43</v>
      </c>
      <c r="C6" s="88" t="str">
        <v>C</v>
      </c>
      <c r="D6" s="88" t="s">
        <v>44</v>
      </c>
      <c r="E6" s="88" t="str">
        <v>EUR</v>
      </c>
      <c r="F6" s="88" t="s">
        <v>45</v>
      </c>
      <c r="G6" s="88" t="s">
        <v>46</v>
      </c>
      <c r="H6" s="88" t="s">
        <v>47</v>
      </c>
      <c r="I6" s="88" t="str">
        <v>高</v>
      </c>
      <c r="J6" s="88" t="str">
        <v>高</v>
      </c>
      <c r="K6" s="88" t="s">
        <v>48</v>
      </c>
    </row>
    <row r="7">
      <c r="A7" s="88" t="s">
        <v>49</v>
      </c>
      <c r="B7" s="88" t="s">
        <v>50</v>
      </c>
      <c r="C7" s="88" t="str">
        <v>D</v>
      </c>
      <c r="D7" s="88" t="s">
        <v>51</v>
      </c>
      <c r="E7" s="88" t="str">
        <v>HKD</v>
      </c>
      <c r="F7" s="88" t="s">
        <v>52</v>
      </c>
      <c r="G7" s="88" t="s">
        <v>53</v>
      </c>
      <c r="H7" s="88" t="s">
        <v>54</v>
      </c>
      <c r="I7" s="88"/>
      <c r="J7" s="88" t="s">
        <v>55</v>
      </c>
      <c r="K7" s="88" t="s">
        <v>56</v>
      </c>
    </row>
    <row r="8">
      <c r="A8" s="88" t="s">
        <v>57</v>
      </c>
      <c r="B8" s="88" t="s">
        <v>58</v>
      </c>
      <c r="C8" s="88"/>
      <c r="D8" s="88" t="s">
        <v>59</v>
      </c>
      <c r="E8" s="88" t="str">
        <v>JPY</v>
      </c>
      <c r="F8" s="88" t="s">
        <v>60</v>
      </c>
      <c r="G8" s="88" t="s">
        <v>61</v>
      </c>
      <c r="H8" s="88" t="s">
        <v>62</v>
      </c>
      <c r="I8" s="88"/>
      <c r="J8" s="88"/>
      <c r="K8" s="88" t="s">
        <v>63</v>
      </c>
    </row>
    <row r="9">
      <c r="A9" s="88" t="s">
        <v>64</v>
      </c>
      <c r="B9" s="88" t="s">
        <v>65</v>
      </c>
      <c r="C9" s="88"/>
      <c r="D9" s="88"/>
      <c r="E9" s="88" t="str">
        <v>GBP</v>
      </c>
      <c r="F9" s="88" t="s">
        <v>66</v>
      </c>
      <c r="G9" s="88" t="s">
        <v>67</v>
      </c>
      <c r="H9" s="88"/>
      <c r="I9" s="88"/>
      <c r="J9" s="88"/>
      <c r="K9" s="88" t="s">
        <v>68</v>
      </c>
    </row>
    <row r="10">
      <c r="A10" s="88" t="s">
        <v>69</v>
      </c>
      <c r="B10" s="88"/>
      <c r="C10" s="88"/>
      <c r="D10" s="88"/>
      <c r="E10" s="88" t="s">
        <v>70</v>
      </c>
      <c r="F10" s="88" t="s">
        <v>71</v>
      </c>
      <c r="G10" s="88" t="s">
        <v>72</v>
      </c>
      <c r="H10" s="88"/>
      <c r="I10" s="88"/>
      <c r="J10" s="88"/>
      <c r="K10" s="88" t="s">
        <v>70</v>
      </c>
    </row>
    <row r="11">
      <c r="A11" s="88" t="s">
        <v>70</v>
      </c>
      <c r="B11" s="88"/>
      <c r="C11" s="88"/>
      <c r="D11" s="88"/>
      <c r="E11" s="88"/>
      <c r="F11" s="88" t="s">
        <v>70</v>
      </c>
      <c r="G11" s="88"/>
      <c r="H11" s="88"/>
      <c r="I11" s="88"/>
      <c r="J11" s="88"/>
      <c r="K11" s="88"/>
    </row>
  </sheetData>
  <mergeCells count="2">
    <mergeCell ref="A1:K1"/>
    <mergeCell ref="A2:K2"/>
  </mergeCells>
  <pageMargins left="0.7" right="0.7" top="0.75" bottom="0.75" header="0.3" footer="0.3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</worksheet>
</file>

<file path=xl/worksheets/sheet3.xml><?xml version="1.0" encoding="utf-8"?>
<worksheet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Views>
    <sheetView workbookViewId="0"/>
  </sheetViews>
  <sheetFormatPr defaultRowHeight="15"/>
  <cols>
    <col customWidth="true" max="1" min="1" width="13"/>
    <col customWidth="true" max="2" min="2" width="24"/>
    <col customWidth="true" max="3" min="3" width="13"/>
    <col customWidth="true" max="4" min="4" width="16"/>
    <col customWidth="true" max="5" min="5" width="10"/>
    <col customWidth="true" max="6" min="6" width="12"/>
    <col customWidth="true" max="7" min="7" width="14"/>
    <col customWidth="true" max="9" min="8" width="12"/>
    <col customWidth="true" max="10" min="10" width="24"/>
    <col customWidth="true" max="11" min="11" width="15"/>
    <col customWidth="true" max="13" min="12" width="12"/>
    <col customWidth="true" max="14" min="14" width="10"/>
    <col customWidth="true" max="15" min="15" width="24"/>
    <col customWidth="true" max="16" min="16" width="15"/>
    <col customWidth="true" max="18" min="17" width="12"/>
  </cols>
  <sheetData>
    <row r="1" ht="32" customHeight="true">
      <c r="A1" s="5" t="s">
        <v>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/>
    <row r="3" ht="25" customHeight="true">
      <c r="A3" s="79" t="s">
        <v>74</v>
      </c>
      <c r="B3" s="79" t="s">
        <v>75</v>
      </c>
      <c r="C3" s="79" t="s">
        <v>19</v>
      </c>
      <c r="D3" s="79" t="s">
        <v>76</v>
      </c>
      <c r="E3" s="79" t="s">
        <v>20</v>
      </c>
      <c r="F3" s="79" t="s">
        <v>21</v>
      </c>
      <c r="G3" s="79" t="s">
        <v>77</v>
      </c>
      <c r="H3" s="79" t="s">
        <v>78</v>
      </c>
      <c r="I3" s="79" t="s">
        <v>79</v>
      </c>
      <c r="J3" s="79" t="s">
        <v>80</v>
      </c>
      <c r="K3" s="79" t="s">
        <v>81</v>
      </c>
      <c r="L3" s="79" t="s">
        <v>82</v>
      </c>
      <c r="M3" s="79" t="s">
        <v>79</v>
      </c>
      <c r="N3" s="79" t="s">
        <v>83</v>
      </c>
      <c r="O3" s="79" t="s">
        <v>84</v>
      </c>
      <c r="P3" s="79" t="s">
        <v>85</v>
      </c>
      <c r="Q3" s="79" t="s">
        <v>86</v>
      </c>
      <c r="R3" s="79" t="s">
        <v>87</v>
      </c>
    </row>
    <row r="4" ht="19" customHeight="true">
      <c r="A4" s="88" t="str">
        <v>CUST001</v>
      </c>
      <c r="B4" s="88" t="s">
        <v>88</v>
      </c>
      <c r="C4" s="88" t="s">
        <v>30</v>
      </c>
      <c r="D4" s="88" t="s">
        <v>89</v>
      </c>
      <c r="E4" s="88" t="str">
        <v>A</v>
      </c>
      <c r="F4" s="88" t="str">
        <v>良好</v>
      </c>
      <c r="G4" s="92" t="n">
        <v>500000</v>
      </c>
      <c r="H4" s="128" t="n">
        <v>30</v>
      </c>
      <c r="I4" s="88" t="s">
        <v>90</v>
      </c>
      <c r="J4" s="88" t="s">
        <v>91</v>
      </c>
      <c r="K4" s="88" t="str">
        <v>13800000001</v>
      </c>
      <c r="L4" s="88" t="s">
        <v>92</v>
      </c>
      <c r="M4" s="88" t="s">
        <v>93</v>
      </c>
      <c r="N4" s="88" t="str">
        <v>CNY</v>
      </c>
      <c r="O4" s="88" t="s">
        <v>94</v>
      </c>
      <c r="P4" s="96" t="n">
        <f>IF($A4="","",SUMIF('売掛明細'!$C:$C,$A4,'売掛明細'!$M:$M))</f>
        <v>120000</v>
      </c>
      <c r="Q4" s="97" t="n">
        <f>IF($A4="","",IFERROR($P4/$G4,0))</f>
        <v>0.24</v>
      </c>
      <c r="R4" s="98" t="str">
        <f>IF($A4="","",IF($P4=0,"未使用",IF($Q4&gt;1,"上限超過",IF($Q4&gt;=0.8,"上限接近","通常"))))</f>
        <v>通常</v>
      </c>
    </row>
    <row r="5" ht="19" customHeight="true">
      <c r="A5" s="88" t="str">
        <v>CUST002</v>
      </c>
      <c r="B5" s="88" t="s">
        <v>95</v>
      </c>
      <c r="C5" s="88" t="s">
        <v>36</v>
      </c>
      <c r="D5" s="88" t="s">
        <v>96</v>
      </c>
      <c r="E5" s="88" t="str">
        <v>B</v>
      </c>
      <c r="F5" s="88" t="s">
        <v>37</v>
      </c>
      <c r="G5" s="92" t="n">
        <v>300000</v>
      </c>
      <c r="H5" s="128" t="n">
        <v>45</v>
      </c>
      <c r="I5" s="88" t="s">
        <v>97</v>
      </c>
      <c r="J5" s="88" t="s">
        <v>98</v>
      </c>
      <c r="K5" s="88" t="str">
        <v>13800000002</v>
      </c>
      <c r="L5" s="88" t="s">
        <v>99</v>
      </c>
      <c r="M5" s="88" t="s">
        <v>100</v>
      </c>
      <c r="N5" s="88" t="str">
        <v>CNY</v>
      </c>
      <c r="O5" s="88" t="s">
        <v>101</v>
      </c>
      <c r="P5" s="96" t="n">
        <f>IF($A5="","",SUMIF('売掛明細'!$C:$C,$A5,'売掛明細'!$M:$M))</f>
        <v>50000</v>
      </c>
      <c r="Q5" s="97" t="n">
        <f>IF($A5="","",IFERROR($P5/$G5,0))</f>
        <v>0.16666666666666666</v>
      </c>
      <c r="R5" s="98" t="str">
        <f>IF($A5="","",IF($P5=0,"未使用",IF($Q5&gt;1,"上限超過",IF($Q5&gt;=0.8,"上限接近","通常"))))</f>
        <v>通常</v>
      </c>
    </row>
    <row r="6" ht="19" customHeight="true">
      <c r="A6" s="88" t="str">
        <v>CUST003</v>
      </c>
      <c r="B6" s="88" t="s">
        <v>102</v>
      </c>
      <c r="C6" s="88" t="s">
        <v>30</v>
      </c>
      <c r="D6" s="88" t="s">
        <v>103</v>
      </c>
      <c r="E6" s="88" t="str">
        <v>A</v>
      </c>
      <c r="F6" s="88" t="str">
        <v>良好</v>
      </c>
      <c r="G6" s="92" t="n">
        <v>800000</v>
      </c>
      <c r="H6" s="128" t="n">
        <v>60</v>
      </c>
      <c r="I6" s="88" t="s">
        <v>104</v>
      </c>
      <c r="J6" s="88" t="s">
        <v>105</v>
      </c>
      <c r="K6" s="88" t="str">
        <v>13800000003</v>
      </c>
      <c r="L6" s="88" t="s">
        <v>106</v>
      </c>
      <c r="M6" s="88" t="s">
        <v>107</v>
      </c>
      <c r="N6" s="88" t="str">
        <v>CNY</v>
      </c>
      <c r="O6" s="88" t="s">
        <v>108</v>
      </c>
      <c r="P6" s="96" t="n">
        <f>IF($A6="","",SUMIF('売掛明細'!$C:$C,$A6,'売掛明細'!$M:$M))</f>
        <v>85000</v>
      </c>
      <c r="Q6" s="97" t="n">
        <f>IF($A6="","",IFERROR($P6/$G6,0))</f>
        <v>0.10625</v>
      </c>
      <c r="R6" s="98" t="str">
        <f>IF($A6="","",IF($P6=0,"未使用",IF($Q6&gt;1,"上限超過",IF($Q6&gt;=0.8,"上限接近","通常"))))</f>
        <v>通常</v>
      </c>
    </row>
    <row r="7" ht="19" customHeight="true">
      <c r="A7" s="88" t="str">
        <v>CUST004</v>
      </c>
      <c r="B7" s="88" t="s">
        <v>109</v>
      </c>
      <c r="C7" s="88" t="s">
        <v>43</v>
      </c>
      <c r="D7" s="88" t="s">
        <v>110</v>
      </c>
      <c r="E7" s="88" t="str">
        <v>A</v>
      </c>
      <c r="F7" s="88" t="s">
        <v>44</v>
      </c>
      <c r="G7" s="92" t="n">
        <v>400000</v>
      </c>
      <c r="H7" s="128" t="n">
        <v>90</v>
      </c>
      <c r="I7" s="88" t="s">
        <v>111</v>
      </c>
      <c r="J7" s="88" t="s">
        <v>112</v>
      </c>
      <c r="K7" s="88" t="str">
        <v>13800000004</v>
      </c>
      <c r="L7" s="88" t="str">
        <v>西南</v>
      </c>
      <c r="M7" s="88" t="s">
        <v>93</v>
      </c>
      <c r="N7" s="88" t="str">
        <v>CNY</v>
      </c>
      <c r="O7" s="88" t="s">
        <v>113</v>
      </c>
      <c r="P7" s="96" t="n">
        <f>IF($A7="","",SUMIF('売掛明細'!$C:$C,$A7,'売掛明細'!$M:$M))</f>
        <v>150000</v>
      </c>
      <c r="Q7" s="97" t="n">
        <f>IF($A7="","",IFERROR($P7/$G7,0))</f>
        <v>0.375</v>
      </c>
      <c r="R7" s="98" t="str">
        <f>IF($A7="","",IF($P7=0,"未使用",IF($Q7&gt;1,"上限超過",IF($Q7&gt;=0.8,"上限接近","通常"))))</f>
        <v>通常</v>
      </c>
    </row>
    <row r="8" ht="19" customHeight="true">
      <c r="A8" s="88" t="str">
        <v>CUST005</v>
      </c>
      <c r="B8" s="88" t="s">
        <v>114</v>
      </c>
      <c r="C8" s="88" t="s">
        <v>50</v>
      </c>
      <c r="D8" s="88" t="s">
        <v>115</v>
      </c>
      <c r="E8" s="88" t="str">
        <v>B</v>
      </c>
      <c r="F8" s="88" t="s">
        <v>44</v>
      </c>
      <c r="G8" s="92" t="n">
        <v>600000</v>
      </c>
      <c r="H8" s="128" t="n">
        <v>30</v>
      </c>
      <c r="I8" s="88" t="s">
        <v>116</v>
      </c>
      <c r="J8" s="88" t="s">
        <v>117</v>
      </c>
      <c r="K8" s="88" t="str">
        <v>13800000005</v>
      </c>
      <c r="L8" s="88" t="s">
        <v>106</v>
      </c>
      <c r="M8" s="88" t="s">
        <v>100</v>
      </c>
      <c r="N8" s="88" t="str">
        <v>CNY</v>
      </c>
      <c r="O8" s="88" t="s">
        <v>118</v>
      </c>
      <c r="P8" s="96" t="n">
        <f>IF($A8="","",SUMIF('売掛明細'!$C:$C,$A8,'売掛明細'!$M:$M))</f>
        <v>200000</v>
      </c>
      <c r="Q8" s="97" t="n">
        <f>IF($A8="","",IFERROR($P8/$G8,0))</f>
        <v>0.3333333333333333</v>
      </c>
      <c r="R8" s="98" t="str">
        <f>IF($A8="","",IF($P8=0,"未使用",IF($Q8&gt;1,"上限超過",IF($Q8&gt;=0.8,"上限接近","通常"))))</f>
        <v>通常</v>
      </c>
    </row>
  </sheetData>
  <mergeCells count="1">
    <mergeCell ref="A1:R1"/>
  </mergeCells>
  <conditionalFormatting sqref="R4:R8">
    <cfRule type="containsText" dxfId="5" priority="1" operator="containsText" text="上限超過">
      <formula>NOT(ISERROR(SEARCH("上限超過",R4)))</formula>
    </cfRule>
    <cfRule type="containsText" dxfId="6" priority="2" operator="containsText" text="上限接近">
      <formula>NOT(ISERROR(SEARCH("上限接近",R4)))</formula>
    </cfRule>
  </conditionalFormatting>
  <conditionalFormatting sqref="Q4:Q8">
    <cfRule type="dataBar" priority="3">
      <dataBar>
        <cfvo type="min"/>
        <cfvo type="max"/>
        <color rgb="93C5FD"/>
      </dataBar>
      <ignoredErrors>
        <ignoredError sqref="A1:XFD8" evalError="1" twoDigitTextYear="1" numberStoredAsText="1" formula="1" formulaRange="1" unlockedFormula="1" emptyCellReference="1" listDataValidation="1" calculatedColumn="1"/>
      </ignoredErrors>
      <extLst>
        <x:ext xmlns:x14="http://schemas.microsoft.com/office/spreadsheetml/2009/9/main" uri="{B025F937-C7B1-47D3-B67F-A62EFF666E3E}">
          <x14:id>{87BEC6A3-76A2-C9DF-1DDE-C08E4567E84A}</x14:id>
        </x:ext>
      </extLst>
    </cfRule>
  </conditionalFormatting>
  <dataValidations count="4">
    <dataValidation allowBlank="true" sqref="C4:C8" type="list">
      <formula1>"法人顧客,チャネル顧客,機関顧客,プロジェクト顧客,グループ顧客,個人/その他"</formula1>
    </dataValidation>
    <dataValidation allowBlank="true" sqref="E4:E8" type="list">
      <formula1>"A,B,C,D"</formula1>
    </dataValidation>
    <dataValidation allowBlank="true" sqref="F4:F8" type="list">
      <formula1>"良好,通常,要注意,制限,停止"</formula1>
    </dataValidation>
    <dataValidation allowBlank="true" sqref="N4:N8" type="list">
      <formula1>"CNY,USD,EUR,HKD,JPY,GBP,その他"</formula1>
    </dataValidation>
  </dataValidations>
  <pageMargins left="0.7" right="0.7" top="0.75" bottom="0.75" header="0.3" footer="0.3"/>
  <tableParts count="1">
    <tablePart r:id="R0f44afd992ff444b"/>
  </tableParts>
  <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3" id="{87BEC6A3-76A2-C9DF-1DDE-C08E4567E84A}">
            <x14:dataBar gradient="1">
              <x14:cfvo type="min"/>
              <x14:cfvo type="max"/>
              <x14:fillColor rgb="93C5FD"/>
            </x14:dataBar>
          </x14:cfRule>
          <xm:sqref>Q4:Q303</xm:sqref>
        </x14:conditionalFormatting>
      </x14:conditionalFormattings>
    </x:ext>
  </extLst>
</worksheet>
</file>

<file path=xl/worksheets/sheet4.xml><?xml version="1.0" encoding="utf-8"?>
<worksheet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Views>
    <sheetView workbookViewId="0"/>
  </sheetViews>
  <sheetFormatPr defaultRowHeight="15"/>
  <cols>
    <col customWidth="true" max="1" min="1" width="15"/>
    <col customWidth="true" max="2" min="2" width="14"/>
    <col customWidth="true" max="3" min="3" width="12"/>
    <col customWidth="true" max="4" min="4" width="24"/>
    <col customWidth="true" max="5" min="5" width="16"/>
    <col customWidth="true" max="6" min="6" width="13"/>
    <col customWidth="true" max="7" min="7" width="10"/>
    <col customWidth="true" max="8" min="8" width="13"/>
    <col customWidth="true" max="9" min="9" width="8"/>
    <col customWidth="true" max="10" min="10" width="14"/>
    <col customWidth="true" max="13" min="11" width="13"/>
    <col customWidth="true" max="14" min="14" width="11"/>
    <col customWidth="true" max="15" min="15" width="10"/>
    <col customWidth="true" max="16" min="16" width="11"/>
    <col customWidth="true" max="17" min="17" width="12"/>
    <col customWidth="true" max="18" min="18" width="14"/>
    <col customWidth="true" max="19" min="19" width="12"/>
    <col customWidth="true" max="20" min="20" width="10"/>
    <col customWidth="true" max="21" min="21" width="28"/>
  </cols>
  <sheetData>
    <row r="1" ht="32" customHeight="true">
      <c r="A1" s="5" t="s">
        <v>119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/>
    <row r="3" ht="25" customHeight="true">
      <c r="A3" s="79" t="s">
        <v>120</v>
      </c>
      <c r="B3" s="79" t="s">
        <v>18</v>
      </c>
      <c r="C3" s="79" t="s">
        <v>74</v>
      </c>
      <c r="D3" s="79" t="s">
        <v>75</v>
      </c>
      <c r="E3" s="79" t="s">
        <v>121</v>
      </c>
      <c r="F3" s="79" t="s">
        <v>122</v>
      </c>
      <c r="G3" s="79" t="s">
        <v>123</v>
      </c>
      <c r="H3" s="79" t="s">
        <v>124</v>
      </c>
      <c r="I3" s="79" t="s">
        <v>22</v>
      </c>
      <c r="J3" s="79" t="s">
        <v>125</v>
      </c>
      <c r="K3" s="79" t="s">
        <v>126</v>
      </c>
      <c r="L3" s="79" t="s">
        <v>127</v>
      </c>
      <c r="M3" s="79" t="s">
        <v>128</v>
      </c>
      <c r="N3" s="79" t="s">
        <v>129</v>
      </c>
      <c r="O3" s="79" t="s">
        <v>130</v>
      </c>
      <c r="P3" s="79" t="s">
        <v>131</v>
      </c>
      <c r="Q3" s="79" t="s">
        <v>79</v>
      </c>
      <c r="R3" s="79" t="s">
        <v>24</v>
      </c>
      <c r="S3" s="79" t="s">
        <v>25</v>
      </c>
      <c r="T3" s="79" t="s">
        <v>26</v>
      </c>
      <c r="U3" s="79" t="s">
        <v>84</v>
      </c>
    </row>
    <row r="4" ht="19" customHeight="true">
      <c r="A4" s="88" t="str">
        <v>INV-2026-001</v>
      </c>
      <c r="B4" s="88" t="s">
        <v>29</v>
      </c>
      <c r="C4" s="88" t="str">
        <v>CUST001</v>
      </c>
      <c r="D4" s="98" t="str">
        <f>IF($C4="","",IFERROR(VLOOKUP($C4,'顧客マスタ'!$A:$R,2,FALSE),"未照合顧客"))</f>
        <v>関東製作株式会社</v>
      </c>
      <c r="E4" s="88" t="str">
        <v>SO-1001</v>
      </c>
      <c r="F4" s="102" t="n">
        <v>46073</v>
      </c>
      <c r="G4" s="106" t="n">
        <f>IF($A4="","",IFERROR(VLOOKUP($C4,'顧客マスタ'!$A:$R,8,FALSE),30))</f>
        <v>30</v>
      </c>
      <c r="H4" s="104" t="n">
        <f>IF($F4="","",$F4+$G4)</f>
        <v>46103</v>
      </c>
      <c r="I4" s="98" t="str">
        <f>IF($A4="","",IFERROR(VLOOKUP($C4,'顧客マスタ'!$A:$R,14,FALSE),"CNY"))</f>
        <v>CNY</v>
      </c>
      <c r="J4" s="92" t="n">
        <v>120000</v>
      </c>
      <c r="K4" s="92" t="n">
        <v>12000</v>
      </c>
      <c r="L4" s="96" t="n">
        <f>IF($A4="","",SUMIF('入金記録'!$B:$B,$A4,'入金記録'!$F:$F))</f>
        <v>50000</v>
      </c>
      <c r="M4" s="96" t="n">
        <f>IF($A4="","",MAX(0,$J4-$L4))</f>
        <v>70000</v>
      </c>
      <c r="N4" s="98" t="str">
        <f>IF($A4="","",IF($M4&lt;=0,"決済済み",IF($S4&lt;&gt;"争議なし","争議中",IF(TODAY()&gt;$H4,"期限超過","期日前"))))</f>
        <v>期限超過</v>
      </c>
      <c r="O4" s="106" t="n">
        <f>IF($A4="","",IF($M4&lt;=0,0,MAX(0,TODAY()-$H4)))</f>
        <v>34</v>
      </c>
      <c r="P4" s="98" t="str">
        <f>IF($A4="","",IF($M4&lt;=0,"決済済み",IF($O4=0,"期日前",IF($O4&lt;=30,"1-30日",IF($O4&lt;=60,"31-60日",IF($O4&lt;=90,"61-90日","90日超"))))))</f>
        <v>31-60日</v>
      </c>
      <c r="Q4" s="98" t="str">
        <f>IF($A4="","",IFERROR(VLOOKUP($C4,'顧客マスタ'!$A:$R,13,FALSE),""))</f>
        <v>山田 太郎</v>
      </c>
      <c r="R4" s="88" t="s">
        <v>46</v>
      </c>
      <c r="S4" s="88" t="s">
        <v>33</v>
      </c>
      <c r="T4" s="98" t="str">
        <f>IF($A4="","",IF($M4&lt;=0,"低",IF($S4&lt;&gt;"争議なし","高",IF($O4&gt;90,"高",IF($O4&gt;30,"中","低")))))</f>
        <v>中</v>
      </c>
      <c r="U4" s="88" t="s">
        <v>132</v>
      </c>
    </row>
    <row r="5" ht="19" customHeight="true">
      <c r="A5" s="88" t="str">
        <v>INV-2026-002</v>
      </c>
      <c r="B5" s="88" t="s">
        <v>35</v>
      </c>
      <c r="C5" s="88" t="str">
        <v>CUST003</v>
      </c>
      <c r="D5" s="98" t="str">
        <f>IF($C5="","",IFERROR(VLOOKUP($C5,'顧客マスタ'!$A:$R,2,FALSE),"未照合顧客"))</f>
        <v>さくらテックサービス株式会社</v>
      </c>
      <c r="E5" s="88" t="str">
        <v>SER-2001</v>
      </c>
      <c r="F5" s="102" t="n">
        <v>46096</v>
      </c>
      <c r="G5" s="106" t="n">
        <f>IF($A5="","",IFERROR(VLOOKUP($C5,'顧客マスタ'!$A:$R,8,FALSE),30))</f>
        <v>60</v>
      </c>
      <c r="H5" s="104" t="n">
        <f>IF($F5="","",$F5+$G5)</f>
        <v>46156</v>
      </c>
      <c r="I5" s="98" t="str">
        <f>IF($A5="","",IFERROR(VLOOKUP($C5,'顧客マスタ'!$A:$R,14,FALSE),"CNY"))</f>
        <v>CNY</v>
      </c>
      <c r="J5" s="92" t="n">
        <v>85000</v>
      </c>
      <c r="K5" s="92" t="n">
        <v>5100</v>
      </c>
      <c r="L5" s="96" t="n">
        <f>IF($A5="","",SUMIF('入金記録'!$B:$B,$A5,'入金記録'!$F:$F))</f>
        <v>0</v>
      </c>
      <c r="M5" s="96" t="n">
        <f>IF($A5="","",MAX(0,$J5-$L5))</f>
        <v>85000</v>
      </c>
      <c r="N5" s="98" t="str">
        <f>IF($A5="","",IF($M5&lt;=0,"決済済み",IF($S5&lt;&gt;"争議なし","争議中",IF(TODAY()&gt;$H5,"期限超過","期日前"))))</f>
        <v>期日前</v>
      </c>
      <c r="O5" s="106" t="n">
        <f>IF($A5="","",IF($M5&lt;=0,0,MAX(0,TODAY()-$H5)))</f>
        <v>0</v>
      </c>
      <c r="P5" s="98" t="str">
        <f>IF($A5="","",IF($M5&lt;=0,"決済済み",IF($O5=0,"期日前",IF($O5&lt;=30,"1-30日",IF($O5&lt;=60,"31-60日",IF($O5&lt;=90,"61-90日","90日超"))))))</f>
        <v>期日前</v>
      </c>
      <c r="Q5" s="98" t="str">
        <f>IF($A5="","",IFERROR(VLOOKUP($C5,'顧客マスタ'!$A:$R,13,FALSE),""))</f>
        <v>中村 亮</v>
      </c>
      <c r="R5" s="88" t="s">
        <v>32</v>
      </c>
      <c r="S5" s="88" t="s">
        <v>33</v>
      </c>
      <c r="T5" s="98" t="str">
        <f>IF($A5="","",IF($M5&lt;=0,"低",IF($S5&lt;&gt;"争議なし","高",IF($O5&gt;90,"高",IF($O5&gt;30,"中","低")))))</f>
        <v>低</v>
      </c>
      <c r="U5" s="88" t="s">
        <v>133</v>
      </c>
    </row>
    <row r="6" ht="19" customHeight="true">
      <c r="A6" s="88" t="str">
        <v>INV-2026-003</v>
      </c>
      <c r="B6" s="88" t="s">
        <v>49</v>
      </c>
      <c r="C6" s="88" t="str">
        <v>CUST005</v>
      </c>
      <c r="D6" s="98" t="str">
        <f>IF($C6="","",IFERROR(VLOOKUP($C6,'顧客マスタ'!$A:$R,2,FALSE),"未照合顧客"))</f>
        <v>みなと不動産株式会社</v>
      </c>
      <c r="E6" s="88" t="str">
        <v>LEA-301</v>
      </c>
      <c r="F6" s="102" t="n">
        <v>46042</v>
      </c>
      <c r="G6" s="106" t="n">
        <f>IF($A6="","",IFERROR(VLOOKUP($C6,'顧客マスタ'!$A:$R,8,FALSE),30))</f>
        <v>30</v>
      </c>
      <c r="H6" s="104" t="n">
        <f>IF($F6="","",$F6+$G6)</f>
        <v>46072</v>
      </c>
      <c r="I6" s="98" t="str">
        <f>IF($A6="","",IFERROR(VLOOKUP($C6,'顧客マスタ'!$A:$R,14,FALSE),"CNY"))</f>
        <v>CNY</v>
      </c>
      <c r="J6" s="92" t="n">
        <v>200000</v>
      </c>
      <c r="K6" s="92" t="n">
        <v>18000</v>
      </c>
      <c r="L6" s="96" t="n">
        <f>IF($A6="","",SUMIF('入金記録'!$B:$B,$A6,'入金記録'!$F:$F))</f>
        <v>100000</v>
      </c>
      <c r="M6" s="96" t="n">
        <f>IF($A6="","",MAX(0,$J6-$L6))</f>
        <v>100000</v>
      </c>
      <c r="N6" s="98" t="str">
        <f>IF($A6="","",IF($M6&lt;=0,"決済済み",IF($S6&lt;&gt;"争議なし","争議中",IF(TODAY()&gt;$H6,"期限超過","期日前"))))</f>
        <v>期限超過</v>
      </c>
      <c r="O6" s="106" t="n">
        <f>IF($A6="","",IF($M6&lt;=0,0,MAX(0,TODAY()-$H6)))</f>
        <v>65</v>
      </c>
      <c r="P6" s="98" t="str">
        <f>IF($A6="","",IF($M6&lt;=0,"決済済み",IF($O6=0,"期日前",IF($O6&lt;=30,"1-30日",IF($O6&lt;=60,"31-60日",IF($O6&lt;=90,"61-90日","90日超"))))))</f>
        <v>61-90日</v>
      </c>
      <c r="Q6" s="98" t="str">
        <f>IF($A6="","",IFERROR(VLOOKUP($C6,'顧客マスタ'!$A:$R,13,FALSE),""))</f>
        <v>斎藤 美咲</v>
      </c>
      <c r="R6" s="88" t="s">
        <v>53</v>
      </c>
      <c r="S6" s="88" t="s">
        <v>33</v>
      </c>
      <c r="T6" s="98" t="str">
        <f>IF($A6="","",IF($M6&lt;=0,"低",IF($S6&lt;&gt;"争議なし","高",IF($O6&gt;90,"高",IF($O6&gt;30,"中","低")))))</f>
        <v>中</v>
      </c>
      <c r="U6" s="88" t="s">
        <v>134</v>
      </c>
    </row>
    <row r="7" ht="19" customHeight="true">
      <c r="A7" s="88" t="str">
        <v>INV-2026-004</v>
      </c>
      <c r="B7" s="88" t="s">
        <v>42</v>
      </c>
      <c r="C7" s="88" t="str">
        <v>CUST004</v>
      </c>
      <c r="D7" s="98" t="str">
        <f>IF($C7="","",IFERROR(VLOOKUP($C7,'顧客マスタ'!$A:$R,2,FALSE),"未照合顧客"))</f>
        <v>みなみ中央病院</v>
      </c>
      <c r="E7" s="88" t="str">
        <v>PROJ-410</v>
      </c>
      <c r="F7" s="102" t="n">
        <v>46009</v>
      </c>
      <c r="G7" s="106" t="n">
        <f>IF($A7="","",IFERROR(VLOOKUP($C7,'顧客マスタ'!$A:$R,8,FALSE),30))</f>
        <v>90</v>
      </c>
      <c r="H7" s="104" t="n">
        <f>IF($F7="","",$F7+$G7)</f>
        <v>46099</v>
      </c>
      <c r="I7" s="98" t="str">
        <f>IF($A7="","",IFERROR(VLOOKUP($C7,'顧客マスタ'!$A:$R,14,FALSE),"CNY"))</f>
        <v>CNY</v>
      </c>
      <c r="J7" s="92" t="n">
        <v>150000</v>
      </c>
      <c r="K7" s="92" t="n">
        <v>9000</v>
      </c>
      <c r="L7" s="96" t="n">
        <f>IF($A7="","",SUMIF('入金記録'!$B:$B,$A7,'入金記録'!$F:$F))</f>
        <v>0</v>
      </c>
      <c r="M7" s="96" t="n">
        <f>IF($A7="","",MAX(0,$J7-$L7))</f>
        <v>150000</v>
      </c>
      <c r="N7" s="98" t="str">
        <f>IF($A7="","",IF($M7&lt;=0,"決済済み",IF($S7&lt;&gt;"争議なし","争議中",IF(TODAY()&gt;$H7,"期限超過","期日前"))))</f>
        <v>争議中</v>
      </c>
      <c r="O7" s="106" t="n">
        <f>IF($A7="","",IF($M7&lt;=0,0,MAX(0,TODAY()-$H7)))</f>
        <v>38</v>
      </c>
      <c r="P7" s="98" t="str">
        <f>IF($A7="","",IF($M7&lt;=0,"決済済み",IF($O7=0,"期日前",IF($O7&lt;=30,"1-30日",IF($O7&lt;=60,"31-60日",IF($O7&lt;=90,"61-90日","90日超"))))))</f>
        <v>31-60日</v>
      </c>
      <c r="Q7" s="98" t="str">
        <f>IF($A7="","",IFERROR(VLOOKUP($C7,'顧客マスタ'!$A:$R,13,FALSE),""))</f>
        <v>山田 太郎</v>
      </c>
      <c r="R7" s="88" t="s">
        <v>61</v>
      </c>
      <c r="S7" s="88" t="s">
        <v>40</v>
      </c>
      <c r="T7" s="98" t="str">
        <f>IF($A7="","",IF($M7&lt;=0,"低",IF($S7&lt;&gt;"争議なし","高",IF($O7&gt;90,"高",IF($O7&gt;30,"中","低")))))</f>
        <v>高</v>
      </c>
      <c r="U7" s="88" t="s">
        <v>135</v>
      </c>
    </row>
    <row r="8" ht="19" customHeight="true">
      <c r="A8" s="88" t="str">
        <v>INV-2026-005</v>
      </c>
      <c r="B8" s="88" t="s">
        <v>57</v>
      </c>
      <c r="C8" s="88" t="str">
        <v>CUST002</v>
      </c>
      <c r="D8" s="98" t="str">
        <f>IF($C8="","",IFERROR(VLOOKUP($C8,'顧客マスタ'!$A:$R,2,FALSE),"未照合顧客"))</f>
        <v>北日本商事グループ</v>
      </c>
      <c r="E8" s="88" t="str">
        <v>DEP-77</v>
      </c>
      <c r="F8" s="102" t="n">
        <v>46122</v>
      </c>
      <c r="G8" s="106" t="n">
        <f>IF($A8="","",IFERROR(VLOOKUP($C8,'顧客マスタ'!$A:$R,8,FALSE),30))</f>
        <v>45</v>
      </c>
      <c r="H8" s="104" t="n">
        <f>IF($F8="","",$F8+$G8)</f>
        <v>46167</v>
      </c>
      <c r="I8" s="98" t="str">
        <f>IF($A8="","",IFERROR(VLOOKUP($C8,'顧客マスタ'!$A:$R,14,FALSE),"CNY"))</f>
        <v>CNY</v>
      </c>
      <c r="J8" s="92" t="n">
        <v>50000</v>
      </c>
      <c r="K8" s="92" t="n">
        <v>0</v>
      </c>
      <c r="L8" s="96" t="n">
        <f>IF($A8="","",SUMIF('入金記録'!$B:$B,$A8,'入金記録'!$F:$F))</f>
        <v>0</v>
      </c>
      <c r="M8" s="96" t="n">
        <f>IF($A8="","",MAX(0,$J8-$L8))</f>
        <v>50000</v>
      </c>
      <c r="N8" s="98" t="str">
        <f>IF($A8="","",IF($M8&lt;=0,"決済済み",IF($S8&lt;&gt;"争議なし","争議中",IF(TODAY()&gt;$H8,"期限超過","期日前"))))</f>
        <v>期日前</v>
      </c>
      <c r="O8" s="106" t="n">
        <f>IF($A8="","",IF($M8&lt;=0,0,MAX(0,TODAY()-$H8)))</f>
        <v>0</v>
      </c>
      <c r="P8" s="98" t="str">
        <f>IF($A8="","",IF($M8&lt;=0,"決済済み",IF($O8=0,"期日前",IF($O8&lt;=30,"1-30日",IF($O8&lt;=60,"31-60日",IF($O8&lt;=90,"61-90日","90日超"))))))</f>
        <v>期日前</v>
      </c>
      <c r="Q8" s="98" t="str">
        <f>IF($A8="","",IFERROR(VLOOKUP($C8,'顧客マスタ'!$A:$R,13,FALSE),""))</f>
        <v>斎藤 美咲</v>
      </c>
      <c r="R8" s="88" t="s">
        <v>32</v>
      </c>
      <c r="S8" s="88" t="s">
        <v>33</v>
      </c>
      <c r="T8" s="98" t="str">
        <f>IF($A8="","",IF($M8&lt;=0,"低",IF($S8&lt;&gt;"争議なし","高",IF($O8&gt;90,"高",IF($O8&gt;30,"中","低")))))</f>
        <v>低</v>
      </c>
      <c r="U8" s="88" t="s">
        <v>136</v>
      </c>
    </row>
  </sheetData>
  <mergeCells count="1">
    <mergeCell ref="A1:U1"/>
  </mergeCells>
  <conditionalFormatting sqref="N4:N8">
    <cfRule type="containsText" dxfId="0" priority="1" operator="containsText" text="期限超過">
      <formula>NOT(ISERROR(SEARCH("期限超過",N4)))</formula>
    </cfRule>
    <cfRule type="containsText" dxfId="1" priority="2" operator="containsText" text="争議中">
      <formula>NOT(ISERROR(SEARCH("争議中",N4)))</formula>
    </cfRule>
    <cfRule type="containsText" dxfId="2" priority="3" operator="containsText" text="決済済み">
      <formula>NOT(ISERROR(SEARCH("決済済み",N4)))</formula>
    </cfRule>
  </conditionalFormatting>
  <conditionalFormatting sqref="T4:T8">
    <cfRule type="containsText" dxfId="3" priority="4" operator="containsText" text="高">
      <formula>NOT(ISERROR(SEARCH("高",T4)))</formula>
    </cfRule>
    <cfRule type="containsText" dxfId="4" priority="5" operator="containsText" text="中">
      <formula>NOT(ISERROR(SEARCH("中",T4)))</formula>
    </cfRule>
  </conditionalFormatting>
  <conditionalFormatting sqref="M4:M8">
    <cfRule type="dataBar" priority="6">
      <dataBar>
        <cfvo type="min"/>
        <cfvo type="max"/>
        <color rgb="93C5FD"/>
      </dataBar>
      <ignoredErrors>
        <ignoredError sqref="A1:XFD8" evalError="1" twoDigitTextYear="1" numberStoredAsText="1" formula="1" formulaRange="1" unlockedFormula="1" emptyCellReference="1" listDataValidation="1" calculatedColumn="1"/>
      </ignoredErrors>
      <extLst>
        <x:ext xmlns:x14="http://schemas.microsoft.com/office/spreadsheetml/2009/9/main" uri="{B025F937-C7B1-47D3-B67F-A62EFF666E3E}">
          <x14:id>{13814ABC-607B-1492-1606-6C1983916550}</x14:id>
        </x:ext>
      </extLst>
    </cfRule>
  </conditionalFormatting>
  <dataValidations count="4">
    <dataValidation allowBlank="true" sqref="B4:B8" type="list">
      <formula1>"掛売上,サービス料,プロジェクト/マイルストーン,リース/分割,保証金/敷金,グループ内取引,手形/引受,その他"</formula1>
    </dataValidation>
    <dataValidation allowBlank="true" sqref="C4:C8" type="list">
      <formula1>'顧客マスタ'!$A$4:$A$303</formula1>
    </dataValidation>
    <dataValidation allowBlank="true" sqref="R4:R8" type="list">
      <formula1>"未督促,ソフトリマインド,初回督促,再督促,経営層介入,法務/外部ヤードヤード委託,サービス/出荷停止"</formula1>
    </dataValidation>
    <dataValidation allowBlank="true" sqref="S4:S8" type="list">
      <formula1>"争議なし,対応中,資料提出済み,顧客確認待ちちちち,クローズ済み"</formula1>
    </dataValidation>
  </dataValidations>
  <pageMargins left="0.7" right="0.7" top="0.75" bottom="0.75" header="0.3" footer="0.3"/>
  <tableParts count="1">
    <tablePart r:id="R97336af9d4024a4e"/>
  </tableParts>
  <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6" id="{13814ABC-607B-1492-1606-6C1983916550}">
            <x14:dataBar gradient="1">
              <x14:cfvo type="min"/>
              <x14:cfvo type="max"/>
              <x14:fillColor rgb="93C5FD"/>
            </x14:dataBar>
          </x14:cfRule>
          <xm:sqref>M4:M303</xm:sqref>
        </x14:conditionalFormatting>
      </x14:conditionalFormattings>
    </x:ext>
  </extLst>
</worksheet>
</file>

<file path=xl/worksheets/sheet5.xml><?xml version="1.0" encoding="utf-8"?>
<worksheet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Views>
    <sheetView workbookViewId="0"/>
  </sheetViews>
  <sheetFormatPr defaultRowHeight="15"/>
  <cols>
    <col customWidth="true" max="1" min="1" width="14"/>
    <col customWidth="true" max="2" min="2" width="15"/>
    <col customWidth="true" max="3" min="3" width="12"/>
    <col customWidth="true" max="4" min="4" width="24"/>
    <col customWidth="true" max="5" min="5" width="13"/>
    <col customWidth="true" max="6" min="6" width="14"/>
    <col customWidth="true" max="7" min="7" width="8"/>
    <col customWidth="true" max="8" min="8" width="13"/>
    <col customWidth="true" max="9" min="9" width="20"/>
    <col customWidth="true" max="10" min="10" width="12"/>
    <col customWidth="true" max="11" min="11" width="24"/>
  </cols>
  <sheetData>
    <row r="1" ht="32" customHeight="true">
      <c r="A1" s="5" t="s">
        <v>137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/>
    <row r="3" ht="25" customHeight="true">
      <c r="A3" s="79" t="s">
        <v>138</v>
      </c>
      <c r="B3" s="79" t="s">
        <v>120</v>
      </c>
      <c r="C3" s="79" t="s">
        <v>74</v>
      </c>
      <c r="D3" s="79" t="s">
        <v>75</v>
      </c>
      <c r="E3" s="79" t="s">
        <v>139</v>
      </c>
      <c r="F3" s="79" t="s">
        <v>140</v>
      </c>
      <c r="G3" s="79" t="s">
        <v>22</v>
      </c>
      <c r="H3" s="79" t="s">
        <v>23</v>
      </c>
      <c r="I3" s="79" t="s">
        <v>141</v>
      </c>
      <c r="J3" s="79" t="s">
        <v>142</v>
      </c>
      <c r="K3" s="79" t="s">
        <v>84</v>
      </c>
    </row>
    <row r="4" ht="19" customHeight="true">
      <c r="A4" s="88" t="str">
        <v>PAY-2026-001</v>
      </c>
      <c r="B4" s="88" t="str">
        <v>INV-2026-001</v>
      </c>
      <c r="C4" s="88" t="str">
        <v>CUST001</v>
      </c>
      <c r="D4" s="98" t="str">
        <f>IF($C4="","",IFERROR(VLOOKUP($C4,'顧客マスタ'!$A:$R,2,FALSE),"未照合顧客"))</f>
        <v>関東製作株式会社</v>
      </c>
      <c r="E4" s="102" t="n">
        <v>46111</v>
      </c>
      <c r="F4" s="92" t="n">
        <v>50000</v>
      </c>
      <c r="G4" s="88" t="str">
        <v>CNY</v>
      </c>
      <c r="H4" s="88" t="s">
        <v>31</v>
      </c>
      <c r="I4" s="88" t="str">
        <v>BANK-0001</v>
      </c>
      <c r="J4" s="98" t="str">
        <f>IF($A4="","",IF($F4&lt;=0,"金額異常",IF($B4="","未消込",IF(COUNTIF('売掛明細'!$A:$A,$B4)=0,"請求書照合待ち","消込済み"))))</f>
        <v>消込済み</v>
      </c>
      <c r="K4" s="88" t="s">
        <v>143</v>
      </c>
    </row>
    <row r="5" ht="19" customHeight="true">
      <c r="A5" s="88" t="str">
        <v>PAY-2026-002</v>
      </c>
      <c r="B5" s="88" t="str">
        <v>INV-2026-003</v>
      </c>
      <c r="C5" s="88" t="str">
        <v>CUST005</v>
      </c>
      <c r="D5" s="98" t="str">
        <f>IF($C5="","",IFERROR(VLOOKUP($C5,'顧客マスタ'!$A:$R,2,FALSE),"未照合顧客"))</f>
        <v>みなと不動産株式会社</v>
      </c>
      <c r="E5" s="102" t="n">
        <v>46068</v>
      </c>
      <c r="F5" s="92" t="n">
        <v>100000</v>
      </c>
      <c r="G5" s="88" t="str">
        <v>CNY</v>
      </c>
      <c r="H5" s="88" t="s">
        <v>52</v>
      </c>
      <c r="I5" s="88" t="str">
        <v>BILL-2088</v>
      </c>
      <c r="J5" s="98" t="str">
        <f>IF($A5="","",IF($F5&lt;=0,"金額異常",IF($B5="","未消込",IF(COUNTIF('売掛明細'!$A:$A,$B5)=0,"請求書照合待ち","消込済み"))))</f>
        <v>消込済み</v>
      </c>
      <c r="K5" s="88" t="s">
        <v>144</v>
      </c>
    </row>
  </sheetData>
  <mergeCells count="1">
    <mergeCell ref="A1:K1"/>
  </mergeCells>
  <conditionalFormatting sqref="J4:J5">
    <cfRule type="containsText" dxfId="7" priority="1" operator="containsText" text="請求書照合待ち">
      <formula>NOT(ISERROR(SEARCH("請求書照合待ち",J4)))</formula>
    </cfRule>
    <cfRule type="containsText" dxfId="8" priority="2" operator="containsText" text="未消込">
      <formula>NOT(ISERROR(SEARCH("未消込",J4)))</formula>
    </cfRule>
  </conditionalFormatting>
  <dataValidations count="4">
    <dataValidation allowBlank="true" sqref="B4:B5" type="list">
      <formula1>'売掛明細'!$A$4:$A$303</formula1>
    </dataValidation>
    <dataValidation allowBlank="true" sqref="C4:C5" type="list">
      <formula1>'顧客マスタ'!$A$4:$A$303</formula1>
    </dataValidation>
    <dataValidation allowBlank="true" sqref="G4:G5" type="list">
      <formula1>"CNY,USD,EUR,HKD,JPY,GBP,その他"</formula1>
    </dataValidation>
    <dataValidation allowBlank="true" sqref="H4:H5" type="list">
      <formula1>"電信送金,銀行振込,現金,受取手形,小切手,第三者決済,相殺/消込,その他"</formula1>
    </dataValidation>
  </dataValidations>
  <pageMargins left="0.7" right="0.7" top="0.75" bottom="0.75" header="0.3" footer="0.3"/>
  <ignoredErrors>
    <ignoredError sqref="A1:XFD5" evalError="true" twoDigitTextYear="true" numberStoredAsText="true" formula="true" formulaRange="true" unlockedFormula="true" emptyCellReference="true" listDataValidation="true" calculatedColumn="true"/>
  </ignoredErrors>
  <tableParts count="1">
    <tablePart r:id="R75550d22891847fa"/>
  </tableParts>
</worksheet>
</file>

<file path=xl/worksheets/sheet6.xml><?xml version="1.0" encoding="utf-8"?>
<worksheet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Views>
    <sheetView workbookViewId="0"/>
  </sheetViews>
  <sheetFormatPr defaultRowHeight="15"/>
  <cols>
    <col customWidth="true" max="1" min="1" width="13"/>
    <col customWidth="true" max="2" min="2" width="15"/>
    <col customWidth="true" max="3" min="3" width="12"/>
    <col customWidth="true" max="4" min="4" width="24"/>
    <col customWidth="true" max="5" min="5" width="16"/>
    <col customWidth="true" max="6" min="6" width="13"/>
    <col customWidth="true" max="8" min="7" width="12"/>
    <col customWidth="true" max="9" min="9" width="30"/>
    <col customWidth="true" max="10" min="10" width="13"/>
    <col customWidth="true" max="11" min="11" width="14"/>
    <col customWidth="true" max="12" min="12" width="10"/>
    <col customWidth="true" max="13" min="13" width="30"/>
  </cols>
  <sheetData>
    <row r="1" ht="32" customHeight="true">
      <c r="A1" s="5" t="s">
        <v>145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/>
    <row r="3" ht="25" customHeight="true">
      <c r="A3" s="79" t="s">
        <v>146</v>
      </c>
      <c r="B3" s="79" t="s">
        <v>120</v>
      </c>
      <c r="C3" s="79" t="s">
        <v>74</v>
      </c>
      <c r="D3" s="79" t="s">
        <v>75</v>
      </c>
      <c r="E3" s="79" t="s">
        <v>147</v>
      </c>
      <c r="F3" s="79" t="s">
        <v>148</v>
      </c>
      <c r="G3" s="79" t="s">
        <v>149</v>
      </c>
      <c r="H3" s="79" t="s">
        <v>150</v>
      </c>
      <c r="I3" s="79" t="s">
        <v>151</v>
      </c>
      <c r="J3" s="79" t="s">
        <v>152</v>
      </c>
      <c r="K3" s="79" t="s">
        <v>153</v>
      </c>
      <c r="L3" s="79" t="s">
        <v>27</v>
      </c>
      <c r="M3" s="79" t="s">
        <v>154</v>
      </c>
    </row>
    <row r="4" ht="20" customHeight="true">
      <c r="A4" s="88" t="str">
        <v>CASE-001</v>
      </c>
      <c r="B4" s="88" t="str">
        <v>INV-2026-004</v>
      </c>
      <c r="C4" s="88" t="str">
        <v>CUST004</v>
      </c>
      <c r="D4" s="98" t="str">
        <f>IF($C4="","",IFERROR(VLOOKUP($C4,'顧客マスタ'!$A:$R,2,FALSE),"未照合顧客"))</f>
        <v>みなみ中央病院</v>
      </c>
      <c r="E4" s="88" t="s">
        <v>56</v>
      </c>
      <c r="F4" s="102" t="n">
        <v>46101</v>
      </c>
      <c r="G4" s="88" t="s">
        <v>40</v>
      </c>
      <c r="H4" s="88" t="s">
        <v>93</v>
      </c>
      <c r="I4" s="88" t="s">
        <v>155</v>
      </c>
      <c r="J4" s="102" t="n">
        <v>46140</v>
      </c>
      <c r="K4" s="96" t="n">
        <f>IF($B4="","",IFERROR(VLOOKUP($B4,'売掛明細'!$A:$U,13,FALSE),0))</f>
        <v>150000</v>
      </c>
      <c r="L4" s="88" t="str">
        <v>高</v>
      </c>
      <c r="M4" s="88" t="s">
        <v>156</v>
      </c>
    </row>
    <row r="5" ht="20" customHeight="true">
      <c r="A5" s="88" t="str">
        <v>CASE-002</v>
      </c>
      <c r="B5" s="88" t="str">
        <v>INV-2026-003</v>
      </c>
      <c r="C5" s="88" t="str">
        <v>CUST005</v>
      </c>
      <c r="D5" s="98" t="str">
        <f>IF($C5="","",IFERROR(VLOOKUP($C5,'顧客マスタ'!$A:$R,2,FALSE),"未照合顧客"))</f>
        <v>みなと不動産株式会社</v>
      </c>
      <c r="E5" s="88" t="s">
        <v>68</v>
      </c>
      <c r="F5" s="102" t="n">
        <v>46086</v>
      </c>
      <c r="G5" s="88" t="s">
        <v>47</v>
      </c>
      <c r="H5" s="88" t="s">
        <v>100</v>
      </c>
      <c r="I5" s="88" t="s">
        <v>157</v>
      </c>
      <c r="J5" s="102" t="n">
        <v>46142</v>
      </c>
      <c r="K5" s="96" t="n">
        <f>IF($B5="","",IFERROR(VLOOKUP($B5,'売掛明細'!$A:$U,13,FALSE),0))</f>
        <v>100000</v>
      </c>
      <c r="L5" s="88" t="str">
        <v>中</v>
      </c>
      <c r="M5" s="88" t="s">
        <v>158</v>
      </c>
    </row>
  </sheetData>
  <mergeCells count="1">
    <mergeCell ref="A1:M1"/>
  </mergeCells>
  <conditionalFormatting sqref="A4:M5">
    <cfRule type="expression" dxfId="9" priority="1">
      <formula>AND($A4&lt;&gt;"",$G4&lt;&gt;"クローズ済み",$J4&lt;TODAY())</formula>
    </cfRule>
  </conditionalFormatting>
  <conditionalFormatting sqref="L4:L5">
    <cfRule type="containsText" dxfId="10" priority="2" operator="containsText" text="高">
      <formula>NOT(ISERROR(SEARCH("高",L4)))</formula>
    </cfRule>
  </conditionalFormatting>
  <dataValidations count="5">
    <dataValidation allowBlank="true" sqref="B4:B5" type="list">
      <formula1>'売掛明細'!$A$4:$A$303</formula1>
    </dataValidation>
    <dataValidation allowBlank="true" sqref="C4:C5" type="list">
      <formula1>'顧客マスタ'!$A$4:$A$303</formula1>
    </dataValidation>
    <dataValidation allowBlank="true" sqref="E4:E5" type="list">
      <formula1>"価格争議,品質/納品争議,請求誤り,検収未完了,契約発生基準,顧客の資金繰り逼迫,その他"</formula1>
    </dataValidation>
    <dataValidation allowBlank="true" sqref="G4:G5" type="list">
      <formula1>"争議なし,対応中,資料提出済み,顧客確認待ちちちち,クローズ済み"</formula1>
    </dataValidation>
    <dataValidation allowBlank="true" sqref="L4:L5" type="list">
      <formula1>"低,中,高,緊急"</formula1>
    </dataValidation>
  </dataValidations>
  <pageMargins left="0.7" right="0.7" top="0.75" bottom="0.75" header="0.3" footer="0.3"/>
  <ignoredErrors>
    <ignoredError sqref="A1:XFD5" evalError="true" twoDigitTextYear="true" numberStoredAsText="true" formula="true" formulaRange="true" unlockedFormula="true" emptyCellReference="true" listDataValidation="true" calculatedColumn="true"/>
  </ignoredErrors>
  <tableParts count="1">
    <tablePart r:id="R2d43a51ebff64cf0"/>
  </tableParts>
</worksheet>
</file>

<file path=xl/worksheets/sheet7.xml><?xml version="1.0" encoding="utf-8"?>
<worksheet xmlns:x="http://schemas.openxmlformats.org/spreadsheetml/2006/main" xmlns="http://schemas.openxmlformats.org/spreadsheetml/2006/main">
  <sheetViews>
    <sheetView workbookViewId="0"/>
  </sheetViews>
  <sheetFormatPr defaultRowHeight="15"/>
  <cols>
    <col customWidth="true" max="2" min="1" width="14"/>
    <col customWidth="true" max="3" min="3" width="12"/>
    <col customWidth="true" max="4" min="4" width="10"/>
    <col customWidth="true" max="5" min="5" width="14"/>
    <col customWidth="true" max="6" min="6" width="16"/>
    <col customWidth="true" max="9" min="7" width="14"/>
    <col customWidth="true" max="10" min="10" width="12"/>
  </cols>
  <sheetData>
    <row r="1" ht="32" customHeight="true">
      <c r="A1" s="5" t="s">
        <v>159</v>
      </c>
      <c r="B1" s="5"/>
      <c r="C1" s="5"/>
      <c r="D1" s="5"/>
      <c r="E1" s="5"/>
      <c r="F1" s="5"/>
      <c r="G1" s="5"/>
      <c r="H1" s="5"/>
    </row>
    <row r="2"/>
    <row r="3" ht="25" customHeight="true">
      <c r="A3" s="79" t="s">
        <v>131</v>
      </c>
      <c r="B3" s="79" t="s">
        <v>128</v>
      </c>
      <c r="C3" s="79" t="s">
        <v>160</v>
      </c>
      <c r="D3" s="79" t="s">
        <v>161</v>
      </c>
      <c r="F3" s="79" t="s">
        <v>18</v>
      </c>
      <c r="G3" s="79" t="s">
        <v>128</v>
      </c>
      <c r="H3" s="79" t="s">
        <v>162</v>
      </c>
      <c r="I3" s="79" t="s">
        <v>163</v>
      </c>
      <c r="J3" s="79" t="s">
        <v>160</v>
      </c>
    </row>
    <row r="4">
      <c r="A4" s="88" t="s">
        <v>164</v>
      </c>
      <c r="B4" s="92" t="n">
        <f>SUMIF('売掛明細'!$P:$P,$A4,'売掛明細'!$M:$M)</f>
        <v>135000</v>
      </c>
      <c r="C4" s="128" t="n">
        <f>COUNTIFS('売掛明細'!$P:$P,$A4,'売掛明細'!$M:$M,"&gt;0")</f>
        <v>2</v>
      </c>
      <c r="D4" s="94" t="n">
        <f>IFERROR($B4/$B$9,0)</f>
        <v>0.2967032967032967</v>
      </c>
      <c r="F4" s="88" t="s">
        <v>29</v>
      </c>
      <c r="G4" s="92" t="n">
        <f>SUMIF('売掛明細'!$B:$B,$F4,'売掛明細'!$M:$M)</f>
        <v>70000</v>
      </c>
      <c r="H4" s="92" t="n">
        <f>SUMIF('売掛明細'!$B:$B,$F4,'売掛明細'!$J:$J)</f>
        <v>120000</v>
      </c>
      <c r="I4" s="92" t="n">
        <f>SUMIFS('売掛明細'!$M:$M,'売掛明細'!$B:$B,$F4,'売掛明細'!$N:$N,"期限超過")</f>
        <v>70000</v>
      </c>
      <c r="J4" s="128" t="n">
        <f>COUNTIF('売掛明細'!$B:$B,$F4)</f>
        <v>1</v>
      </c>
    </row>
    <row r="5">
      <c r="A5" s="88" t="s">
        <v>165</v>
      </c>
      <c r="B5" s="92" t="n">
        <f>SUMIF('売掛明細'!$P:$P,$A5,'売掛明細'!$M:$M)</f>
        <v>0</v>
      </c>
      <c r="C5" s="128" t="n">
        <f>COUNTIFS('売掛明細'!$P:$P,$A5,'売掛明細'!$M:$M,"&gt;0")</f>
        <v>0</v>
      </c>
      <c r="D5" s="94" t="n">
        <f>IFERROR($B5/$B$9,0)</f>
        <v>0</v>
      </c>
      <c r="F5" s="88" t="s">
        <v>35</v>
      </c>
      <c r="G5" s="92" t="n">
        <f>SUMIF('売掛明細'!$B:$B,$F5,'売掛明細'!$M:$M)</f>
        <v>85000</v>
      </c>
      <c r="H5" s="92" t="n">
        <f>SUMIF('売掛明細'!$B:$B,$F5,'売掛明細'!$J:$J)</f>
        <v>85000</v>
      </c>
      <c r="I5" s="92" t="n">
        <f>SUMIFS('売掛明細'!$M:$M,'売掛明細'!$B:$B,$F5,'売掛明細'!$N:$N,"期限超過")</f>
        <v>0</v>
      </c>
      <c r="J5" s="128" t="n">
        <f>COUNTIF('売掛明細'!$B:$B,$F5)</f>
        <v>1</v>
      </c>
    </row>
    <row r="6">
      <c r="A6" s="88" t="s">
        <v>166</v>
      </c>
      <c r="B6" s="92" t="n">
        <f>SUMIF('売掛明細'!$P:$P,$A6,'売掛明細'!$M:$M)</f>
        <v>220000</v>
      </c>
      <c r="C6" s="128" t="n">
        <f>COUNTIFS('売掛明細'!$P:$P,$A6,'売掛明細'!$M:$M,"&gt;0")</f>
        <v>2</v>
      </c>
      <c r="D6" s="94" t="n">
        <f>IFERROR($B6/$B$9,0)</f>
        <v>0.4835164835164835</v>
      </c>
      <c r="F6" s="88" t="s">
        <v>42</v>
      </c>
      <c r="G6" s="92" t="n">
        <f>SUMIF('売掛明細'!$B:$B,$F6,'売掛明細'!$M:$M)</f>
        <v>150000</v>
      </c>
      <c r="H6" s="92" t="n">
        <f>SUMIF('売掛明細'!$B:$B,$F6,'売掛明細'!$J:$J)</f>
        <v>150000</v>
      </c>
      <c r="I6" s="92" t="n">
        <f>SUMIFS('売掛明細'!$M:$M,'売掛明細'!$B:$B,$F6,'売掛明細'!$N:$N,"期限超過")</f>
        <v>0</v>
      </c>
      <c r="J6" s="128" t="n">
        <f>COUNTIF('売掛明細'!$B:$B,$F6)</f>
        <v>1</v>
      </c>
    </row>
    <row r="7">
      <c r="A7" s="88" t="s">
        <v>167</v>
      </c>
      <c r="B7" s="92" t="n">
        <f>SUMIF('売掛明細'!$P:$P,$A7,'売掛明細'!$M:$M)</f>
        <v>100000</v>
      </c>
      <c r="C7" s="128" t="n">
        <f>COUNTIFS('売掛明細'!$P:$P,$A7,'売掛明細'!$M:$M,"&gt;0")</f>
        <v>1</v>
      </c>
      <c r="D7" s="94" t="n">
        <f>IFERROR($B7/$B$9,0)</f>
        <v>0.21978021978021978</v>
      </c>
      <c r="F7" s="88" t="s">
        <v>49</v>
      </c>
      <c r="G7" s="92" t="n">
        <f>SUMIF('売掛明細'!$B:$B,$F7,'売掛明細'!$M:$M)</f>
        <v>100000</v>
      </c>
      <c r="H7" s="92" t="n">
        <f>SUMIF('売掛明細'!$B:$B,$F7,'売掛明細'!$J:$J)</f>
        <v>200000</v>
      </c>
      <c r="I7" s="92" t="n">
        <f>SUMIFS('売掛明細'!$M:$M,'売掛明細'!$B:$B,$F7,'売掛明細'!$N:$N,"期限超過")</f>
        <v>100000</v>
      </c>
      <c r="J7" s="128" t="n">
        <f>COUNTIF('売掛明細'!$B:$B,$F7)</f>
        <v>1</v>
      </c>
    </row>
    <row r="8">
      <c r="A8" s="88" t="s">
        <v>168</v>
      </c>
      <c r="B8" s="92" t="n">
        <f>SUMIF('売掛明細'!$P:$P,$A8,'売掛明細'!$M:$M)</f>
        <v>0</v>
      </c>
      <c r="C8" s="128" t="n">
        <f>COUNTIFS('売掛明細'!$P:$P,$A8,'売掛明細'!$M:$M,"&gt;0")</f>
        <v>0</v>
      </c>
      <c r="D8" s="94" t="n">
        <f>IFERROR($B8/$B$9,0)</f>
        <v>0</v>
      </c>
      <c r="F8" s="88" t="s">
        <v>57</v>
      </c>
      <c r="G8" s="92" t="n">
        <f>SUMIF('売掛明細'!$B:$B,$F8,'売掛明細'!$M:$M)</f>
        <v>50000</v>
      </c>
      <c r="H8" s="92" t="n">
        <f>SUMIF('売掛明細'!$B:$B,$F8,'売掛明細'!$J:$J)</f>
        <v>50000</v>
      </c>
      <c r="I8" s="92" t="n">
        <f>SUMIFS('売掛明細'!$M:$M,'売掛明細'!$B:$B,$F8,'売掛明細'!$N:$N,"期限超過")</f>
        <v>0</v>
      </c>
      <c r="J8" s="128" t="n">
        <f>COUNTIF('売掛明細'!$B:$B,$F8)</f>
        <v>1</v>
      </c>
    </row>
    <row r="9">
      <c r="A9" s="88" t="s">
        <v>169</v>
      </c>
      <c r="B9" s="92" t="n">
        <f>SUM(B4:B8)</f>
        <v>455000</v>
      </c>
      <c r="C9" s="128" t="n">
        <f>SUM(C4:C8)</f>
        <v>5</v>
      </c>
      <c r="D9" s="94" t="n">
        <f>IFERROR(B9/B9,0)</f>
        <v>1</v>
      </c>
      <c r="F9" s="88" t="s">
        <v>64</v>
      </c>
      <c r="G9" s="92" t="n">
        <f>SUMIF('売掛明細'!$B:$B,$F9,'売掛明細'!$M:$M)</f>
        <v>0</v>
      </c>
      <c r="H9" s="92" t="n">
        <f>SUMIF('売掛明細'!$B:$B,$F9,'売掛明細'!$J:$J)</f>
        <v>0</v>
      </c>
      <c r="I9" s="92" t="n">
        <f>SUMIFS('売掛明細'!$M:$M,'売掛明細'!$B:$B,$F9,'売掛明細'!$N:$N,"期限超過")</f>
        <v>0</v>
      </c>
      <c r="J9" s="128" t="n">
        <f>COUNTIF('売掛明細'!$B:$B,$F9)</f>
        <v>0</v>
      </c>
    </row>
    <row r="10">
      <c r="F10" s="88" t="s">
        <v>69</v>
      </c>
      <c r="G10" s="92" t="n">
        <f>SUMIF('売掛明細'!$B:$B,$F10,'売掛明細'!$M:$M)</f>
        <v>0</v>
      </c>
      <c r="H10" s="92" t="n">
        <f>SUMIF('売掛明細'!$B:$B,$F10,'売掛明細'!$J:$J)</f>
        <v>0</v>
      </c>
      <c r="I10" s="92" t="n">
        <f>SUMIFS('売掛明細'!$M:$M,'売掛明細'!$B:$B,$F10,'売掛明細'!$N:$N,"期限超過")</f>
        <v>0</v>
      </c>
      <c r="J10" s="128" t="n">
        <f>COUNTIF('売掛明細'!$B:$B,$F10)</f>
        <v>0</v>
      </c>
    </row>
    <row r="11">
      <c r="F11" s="88" t="s">
        <v>70</v>
      </c>
      <c r="G11" s="92" t="n">
        <f>SUMIF('売掛明細'!$B:$B,$F11,'売掛明細'!$M:$M)</f>
        <v>0</v>
      </c>
      <c r="H11" s="92" t="n">
        <f>SUMIF('売掛明細'!$B:$B,$F11,'売掛明細'!$J:$J)</f>
        <v>0</v>
      </c>
      <c r="I11" s="92" t="n">
        <f>SUMIFS('売掛明細'!$M:$M,'売掛明細'!$B:$B,$F11,'売掛明細'!$N:$N,"期限超過")</f>
        <v>0</v>
      </c>
      <c r="J11" s="128" t="n">
        <f>COUNTIF('売掛明細'!$B:$B,$F11)</f>
        <v>0</v>
      </c>
    </row>
    <row r="12"/>
    <row r="13" ht="25" customHeight="true">
      <c r="A13" s="79" t="s">
        <v>74</v>
      </c>
      <c r="B13" s="79" t="s">
        <v>75</v>
      </c>
      <c r="C13" s="79" t="s">
        <v>170</v>
      </c>
      <c r="D13" s="79" t="s">
        <v>77</v>
      </c>
      <c r="E13" s="79" t="s">
        <v>86</v>
      </c>
      <c r="F13" s="79" t="s">
        <v>87</v>
      </c>
    </row>
    <row r="14">
      <c r="A14" s="88" t="str">
        <f>'顧客マスタ'!A4</f>
        <v>CUST001</v>
      </c>
      <c r="B14" s="88" t="str">
        <f>'顧客マスタ'!B4</f>
        <v>関東製作株式会社</v>
      </c>
      <c r="C14" s="92" t="n">
        <f>'顧客マスタ'!P4</f>
        <v>120000</v>
      </c>
      <c r="D14" s="92" t="n">
        <f>'顧客マスタ'!G4</f>
        <v>500000</v>
      </c>
      <c r="E14" s="94" t="n">
        <f>'顧客マスタ'!Q4</f>
        <v>0.24</v>
      </c>
      <c r="F14" s="88" t="str">
        <f>'顧客マスタ'!R4</f>
        <v>通常</v>
      </c>
    </row>
    <row r="15">
      <c r="A15" s="88" t="str">
        <f>'顧客マスタ'!A5</f>
        <v>CUST002</v>
      </c>
      <c r="B15" s="88" t="str">
        <f>'顧客マスタ'!B5</f>
        <v>北日本商事グループ</v>
      </c>
      <c r="C15" s="92" t="n">
        <f>'顧客マスタ'!P5</f>
        <v>50000</v>
      </c>
      <c r="D15" s="92" t="n">
        <f>'顧客マスタ'!G5</f>
        <v>300000</v>
      </c>
      <c r="E15" s="94" t="n">
        <f>'顧客マスタ'!Q5</f>
        <v>0.16666666666666666</v>
      </c>
      <c r="F15" s="88" t="str">
        <f>'顧客マスタ'!R5</f>
        <v>通常</v>
      </c>
    </row>
    <row r="16">
      <c r="A16" s="88" t="str">
        <f>'顧客マスタ'!A6</f>
        <v>CUST003</v>
      </c>
      <c r="B16" s="88" t="str">
        <f>'顧客マスタ'!B6</f>
        <v>さくらテックサービス株式会社</v>
      </c>
      <c r="C16" s="92" t="n">
        <f>'顧客マスタ'!P6</f>
        <v>85000</v>
      </c>
      <c r="D16" s="92" t="n">
        <f>'顧客マスタ'!G6</f>
        <v>800000</v>
      </c>
      <c r="E16" s="94" t="n">
        <f>'顧客マスタ'!Q6</f>
        <v>0.10625</v>
      </c>
      <c r="F16" s="88" t="str">
        <f>'顧客マスタ'!R6</f>
        <v>通常</v>
      </c>
    </row>
    <row r="17">
      <c r="A17" s="88" t="str">
        <f>'顧客マスタ'!A7</f>
        <v>CUST004</v>
      </c>
      <c r="B17" s="88" t="str">
        <f>'顧客マスタ'!B7</f>
        <v>みなみ中央病院</v>
      </c>
      <c r="C17" s="92" t="n">
        <f>'顧客マスタ'!P7</f>
        <v>150000</v>
      </c>
      <c r="D17" s="92" t="n">
        <f>'顧客マスタ'!G7</f>
        <v>400000</v>
      </c>
      <c r="E17" s="94" t="n">
        <f>'顧客マスタ'!Q7</f>
        <v>0.375</v>
      </c>
      <c r="F17" s="88" t="str">
        <f>'顧客マスタ'!R7</f>
        <v>通常</v>
      </c>
    </row>
    <row r="18">
      <c r="A18" s="88" t="str">
        <f>'顧客マスタ'!A8</f>
        <v>CUST005</v>
      </c>
      <c r="B18" s="88" t="str">
        <f>'顧客マスタ'!B8</f>
        <v>みなと不動産株式会社</v>
      </c>
      <c r="C18" s="92" t="n">
        <f>'顧客マスタ'!P8</f>
        <v>200000</v>
      </c>
      <c r="D18" s="92" t="n">
        <f>'顧客マスタ'!G8</f>
        <v>600000</v>
      </c>
      <c r="E18" s="94" t="n">
        <f>'顧客マスタ'!Q8</f>
        <v>0.3333333333333333</v>
      </c>
      <c r="F18" s="88" t="str">
        <f>'顧客マスタ'!R8</f>
        <v>通常</v>
      </c>
    </row>
    <row r="19">
      <c r="A19" s="88" t="n">
        <f>'顧客マスタ'!A9</f>
        <v>0</v>
      </c>
      <c r="B19" s="88" t="n">
        <f>'顧客マスタ'!B9</f>
        <v>0</v>
      </c>
      <c r="C19" s="92" t="str">
        <f>'顧客マスタ'!P9</f>
      </c>
      <c r="D19" s="92" t="n">
        <f>'顧客マスタ'!G9</f>
        <v>0</v>
      </c>
      <c r="E19" s="94" t="str">
        <f>'顧客マスタ'!Q9</f>
      </c>
      <c r="F19" s="88" t="n">
        <f>'顧客マスタ'!R9</f>
        <v>0</v>
      </c>
    </row>
    <row r="20">
      <c r="A20" s="88" t="n">
        <f>'顧客マスタ'!A10</f>
        <v>0</v>
      </c>
      <c r="B20" s="88" t="n">
        <f>'顧客マスタ'!B10</f>
        <v>0</v>
      </c>
      <c r="C20" s="92" t="str">
        <f>'顧客マスタ'!P10</f>
      </c>
      <c r="D20" s="92" t="n">
        <f>'顧客マスタ'!G10</f>
        <v>0</v>
      </c>
      <c r="E20" s="94" t="str">
        <f>'顧客マスタ'!Q10</f>
      </c>
      <c r="F20" s="88" t="n">
        <f>'顧客マスタ'!R10</f>
        <v>0</v>
      </c>
    </row>
    <row r="21">
      <c r="A21" s="88" t="n">
        <f>'顧客マスタ'!A11</f>
        <v>0</v>
      </c>
      <c r="B21" s="88" t="n">
        <f>'顧客マスタ'!B11</f>
        <v>0</v>
      </c>
      <c r="C21" s="92" t="str">
        <f>'顧客マスタ'!P11</f>
      </c>
      <c r="D21" s="92" t="n">
        <f>'顧客マスタ'!G11</f>
        <v>0</v>
      </c>
      <c r="E21" s="94" t="str">
        <f>'顧客マスタ'!Q11</f>
      </c>
      <c r="F21" s="88" t="n">
        <f>'顧客マスタ'!R11</f>
        <v>0</v>
      </c>
    </row>
    <row r="22">
      <c r="A22" s="88" t="n">
        <f>'顧客マスタ'!A12</f>
        <v>0</v>
      </c>
      <c r="B22" s="88" t="n">
        <f>'顧客マスタ'!B12</f>
        <v>0</v>
      </c>
      <c r="C22" s="92" t="str">
        <f>'顧客マスタ'!P12</f>
      </c>
      <c r="D22" s="92" t="n">
        <f>'顧客マスタ'!G12</f>
        <v>0</v>
      </c>
      <c r="E22" s="94" t="str">
        <f>'顧客マスタ'!Q12</f>
      </c>
      <c r="F22" s="88" t="n">
        <f>'顧客マスタ'!R12</f>
        <v>0</v>
      </c>
    </row>
    <row r="23">
      <c r="A23" s="88" t="n">
        <f>'顧客マスタ'!A13</f>
        <v>0</v>
      </c>
      <c r="B23" s="88" t="n">
        <f>'顧客マスタ'!B13</f>
        <v>0</v>
      </c>
      <c r="C23" s="92" t="str">
        <f>'顧客マスタ'!P13</f>
      </c>
      <c r="D23" s="92" t="n">
        <f>'顧客マスタ'!G13</f>
        <v>0</v>
      </c>
      <c r="E23" s="94" t="str">
        <f>'顧客マスタ'!Q13</f>
      </c>
      <c r="F23" s="88" t="n">
        <f>'顧客マスタ'!R13</f>
        <v>0</v>
      </c>
    </row>
  </sheetData>
  <mergeCells count="1">
    <mergeCell ref="A1:H1"/>
  </mergeCells>
  <conditionalFormatting sqref="B4:B8">
    <cfRule type="dataBar" priority="1">
      <dataBar>
        <cfvo type="min"/>
        <cfvo type="max"/>
        <color rgb="93C5FD"/>
      </dataBar>
      <ignoredErrors>
        <ignoredError sqref="A1:XFD1048576" evalError="1" twoDigitTextYear="1" numberStoredAsText="1" formula="1" formulaRange="1" unlockedFormula="1" emptyCellReference="1" listDataValidation="1" calculatedColumn="1"/>
      </ignoredErrors>
      <extLst>
        <x:ext xmlns:x14="http://schemas.microsoft.com/office/spreadsheetml/2009/9/main" uri="{B025F937-C7B1-47D3-B67F-A62EFF666E3E}">
          <x14:id>{1A7EF9C1-73C3-6540-E513-528226895D3C}</x14:id>
        </x:ext>
      </extLst>
    </cfRule>
  </conditionalFormatting>
  <pageMargins left="0.7" right="0.7" top="0.75" bottom="0.75" header="0.3" footer="0.3"/>
  <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1A7EF9C1-73C3-6540-E513-528226895D3C}">
            <x14:dataBar gradient="1">
              <x14:cfvo type="min"/>
              <x14:cfvo type="max"/>
              <x14:fillColor rgb="93C5FD"/>
            </x14:dataBar>
          </x14:cfRule>
          <xm:sqref>B4:B8</xm:sqref>
        </x14:conditionalFormatting>
      </x14:conditionalFormattings>
    </x:ext>
  </extLst>
</worksheet>
</file>

<file path=xl/worksheets/sheet8.xml><?xml version="1.0" encoding="utf-8"?>
<worksheet xmlns:x="http://schemas.openxmlformats.org/spreadsheetml/2006/main" xmlns="http://schemas.openxmlformats.org/spreadsheetml/2006/main">
  <sheetViews>
    <sheetView workbookViewId="0"/>
  </sheetViews>
  <sheetFormatPr defaultRowHeight="15"/>
  <cols>
    <col customWidth="true" max="1" min="1" width="14"/>
    <col customWidth="true" max="2" min="2" width="16"/>
    <col customWidth="true" max="3" min="3" width="19"/>
    <col customWidth="true" max="6" min="4" width="16"/>
    <col customWidth="true" max="7" min="7" width="19"/>
    <col customWidth="true" max="8" min="8" width="16"/>
    <col customWidth="true" max="9" min="9" width="14"/>
    <col customWidth="true" max="10" min="10" width="16"/>
  </cols>
  <sheetData>
    <row r="1" ht="20" customHeight="true">
      <c r="A1" s="5" t="s">
        <v>171</v>
      </c>
      <c r="B1" s="5"/>
      <c r="C1" s="5"/>
      <c r="D1" s="5"/>
      <c r="E1" s="5"/>
      <c r="F1" s="5"/>
      <c r="G1" s="5"/>
      <c r="H1" s="5"/>
      <c r="I1" s="5"/>
      <c r="J1" s="5"/>
    </row>
    <row r="2" ht="20" customHeight="true">
      <c r="A2" s="11" t="s">
        <v>172</v>
      </c>
      <c r="B2" s="11"/>
      <c r="C2" s="11"/>
      <c r="D2" s="11"/>
      <c r="E2" s="11"/>
      <c r="F2" s="11"/>
      <c r="G2" s="11"/>
      <c r="H2" s="11"/>
      <c r="I2" s="11"/>
      <c r="J2" s="11"/>
    </row>
    <row r="3" ht="20" customHeight="true"/>
    <row r="4" ht="20" customHeight="true">
      <c r="A4" s="112" t="s">
        <v>162</v>
      </c>
      <c r="B4" s="120" t="n">
        <f>SUM('売掛明細'!$J$4:$J$303)</f>
        <v>605000</v>
      </c>
      <c r="C4" s="120" t="s">
        <v>173</v>
      </c>
      <c r="D4" s="120" t="n">
        <f>SUM('売掛明細'!$L$4:$L$303)</f>
        <v>150000</v>
      </c>
      <c r="E4" s="120" t="s">
        <v>170</v>
      </c>
      <c r="F4" s="120" t="n">
        <f>SUM('売掛明細'!$M$4:$M$303)</f>
        <v>455000</v>
      </c>
      <c r="G4" s="120" t="s">
        <v>174</v>
      </c>
      <c r="H4" s="120" t="n">
        <f>SUMIF('売掛明細'!$N$4:$N$303,"期限超過",'売掛明細'!$M$4:$M$303)</f>
        <v>170000</v>
      </c>
      <c r="I4" s="118" t="s">
        <v>175</v>
      </c>
      <c r="J4" s="122" t="n">
        <f>IFERROR(H4/F4,0)</f>
        <v>0.37362637362637363</v>
      </c>
    </row>
    <row r="5" ht="20" customHeight="true">
      <c r="A5" s="112" t="s">
        <v>176</v>
      </c>
      <c r="B5" s="127" t="n">
        <f>COUNTIF('売掛明細'!$N$4:$N$303,"期限超過")</f>
        <v>2</v>
      </c>
      <c r="C5" s="118" t="s">
        <v>177</v>
      </c>
      <c r="D5" s="120" t="n">
        <f>SUMIF('売掛明細'!$T$4:$T$303,"高",'売掛明細'!$M$4:$M$303)</f>
        <v>150000</v>
      </c>
      <c r="E5" s="120" t="s">
        <v>178</v>
      </c>
      <c r="F5" s="120" t="n">
        <f>SUMIF('売掛明細'!$N$4:$N$303,"争議中",'売掛明細'!$M$4:$M$303)</f>
        <v>150000</v>
      </c>
      <c r="G5" s="118" t="s">
        <v>179</v>
      </c>
      <c r="H5" s="124" t="n">
        <f>IFERROR(AVERAGEIF('売掛明細'!$O$4:$O$303,"&gt;0",'売掛明細'!$O$4:$O$303),0)</f>
        <v>45.666666666666664</v>
      </c>
      <c r="I5" s="118" t="s">
        <v>180</v>
      </c>
      <c r="J5" s="120" t="n">
        <f>SUMIF('売掛明細'!$P$4:$P$303,"期日前",'売掛明細'!$M$4:$M$303)</f>
        <v>135000</v>
      </c>
    </row>
    <row r="6" ht="20" customHeight="true"/>
    <row r="7" ht="20" customHeight="true">
      <c r="A7" s="79" t="s">
        <v>131</v>
      </c>
      <c r="B7" s="79" t="s">
        <v>128</v>
      </c>
      <c r="C7" s="79" t="s">
        <v>160</v>
      </c>
      <c r="D7" s="79" t="s">
        <v>161</v>
      </c>
      <c r="F7" s="79" t="s">
        <v>18</v>
      </c>
      <c r="G7" s="79" t="s">
        <v>128</v>
      </c>
      <c r="H7" s="79" t="s">
        <v>163</v>
      </c>
      <c r="I7" s="79" t="s">
        <v>160</v>
      </c>
      <c r="J7" s="79" t="s">
        <v>84</v>
      </c>
    </row>
    <row r="8" ht="20" customHeight="true">
      <c r="A8" s="88" t="s">
        <v>164</v>
      </c>
      <c r="B8" s="92" t="n">
        <f>SUMIF('売掛明細'!$P:$P,$A8,'売掛明細'!$M:$M)</f>
        <v>135000</v>
      </c>
      <c r="C8" s="128" t="n">
        <f>COUNTIFS('売掛明細'!$P:$P,$A8,'売掛明細'!$M:$M,"&gt;0")</f>
        <v>2</v>
      </c>
      <c r="D8" s="94" t="n">
        <f>IFERROR($B8/SUM($B$8:$B$12),0)</f>
        <v>0.2967032967032967</v>
      </c>
      <c r="F8" s="88" t="s">
        <v>29</v>
      </c>
      <c r="G8" s="92" t="n">
        <f>SUMIF('売掛明細'!$B:$B,$F8,'売掛明細'!$M:$M)</f>
        <v>70000</v>
      </c>
      <c r="H8" s="92" t="n">
        <f>SUMIFS('売掛明細'!$M:$M,'売掛明細'!$B:$B,$F8,'売掛明細'!$N:$N,"期限超過")</f>
        <v>70000</v>
      </c>
      <c r="I8" s="128" t="n">
        <f>COUNTIF('売掛明細'!$B:$B,$F8)</f>
        <v>1</v>
      </c>
      <c r="J8" s="88" t="str">
        <f>IF($G8=0,"","要注意")</f>
        <v>要注意</v>
      </c>
    </row>
    <row r="9" ht="20" customHeight="true">
      <c r="A9" s="88" t="s">
        <v>165</v>
      </c>
      <c r="B9" s="92" t="n">
        <f>SUMIF('売掛明細'!$P:$P,$A9,'売掛明細'!$M:$M)</f>
        <v>0</v>
      </c>
      <c r="C9" s="128" t="n">
        <f>COUNTIFS('売掛明細'!$P:$P,$A9,'売掛明細'!$M:$M,"&gt;0")</f>
        <v>0</v>
      </c>
      <c r="D9" s="94" t="n">
        <f>IFERROR($B9/SUM($B$8:$B$12),0)</f>
        <v>0</v>
      </c>
      <c r="F9" s="88" t="s">
        <v>35</v>
      </c>
      <c r="G9" s="92" t="n">
        <f>SUMIF('売掛明細'!$B:$B,$F9,'売掛明細'!$M:$M)</f>
        <v>85000</v>
      </c>
      <c r="H9" s="92" t="n">
        <f>SUMIFS('売掛明細'!$M:$M,'売掛明細'!$B:$B,$F9,'売掛明細'!$N:$N,"期限超過")</f>
        <v>0</v>
      </c>
      <c r="I9" s="128" t="n">
        <f>COUNTIF('売掛明細'!$B:$B,$F9)</f>
        <v>1</v>
      </c>
      <c r="J9" s="88" t="str">
        <f>IF($G9=0,"","要注意")</f>
        <v>要注意</v>
      </c>
    </row>
    <row r="10" ht="20" customHeight="true">
      <c r="A10" s="88" t="s">
        <v>166</v>
      </c>
      <c r="B10" s="92" t="n">
        <f>SUMIF('売掛明細'!$P:$P,$A10,'売掛明細'!$M:$M)</f>
        <v>220000</v>
      </c>
      <c r="C10" s="128" t="n">
        <f>COUNTIFS('売掛明細'!$P:$P,$A10,'売掛明細'!$M:$M,"&gt;0")</f>
        <v>2</v>
      </c>
      <c r="D10" s="94" t="n">
        <f>IFERROR($B10/SUM($B$8:$B$12),0)</f>
        <v>0.4835164835164835</v>
      </c>
      <c r="F10" s="88" t="s">
        <v>42</v>
      </c>
      <c r="G10" s="92" t="n">
        <f>SUMIF('売掛明細'!$B:$B,$F10,'売掛明細'!$M:$M)</f>
        <v>150000</v>
      </c>
      <c r="H10" s="92" t="n">
        <f>SUMIFS('売掛明細'!$M:$M,'売掛明細'!$B:$B,$F10,'売掛明細'!$N:$N,"期限超過")</f>
        <v>0</v>
      </c>
      <c r="I10" s="128" t="n">
        <f>COUNTIF('売掛明細'!$B:$B,$F10)</f>
        <v>1</v>
      </c>
      <c r="J10" s="88" t="str">
        <f>IF($G10=0,"","要注意")</f>
        <v>要注意</v>
      </c>
    </row>
    <row r="11" ht="20" customHeight="true">
      <c r="A11" s="88" t="s">
        <v>167</v>
      </c>
      <c r="B11" s="92" t="n">
        <f>SUMIF('売掛明細'!$P:$P,$A11,'売掛明細'!$M:$M)</f>
        <v>100000</v>
      </c>
      <c r="C11" s="128" t="n">
        <f>COUNTIFS('売掛明細'!$P:$P,$A11,'売掛明細'!$M:$M,"&gt;0")</f>
        <v>1</v>
      </c>
      <c r="D11" s="94" t="n">
        <f>IFERROR($B11/SUM($B$8:$B$12),0)</f>
        <v>0.21978021978021978</v>
      </c>
      <c r="F11" s="88" t="s">
        <v>49</v>
      </c>
      <c r="G11" s="92" t="n">
        <f>SUMIF('売掛明細'!$B:$B,$F11,'売掛明細'!$M:$M)</f>
        <v>100000</v>
      </c>
      <c r="H11" s="92" t="n">
        <f>SUMIFS('売掛明細'!$M:$M,'売掛明細'!$B:$B,$F11,'売掛明細'!$N:$N,"期限超過")</f>
        <v>100000</v>
      </c>
      <c r="I11" s="128" t="n">
        <f>COUNTIF('売掛明細'!$B:$B,$F11)</f>
        <v>1</v>
      </c>
      <c r="J11" s="88" t="str">
        <f>IF($G11=0,"","要注意")</f>
        <v>要注意</v>
      </c>
    </row>
    <row r="12" ht="20" customHeight="true">
      <c r="A12" s="88" t="s">
        <v>168</v>
      </c>
      <c r="B12" s="92" t="n">
        <f>SUMIF('売掛明細'!$P:$P,$A12,'売掛明細'!$M:$M)</f>
        <v>0</v>
      </c>
      <c r="C12" s="128" t="n">
        <f>COUNTIFS('売掛明細'!$P:$P,$A12,'売掛明細'!$M:$M,"&gt;0")</f>
        <v>0</v>
      </c>
      <c r="D12" s="94" t="n">
        <f>IFERROR($B12/SUM($B$8:$B$12),0)</f>
        <v>0</v>
      </c>
      <c r="F12" s="88" t="s">
        <v>57</v>
      </c>
      <c r="G12" s="92" t="n">
        <f>SUMIF('売掛明細'!$B:$B,$F12,'売掛明細'!$M:$M)</f>
        <v>50000</v>
      </c>
      <c r="H12" s="92" t="n">
        <f>SUMIFS('売掛明細'!$M:$M,'売掛明細'!$B:$B,$F12,'売掛明細'!$N:$N,"期限超過")</f>
        <v>0</v>
      </c>
      <c r="I12" s="128" t="n">
        <f>COUNTIF('売掛明細'!$B:$B,$F12)</f>
        <v>1</v>
      </c>
      <c r="J12" s="88" t="str">
        <f>IF($G12=0,"","要注意")</f>
        <v>要注意</v>
      </c>
    </row>
    <row r="13" ht="20" customHeight="true">
      <c r="F13" s="88" t="s">
        <v>64</v>
      </c>
      <c r="G13" s="92" t="n">
        <f>SUMIF('売掛明細'!$B:$B,$F13,'売掛明細'!$M:$M)</f>
        <v>0</v>
      </c>
      <c r="H13" s="92" t="n">
        <f>SUMIFS('売掛明細'!$M:$M,'売掛明細'!$B:$B,$F13,'売掛明細'!$N:$N,"期限超過")</f>
        <v>0</v>
      </c>
      <c r="I13" s="128" t="n">
        <f>COUNTIF('売掛明細'!$B:$B,$F13)</f>
        <v>0</v>
      </c>
      <c r="J13" s="88" t="str">
        <f>IF($G13=0,"","要注意")</f>
      </c>
    </row>
    <row r="14" ht="20" customHeight="true">
      <c r="F14" s="88" t="s">
        <v>69</v>
      </c>
      <c r="G14" s="92" t="n">
        <f>SUMIF('売掛明細'!$B:$B,$F14,'売掛明細'!$M:$M)</f>
        <v>0</v>
      </c>
      <c r="H14" s="92" t="n">
        <f>SUMIFS('売掛明細'!$M:$M,'売掛明細'!$B:$B,$F14,'売掛明細'!$N:$N,"期限超過")</f>
        <v>0</v>
      </c>
      <c r="I14" s="128" t="n">
        <f>COUNTIF('売掛明細'!$B:$B,$F14)</f>
        <v>0</v>
      </c>
      <c r="J14" s="88" t="str">
        <f>IF($G14=0,"","要注意")</f>
      </c>
    </row>
    <row r="15" ht="20" customHeight="true">
      <c r="F15" s="88" t="s">
        <v>70</v>
      </c>
      <c r="G15" s="92" t="n">
        <f>SUMIF('売掛明細'!$B:$B,$F15,'売掛明細'!$M:$M)</f>
        <v>0</v>
      </c>
      <c r="H15" s="92" t="n">
        <f>SUMIFS('売掛明細'!$M:$M,'売掛明細'!$B:$B,$F15,'売掛明細'!$N:$N,"期限超過")</f>
        <v>0</v>
      </c>
      <c r="I15" s="128" t="n">
        <f>COUNTIF('売掛明細'!$B:$B,$F15)</f>
        <v>0</v>
      </c>
      <c r="J15" s="88" t="str">
        <f>IF($G15=0,"","要注意")</f>
      </c>
    </row>
    <row r="16" ht="20" customHeight="true"/>
    <row r="17" ht="20" customHeight="true">
      <c r="A17" s="16" t="s">
        <v>181</v>
      </c>
      <c r="B17" s="16"/>
      <c r="C17" s="16"/>
      <c r="D17" s="16"/>
      <c r="E17" s="16"/>
      <c r="F17" s="16"/>
      <c r="G17" s="16"/>
      <c r="H17" s="16"/>
      <c r="I17" s="16"/>
      <c r="J17" s="16"/>
    </row>
    <row r="18" ht="30" customHeight="true">
      <c r="A18" s="129" t="s">
        <v>182</v>
      </c>
      <c r="B18" s="130" t="n">
        <f>SUMIF('売掛明細'!$P$4:$P$303,"90日超",'売掛明細'!$M$4:$M$303)</f>
        <v>0</v>
      </c>
      <c r="C18" s="131" t="s">
        <v>183</v>
      </c>
      <c r="D18" s="132" t="n">
        <f>COUNTIFS('争議・回収'!$G$4:$G$303,"&lt;&gt;クローズ済み",'争議・回収'!$J$4:$J$303,"&gt;="&amp;TODAY(),'争議・回収'!$J$4:$J$303,"&lt;="&amp;TODAY()+7)</f>
        <v>2</v>
      </c>
      <c r="E18" s="131" t="s">
        <v>184</v>
      </c>
      <c r="F18" s="132" t="n">
        <f>COUNTIF('顧客マスタ'!$R$4:$R$303,"上限超過")</f>
        <v>0</v>
      </c>
      <c r="G18" s="131" t="s">
        <v>185</v>
      </c>
      <c r="H18" s="132" t="n">
        <f>COUNTIF('入金記録'!$J$4:$J$303,"請求書照合待ち")+COUNTIF('入金記録'!$J$4:$J$303,"未消込")</f>
        <v>0</v>
      </c>
      <c r="I18" s="131" t="s">
        <v>186</v>
      </c>
      <c r="J18" s="132" t="n">
        <f>COUNTIF('売掛明細'!$N$4:$N$303,"争議中")</f>
        <v>1</v>
      </c>
    </row>
    <row r="19" ht="20" customHeight="true"/>
    <row r="20" ht="20" customHeight="true"/>
    <row r="21" ht="20" customHeight="true"/>
    <row r="22" ht="20" customHeight="true"/>
    <row r="23" ht="20" customHeight="true"/>
    <row r="24" ht="20" customHeight="true"/>
    <row r="25" ht="20" customHeight="true"/>
    <row r="26" ht="20" customHeight="true"/>
    <row r="27" ht="20" customHeight="true"/>
    <row r="28" ht="20" customHeight="true"/>
    <row r="29" ht="20" customHeight="true"/>
    <row r="30" ht="20" customHeight="true"/>
    <row r="31" ht="20" customHeight="true"/>
    <row r="32" ht="20" customHeight="true"/>
    <row r="33" ht="20" customHeight="true"/>
    <row r="34" ht="20" customHeight="true"/>
    <row r="35" ht="20" customHeight="true"/>
    <row r="36" ht="20" customHeight="true"/>
    <row r="37" ht="20" customHeight="true"/>
    <row r="38" ht="20" customHeight="true"/>
    <row r="39" ht="20" customHeight="true"/>
    <row r="40" ht="20" customHeight="true"/>
  </sheetData>
  <mergeCells count="3">
    <mergeCell ref="A1:J1"/>
    <mergeCell ref="A2:J2"/>
    <mergeCell ref="A17:J17"/>
  </mergeCells>
  <conditionalFormatting sqref="B8:B12">
    <cfRule type="dataBar" priority="1">
      <dataBar>
        <cfvo type="min"/>
        <cfvo type="max"/>
        <color rgb="93C5FD"/>
      </dataBar>
      <ignoredErrors>
        <ignoredError sqref="A1:XFD1048576" evalError="1" twoDigitTextYear="1" numberStoredAsText="1" formula="1" formulaRange="1" unlockedFormula="1" emptyCellReference="1" listDataValidation="1" calculatedColumn="1"/>
      </ignoredErrors>
      <extLst>
        <x:ext xmlns:x14="http://schemas.microsoft.com/office/spreadsheetml/2009/9/main" uri="{B025F937-C7B1-47D3-B67F-A62EFF666E3E}">
          <x14:id>{123659B8-57F2-FC78-E07D-982EA96ABAE7}</x14:id>
        </x:ext>
      </extLst>
    </cfRule>
  </conditionalFormatting>
  <conditionalFormatting sqref="G8:G15">
    <cfRule type="dataBar" priority="2">
      <dataBar>
        <cfvo type="min"/>
        <cfvo type="max"/>
        <color rgb="93C5FD"/>
      </dataBar>
      <extLst>
        <x:ext xmlns:x14="http://schemas.microsoft.com/office/spreadsheetml/2009/9/main" uri="{B025F937-C7B1-47D3-B67F-A62EFF666E3E}">
          <x14:id>{D95BC513-7619-A1C7-E17D-18901618811E}</x14:id>
        </x:ext>
      </extLst>
    </cfRule>
  </conditionalFormatting>
  <pageMargins left="0.7" right="0.7" top="0.75" bottom="0.75" header="0.3" footer="0.3"/>
  <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123659B8-57F2-FC78-E07D-982EA96ABAE7}">
            <x14:dataBar gradient="1">
              <x14:cfvo type="min"/>
              <x14:cfvo type="max"/>
              <x14:fillColor rgb="93C5FD"/>
            </x14:dataBar>
          </x14:cfRule>
          <xm:sqref>B8:B12</xm:sqref>
        </x14:conditionalFormatting>
        <x14:conditionalFormatting>
          <x14:cfRule type="dataBar" priority="2" id="{D95BC513-7619-A1C7-E17D-18901618811E}">
            <x14:dataBar gradient="1">
              <x14:cfvo type="min"/>
              <x14:cfvo type="max"/>
              <x14:fillColor rgb="93C5FD"/>
            </x14:dataBar>
          </x14:cfRule>
          <xm:sqref>G8:G15</xm:sqref>
        </x14:conditionalFormatting>
      </x14:conditionalFormattings>
    </x:ext>
  </extLst>
</worksheet>
</file>