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ダッシュボード" sheetId="1" state="visible" r:id="rId1"/>
    <sheet xmlns:r="http://schemas.openxmlformats.org/officeDocument/2006/relationships" name="エネルギーデータ入力" sheetId="2" state="visible" r:id="rId2"/>
    <sheet xmlns:r="http://schemas.openxmlformats.org/officeDocument/2006/relationships" name="異常検知" sheetId="3" state="visible" r:id="rId3"/>
    <sheet xmlns:r="http://schemas.openxmlformats.org/officeDocument/2006/relationships" name="対応管理" sheetId="4" state="visible" r:id="rId4"/>
    <sheet xmlns:r="http://schemas.openxmlformats.org/officeDocument/2006/relationships" name="月次集計" sheetId="5" state="visible" r:id="rId5"/>
    <sheet xmlns:r="http://schemas.openxmlformats.org/officeDocument/2006/relationships" name="異常ルール" sheetId="6" state="visible" r:id="rId6"/>
    <sheet xmlns:r="http://schemas.openxmlformats.org/officeDocument/2006/relationships" name="業務シーン" sheetId="7" state="visible" r:id="rId7"/>
    <sheet xmlns:r="http://schemas.openxmlformats.org/officeDocument/2006/relationships" name="基本設定" sheetId="8" state="visible" r:id="rId8"/>
    <sheet xmlns:r="http://schemas.openxmlformats.org/officeDocument/2006/relationships" name="使い方_データ元" sheetId="9" state="visible" r:id="rId9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¥#,##0.00"/>
    <numFmt numFmtId="166" formatCode="yyyy-mm"/>
    <numFmt numFmtId="167" formatCode="#,##0.0"/>
  </numFmts>
  <fonts count="7">
    <font>
      <name val="Carlito"/>
      <sz val="11"/>
    </font>
    <font>
      <name val="Carlito"/>
      <b val="1"/>
      <color rgb="00FFFFFF"/>
      <sz val="18"/>
    </font>
    <font>
      <name val="Carlito"/>
      <color rgb="00334155"/>
      <sz val="10"/>
    </font>
    <font>
      <name val="Carlito"/>
      <b val="1"/>
      <sz val="11"/>
    </font>
    <font>
      <name val="Carlito"/>
      <b val="1"/>
      <color rgb="00FFFFFF"/>
      <sz val="10"/>
    </font>
    <font>
      <name val="Carlito"/>
      <b val="1"/>
      <color rgb="000F172A"/>
      <sz val="16"/>
    </font>
    <font>
      <name val="Carlito"/>
      <b val="1"/>
      <color rgb="000F172A"/>
      <sz val="10"/>
    </font>
  </fonts>
  <fills count="11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8FAFC"/>
      </patternFill>
    </fill>
    <fill>
      <patternFill patternType="solid">
        <fgColor rgb="00E0F2FE"/>
      </patternFill>
    </fill>
    <fill>
      <patternFill patternType="solid">
        <fgColor rgb="00FEF9C3"/>
      </patternFill>
    </fill>
    <fill>
      <patternFill patternType="solid">
        <fgColor rgb="000F766E"/>
      </patternFill>
    </fill>
    <fill>
      <patternFill patternType="solid">
        <fgColor rgb="001D4ED8"/>
      </patternFill>
    </fill>
    <fill>
      <patternFill patternType="solid">
        <fgColor rgb="000E7490"/>
      </patternFill>
    </fill>
    <fill>
      <patternFill patternType="solid">
        <fgColor rgb="007C3AED"/>
      </patternFill>
    </fill>
    <fill>
      <patternFill patternType="solid">
        <fgColor rgb="00B45309"/>
      </patternFill>
    </fill>
  </fills>
  <borders count="2">
    <border/>
    <border/>
  </borders>
  <cellStyleXfs count="1">
    <xf numFmtId="0" fontId="0" fillId="0" borderId="1"/>
  </cellStyleXfs>
  <cellXfs count="150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vertical="top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vertical="top" wrapText="1"/>
    </xf>
    <xf numFmtId="0" fontId="0" fillId="4" borderId="0" pivotButton="0" quotePrefix="0" xfId="0"/>
    <xf numFmtId="0" fontId="3" fillId="4" borderId="0" pivotButton="0" quotePrefix="0" xfId="0"/>
    <xf numFmtId="0" fontId="0" fillId="4" borderId="1" pivotButton="0" quotePrefix="0" xfId="0"/>
    <xf numFmtId="0" fontId="3" fillId="4" borderId="1" pivotButton="0" quotePrefix="0" xfId="0"/>
    <xf numFmtId="0" fontId="0" fillId="5" borderId="0" pivotButton="0" quotePrefix="0" xfId="0"/>
    <xf numFmtId="0" fontId="0" fillId="5" borderId="1" pivotButton="0" quotePrefix="0" xfId="0"/>
    <xf numFmtId="164" fontId="0" fillId="5" borderId="0" pivotButton="0" quotePrefix="0" xfId="0"/>
    <xf numFmtId="164" fontId="0" fillId="5" borderId="1" pivotButton="0" quotePrefix="0" xfId="0"/>
    <xf numFmtId="0" fontId="0" fillId="6" borderId="0" pivotButton="0" quotePrefix="0" xfId="0"/>
    <xf numFmtId="0" fontId="4" fillId="6" borderId="0" pivotButton="0" quotePrefix="0" xfId="0"/>
    <xf numFmtId="0" fontId="4" fillId="6" borderId="0" applyAlignment="1" pivotButton="0" quotePrefix="0" xfId="0">
      <alignment wrapText="1"/>
    </xf>
    <xf numFmtId="0" fontId="4" fillId="6" borderId="0" applyAlignment="1" pivotButton="0" quotePrefix="0" xfId="0">
      <alignment horizontal="center" wrapText="1"/>
    </xf>
    <xf numFmtId="0" fontId="4" fillId="6" borderId="0" applyAlignment="1" pivotButton="0" quotePrefix="0" xfId="0">
      <alignment horizontal="center" vertical="center" wrapText="1"/>
    </xf>
    <xf numFmtId="0" fontId="0" fillId="6" borderId="1" pivotButton="0" quotePrefix="0" xfId="0"/>
    <xf numFmtId="0" fontId="4" fillId="6" borderId="1" pivotButton="0" quotePrefix="0" xfId="0"/>
    <xf numFmtId="0" fontId="4" fillId="6" borderId="1" applyAlignment="1" pivotButton="0" quotePrefix="0" xfId="0">
      <alignment wrapText="1"/>
    </xf>
    <xf numFmtId="0" fontId="4" fillId="6" borderId="1" applyAlignment="1" pivotButton="0" quotePrefix="0" xfId="0">
      <alignment horizontal="center" wrapText="1"/>
    </xf>
    <xf numFmtId="0" fontId="4" fillId="6" borderId="1" applyAlignment="1" pivotButton="0" quotePrefix="0" xfId="0">
      <alignment horizontal="center" vertical="center" wrapText="1"/>
    </xf>
    <xf numFmtId="2" fontId="0" fillId="0" borderId="0" pivotButton="0" quotePrefix="0" xfId="0"/>
    <xf numFmtId="2" fontId="0" fillId="0" borderId="1" pivotButton="0" quotePrefix="0" xfId="0"/>
    <xf numFmtId="9" fontId="0" fillId="0" borderId="0" pivotButton="0" quotePrefix="0" xfId="0"/>
    <xf numFmtId="9" fontId="0" fillId="0" borderId="1" pivotButton="0" quotePrefix="0" xfId="0"/>
    <xf numFmtId="0" fontId="0" fillId="7" borderId="0" pivotButton="0" quotePrefix="0" xfId="0"/>
    <xf numFmtId="0" fontId="4" fillId="7" borderId="0" pivotButton="0" quotePrefix="0" xfId="0"/>
    <xf numFmtId="0" fontId="4" fillId="7" borderId="0" applyAlignment="1" pivotButton="0" quotePrefix="0" xfId="0">
      <alignment wrapText="1"/>
    </xf>
    <xf numFmtId="0" fontId="4" fillId="7" borderId="0" applyAlignment="1" pivotButton="0" quotePrefix="0" xfId="0">
      <alignment horizontal="center" wrapText="1"/>
    </xf>
    <xf numFmtId="0" fontId="4" fillId="7" borderId="0" applyAlignment="1" pivotButton="0" quotePrefix="0" xfId="0">
      <alignment horizontal="center" vertical="center" wrapText="1"/>
    </xf>
    <xf numFmtId="0" fontId="0" fillId="7" borderId="1" pivotButton="0" quotePrefix="0" xfId="0"/>
    <xf numFmtId="0" fontId="4" fillId="7" borderId="1" pivotButton="0" quotePrefix="0" xfId="0"/>
    <xf numFmtId="0" fontId="4" fillId="7" borderId="1" applyAlignment="1" pivotButton="0" quotePrefix="0" xfId="0">
      <alignment wrapText="1"/>
    </xf>
    <xf numFmtId="0" fontId="4" fillId="7" borderId="1" applyAlignment="1" pivotButton="0" quotePrefix="0" xfId="0">
      <alignment horizontal="center" wrapText="1"/>
    </xf>
    <xf numFmtId="0" fontId="4" fillId="7" borderId="1" applyAlignment="1" pivotButton="0" quotePrefix="0" xfId="0">
      <alignment horizontal="center" vertical="center" wrapText="1"/>
    </xf>
    <xf numFmtId="0" fontId="0" fillId="8" borderId="0" pivotButton="0" quotePrefix="0" xfId="0"/>
    <xf numFmtId="0" fontId="4" fillId="8" borderId="0" pivotButton="0" quotePrefix="0" xfId="0"/>
    <xf numFmtId="0" fontId="4" fillId="8" borderId="0" applyAlignment="1" pivotButton="0" quotePrefix="0" xfId="0">
      <alignment wrapText="1"/>
    </xf>
    <xf numFmtId="0" fontId="4" fillId="8" borderId="0" applyAlignment="1" pivotButton="0" quotePrefix="0" xfId="0">
      <alignment horizontal="center" wrapText="1"/>
    </xf>
    <xf numFmtId="0" fontId="4" fillId="8" borderId="0" applyAlignment="1" pivotButton="0" quotePrefix="0" xfId="0">
      <alignment horizontal="center" vertical="center" wrapText="1"/>
    </xf>
    <xf numFmtId="0" fontId="0" fillId="8" borderId="1" pivotButton="0" quotePrefix="0" xfId="0"/>
    <xf numFmtId="0" fontId="4" fillId="8" borderId="1" pivotButton="0" quotePrefix="0" xfId="0"/>
    <xf numFmtId="0" fontId="4" fillId="8" borderId="1" applyAlignment="1" pivotButton="0" quotePrefix="0" xfId="0">
      <alignment wrapText="1"/>
    </xf>
    <xf numFmtId="0" fontId="4" fillId="8" borderId="1" applyAlignment="1" pivotButton="0" quotePrefix="0" xfId="0">
      <alignment horizontal="center" wrapText="1"/>
    </xf>
    <xf numFmtId="0" fontId="4" fillId="8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left" vertical="center" wrapText="1"/>
    </xf>
    <xf numFmtId="0" fontId="0" fillId="9" borderId="0" pivotButton="0" quotePrefix="0" xfId="0"/>
    <xf numFmtId="0" fontId="4" fillId="9" borderId="0" pivotButton="0" quotePrefix="0" xfId="0"/>
    <xf numFmtId="0" fontId="4" fillId="9" borderId="0" applyAlignment="1" pivotButton="0" quotePrefix="0" xfId="0">
      <alignment wrapText="1"/>
    </xf>
    <xf numFmtId="0" fontId="4" fillId="9" borderId="0" applyAlignment="1" pivotButton="0" quotePrefix="0" xfId="0">
      <alignment horizontal="center" wrapText="1"/>
    </xf>
    <xf numFmtId="0" fontId="4" fillId="9" borderId="0" applyAlignment="1" pivotButton="0" quotePrefix="0" xfId="0">
      <alignment horizontal="center" vertical="center" wrapText="1"/>
    </xf>
    <xf numFmtId="0" fontId="0" fillId="9" borderId="1" pivotButton="0" quotePrefix="0" xfId="0"/>
    <xf numFmtId="0" fontId="4" fillId="9" borderId="1" pivotButton="0" quotePrefix="0" xfId="0"/>
    <xf numFmtId="0" fontId="4" fillId="9" borderId="1" applyAlignment="1" pivotButton="0" quotePrefix="0" xfId="0">
      <alignment wrapText="1"/>
    </xf>
    <xf numFmtId="0" fontId="4" fillId="9" borderId="1" applyAlignment="1" pivotButton="0" quotePrefix="0" xfId="0">
      <alignment horizontal="center" wrapText="1"/>
    </xf>
    <xf numFmtId="0" fontId="4" fillId="9" borderId="1" applyAlignment="1" pivotButton="0" quotePrefix="0" xfId="0">
      <alignment horizontal="center" vertical="center" wrapText="1"/>
    </xf>
    <xf numFmtId="164" fontId="0" fillId="0" borderId="0" pivotButton="0" quotePrefix="0" xfId="0"/>
    <xf numFmtId="164" fontId="0" fillId="0" borderId="1" pivotButton="0" quotePrefix="0" xfId="0"/>
    <xf numFmtId="4" fontId="0" fillId="0" borderId="0" pivotButton="0" quotePrefix="0" xfId="0"/>
    <xf numFmtId="4" fontId="0" fillId="0" borderId="1" pivotButton="0" quotePrefix="0" xfId="0"/>
    <xf numFmtId="4" fontId="0" fillId="5" borderId="0" pivotButton="0" quotePrefix="0" xfId="0"/>
    <xf numFmtId="4" fontId="0" fillId="5" borderId="1" pivotButton="0" quotePrefix="0" xfId="0"/>
    <xf numFmtId="4" fontId="0" fillId="4" borderId="0" pivotButton="0" quotePrefix="0" xfId="0"/>
    <xf numFmtId="4" fontId="0" fillId="4" borderId="1" pivotButton="0" quotePrefix="0" xfId="0"/>
    <xf numFmtId="0" fontId="0" fillId="5" borderId="0" applyAlignment="1" pivotButton="0" quotePrefix="0" xfId="0">
      <alignment wrapText="1"/>
    </xf>
    <xf numFmtId="164" fontId="0" fillId="5" borderId="0" applyAlignment="1" pivotButton="0" quotePrefix="0" xfId="0">
      <alignment wrapText="1"/>
    </xf>
    <xf numFmtId="0" fontId="0" fillId="4" borderId="0" applyAlignment="1" pivotButton="0" quotePrefix="0" xfId="0">
      <alignment wrapText="1"/>
    </xf>
    <xf numFmtId="4" fontId="0" fillId="5" borderId="0" applyAlignment="1" pivotButton="0" quotePrefix="0" xfId="0">
      <alignment wrapText="1"/>
    </xf>
    <xf numFmtId="4" fontId="0" fillId="4" borderId="0" applyAlignment="1" pivotButton="0" quotePrefix="0" xfId="0">
      <alignment wrapText="1"/>
    </xf>
    <xf numFmtId="0" fontId="0" fillId="5" borderId="1" applyAlignment="1" pivotButton="0" quotePrefix="0" xfId="0">
      <alignment wrapText="1"/>
    </xf>
    <xf numFmtId="164" fontId="0" fillId="5" borderId="1" applyAlignment="1" pivotButton="0" quotePrefix="0" xfId="0">
      <alignment wrapText="1"/>
    </xf>
    <xf numFmtId="0" fontId="0" fillId="4" borderId="1" applyAlignment="1" pivotButton="0" quotePrefix="0" xfId="0">
      <alignment wrapText="1"/>
    </xf>
    <xf numFmtId="4" fontId="0" fillId="5" borderId="1" applyAlignment="1" pivotButton="0" quotePrefix="0" xfId="0">
      <alignment wrapText="1"/>
    </xf>
    <xf numFmtId="4" fontId="0" fillId="4" borderId="1" applyAlignment="1" pivotButton="0" quotePrefix="0" xfId="0">
      <alignment wrapText="1"/>
    </xf>
    <xf numFmtId="0" fontId="0" fillId="10" borderId="0" pivotButton="0" quotePrefix="0" xfId="0"/>
    <xf numFmtId="0" fontId="4" fillId="10" borderId="0" pivotButton="0" quotePrefix="0" xfId="0"/>
    <xf numFmtId="0" fontId="4" fillId="10" borderId="0" applyAlignment="1" pivotButton="0" quotePrefix="0" xfId="0">
      <alignment wrapText="1"/>
    </xf>
    <xf numFmtId="0" fontId="4" fillId="10" borderId="0" applyAlignment="1" pivotButton="0" quotePrefix="0" xfId="0">
      <alignment horizontal="center" wrapText="1"/>
    </xf>
    <xf numFmtId="0" fontId="4" fillId="10" borderId="0" applyAlignment="1" pivotButton="0" quotePrefix="0" xfId="0">
      <alignment horizontal="center" vertical="center" wrapText="1"/>
    </xf>
    <xf numFmtId="0" fontId="0" fillId="10" borderId="1" pivotButton="0" quotePrefix="0" xfId="0"/>
    <xf numFmtId="0" fontId="4" fillId="10" borderId="1" pivotButton="0" quotePrefix="0" xfId="0"/>
    <xf numFmtId="0" fontId="4" fillId="10" borderId="1" applyAlignment="1" pivotButton="0" quotePrefix="0" xfId="0">
      <alignment wrapText="1"/>
    </xf>
    <xf numFmtId="0" fontId="4" fillId="10" borderId="1" applyAlignment="1" pivotButton="0" quotePrefix="0" xfId="0">
      <alignment horizontal="center" wrapText="1"/>
    </xf>
    <xf numFmtId="0" fontId="4" fillId="10" borderId="1" applyAlignment="1" pivotButton="0" quotePrefix="0" xfId="0">
      <alignment horizontal="center" vertical="center" wrapText="1"/>
    </xf>
    <xf numFmtId="165" fontId="0" fillId="0" borderId="0" pivotButton="0" quotePrefix="0" xfId="0"/>
    <xf numFmtId="165" fontId="0" fillId="0" borderId="1" pivotButton="0" quotePrefix="0" xfId="0"/>
    <xf numFmtId="0" fontId="0" fillId="0" borderId="0" applyAlignment="1" pivotButton="0" quotePrefix="0" xfId="0">
      <alignment wrapText="1"/>
    </xf>
    <xf numFmtId="164" fontId="0" fillId="0" borderId="0" applyAlignment="1" pivotButton="0" quotePrefix="0" xfId="0">
      <alignment wrapText="1"/>
    </xf>
    <xf numFmtId="4" fontId="0" fillId="0" borderId="0" applyAlignment="1" pivotButton="0" quotePrefix="0" xfId="0">
      <alignment wrapText="1"/>
    </xf>
    <xf numFmtId="9" fontId="0" fillId="0" borderId="0" applyAlignment="1" pivotButton="0" quotePrefix="0" xfId="0">
      <alignment wrapText="1"/>
    </xf>
    <xf numFmtId="165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164" fontId="0" fillId="0" borderId="1" applyAlignment="1" pivotButton="0" quotePrefix="0" xfId="0">
      <alignment wrapText="1"/>
    </xf>
    <xf numFmtId="4" fontId="0" fillId="0" borderId="1" applyAlignment="1" pivotButton="0" quotePrefix="0" xfId="0">
      <alignment wrapText="1"/>
    </xf>
    <xf numFmtId="9" fontId="0" fillId="0" borderId="1" applyAlignment="1" pivotButton="0" quotePrefix="0" xfId="0">
      <alignment wrapText="1"/>
    </xf>
    <xf numFmtId="165" fontId="0" fillId="0" borderId="1" applyAlignment="1" pivotButton="0" quotePrefix="0" xfId="0">
      <alignment wrapText="1"/>
    </xf>
    <xf numFmtId="166" fontId="0" fillId="0" borderId="0" pivotButton="0" quotePrefix="0" xfId="0"/>
    <xf numFmtId="166" fontId="0" fillId="0" borderId="1" pivotButton="0" quotePrefix="0" xfId="0"/>
    <xf numFmtId="1" fontId="0" fillId="0" borderId="0" pivotButton="0" quotePrefix="0" xfId="0"/>
    <xf numFmtId="1" fontId="0" fillId="0" borderId="1" pivotButton="0" quotePrefix="0" xfId="0"/>
    <xf numFmtId="0" fontId="5" fillId="3" borderId="0" pivotButton="0" quotePrefix="0" xfId="0"/>
    <xf numFmtId="0" fontId="5" fillId="3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5" fillId="3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applyAlignment="1" pivotButton="0" quotePrefix="0" xfId="0">
      <alignment horizontal="center" vertical="center"/>
    </xf>
    <xf numFmtId="4" fontId="5" fillId="3" borderId="0" applyAlignment="1" pivotButton="0" quotePrefix="0" xfId="0">
      <alignment horizontal="center" vertical="center"/>
    </xf>
    <xf numFmtId="4" fontId="5" fillId="3" borderId="1" applyAlignment="1" pivotButton="0" quotePrefix="0" xfId="0">
      <alignment horizontal="center" vertical="center"/>
    </xf>
    <xf numFmtId="165" fontId="5" fillId="3" borderId="0" applyAlignment="1" pivotButton="0" quotePrefix="0" xfId="0">
      <alignment horizontal="center" vertical="center"/>
    </xf>
    <xf numFmtId="165" fontId="5" fillId="3" borderId="1" applyAlignment="1" pivotButton="0" quotePrefix="0" xfId="0">
      <alignment horizontal="center" vertical="center"/>
    </xf>
    <xf numFmtId="1" fontId="5" fillId="3" borderId="0" applyAlignment="1" pivotButton="0" quotePrefix="0" xfId="0">
      <alignment horizontal="center" vertical="center"/>
    </xf>
    <xf numFmtId="1" fontId="5" fillId="3" borderId="1" applyAlignment="1" pivotButton="0" quotePrefix="0" xfId="0">
      <alignment horizontal="center" vertical="center"/>
    </xf>
    <xf numFmtId="167" fontId="0" fillId="0" borderId="0" pivotButton="0" quotePrefix="0" xfId="0"/>
    <xf numFmtId="167" fontId="0" fillId="0" borderId="1" pivotButton="0" quotePrefix="0" xfId="0"/>
    <xf numFmtId="0" fontId="2" fillId="4" borderId="0" applyAlignment="1" pivotButton="0" quotePrefix="0" xfId="0">
      <alignment vertical="top" wrapText="1"/>
    </xf>
    <xf numFmtId="0" fontId="6" fillId="4" borderId="0" applyAlignment="1" pivotButton="0" quotePrefix="0" xfId="0">
      <alignment vertical="top" wrapText="1"/>
    </xf>
    <xf numFmtId="4" fontId="5" fillId="3" borderId="0" applyAlignment="1" pivotButton="0" quotePrefix="0" xfId="0">
      <alignment horizontal="center" vertical="center"/>
    </xf>
    <xf numFmtId="165" fontId="5" fillId="3" borderId="0" applyAlignment="1" pivotButton="0" quotePrefix="0" xfId="0">
      <alignment horizontal="center" vertical="center"/>
    </xf>
    <xf numFmtId="1" fontId="5" fillId="3" borderId="0" applyAlignment="1" pivotButton="0" quotePrefix="0" xfId="0">
      <alignment horizontal="center" vertical="center"/>
    </xf>
    <xf numFmtId="164" fontId="0" fillId="5" borderId="0" pivotButton="0" quotePrefix="0" xfId="0"/>
    <xf numFmtId="166" fontId="0" fillId="0" borderId="0" pivotButton="0" quotePrefix="0" xfId="0"/>
    <xf numFmtId="167" fontId="0" fillId="0" borderId="0" pivotButton="0" quotePrefix="0" xfId="0"/>
    <xf numFmtId="164" fontId="0" fillId="5" borderId="0" applyAlignment="1" pivotButton="0" quotePrefix="0" xfId="0">
      <alignment wrapText="1"/>
    </xf>
    <xf numFmtId="4" fontId="0" fillId="5" borderId="0" applyAlignment="1" pivotButton="0" quotePrefix="0" xfId="0">
      <alignment wrapText="1"/>
    </xf>
    <xf numFmtId="4" fontId="0" fillId="4" borderId="0" applyAlignment="1" pivotButton="0" quotePrefix="0" xfId="0">
      <alignment wrapText="1"/>
    </xf>
    <xf numFmtId="164" fontId="0" fillId="0" borderId="0" applyAlignment="1" pivotButton="0" quotePrefix="0" xfId="0">
      <alignment wrapText="1"/>
    </xf>
    <xf numFmtId="4" fontId="0" fillId="0" borderId="0" applyAlignment="1" pivotButton="0" quotePrefix="0" xfId="0">
      <alignment wrapText="1"/>
    </xf>
    <xf numFmtId="9" fontId="0" fillId="0" borderId="0" applyAlignment="1" pivotButton="0" quotePrefix="0" xfId="0">
      <alignment wrapText="1"/>
    </xf>
    <xf numFmtId="165" fontId="0" fillId="0" borderId="0" applyAlignment="1" pivotButton="0" quotePrefix="0" xfId="0">
      <alignment wrapText="1"/>
    </xf>
    <xf numFmtId="4" fontId="0" fillId="0" borderId="0" pivotButton="0" quotePrefix="0" xfId="0"/>
    <xf numFmtId="165" fontId="0" fillId="0" borderId="0" pivotButton="0" quotePrefix="0" xfId="0"/>
    <xf numFmtId="1" fontId="0" fillId="0" borderId="0" pivotButton="0" quotePrefix="0" xfId="0"/>
    <xf numFmtId="2" fontId="0" fillId="0" borderId="0" pivotButton="0" quotePrefix="0" xfId="0"/>
    <xf numFmtId="9" fontId="0" fillId="0" borderId="0" pivotButton="0" quotePrefix="0" xfId="0"/>
  </cellXfs>
  <cellStyles count="1">
    <cellStyle name="Normal" xfId="0"/>
  </cellStyles>
  <dxfs count="6">
    <dxf>
      <font>
        <b val="1"/>
        <color rgb="007F1D1D"/>
      </font>
      <fill>
        <patternFill patternType="solid">
          <bgColor rgb="00FCA5A5"/>
        </patternFill>
      </fill>
    </dxf>
    <dxf>
      <font>
        <b val="1"/>
        <color rgb="007C2D12"/>
      </font>
      <fill>
        <patternFill patternType="solid">
          <bgColor rgb="00FDBA74"/>
        </patternFill>
      </fill>
    </dxf>
    <dxf>
      <font>
        <b val="1"/>
        <color rgb="00713F12"/>
      </font>
      <fill>
        <patternFill patternType="solid">
          <bgColor rgb="00FEF3C7"/>
        </patternFill>
      </fill>
    </dxf>
    <dxf>
      <font>
        <color rgb="0014532D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月度能耗趋势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電気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'ダッシュボード'!$A$12:$A$23</f>
              <strCache>
                <ptCount val="0"/>
              </strCache>
            </strRef>
          </cat>
          <val>
            <numRef>
              <f>'ダッシュボード'!$B$12:$B$23</f>
              <numCache>
                <formatCode>#,##0.0</formatCode>
                <ptCount val="0"/>
              </numCache>
            </numRef>
          </val>
          <smooth val="0"/>
        </ser>
        <ser>
          <idx val="1"/>
          <order val="1"/>
          <tx>
            <v>水道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'ダッシュボード'!$A$12:$A$23</f>
              <strCache>
                <ptCount val="0"/>
              </strCache>
            </strRef>
          </cat>
          <val>
            <numRef>
              <f>'ダッシュボード'!$C$12:$C$23</f>
              <numCache>
                <formatCode>#,##0.0</formatCode>
                <ptCount val="0"/>
              </numCache>
            </numRef>
          </val>
          <smooth val="0"/>
        </ser>
        <ser>
          <idx val="2"/>
          <order val="2"/>
          <tx>
            <v>ガス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'ダッシュボード'!$A$12:$A$23</f>
              <strCache>
                <ptCount val="0"/>
              </strCache>
            </strRef>
          </cat>
          <val>
            <numRef>
              <f>'ダッシュボード'!$D$12:$D$23</f>
              <numCache>
                <formatCode>#,##0.0</formatCode>
                <ptCount val="0"/>
              </numCache>
            </numRef>
          </val>
          <smooth val="0"/>
        </ser>
        <ser>
          <idx val="3"/>
          <order val="3"/>
          <tx>
            <v>熱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'ダッシュボード'!$A$12:$A$23</f>
              <strCache>
                <ptCount val="0"/>
              </strCache>
            </strRef>
          </cat>
          <val>
            <numRef>
              <f>'ダッシュボード'!$E$12:$E$23</f>
              <numCache>
                <formatCode>#,##0.0</formatCode>
                <ptCount val="0"/>
              </numCache>
            </numRef>
          </val>
          <smooth val="0"/>
        </ser>
        <ser>
          <idx val="4"/>
          <order val="4"/>
          <tx>
            <v>蒸気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'ダッシュボード'!$A$12:$A$23</f>
              <strCache>
                <ptCount val="0"/>
              </strCache>
            </strRef>
          </cat>
          <val>
            <numRef>
              <f>'ダッシュボード'!$F$12:$F$23</f>
              <numCache>
                <formatCode>#,##0.0</formatCode>
                <ptCount val="0"/>
              </numCache>
            </numRef>
          </val>
          <smooth val="0"/>
        </ser>
        <ser>
          <idx val="5"/>
          <order val="5"/>
          <tx>
            <v>冷熱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'ダッシュボード'!$A$12:$A$23</f>
              <strCache>
                <ptCount val="0"/>
              </strCache>
            </strRef>
          </cat>
          <val>
            <numRef>
              <f>'ダッシュボード'!$G$12:$G$23</f>
              <numCache>
                <formatCode>#,##0.0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Anomaly category分布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'ダッシュボード'!$I$12:$I$18</f>
              <strCache>
                <ptCount val="0"/>
              </strCache>
            </strRef>
          </cat>
          <val>
            <numRef>
              <f>'ダッシュボード'!$J$12:$J$18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各Business scenarioAnomalies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Anomalies</v>
          </tx>
          <spPr>
            <a:ln xmlns:a="http://schemas.openxmlformats.org/drawingml/2006/main">
              <a:prstDash val="solid"/>
            </a:ln>
          </spPr>
          <cat>
            <strRef>
              <f>'ダッシュボード'!$L$12:$L$19</f>
              <strCache>
                <ptCount val="0"/>
              </strCache>
            </strRef>
          </cat>
          <val>
            <numRef>
              <f>'ダッシュボード'!$M$12:$M$19</f>
              <numCach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月度各能源用量趋势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v>電気(kWh)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'月次集計'!$A$5:$A$16</f>
              <strCache>
                <ptCount val="0"/>
              </strCache>
            </strRef>
          </cat>
          <val>
            <numRef>
              <f>'月次集計'!$B$5:$B$16</f>
              <numCache>
                <formatCode>#,##0.00</formatCode>
                <ptCount val="0"/>
              </numCache>
            </numRef>
          </val>
          <smooth val="0"/>
        </ser>
        <ser>
          <idx val="1"/>
          <order val="1"/>
          <tx>
            <v>水道(m³)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'月次集計'!$A$5:$A$16</f>
              <strCache>
                <ptCount val="0"/>
              </strCache>
            </strRef>
          </cat>
          <val>
            <numRef>
              <f>'月次集計'!$C$5:$C$16</f>
              <numCache>
                <formatCode>#,##0.00</formatCode>
                <ptCount val="0"/>
              </numCache>
            </numRef>
          </val>
          <smooth val="0"/>
        </ser>
        <ser>
          <idx val="2"/>
          <order val="2"/>
          <tx>
            <v>ガス(m³)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'月次集計'!$A$5:$A$16</f>
              <strCache>
                <ptCount val="0"/>
              </strCache>
            </strRef>
          </cat>
          <val>
            <numRef>
              <f>'月次集計'!$D$5:$D$16</f>
              <numCache>
                <formatCode>#,##0.00</formatCode>
                <ptCount val="0"/>
              </numCache>
            </numRef>
          </val>
          <smooth val="0"/>
        </ser>
        <ser>
          <idx val="3"/>
          <order val="3"/>
          <tx>
            <v>熱(GJ)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'月次集計'!$A$5:$A$16</f>
              <strCache>
                <ptCount val="0"/>
              </strCache>
            </strRef>
          </cat>
          <val>
            <numRef>
              <f>'月次集計'!$E$5:$E$16</f>
              <numCache>
                <formatCode>#,##0.00</formatCode>
                <ptCount val="0"/>
              </numCache>
            </numRef>
          </val>
          <smooth val="0"/>
        </ser>
        <ser>
          <idx val="4"/>
          <order val="4"/>
          <tx>
            <v>蒸気(t)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'月次集計'!$A$5:$A$16</f>
              <strCache>
                <ptCount val="0"/>
              </strCache>
            </strRef>
          </cat>
          <val>
            <numRef>
              <f>'月次集計'!$F$5:$F$16</f>
              <numCache>
                <formatCode>#,##0.00</formatCode>
                <ptCount val="0"/>
              </numCache>
            </numRef>
          </val>
          <smooth val="0"/>
        </ser>
        <ser>
          <idx val="5"/>
          <order val="5"/>
          <tx>
            <v>冷熱(GJ)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'月次集計'!$A$5:$A$16</f>
              <strCache>
                <ptCount val="0"/>
              </strCache>
            </strRef>
          </cat>
          <val>
            <numRef>
              <f>'月次集計'!$G$5:$G$16</f>
              <numCache>
                <formatCode>#,##0.00</formatCode>
                <ptCount val="0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axId val="48650112"/>
        <axId val="48672768"/>
      </line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能源用量与费用结构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Usage summary</v>
          </tx>
          <spPr>
            <a:ln xmlns:a="http://schemas.openxmlformats.org/drawingml/2006/main">
              <a:prstDash val="solid"/>
            </a:ln>
          </spPr>
          <cat>
            <strRef>
              <f>'月次集計'!$M$5:$M$11</f>
              <strCache>
                <ptCount val="0"/>
              </strCache>
            </strRef>
          </cat>
          <val>
            <numRef>
              <f>'月次集計'!$N$5:$N$11</f>
              <numCache>
                <formatCode>#,##0.00</formatCode>
                <ptCount val="0"/>
              </numCache>
            </numRef>
          </val>
        </ser>
        <ser>
          <idx val="1"/>
          <order val="1"/>
          <tx>
            <v>Cost summary</v>
          </tx>
          <spPr>
            <a:ln xmlns:a="http://schemas.openxmlformats.org/drawingml/2006/main">
              <a:prstDash val="solid"/>
            </a:ln>
          </spPr>
          <cat>
            <strRef>
              <f>'月次集計'!$M$5:$M$11</f>
              <strCache>
                <ptCount val="0"/>
              </strCache>
            </strRef>
          </cat>
          <val>
            <numRef>
              <f>'月次集計'!$O$5:$O$11</f>
              <numCache>
                <formatCode>¥#,##0.00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_rels/drawing2.xml.rels><Relationships xmlns="http://schemas.openxmlformats.org/package/2006/relationships"><Relationship Type="http://schemas.openxmlformats.org/officeDocument/2006/relationships/chart" Target="/xl/charts/chart4.xml" Id="rId1"/><Relationship Type="http://schemas.openxmlformats.org/officeDocument/2006/relationships/chart" Target="/xl/charts/chart5.xml" Id="rId2"/></Relationships>
</file>

<file path=xl/drawings/drawing1.xml><?xml version="1.0" encoding="utf-8"?>
<wsDr xmlns="http://schemas.openxmlformats.org/drawingml/2006/spreadsheetDrawing">
  <twoCellAnchor>
    <from>
      <col>0</col>
      <colOff>0</colOff>
      <row>25</row>
      <rowOff>0</rowOff>
    </from>
    <to>
      <col>7</col>
      <colOff>0</colOff>
      <row>43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8</col>
      <colOff>0</colOff>
      <row>25</row>
      <rowOff>0</rowOff>
    </from>
    <to>
      <col>13</col>
      <colOff>0</colOff>
      <row>43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0</col>
      <colOff>0</colOff>
      <row>44</row>
      <rowOff>0</rowOff>
    </from>
    <to>
      <col>7</col>
      <colOff>0</colOff>
      <row>62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0</col>
      <colOff>0</colOff>
      <row>18</row>
      <rowOff>0</rowOff>
    </from>
    <to>
      <col>11</col>
      <colOff>0</colOff>
      <row>36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0</colOff>
      <row>12</row>
      <rowOff>0</rowOff>
    </from>
    <to>
      <col>20</col>
      <colOff>0</colOff>
      <row>31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ables/table1.xml><?xml version="1.0" encoding="utf-8"?>
<table xmlns="http://schemas.openxmlformats.org/spreadsheetml/2006/main" id="1" name="UtilityData" displayName="UtilityData" ref="A5:Y205" headerRowCount="1">
  <tableColumns count="25">
    <tableColumn id="1" name="Record ID"/>
    <tableColumn id="2" name="Date"/>
    <tableColumn id="3" name="Company"/>
    <tableColumn id="4" name="Business scenario"/>
    <tableColumn id="5" name="Area / site"/>
    <tableColumn id="6" name="Building / floor"/>
    <tableColumn id="7" name="Department / tenant / line"/>
    <tableColumn id="8" name="Equipment / metering point"/>
    <tableColumn id="9" name="Meter ID"/>
    <tableColumn id="10" name="Energy type"/>
    <tableColumn id="11" name="Unit"/>
    <tableColumn id="12" name="Current reading"/>
    <tableColumn id="13" name="Previous reading"/>
    <tableColumn id="14" name="Current usage"/>
    <tableColumn id="15" name="Unit price"/>
    <tableColumn id="16" name="Amount"/>
    <tableColumn id="17" name="Time band / shift"/>
    <tableColumn id="18" name="Occupancy"/>
    <tableColumn id="19" name="Area m2"/>
    <tableColumn id="20" name="Output / business volume"/>
    <tableColumn id="21" name="Carbon kgCO2e"/>
    <tableColumn id="22" name="Energy per area"/>
    <tableColumn id="23" name="Energy per business volume"/>
    <tableColumn id="24" name="Data source"/>
    <tableColumn id="25" name="Notes"/>
  </tableColumns>
  <tableStyleInfo name="TableStyleMedium2" showRowStripes="1"/>
</table>
</file>

<file path=xl/tables/table2.xml><?xml version="1.0" encoding="utf-8"?>
<table xmlns="http://schemas.openxmlformats.org/spreadsheetml/2006/main" id="2" name="AnomalyDetection" displayName="AnomalyDetection" ref="A5:X205" headerRowCount="1">
  <tableColumns count="24">
    <tableColumn id="1" name="Anomaly ID"/>
    <tableColumn id="2" name="Detection date"/>
    <tableColumn id="3" name="Company"/>
    <tableColumn id="4" name="Business scenario"/>
    <tableColumn id="5" name="Area / site"/>
    <tableColumn id="6" name="Department / object"/>
    <tableColumn id="7" name="Equipment / metering point"/>
    <tableColumn id="8" name="Energy type"/>
    <tableColumn id="9" name="Current usage"/>
    <tableColumn id="10" name="7-day baseline"/>
    <tableColumn id="11" name="Deviation rate"/>
    <tableColumn id="12" name="Energy per area"/>
    <tableColumn id="13" name="Alert threshold"/>
    <tableColumn id="14" name="Anomaly category"/>
    <tableColumn id="15" name="Risk level"/>
    <tableColumn id="16" name="Financial impact"/>
    <tableColumn id="17" name="Recommended action"/>
    <tableColumn id="18" name="Responsible role"/>
    <tableColumn id="19" name="Status"/>
    <tableColumn id="20" name="Planned completion date"/>
    <tableColumn id="21" name="Overdue?"/>
    <tableColumn id="22" name="Work order No."/>
    <tableColumn id="23" name="Close date"/>
    <tableColumn id="24" name="Notes"/>
  </tableColumns>
  <tableStyleInfo name="TableStyleMedium2" showRowStripes="1"/>
</table>
</file>

<file path=xl/tables/table3.xml><?xml version="1.0" encoding="utf-8"?>
<table xmlns="http://schemas.openxmlformats.org/spreadsheetml/2006/main" id="3" name="WorkOrderClosure" displayName="WorkOrderClosure" ref="A5:T105" headerRowCount="1">
  <tableColumns count="20">
    <tableColumn id="1" name="Work order ID"/>
    <tableColumn id="2" name="Anomaly ID"/>
    <tableColumn id="3" name="Discovery date"/>
    <tableColumn id="4" name="Company"/>
    <tableColumn id="5" name="Business scenario"/>
    <tableColumn id="6" name="Area / site"/>
    <tableColumn id="7" name="Equipment / metering point"/>
    <tableColumn id="8" name="Energy type"/>
    <tableColumn id="9" name="Anomaly category"/>
    <tableColumn id="10" name="Risk level"/>
    <tableColumn id="11" name="Owner"/>
    <tableColumn id="12" name="Status"/>
    <tableColumn id="13" name="Planned completion date"/>
    <tableColumn id="14" name="Actual completion date"/>
    <tableColumn id="15" name="Overdue?"/>
    <tableColumn id="16" name="Root cause category"/>
    <tableColumn id="17" name="Corrective action"/>
    <tableColumn id="18" name="Estimated / actual savings quantity"/>
    <tableColumn id="19" name="Savings amount"/>
    <tableColumn id="20" name="Review conclusion"/>
  </tableColumns>
  <tableStyleInfo name="TableStyleMedium2" showRowStripes="1"/>
</table>
</file>

<file path=xl/tables/table4.xml><?xml version="1.0" encoding="utf-8"?>
<table xmlns="http://schemas.openxmlformats.org/spreadsheetml/2006/main" id="4" name="MonthlySummary" displayName="MonthlySummary" ref="A4:K16" headerRowCount="1">
  <tableColumns count="11">
    <tableColumn id="1" name="Month"/>
    <tableColumn id="2" name="電気(kWh)"/>
    <tableColumn id="3" name="水道(m³)"/>
    <tableColumn id="4" name="ガス(m³)"/>
    <tableColumn id="5" name="熱(GJ)"/>
    <tableColumn id="6" name="蒸気(t)"/>
    <tableColumn id="7" name="冷熱(GJ)"/>
    <tableColumn id="8" name="Total cost"/>
    <tableColumn id="9" name="Anomalies"/>
    <tableColumn id="10" name="High / severe anomalies"/>
    <tableColumn id="11" name="Carbon kgCO2e"/>
  </tableColumns>
  <tableStyleInfo name="TableStyleMedium2" showRowStripes="1"/>
</table>
</file>

<file path=xl/tables/table5.xml><?xml version="1.0" encoding="utf-8"?>
<table xmlns="http://schemas.openxmlformats.org/spreadsheetml/2006/main" id="5" name="AnomalyRuleLibrary" displayName="AnomalyRuleLibrary" ref="A4:M14" headerRowCount="1">
  <tableColumns count="13">
    <tableColumn id="1" name="Rule ID"/>
    <tableColumn id="2" name="Enabled"/>
    <tableColumn id="3" name="Business scenario"/>
    <tableColumn id="4" name="Energy type"/>
    <tableColumn id="5" name="Anomaly type"/>
    <tableColumn id="6" name="Metric / checkpoint"/>
    <tableColumn id="7" name="Alert threshold"/>
    <tableColumn id="8" name="Severe threshold"/>
    <tableColumn id="9" name="Calculation basis"/>
    <tableColumn id="10" name="Applicable objects"/>
    <tableColumn id="11" name="Recommended action"/>
    <tableColumn id="12" name="SLA hours"/>
    <tableColumn id="13" name="Responsible role"/>
  </tableColumns>
  <tableStyleInfo name="TableStyleMedium2" showRowStripes="1"/>
</table>
</file>

<file path=xl/tables/table6.xml><?xml version="1.0" encoding="utf-8"?>
<table xmlns="http://schemas.openxmlformats.org/spreadsheetml/2006/main" id="6" name="ScenarioLibrary" displayName="ScenarioLibrary" ref="A3:F11" headerRowCount="1">
  <tableColumns count="6">
    <tableColumn id="1" name="Business scenario"/>
    <tableColumn id="2" name="Main objects"/>
    <tableColumn id="3" name="Key metrics"/>
    <tableColumn id="4" name="Common anomalies"/>
    <tableColumn id="5" name="Alert action"/>
    <tableColumn id="6" name="Management focus"/>
  </tableColumns>
  <tableStyleInfo name="TableStyleMedium2" showRowStripes="1"/>
</table>
</file>

<file path=xl/tables/table7.xml><?xml version="1.0" encoding="utf-8"?>
<table xmlns="http://schemas.openxmlformats.org/spreadsheetml/2006/main" id="7" name="EnergySettings" displayName="EnergySettings" ref="A12:K19" headerRowCount="1">
  <tableColumns count="11">
    <tableColumn id="1" name="Energy type"/>
    <tableColumn id="2" name="Default unit"/>
    <tableColumn id="3" name="Default unit price"/>
    <tableColumn id="4" name="Carbon factor kgCO2e / unit"/>
    <tableColumn id="5" name="Alert deviation %"/>
    <tableColumn id="6" name="Severe deviation %"/>
    <tableColumn id="7" name="Drop deviation %"/>
    <tableColumn id="8" name="Area intensity threshold"/>
    <tableColumn id="9" name="Business volume threshold"/>
    <tableColumn id="10" name="Low-load / night threshold"/>
    <tableColumn id="11" name="Default role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table" Target="/xl/tables/table4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0" customWidth="1" min="3" max="3"/>
    <col width="4" customWidth="1" min="4" max="4"/>
    <col width="14" customWidth="1" min="5" max="5"/>
    <col width="14" customWidth="1" min="6" max="6"/>
    <col width="14" customWidth="1" min="7" max="7"/>
    <col width="14" customWidth="1" min="8" max="8"/>
    <col width="18" customWidth="1" min="9" max="9"/>
    <col width="14" customWidth="1" min="10" max="10"/>
    <col width="4" customWidth="1" min="11" max="11"/>
    <col width="24" customWidth="1" min="12" max="12"/>
    <col width="12" customWidth="1" min="13" max="13"/>
  </cols>
  <sheetData>
    <row r="1" ht="34" customHeight="1">
      <c r="A1" s="61" t="inlineStr">
        <is>
          <t>水道・電気・ガス使用量異常検知表 - 共通ダッシュボード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4" customHeight="1"/>
    <row r="3" ht="24" customHeight="1">
      <c r="A3" s="44" t="inlineStr">
        <is>
          <t>Filters</t>
        </is>
      </c>
      <c r="B3" s="44" t="inlineStr">
        <is>
          <t>Current value</t>
        </is>
      </c>
      <c r="C3" s="44" t="inlineStr">
        <is>
          <t>Description</t>
        </is>
      </c>
      <c r="E3" s="30" t="inlineStr">
        <is>
          <t>Total usage</t>
        </is>
      </c>
      <c r="F3" s="30" t="inlineStr">
        <is>
          <t>Total cost</t>
        </is>
      </c>
      <c r="G3" s="30" t="inlineStr">
        <is>
          <t>Anomaly count</t>
        </is>
      </c>
      <c r="H3" s="30" t="inlineStr">
        <is>
          <t>High / severe anomalies</t>
        </is>
      </c>
      <c r="I3" s="30" t="inlineStr">
        <is>
          <t>Open anomalies</t>
        </is>
      </c>
      <c r="J3" s="30" t="inlineStr">
        <is>
          <t>Carbon kgCO2e</t>
        </is>
      </c>
    </row>
    <row r="4" ht="34" customHeight="1">
      <c r="A4" s="19" t="inlineStr">
        <is>
          <t>Company</t>
        </is>
      </c>
      <c r="B4" s="22" t="inlineStr">
        <is>
          <t>すべて</t>
        </is>
      </c>
      <c r="C4" t="inlineStr">
        <is>
          <t>选择Company或填“すべて”</t>
        </is>
      </c>
      <c r="E4" s="132">
        <f>SUMPRODUCT((('エネルギーデータ入力'!$B$6:$B$205&gt;=$B$5)*('エネルギーデータ入力'!$B$6:$B$205&lt;=$B$6)*((($B$4="すべて")+('エネルギーデータ入力'!$C$6:$C$205=$B$4))&gt;0)*((($B$7="すべて")+('エネルギーデータ入力'!$D$6:$D$205=$B$7))&gt;0)*((($B$8="すべて")+('エネルギーデータ入力'!$J$6:$J$205=$B$8))&gt;0))*'エネルギーデータ入力'!$N$6:$N$205)</f>
        <v/>
      </c>
      <c r="F4" s="133">
        <f>SUMPRODUCT((('エネルギーデータ入力'!$B$6:$B$205&gt;=$B$5)*('エネルギーデータ入力'!$B$6:$B$205&lt;=$B$6)*((($B$4="すべて")+('エネルギーデータ入力'!$C$6:$C$205=$B$4))&gt;0)*((($B$7="すべて")+('エネルギーデータ入力'!$D$6:$D$205=$B$7))&gt;0)*((($B$8="すべて")+('エネルギーデータ入力'!$J$6:$J$205=$B$8))&gt;0))*'エネルギーデータ入力'!$P$6:$P$205)</f>
        <v/>
      </c>
      <c r="G4" s="134">
        <f>SUMPRODUCT((('異常検知'!$B$6:$B$205&gt;=$B$5)*('異常検知'!$B$6:$B$205&lt;=$B$6)*((($B$4="すべて")+('異常検知'!$C$6:$C$205=$B$4))&gt;0)*((($B$7="すべて")+('異常検知'!$D$6:$D$205=$B$7))&gt;0)*((($B$8="すべて")+('異常検知'!$H$6:$H$205=$B$8))&gt;0))*('異常検知'!$N$6:$N$205&lt;&gt;"正常")*('異常検知'!$N$6:$N$205&lt;&gt;""))</f>
        <v/>
      </c>
      <c r="H4" s="134">
        <f>SUMPRODUCT((('異常検知'!$B$6:$B$205&gt;=$B$5)*('異常検知'!$B$6:$B$205&lt;=$B$6)*((($B$4="すべて")+('異常検知'!$C$6:$C$205=$B$4))&gt;0)*((($B$7="すべて")+('異常検知'!$D$6:$D$205=$B$7))&gt;0)*((($B$8="すべて")+('異常検知'!$H$6:$H$205=$B$8))&gt;0))*(('異常検知'!$O$6:$O$205="高")+('異常検知'!$O$6:$O$205="重大")))</f>
        <v/>
      </c>
      <c r="I4" s="134">
        <f>SUMPRODUCT((('異常検知'!$B$6:$B$205&gt;=$B$5)*('異常検知'!$B$6:$B$205&lt;=$B$6)*((($B$4="すべて")+('異常検知'!$C$6:$C$205=$B$4))&gt;0)*((($B$7="すべて")+('異常検知'!$D$6:$D$205=$B$7))&gt;0)*((($B$8="すべて")+('異常検知'!$H$6:$H$205=$B$8))&gt;0))*('異常検知'!$N$6:$N$205&lt;&gt;"正常")*('異常検知'!$N$6:$N$205&lt;&gt;"")*('異常検知'!$S$6:$S$205&lt;&gt;"完了")*('異常検知'!$S$6:$S$205&lt;&gt;"対応不要"))</f>
        <v/>
      </c>
      <c r="J4" s="132">
        <f>SUMPRODUCT((('エネルギーデータ入力'!$B$6:$B$205&gt;=$B$5)*('エネルギーデータ入力'!$B$6:$B$205&lt;=$B$6)*((($B$4="すべて")+('エネルギーデータ入力'!$C$6:$C$205=$B$4))&gt;0)*((($B$7="すべて")+('エネルギーデータ入力'!$D$6:$D$205=$B$7))&gt;0)*((($B$8="すべて")+('エネルギーデータ入力'!$J$6:$J$205=$B$8))&gt;0))*'エネルギーデータ入力'!$U$6:$U$205)</f>
        <v/>
      </c>
    </row>
    <row r="5">
      <c r="A5" s="19" t="inlineStr">
        <is>
          <t>Start date</t>
        </is>
      </c>
      <c r="B5" s="135" t="n">
        <v>46113</v>
      </c>
      <c r="C5" t="inlineStr">
        <is>
          <t>统计起始日</t>
        </is>
      </c>
    </row>
    <row r="6" ht="26" customHeight="1">
      <c r="A6" s="19" t="inlineStr">
        <is>
          <t>End date</t>
        </is>
      </c>
      <c r="B6" s="135" t="n">
        <v>46142</v>
      </c>
      <c r="C6" t="inlineStr">
        <is>
          <t>统计结束日</t>
        </is>
      </c>
      <c r="E6" s="131" t="inlineStr">
        <is>
          <t>Dashboard notes</t>
        </is>
      </c>
      <c r="F6" s="17" t="inlineStr">
        <is>
          <t>Anomaly count基于《異常検知》；High / severe anomaliesRecommendation优先闭环；Total cost和碳排来自录入数据的Unit price与碳因子。</t>
        </is>
      </c>
      <c r="G6" s="1" t="n"/>
      <c r="H6" s="1" t="n"/>
      <c r="I6" s="1" t="n"/>
      <c r="J6" s="1" t="n"/>
    </row>
    <row r="7" ht="26" customHeight="1">
      <c r="A7" s="19" t="inlineStr">
        <is>
          <t>Business scenario</t>
        </is>
      </c>
      <c r="B7" s="22" t="inlineStr">
        <is>
          <t>すべて</t>
        </is>
      </c>
      <c r="C7" t="inlineStr">
        <is>
          <t>按场景过滤</t>
        </is>
      </c>
      <c r="E7" s="131" t="inlineStr">
        <is>
          <t>Quick tip</t>
        </is>
      </c>
      <c r="F7" s="17" t="inlineStr">
        <is>
          <t>先维护《基本設定》，再粘贴《エネルギーデータ入力》，最后查看本页和《対応管理》。</t>
        </is>
      </c>
      <c r="G7" s="1" t="n"/>
      <c r="H7" s="1" t="n"/>
      <c r="I7" s="1" t="n"/>
      <c r="J7" s="1" t="n"/>
    </row>
    <row r="8" ht="26" customHeight="1">
      <c r="A8" s="19" t="inlineStr">
        <is>
          <t>Energy type</t>
        </is>
      </c>
      <c r="B8" s="22" t="inlineStr">
        <is>
          <t>すべて</t>
        </is>
      </c>
      <c r="C8" t="inlineStr">
        <is>
          <t>按Energy type过滤</t>
        </is>
      </c>
      <c r="E8" s="131" t="inlineStr">
        <is>
          <t>Scope</t>
        </is>
      </c>
      <c r="F8" s="17" t="inlineStr">
        <is>
          <t>办公楼、商业综合体、工厂、School / hospital、酒店公寓、数据中心、市政供水道、集团多Company。</t>
        </is>
      </c>
      <c r="G8" s="1" t="n"/>
      <c r="H8" s="1" t="n"/>
      <c r="I8" s="1" t="n"/>
      <c r="J8" s="1" t="n"/>
    </row>
    <row r="9"/>
    <row r="10"/>
    <row r="11">
      <c r="A11" s="30" t="inlineStr">
        <is>
          <t>Month</t>
        </is>
      </c>
      <c r="B11" s="30" t="inlineStr">
        <is>
          <t>電気</t>
        </is>
      </c>
      <c r="C11" s="30" t="inlineStr">
        <is>
          <t>水道</t>
        </is>
      </c>
      <c r="D11" s="30" t="inlineStr">
        <is>
          <t>ガス</t>
        </is>
      </c>
      <c r="E11" s="30" t="inlineStr">
        <is>
          <t>熱</t>
        </is>
      </c>
      <c r="F11" s="30" t="inlineStr">
        <is>
          <t>蒸気</t>
        </is>
      </c>
      <c r="G11" s="30" t="inlineStr">
        <is>
          <t>冷熱</t>
        </is>
      </c>
      <c r="I11" s="94" t="inlineStr">
        <is>
          <t>Anomaly category</t>
        </is>
      </c>
      <c r="J11" s="94" t="inlineStr">
        <is>
          <t>Count</t>
        </is>
      </c>
      <c r="L11" s="44" t="inlineStr">
        <is>
          <t>Business scenario</t>
        </is>
      </c>
      <c r="M11" s="44" t="inlineStr">
        <is>
          <t>Anomalies</t>
        </is>
      </c>
    </row>
    <row r="12">
      <c r="A12" s="136" t="n">
        <v>46023</v>
      </c>
      <c r="B12" s="137">
        <f>SUMIFS('エネルギーデータ入力'!$N$6:$N$205,'エネルギーデータ入力'!$B$6:$B$205,"&gt;="&amp;$A12,'エネルギーデータ入力'!$B$6:$B$205,"&lt;"&amp;EDATE($A12,1),'エネルギーデータ入力'!$J$6:$J$205,"電気")</f>
        <v/>
      </c>
      <c r="C12" s="137">
        <f>SUMIFS('エネルギーデータ入力'!$N$6:$N$205,'エネルギーデータ入力'!$B$6:$B$205,"&gt;="&amp;$A12,'エネルギーデータ入力'!$B$6:$B$205,"&lt;"&amp;EDATE($A12,1),'エネルギーデータ入力'!$J$6:$J$205,"水道")</f>
        <v/>
      </c>
      <c r="D12" s="137">
        <f>SUMIFS('エネルギーデータ入力'!$N$6:$N$205,'エネルギーデータ入力'!$B$6:$B$205,"&gt;="&amp;$A12,'エネルギーデータ入力'!$B$6:$B$205,"&lt;"&amp;EDATE($A12,1),'エネルギーデータ入力'!$J$6:$J$205,"ガス")</f>
        <v/>
      </c>
      <c r="E12" s="137">
        <f>SUMIFS('エネルギーデータ入力'!$N$6:$N$205,'エネルギーデータ入力'!$B$6:$B$205,"&gt;="&amp;$A12,'エネルギーデータ入力'!$B$6:$B$205,"&lt;"&amp;EDATE($A12,1),'エネルギーデータ入力'!$J$6:$J$205,"熱")</f>
        <v/>
      </c>
      <c r="F12" s="137">
        <f>SUMIFS('エネルギーデータ入力'!$N$6:$N$205,'エネルギーデータ入力'!$B$6:$B$205,"&gt;="&amp;$A12,'エネルギーデータ入力'!$B$6:$B$205,"&lt;"&amp;EDATE($A12,1),'エネルギーデータ入力'!$J$6:$J$205,"蒸気")</f>
        <v/>
      </c>
      <c r="G12" s="137">
        <f>SUMIFS('エネルギーデータ入力'!$N$6:$N$205,'エネルギーデータ入力'!$B$6:$B$205,"&gt;="&amp;$A12,'エネルギーデータ入力'!$B$6:$B$205,"&lt;"&amp;EDATE($A12,1),'エネルギーデータ入力'!$J$6:$J$205,"冷熱")</f>
        <v/>
      </c>
      <c r="I12" t="inlineStr">
        <is>
          <t>正常</t>
        </is>
      </c>
      <c r="J12">
        <f>COUNTIFS('異常検知'!$N$6:$N$205,$I12)</f>
        <v/>
      </c>
      <c r="L12" t="inlineStr">
        <is>
          <t>Office building / headquarters campus</t>
        </is>
      </c>
      <c r="M12">
        <f>COUNTIFS('異常検知'!$D$6:$D$205,$L12,'異常検知'!$N$6:$N$205,"&lt;&gt;正常",'異常検知'!$N$6:$N$205,"&lt;&gt;")</f>
        <v/>
      </c>
    </row>
    <row r="13">
      <c r="A13" s="136" t="n">
        <v>46054</v>
      </c>
      <c r="B13" s="137">
        <f>SUMIFS('エネルギーデータ入力'!$N$6:$N$205,'エネルギーデータ入力'!$B$6:$B$205,"&gt;="&amp;$A13,'エネルギーデータ入力'!$B$6:$B$205,"&lt;"&amp;EDATE($A13,1),'エネルギーデータ入力'!$J$6:$J$205,"電気")</f>
        <v/>
      </c>
      <c r="C13" s="137">
        <f>SUMIFS('エネルギーデータ入力'!$N$6:$N$205,'エネルギーデータ入力'!$B$6:$B$205,"&gt;="&amp;$A13,'エネルギーデータ入力'!$B$6:$B$205,"&lt;"&amp;EDATE($A13,1),'エネルギーデータ入力'!$J$6:$J$205,"水道")</f>
        <v/>
      </c>
      <c r="D13" s="137">
        <f>SUMIFS('エネルギーデータ入力'!$N$6:$N$205,'エネルギーデータ入力'!$B$6:$B$205,"&gt;="&amp;$A13,'エネルギーデータ入力'!$B$6:$B$205,"&lt;"&amp;EDATE($A13,1),'エネルギーデータ入力'!$J$6:$J$205,"ガス")</f>
        <v/>
      </c>
      <c r="E13" s="137">
        <f>SUMIFS('エネルギーデータ入力'!$N$6:$N$205,'エネルギーデータ入力'!$B$6:$B$205,"&gt;="&amp;$A13,'エネルギーデータ入力'!$B$6:$B$205,"&lt;"&amp;EDATE($A13,1),'エネルギーデータ入力'!$J$6:$J$205,"熱")</f>
        <v/>
      </c>
      <c r="F13" s="137">
        <f>SUMIFS('エネルギーデータ入力'!$N$6:$N$205,'エネルギーデータ入力'!$B$6:$B$205,"&gt;="&amp;$A13,'エネルギーデータ入力'!$B$6:$B$205,"&lt;"&amp;EDATE($A13,1),'エネルギーデータ入力'!$J$6:$J$205,"蒸気")</f>
        <v/>
      </c>
      <c r="G13" s="137">
        <f>SUMIFS('エネルギーデータ入力'!$N$6:$N$205,'エネルギーデータ入力'!$B$6:$B$205,"&gt;="&amp;$A13,'エネルギーデータ入力'!$B$6:$B$205,"&lt;"&amp;EDATE($A13,1),'エネルギーデータ入力'!$J$6:$J$205,"冷熱")</f>
        <v/>
      </c>
      <c r="I13" t="inlineStr">
        <is>
          <t>Usage spike</t>
        </is>
      </c>
      <c r="J13">
        <f>COUNTIFS('異常検知'!$N$6:$N$205,$I13)</f>
        <v/>
      </c>
      <c r="L13" t="inlineStr">
        <is>
          <t>Commercial complex / office building</t>
        </is>
      </c>
      <c r="M13">
        <f>COUNTIFS('異常検知'!$D$6:$D$205,$L13,'異常検知'!$N$6:$N$205,"&lt;&gt;正常",'異常検知'!$N$6:$N$205,"&lt;&gt;")</f>
        <v/>
      </c>
    </row>
    <row r="14">
      <c r="A14" s="136" t="n">
        <v>46082</v>
      </c>
      <c r="B14" s="137">
        <f>SUMIFS('エネルギーデータ入力'!$N$6:$N$205,'エネルギーデータ入力'!$B$6:$B$205,"&gt;="&amp;$A14,'エネルギーデータ入力'!$B$6:$B$205,"&lt;"&amp;EDATE($A14,1),'エネルギーデータ入力'!$J$6:$J$205,"電気")</f>
        <v/>
      </c>
      <c r="C14" s="137">
        <f>SUMIFS('エネルギーデータ入力'!$N$6:$N$205,'エネルギーデータ入力'!$B$6:$B$205,"&gt;="&amp;$A14,'エネルギーデータ入力'!$B$6:$B$205,"&lt;"&amp;EDATE($A14,1),'エネルギーデータ入力'!$J$6:$J$205,"水道")</f>
        <v/>
      </c>
      <c r="D14" s="137">
        <f>SUMIFS('エネルギーデータ入力'!$N$6:$N$205,'エネルギーデータ入力'!$B$6:$B$205,"&gt;="&amp;$A14,'エネルギーデータ入力'!$B$6:$B$205,"&lt;"&amp;EDATE($A14,1),'エネルギーデータ入力'!$J$6:$J$205,"ガス")</f>
        <v/>
      </c>
      <c r="E14" s="137">
        <f>SUMIFS('エネルギーデータ入力'!$N$6:$N$205,'エネルギーデータ入力'!$B$6:$B$205,"&gt;="&amp;$A14,'エネルギーデータ入力'!$B$6:$B$205,"&lt;"&amp;EDATE($A14,1),'エネルギーデータ入力'!$J$6:$J$205,"熱")</f>
        <v/>
      </c>
      <c r="F14" s="137">
        <f>SUMIFS('エネルギーデータ入力'!$N$6:$N$205,'エネルギーデータ入力'!$B$6:$B$205,"&gt;="&amp;$A14,'エネルギーデータ入力'!$B$6:$B$205,"&lt;"&amp;EDATE($A14,1),'エネルギーデータ入力'!$J$6:$J$205,"蒸気")</f>
        <v/>
      </c>
      <c r="G14" s="137">
        <f>SUMIFS('エネルギーデータ入力'!$N$6:$N$205,'エネルギーデータ入力'!$B$6:$B$205,"&gt;="&amp;$A14,'エネルギーデータ入力'!$B$6:$B$205,"&lt;"&amp;EDATE($A14,1),'エネルギーデータ入力'!$J$6:$J$205,"冷熱")</f>
        <v/>
      </c>
      <c r="I14" t="inlineStr">
        <is>
          <t>Severe spike</t>
        </is>
      </c>
      <c r="J14">
        <f>COUNTIFS('異常検知'!$N$6:$N$205,$I14)</f>
        <v/>
      </c>
      <c r="L14" t="inlineStr">
        <is>
          <t>Industrial park / factory</t>
        </is>
      </c>
      <c r="M14">
        <f>COUNTIFS('異常検知'!$D$6:$D$205,$L14,'異常検知'!$N$6:$N$205,"&lt;&gt;正常",'異常検知'!$N$6:$N$205,"&lt;&gt;")</f>
        <v/>
      </c>
    </row>
    <row r="15">
      <c r="A15" s="136" t="n">
        <v>46113</v>
      </c>
      <c r="B15" s="137">
        <f>SUMIFS('エネルギーデータ入力'!$N$6:$N$205,'エネルギーデータ入力'!$B$6:$B$205,"&gt;="&amp;$A15,'エネルギーデータ入力'!$B$6:$B$205,"&lt;"&amp;EDATE($A15,1),'エネルギーデータ入力'!$J$6:$J$205,"電気")</f>
        <v/>
      </c>
      <c r="C15" s="137">
        <f>SUMIFS('エネルギーデータ入力'!$N$6:$N$205,'エネルギーデータ入力'!$B$6:$B$205,"&gt;="&amp;$A15,'エネルギーデータ入力'!$B$6:$B$205,"&lt;"&amp;EDATE($A15,1),'エネルギーデータ入力'!$J$6:$J$205,"水道")</f>
        <v/>
      </c>
      <c r="D15" s="137">
        <f>SUMIFS('エネルギーデータ入力'!$N$6:$N$205,'エネルギーデータ入力'!$B$6:$B$205,"&gt;="&amp;$A15,'エネルギーデータ入力'!$B$6:$B$205,"&lt;"&amp;EDATE($A15,1),'エネルギーデータ入力'!$J$6:$J$205,"ガス")</f>
        <v/>
      </c>
      <c r="E15" s="137">
        <f>SUMIFS('エネルギーデータ入力'!$N$6:$N$205,'エネルギーデータ入力'!$B$6:$B$205,"&gt;="&amp;$A15,'エネルギーデータ入力'!$B$6:$B$205,"&lt;"&amp;EDATE($A15,1),'エネルギーデータ入力'!$J$6:$J$205,"熱")</f>
        <v/>
      </c>
      <c r="F15" s="137">
        <f>SUMIFS('エネルギーデータ入力'!$N$6:$N$205,'エネルギーデータ入力'!$B$6:$B$205,"&gt;="&amp;$A15,'エネルギーデータ入力'!$B$6:$B$205,"&lt;"&amp;EDATE($A15,1),'エネルギーデータ入力'!$J$6:$J$205,"蒸気")</f>
        <v/>
      </c>
      <c r="G15" s="137">
        <f>SUMIFS('エネルギーデータ入力'!$N$6:$N$205,'エネルギーデータ入力'!$B$6:$B$205,"&gt;="&amp;$A15,'エネルギーデータ入力'!$B$6:$B$205,"&lt;"&amp;EDATE($A15,1),'エネルギーデータ入力'!$J$6:$J$205,"冷熱")</f>
        <v/>
      </c>
      <c r="I15" t="inlineStr">
        <is>
          <t>Usage drop</t>
        </is>
      </c>
      <c r="J15">
        <f>COUNTIFS('異常検知'!$N$6:$N$205,$I15)</f>
        <v/>
      </c>
      <c r="L15" t="inlineStr">
        <is>
          <t>School / hospital</t>
        </is>
      </c>
      <c r="M15">
        <f>COUNTIFS('異常検知'!$D$6:$D$205,$L15,'異常検知'!$N$6:$N$205,"&lt;&gt;正常",'異常検知'!$N$6:$N$205,"&lt;&gt;")</f>
        <v/>
      </c>
    </row>
    <row r="16">
      <c r="A16" s="136" t="n">
        <v>46143</v>
      </c>
      <c r="B16" s="137">
        <f>SUMIFS('エネルギーデータ入力'!$N$6:$N$205,'エネルギーデータ入力'!$B$6:$B$205,"&gt;="&amp;$A16,'エネルギーデータ入力'!$B$6:$B$205,"&lt;"&amp;EDATE($A16,1),'エネルギーデータ入力'!$J$6:$J$205,"電気")</f>
        <v/>
      </c>
      <c r="C16" s="137">
        <f>SUMIFS('エネルギーデータ入力'!$N$6:$N$205,'エネルギーデータ入力'!$B$6:$B$205,"&gt;="&amp;$A16,'エネルギーデータ入力'!$B$6:$B$205,"&lt;"&amp;EDATE($A16,1),'エネルギーデータ入力'!$J$6:$J$205,"水道")</f>
        <v/>
      </c>
      <c r="D16" s="137">
        <f>SUMIFS('エネルギーデータ入力'!$N$6:$N$205,'エネルギーデータ入力'!$B$6:$B$205,"&gt;="&amp;$A16,'エネルギーデータ入力'!$B$6:$B$205,"&lt;"&amp;EDATE($A16,1),'エネルギーデータ入力'!$J$6:$J$205,"ガス")</f>
        <v/>
      </c>
      <c r="E16" s="137">
        <f>SUMIFS('エネルギーデータ入力'!$N$6:$N$205,'エネルギーデータ入力'!$B$6:$B$205,"&gt;="&amp;$A16,'エネルギーデータ入力'!$B$6:$B$205,"&lt;"&amp;EDATE($A16,1),'エネルギーデータ入力'!$J$6:$J$205,"熱")</f>
        <v/>
      </c>
      <c r="F16" s="137">
        <f>SUMIFS('エネルギーデータ入力'!$N$6:$N$205,'エネルギーデータ入力'!$B$6:$B$205,"&gt;="&amp;$A16,'エネルギーデータ入力'!$B$6:$B$205,"&lt;"&amp;EDATE($A16,1),'エネルギーデータ入力'!$J$6:$J$205,"蒸気")</f>
        <v/>
      </c>
      <c r="G16" s="137">
        <f>SUMIFS('エネルギーデータ入力'!$N$6:$N$205,'エネルギーデータ入力'!$B$6:$B$205,"&gt;="&amp;$A16,'エネルギーデータ入力'!$B$6:$B$205,"&lt;"&amp;EDATE($A16,1),'エネルギーデータ入力'!$J$6:$J$205,"冷熱")</f>
        <v/>
      </c>
      <c r="I16" t="inlineStr">
        <is>
          <t>Area intensity overrun</t>
        </is>
      </c>
      <c r="J16">
        <f>COUNTIFS('異常検知'!$N$6:$N$205,$I16)</f>
        <v/>
      </c>
      <c r="L16" t="inlineStr">
        <is>
          <t>Hotel / serviced apartment</t>
        </is>
      </c>
      <c r="M16">
        <f>COUNTIFS('異常検知'!$D$6:$D$205,$L16,'異常検知'!$N$6:$N$205,"&lt;&gt;正常",'異常検知'!$N$6:$N$205,"&lt;&gt;")</f>
        <v/>
      </c>
    </row>
    <row r="17">
      <c r="A17" s="136" t="n">
        <v>46174</v>
      </c>
      <c r="B17" s="137">
        <f>SUMIFS('エネルギーデータ入力'!$N$6:$N$205,'エネルギーデータ入力'!$B$6:$B$205,"&gt;="&amp;$A17,'エネルギーデータ入力'!$B$6:$B$205,"&lt;"&amp;EDATE($A17,1),'エネルギーデータ入力'!$J$6:$J$205,"電気")</f>
        <v/>
      </c>
      <c r="C17" s="137">
        <f>SUMIFS('エネルギーデータ入力'!$N$6:$N$205,'エネルギーデータ入力'!$B$6:$B$205,"&gt;="&amp;$A17,'エネルギーデータ入力'!$B$6:$B$205,"&lt;"&amp;EDATE($A17,1),'エネルギーデータ入力'!$J$6:$J$205,"水道")</f>
        <v/>
      </c>
      <c r="D17" s="137">
        <f>SUMIFS('エネルギーデータ入力'!$N$6:$N$205,'エネルギーデータ入力'!$B$6:$B$205,"&gt;="&amp;$A17,'エネルギーデータ入力'!$B$6:$B$205,"&lt;"&amp;EDATE($A17,1),'エネルギーデータ入力'!$J$6:$J$205,"ガス")</f>
        <v/>
      </c>
      <c r="E17" s="137">
        <f>SUMIFS('エネルギーデータ入力'!$N$6:$N$205,'エネルギーデータ入力'!$B$6:$B$205,"&gt;="&amp;$A17,'エネルギーデータ入力'!$B$6:$B$205,"&lt;"&amp;EDATE($A17,1),'エネルギーデータ入力'!$J$6:$J$205,"熱")</f>
        <v/>
      </c>
      <c r="F17" s="137">
        <f>SUMIFS('エネルギーデータ入力'!$N$6:$N$205,'エネルギーデータ入力'!$B$6:$B$205,"&gt;="&amp;$A17,'エネルギーデータ入力'!$B$6:$B$205,"&lt;"&amp;EDATE($A17,1),'エネルギーデータ入力'!$J$6:$J$205,"蒸気")</f>
        <v/>
      </c>
      <c r="G17" s="137">
        <f>SUMIFS('エネルギーデータ入力'!$N$6:$N$205,'エネルギーデータ入力'!$B$6:$B$205,"&gt;="&amp;$A17,'エネルギーデータ入力'!$B$6:$B$205,"&lt;"&amp;EDATE($A17,1),'エネルギーデータ入力'!$J$6:$J$205,"冷熱")</f>
        <v/>
      </c>
      <c r="I17" t="inlineStr">
        <is>
          <t>Stalled reading / possibly offline</t>
        </is>
      </c>
      <c r="J17">
        <f>COUNTIFS('異常検知'!$N$6:$N$205,$I17)</f>
        <v/>
      </c>
      <c r="L17" t="inlineStr">
        <is>
          <t>Data center / server room</t>
        </is>
      </c>
      <c r="M17">
        <f>COUNTIFS('異常検知'!$D$6:$D$205,$L17,'異常検知'!$N$6:$N$205,"&lt;&gt;正常",'異常検知'!$N$6:$N$205,"&lt;&gt;")</f>
        <v/>
      </c>
    </row>
    <row r="18">
      <c r="A18" s="136" t="n">
        <v>46204</v>
      </c>
      <c r="B18" s="137">
        <f>SUMIFS('エネルギーデータ入力'!$N$6:$N$205,'エネルギーデータ入力'!$B$6:$B$205,"&gt;="&amp;$A18,'エネルギーデータ入力'!$B$6:$B$205,"&lt;"&amp;EDATE($A18,1),'エネルギーデータ入力'!$J$6:$J$205,"電気")</f>
        <v/>
      </c>
      <c r="C18" s="137">
        <f>SUMIFS('エネルギーデータ入力'!$N$6:$N$205,'エネルギーデータ入力'!$B$6:$B$205,"&gt;="&amp;$A18,'エネルギーデータ入力'!$B$6:$B$205,"&lt;"&amp;EDATE($A18,1),'エネルギーデータ入力'!$J$6:$J$205,"水道")</f>
        <v/>
      </c>
      <c r="D18" s="137">
        <f>SUMIFS('エネルギーデータ入力'!$N$6:$N$205,'エネルギーデータ入力'!$B$6:$B$205,"&gt;="&amp;$A18,'エネルギーデータ入力'!$B$6:$B$205,"&lt;"&amp;EDATE($A18,1),'エネルギーデータ入力'!$J$6:$J$205,"ガス")</f>
        <v/>
      </c>
      <c r="E18" s="137">
        <f>SUMIFS('エネルギーデータ入力'!$N$6:$N$205,'エネルギーデータ入力'!$B$6:$B$205,"&gt;="&amp;$A18,'エネルギーデータ入力'!$B$6:$B$205,"&lt;"&amp;EDATE($A18,1),'エネルギーデータ入力'!$J$6:$J$205,"熱")</f>
        <v/>
      </c>
      <c r="F18" s="137">
        <f>SUMIFS('エネルギーデータ入力'!$N$6:$N$205,'エネルギーデータ入力'!$B$6:$B$205,"&gt;="&amp;$A18,'エネルギーデータ入力'!$B$6:$B$205,"&lt;"&amp;EDATE($A18,1),'エネルギーデータ入力'!$J$6:$J$205,"蒸気")</f>
        <v/>
      </c>
      <c r="G18" s="137">
        <f>SUMIFS('エネルギーデータ入力'!$N$6:$N$205,'エネルギーデータ入力'!$B$6:$B$205,"&gt;="&amp;$A18,'エネルギーデータ入力'!$B$6:$B$205,"&lt;"&amp;EDATE($A18,1),'エネルギーデータ入力'!$J$6:$J$205,"冷熱")</f>
        <v/>
      </c>
      <c r="I18" t="inlineStr">
        <is>
          <t>Missing reading</t>
        </is>
      </c>
      <c r="J18">
        <f>COUNTIFS('異常検知'!$N$6:$N$205,$I18)</f>
        <v/>
      </c>
      <c r="L18" t="inlineStr">
        <is>
          <t>Municipal / water supply zone</t>
        </is>
      </c>
      <c r="M18">
        <f>COUNTIFS('異常検知'!$D$6:$D$205,$L18,'異常検知'!$N$6:$N$205,"&lt;&gt;正常",'異常検知'!$N$6:$N$205,"&lt;&gt;")</f>
        <v/>
      </c>
    </row>
    <row r="19">
      <c r="A19" s="136" t="n">
        <v>46235</v>
      </c>
      <c r="B19" s="137">
        <f>SUMIFS('エネルギーデータ入力'!$N$6:$N$205,'エネルギーデータ入力'!$B$6:$B$205,"&gt;="&amp;$A19,'エネルギーデータ入力'!$B$6:$B$205,"&lt;"&amp;EDATE($A19,1),'エネルギーデータ入力'!$J$6:$J$205,"電気")</f>
        <v/>
      </c>
      <c r="C19" s="137">
        <f>SUMIFS('エネルギーデータ入力'!$N$6:$N$205,'エネルギーデータ入力'!$B$6:$B$205,"&gt;="&amp;$A19,'エネルギーデータ入力'!$B$6:$B$205,"&lt;"&amp;EDATE($A19,1),'エネルギーデータ入力'!$J$6:$J$205,"水道")</f>
        <v/>
      </c>
      <c r="D19" s="137">
        <f>SUMIFS('エネルギーデータ入力'!$N$6:$N$205,'エネルギーデータ入力'!$B$6:$B$205,"&gt;="&amp;$A19,'エネルギーデータ入力'!$B$6:$B$205,"&lt;"&amp;EDATE($A19,1),'エネルギーデータ入力'!$J$6:$J$205,"ガス")</f>
        <v/>
      </c>
      <c r="E19" s="137">
        <f>SUMIFS('エネルギーデータ入力'!$N$6:$N$205,'エネルギーデータ入力'!$B$6:$B$205,"&gt;="&amp;$A19,'エネルギーデータ入力'!$B$6:$B$205,"&lt;"&amp;EDATE($A19,1),'エネルギーデータ入力'!$J$6:$J$205,"熱")</f>
        <v/>
      </c>
      <c r="F19" s="137">
        <f>SUMIFS('エネルギーデータ入力'!$N$6:$N$205,'エネルギーデータ入力'!$B$6:$B$205,"&gt;="&amp;$A19,'エネルギーデータ入力'!$B$6:$B$205,"&lt;"&amp;EDATE($A19,1),'エネルギーデータ入力'!$J$6:$J$205,"蒸気")</f>
        <v/>
      </c>
      <c r="G19" s="137">
        <f>SUMIFS('エネルギーデータ入力'!$N$6:$N$205,'エネルギーデータ入力'!$B$6:$B$205,"&gt;="&amp;$A19,'エネルギーデータ入力'!$B$6:$B$205,"&lt;"&amp;EDATE($A19,1),'エネルギーデータ入力'!$J$6:$J$205,"冷熱")</f>
        <v/>
      </c>
      <c r="L19" t="inlineStr">
        <is>
          <t>Multi-subsidiary group</t>
        </is>
      </c>
      <c r="M19">
        <f>COUNTIFS('異常検知'!$D$6:$D$205,$L19,'異常検知'!$N$6:$N$205,"&lt;&gt;正常",'異常検知'!$N$6:$N$205,"&lt;&gt;")</f>
        <v/>
      </c>
    </row>
    <row r="20">
      <c r="A20" s="136" t="n">
        <v>46266</v>
      </c>
      <c r="B20" s="137">
        <f>SUMIFS('エネルギーデータ入力'!$N$6:$N$205,'エネルギーデータ入力'!$B$6:$B$205,"&gt;="&amp;$A20,'エネルギーデータ入力'!$B$6:$B$205,"&lt;"&amp;EDATE($A20,1),'エネルギーデータ入力'!$J$6:$J$205,"電気")</f>
        <v/>
      </c>
      <c r="C20" s="137">
        <f>SUMIFS('エネルギーデータ入力'!$N$6:$N$205,'エネルギーデータ入力'!$B$6:$B$205,"&gt;="&amp;$A20,'エネルギーデータ入力'!$B$6:$B$205,"&lt;"&amp;EDATE($A20,1),'エネルギーデータ入力'!$J$6:$J$205,"水道")</f>
        <v/>
      </c>
      <c r="D20" s="137">
        <f>SUMIFS('エネルギーデータ入力'!$N$6:$N$205,'エネルギーデータ入力'!$B$6:$B$205,"&gt;="&amp;$A20,'エネルギーデータ入力'!$B$6:$B$205,"&lt;"&amp;EDATE($A20,1),'エネルギーデータ入力'!$J$6:$J$205,"ガス")</f>
        <v/>
      </c>
      <c r="E20" s="137">
        <f>SUMIFS('エネルギーデータ入力'!$N$6:$N$205,'エネルギーデータ入力'!$B$6:$B$205,"&gt;="&amp;$A20,'エネルギーデータ入力'!$B$6:$B$205,"&lt;"&amp;EDATE($A20,1),'エネルギーデータ入力'!$J$6:$J$205,"熱")</f>
        <v/>
      </c>
      <c r="F20" s="137">
        <f>SUMIFS('エネルギーデータ入力'!$N$6:$N$205,'エネルギーデータ入力'!$B$6:$B$205,"&gt;="&amp;$A20,'エネルギーデータ入力'!$B$6:$B$205,"&lt;"&amp;EDATE($A20,1),'エネルギーデータ入力'!$J$6:$J$205,"蒸気")</f>
        <v/>
      </c>
      <c r="G20" s="137">
        <f>SUMIFS('エネルギーデータ入力'!$N$6:$N$205,'エネルギーデータ入力'!$B$6:$B$205,"&gt;="&amp;$A20,'エネルギーデータ入力'!$B$6:$B$205,"&lt;"&amp;EDATE($A20,1),'エネルギーデータ入力'!$J$6:$J$205,"冷熱")</f>
        <v/>
      </c>
    </row>
    <row r="21">
      <c r="A21" s="136" t="n">
        <v>46296</v>
      </c>
      <c r="B21" s="137">
        <f>SUMIFS('エネルギーデータ入力'!$N$6:$N$205,'エネルギーデータ入力'!$B$6:$B$205,"&gt;="&amp;$A21,'エネルギーデータ入力'!$B$6:$B$205,"&lt;"&amp;EDATE($A21,1),'エネルギーデータ入力'!$J$6:$J$205,"電気")</f>
        <v/>
      </c>
      <c r="C21" s="137">
        <f>SUMIFS('エネルギーデータ入力'!$N$6:$N$205,'エネルギーデータ入力'!$B$6:$B$205,"&gt;="&amp;$A21,'エネルギーデータ入力'!$B$6:$B$205,"&lt;"&amp;EDATE($A21,1),'エネルギーデータ入力'!$J$6:$J$205,"水道")</f>
        <v/>
      </c>
      <c r="D21" s="137">
        <f>SUMIFS('エネルギーデータ入力'!$N$6:$N$205,'エネルギーデータ入力'!$B$6:$B$205,"&gt;="&amp;$A21,'エネルギーデータ入力'!$B$6:$B$205,"&lt;"&amp;EDATE($A21,1),'エネルギーデータ入力'!$J$6:$J$205,"ガス")</f>
        <v/>
      </c>
      <c r="E21" s="137">
        <f>SUMIFS('エネルギーデータ入力'!$N$6:$N$205,'エネルギーデータ入力'!$B$6:$B$205,"&gt;="&amp;$A21,'エネルギーデータ入力'!$B$6:$B$205,"&lt;"&amp;EDATE($A21,1),'エネルギーデータ入力'!$J$6:$J$205,"熱")</f>
        <v/>
      </c>
      <c r="F21" s="137">
        <f>SUMIFS('エネルギーデータ入力'!$N$6:$N$205,'エネルギーデータ入力'!$B$6:$B$205,"&gt;="&amp;$A21,'エネルギーデータ入力'!$B$6:$B$205,"&lt;"&amp;EDATE($A21,1),'エネルギーデータ入力'!$J$6:$J$205,"蒸気")</f>
        <v/>
      </c>
      <c r="G21" s="137">
        <f>SUMIFS('エネルギーデータ入力'!$N$6:$N$205,'エネルギーデータ入力'!$B$6:$B$205,"&gt;="&amp;$A21,'エネルギーデータ入力'!$B$6:$B$205,"&lt;"&amp;EDATE($A21,1),'エネルギーデータ入力'!$J$6:$J$205,"冷熱")</f>
        <v/>
      </c>
    </row>
    <row r="22">
      <c r="A22" s="136" t="n">
        <v>46327</v>
      </c>
      <c r="B22" s="137">
        <f>SUMIFS('エネルギーデータ入力'!$N$6:$N$205,'エネルギーデータ入力'!$B$6:$B$205,"&gt;="&amp;$A22,'エネルギーデータ入力'!$B$6:$B$205,"&lt;"&amp;EDATE($A22,1),'エネルギーデータ入力'!$J$6:$J$205,"電気")</f>
        <v/>
      </c>
      <c r="C22" s="137">
        <f>SUMIFS('エネルギーデータ入力'!$N$6:$N$205,'エネルギーデータ入力'!$B$6:$B$205,"&gt;="&amp;$A22,'エネルギーデータ入力'!$B$6:$B$205,"&lt;"&amp;EDATE($A22,1),'エネルギーデータ入力'!$J$6:$J$205,"水道")</f>
        <v/>
      </c>
      <c r="D22" s="137">
        <f>SUMIFS('エネルギーデータ入力'!$N$6:$N$205,'エネルギーデータ入力'!$B$6:$B$205,"&gt;="&amp;$A22,'エネルギーデータ入力'!$B$6:$B$205,"&lt;"&amp;EDATE($A22,1),'エネルギーデータ入力'!$J$6:$J$205,"ガス")</f>
        <v/>
      </c>
      <c r="E22" s="137">
        <f>SUMIFS('エネルギーデータ入力'!$N$6:$N$205,'エネルギーデータ入力'!$B$6:$B$205,"&gt;="&amp;$A22,'エネルギーデータ入力'!$B$6:$B$205,"&lt;"&amp;EDATE($A22,1),'エネルギーデータ入力'!$J$6:$J$205,"熱")</f>
        <v/>
      </c>
      <c r="F22" s="137">
        <f>SUMIFS('エネルギーデータ入力'!$N$6:$N$205,'エネルギーデータ入力'!$B$6:$B$205,"&gt;="&amp;$A22,'エネルギーデータ入力'!$B$6:$B$205,"&lt;"&amp;EDATE($A22,1),'エネルギーデータ入力'!$J$6:$J$205,"蒸気")</f>
        <v/>
      </c>
      <c r="G22" s="137">
        <f>SUMIFS('エネルギーデータ入力'!$N$6:$N$205,'エネルギーデータ入力'!$B$6:$B$205,"&gt;="&amp;$A22,'エネルギーデータ入力'!$B$6:$B$205,"&lt;"&amp;EDATE($A22,1),'エネルギーデータ入力'!$J$6:$J$205,"冷熱")</f>
        <v/>
      </c>
    </row>
    <row r="23">
      <c r="A23" s="136" t="n">
        <v>46357</v>
      </c>
      <c r="B23" s="137">
        <f>SUMIFS('エネルギーデータ入力'!$N$6:$N$205,'エネルギーデータ入力'!$B$6:$B$205,"&gt;="&amp;$A23,'エネルギーデータ入力'!$B$6:$B$205,"&lt;"&amp;EDATE($A23,1),'エネルギーデータ入力'!$J$6:$J$205,"電気")</f>
        <v/>
      </c>
      <c r="C23" s="137">
        <f>SUMIFS('エネルギーデータ入力'!$N$6:$N$205,'エネルギーデータ入力'!$B$6:$B$205,"&gt;="&amp;$A23,'エネルギーデータ入力'!$B$6:$B$205,"&lt;"&amp;EDATE($A23,1),'エネルギーデータ入力'!$J$6:$J$205,"水道")</f>
        <v/>
      </c>
      <c r="D23" s="137">
        <f>SUMIFS('エネルギーデータ入力'!$N$6:$N$205,'エネルギーデータ入力'!$B$6:$B$205,"&gt;="&amp;$A23,'エネルギーデータ入力'!$B$6:$B$205,"&lt;"&amp;EDATE($A23,1),'エネルギーデータ入力'!$J$6:$J$205,"ガス")</f>
        <v/>
      </c>
      <c r="E23" s="137">
        <f>SUMIFS('エネルギーデータ入力'!$N$6:$N$205,'エネルギーデータ入力'!$B$6:$B$205,"&gt;="&amp;$A23,'エネルギーデータ入力'!$B$6:$B$205,"&lt;"&amp;EDATE($A23,1),'エネルギーデータ入力'!$J$6:$J$205,"熱")</f>
        <v/>
      </c>
      <c r="F23" s="137">
        <f>SUMIFS('エネルギーデータ入力'!$N$6:$N$205,'エネルギーデータ入力'!$B$6:$B$205,"&gt;="&amp;$A23,'エネルギーデータ入力'!$B$6:$B$205,"&lt;"&amp;EDATE($A23,1),'エネルギーデータ入力'!$J$6:$J$205,"蒸気")</f>
        <v/>
      </c>
      <c r="G23" s="137">
        <f>SUMIFS('エネルギーデータ入力'!$N$6:$N$205,'エネルギーデータ入力'!$B$6:$B$205,"&gt;="&amp;$A23,'エネルギーデータ入力'!$B$6:$B$205,"&lt;"&amp;EDATE($A23,1),'エネルギーデータ入力'!$J$6:$J$205,"冷熱")</f>
        <v/>
      </c>
    </row>
  </sheetData>
  <mergeCells count="4">
    <mergeCell ref="F7:J7"/>
    <mergeCell ref="F8:J8"/>
    <mergeCell ref="A1:M1"/>
    <mergeCell ref="F6:J6"/>
  </mergeCells>
  <dataValidations count="2">
    <dataValidation sqref="B7" showDropDown="0" showInputMessage="0" showErrorMessage="0" allowBlank="0" type="list">
      <formula1>基本設定!$M$13:$M$21</formula1>
    </dataValidation>
    <dataValidation sqref="B8" showDropDown="0" showInputMessage="0" showErrorMessage="0" allowBlank="0" type="list">
      <formula1>基本設定!$S$13:$S$19</formula1>
    </dataValidation>
  </dataValidation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20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20" customWidth="1" min="4" max="4"/>
    <col width="18" customWidth="1" min="5" max="5"/>
    <col width="18" customWidth="1" min="6" max="6"/>
    <col width="22" customWidth="1" min="7" max="7"/>
    <col width="22" customWidth="1" min="8" max="8"/>
    <col width="16" customWidth="1" min="9" max="9"/>
    <col width="10" customWidth="1" min="10" max="10"/>
    <col width="10" customWidth="1" min="11" max="11"/>
    <col width="12" customWidth="1" min="12" max="12"/>
    <col width="12" customWidth="1" min="13" max="13"/>
    <col width="12" customWidth="1" min="14" max="14"/>
    <col width="10" customWidth="1" min="15" max="15"/>
    <col width="12" customWidth="1" min="16" max="16"/>
    <col width="14" customWidth="1" min="17" max="17"/>
    <col width="10" customWidth="1" min="18" max="18"/>
    <col width="10" customWidth="1" min="19" max="19"/>
    <col width="12" customWidth="1" min="20" max="20"/>
    <col width="14" customWidth="1" min="21" max="21"/>
    <col width="14" customWidth="1" min="22" max="22"/>
    <col width="16" customWidth="1" min="23" max="23"/>
    <col width="16" customWidth="1" min="24" max="24"/>
    <col width="28" customWidth="1" min="25" max="25"/>
  </cols>
  <sheetData>
    <row r="1" ht="34" customHeight="1">
      <c r="A1" s="9" t="inlineStr">
        <is>
          <t>Energy Data Entry by Company, Scenario, Area, and Meter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24" customHeight="1">
      <c r="A2" s="13" t="inlineStr">
        <is>
          <t>Usage notes</t>
        </is>
      </c>
      <c r="B2" s="13" t="inlineStr">
        <is>
          <t>Enter date, company, scenario, area, equipment, energy type, current and previous readings, area, and business volume. Unit, price, usage, amount, carbon, and intensity are calculated automatically.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  <c r="T2" s="13" t="n"/>
      <c r="U2" s="13" t="n"/>
      <c r="V2" s="13" t="n"/>
      <c r="W2" s="13" t="n"/>
      <c r="X2" s="13" t="n"/>
      <c r="Y2" s="13" t="n"/>
    </row>
    <row r="3" ht="24" customHeight="1">
      <c r="A3" s="13" t="inlineStr">
        <is>
          <t>Input rules</t>
        </is>
      </c>
      <c r="B3" s="13" t="inlineStr">
        <is>
          <t>Yellow columns are recommended inputs; blue-green columns are formulas. Paste exports from meter reading, billing, or IoT systems.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  <c r="T3" s="13" t="n"/>
      <c r="U3" s="13" t="n"/>
      <c r="V3" s="13" t="n"/>
      <c r="W3" s="13" t="n"/>
      <c r="X3" s="13" t="n"/>
      <c r="Y3" s="13" t="n"/>
    </row>
    <row r="4"/>
    <row r="5">
      <c r="A5" s="30" t="inlineStr">
        <is>
          <t>Record ID</t>
        </is>
      </c>
      <c r="B5" s="30" t="inlineStr">
        <is>
          <t>Date</t>
        </is>
      </c>
      <c r="C5" s="30" t="inlineStr">
        <is>
          <t>Company</t>
        </is>
      </c>
      <c r="D5" s="30" t="inlineStr">
        <is>
          <t>Business scenario</t>
        </is>
      </c>
      <c r="E5" s="30" t="inlineStr">
        <is>
          <t>Area / site</t>
        </is>
      </c>
      <c r="F5" s="30" t="inlineStr">
        <is>
          <t>Building / floor</t>
        </is>
      </c>
      <c r="G5" s="30" t="inlineStr">
        <is>
          <t>Department / tenant / line</t>
        </is>
      </c>
      <c r="H5" s="30" t="inlineStr">
        <is>
          <t>Equipment / metering point</t>
        </is>
      </c>
      <c r="I5" s="30" t="inlineStr">
        <is>
          <t>Meter ID</t>
        </is>
      </c>
      <c r="J5" s="30" t="inlineStr">
        <is>
          <t>Energy type</t>
        </is>
      </c>
      <c r="K5" s="30" t="inlineStr">
        <is>
          <t>Unit</t>
        </is>
      </c>
      <c r="L5" s="30" t="inlineStr">
        <is>
          <t>Current reading</t>
        </is>
      </c>
      <c r="M5" s="30" t="inlineStr">
        <is>
          <t>Previous reading</t>
        </is>
      </c>
      <c r="N5" s="30" t="inlineStr">
        <is>
          <t>Current usage</t>
        </is>
      </c>
      <c r="O5" s="30" t="inlineStr">
        <is>
          <t>Unit price</t>
        </is>
      </c>
      <c r="P5" s="30" t="inlineStr">
        <is>
          <t>Amount</t>
        </is>
      </c>
      <c r="Q5" s="30" t="inlineStr">
        <is>
          <t>Time band / shift</t>
        </is>
      </c>
      <c r="R5" s="30" t="inlineStr">
        <is>
          <t>Occupancy</t>
        </is>
      </c>
      <c r="S5" s="30" t="inlineStr">
        <is>
          <t>Area m2</t>
        </is>
      </c>
      <c r="T5" s="30" t="inlineStr">
        <is>
          <t>Output / business volume</t>
        </is>
      </c>
      <c r="U5" s="30" t="inlineStr">
        <is>
          <t>Carbon kgCO2e</t>
        </is>
      </c>
      <c r="V5" s="30" t="inlineStr">
        <is>
          <t>Energy per area</t>
        </is>
      </c>
      <c r="W5" s="30" t="inlineStr">
        <is>
          <t>Energy per business volume</t>
        </is>
      </c>
      <c r="X5" s="30" t="inlineStr">
        <is>
          <t>Data source</t>
        </is>
      </c>
      <c r="Y5" s="30" t="inlineStr">
        <is>
          <t>Notes</t>
        </is>
      </c>
    </row>
    <row r="6">
      <c r="A6" s="80" t="inlineStr">
        <is>
          <t>D0001</t>
        </is>
      </c>
      <c r="B6" s="138" t="n">
        <v>46113</v>
      </c>
      <c r="C6" s="80" t="inlineStr">
        <is>
          <t>Example Group</t>
        </is>
      </c>
      <c r="D6" s="80" t="inlineStr">
        <is>
          <t>Office building / headquarters campus</t>
        </is>
      </c>
      <c r="E6" s="80" t="inlineStr">
        <is>
          <t>Headquarters campus</t>
        </is>
      </c>
      <c r="F6" s="80" t="inlineStr">
        <is>
          <t>Building A / 1F</t>
        </is>
      </c>
      <c r="G6" s="80" t="inlineStr">
        <is>
          <t>Administration office</t>
        </is>
      </c>
      <c r="H6" s="80" t="inlineStr">
        <is>
          <t>Lighting circuit A1</t>
        </is>
      </c>
      <c r="I6" s="80" t="inlineStr">
        <is>
          <t>E-A1-001</t>
        </is>
      </c>
      <c r="J6" s="80" t="inlineStr">
        <is>
          <t>電気</t>
        </is>
      </c>
      <c r="K6" s="82">
        <f>IF($J6="","",IFERROR(VLOOKUP($J6,'基本設定'!$A$13:$K$19,2,FALSE),""))</f>
        <v/>
      </c>
      <c r="L6" s="139" t="n">
        <v>12880</v>
      </c>
      <c r="M6" s="139" t="n">
        <v>12630</v>
      </c>
      <c r="N6" s="140">
        <f>IF(OR($L6="",$M6=""),"",MAX(0,$L6-$M6))</f>
        <v/>
      </c>
      <c r="O6" s="140">
        <f>IF($J6="","",IFERROR(VLOOKUP($J6,'基本設定'!$A$13:$K$19,3,FALSE),0))</f>
        <v/>
      </c>
      <c r="P6" s="140">
        <f>IF($N6="","",$N6*$O6)</f>
        <v/>
      </c>
      <c r="Q6" s="139" t="inlineStr">
        <is>
          <t>All day</t>
        </is>
      </c>
      <c r="R6" s="139" t="n">
        <v>120</v>
      </c>
      <c r="S6" s="139" t="n">
        <v>2200</v>
      </c>
      <c r="T6" s="139" t="n">
        <v>0</v>
      </c>
      <c r="U6" s="140">
        <f>IF($J6="","",IFERROR($N6*VLOOKUP($J6,'基本設定'!$A$13:$K$19,4,FALSE),0))</f>
        <v/>
      </c>
      <c r="V6" s="140">
        <f>IFERROR($N6/$S6,"")</f>
        <v/>
      </c>
      <c r="W6" s="140">
        <f>IFERROR($N6/$T6,"")</f>
        <v/>
      </c>
      <c r="X6" s="80" t="inlineStr">
        <is>
          <t>Automatic meter reading</t>
        </is>
      </c>
      <c r="Y6" s="80" t="inlineStr">
        <is>
          <t>示例，可删除</t>
        </is>
      </c>
    </row>
    <row r="7">
      <c r="A7" s="80" t="inlineStr">
        <is>
          <t>D0002</t>
        </is>
      </c>
      <c r="B7" s="138" t="n">
        <v>46113</v>
      </c>
      <c r="C7" s="80" t="inlineStr">
        <is>
          <t>Example Group</t>
        </is>
      </c>
      <c r="D7" s="80" t="inlineStr">
        <is>
          <t>Office building / headquarters campus</t>
        </is>
      </c>
      <c r="E7" s="80" t="inlineStr">
        <is>
          <t>Headquarters campus</t>
        </is>
      </c>
      <c r="F7" s="80" t="inlineStr">
        <is>
          <t>Building A / B1</t>
        </is>
      </c>
      <c r="G7" s="80" t="inlineStr">
        <is>
          <t>Public restroom</t>
        </is>
      </c>
      <c r="H7" s="80" t="inlineStr">
        <is>
          <t>Main water meter A</t>
        </is>
      </c>
      <c r="I7" s="80" t="inlineStr">
        <is>
          <t>W-A-001</t>
        </is>
      </c>
      <c r="J7" s="80" t="inlineStr">
        <is>
          <t>水道</t>
        </is>
      </c>
      <c r="K7" s="82">
        <f>IF($J7="","",IFERROR(VLOOKUP($J7,'基本設定'!$A$13:$K$19,2,FALSE),""))</f>
        <v/>
      </c>
      <c r="L7" s="139" t="n">
        <v>3560</v>
      </c>
      <c r="M7" s="139" t="n">
        <v>3546</v>
      </c>
      <c r="N7" s="140">
        <f>IF(OR($L7="",$M7=""),"",MAX(0,$L7-$M7))</f>
        <v/>
      </c>
      <c r="O7" s="140">
        <f>IF($J7="","",IFERROR(VLOOKUP($J7,'基本設定'!$A$13:$K$19,3,FALSE),0))</f>
        <v/>
      </c>
      <c r="P7" s="140">
        <f>IF($N7="","",$N7*$O7)</f>
        <v/>
      </c>
      <c r="Q7" s="139" t="inlineStr">
        <is>
          <t>低负荷/夜间</t>
        </is>
      </c>
      <c r="R7" s="139" t="n">
        <v>120</v>
      </c>
      <c r="S7" s="139" t="n">
        <v>2200</v>
      </c>
      <c r="T7" s="139" t="n">
        <v>0</v>
      </c>
      <c r="U7" s="140">
        <f>IF($J7="","",IFERROR($N7*VLOOKUP($J7,'基本設定'!$A$13:$K$19,4,FALSE),0))</f>
        <v/>
      </c>
      <c r="V7" s="140">
        <f>IFERROR($N7/$S7,"")</f>
        <v/>
      </c>
      <c r="W7" s="140">
        <f>IFERROR($N7/$T7,"")</f>
        <v/>
      </c>
      <c r="X7" s="80" t="inlineStr">
        <is>
          <t>Automatic meter reading</t>
        </is>
      </c>
      <c r="Y7" s="80" t="inlineStr">
        <is>
          <t>夜间小流量检查</t>
        </is>
      </c>
    </row>
    <row r="8">
      <c r="A8" s="80" t="inlineStr">
        <is>
          <t>D0003</t>
        </is>
      </c>
      <c r="B8" s="138" t="n">
        <v>46114</v>
      </c>
      <c r="C8" s="80" t="inlineStr">
        <is>
          <t>Example Group</t>
        </is>
      </c>
      <c r="D8" s="80" t="inlineStr">
        <is>
          <t>Commercial complex / office building</t>
        </is>
      </c>
      <c r="E8" s="80" t="inlineStr">
        <is>
          <t>Commercial center</t>
        </is>
      </c>
      <c r="F8" s="80" t="inlineStr">
        <is>
          <t>3F</t>
        </is>
      </c>
      <c r="G8" s="80" t="inlineStr">
        <is>
          <t>Restaurant tenant C01</t>
        </is>
      </c>
      <c r="H8" s="80" t="inlineStr">
        <is>
          <t>Restaurant water meter C01</t>
        </is>
      </c>
      <c r="I8" s="80" t="inlineStr">
        <is>
          <t>W-C01-003</t>
        </is>
      </c>
      <c r="J8" s="80" t="inlineStr">
        <is>
          <t>水道</t>
        </is>
      </c>
      <c r="K8" s="82">
        <f>IF($J8="","",IFERROR(VLOOKUP($J8,'基本設定'!$A$13:$K$19,2,FALSE),""))</f>
        <v/>
      </c>
      <c r="L8" s="139" t="n">
        <v>846</v>
      </c>
      <c r="M8" s="139" t="n">
        <v>812</v>
      </c>
      <c r="N8" s="140">
        <f>IF(OR($L8="",$M8=""),"",MAX(0,$L8-$M8))</f>
        <v/>
      </c>
      <c r="O8" s="140">
        <f>IF($J8="","",IFERROR(VLOOKUP($J8,'基本設定'!$A$13:$K$19,3,FALSE),0))</f>
        <v/>
      </c>
      <c r="P8" s="140">
        <f>IF($N8="","",$N8*$O8)</f>
        <v/>
      </c>
      <c r="Q8" s="139" t="inlineStr">
        <is>
          <t>Peak</t>
        </is>
      </c>
      <c r="R8" s="139" t="n">
        <v>0</v>
      </c>
      <c r="S8" s="139" t="n">
        <v>380</v>
      </c>
      <c r="T8" s="139" t="n">
        <v>0</v>
      </c>
      <c r="U8" s="140">
        <f>IF($J8="","",IFERROR($N8*VLOOKUP($J8,'基本設定'!$A$13:$K$19,4,FALSE),0))</f>
        <v/>
      </c>
      <c r="V8" s="140">
        <f>IFERROR($N8/$S8,"")</f>
        <v/>
      </c>
      <c r="W8" s="140">
        <f>IFERROR($N8/$T8,"")</f>
        <v/>
      </c>
      <c r="X8" s="80" t="inlineStr">
        <is>
          <t>IoT platform import</t>
        </is>
      </c>
      <c r="Y8" s="80" t="inlineStr">
        <is>
          <t>餐饮用水道突增示例</t>
        </is>
      </c>
    </row>
    <row r="9">
      <c r="A9" s="80" t="inlineStr">
        <is>
          <t>D0004</t>
        </is>
      </c>
      <c r="B9" s="138" t="n">
        <v>46114</v>
      </c>
      <c r="C9" s="80" t="inlineStr">
        <is>
          <t>Example Group</t>
        </is>
      </c>
      <c r="D9" s="80" t="inlineStr">
        <is>
          <t>Industrial park / factory</t>
        </is>
      </c>
      <c r="E9" s="80" t="inlineStr">
        <is>
          <t>Plant 1</t>
        </is>
      </c>
      <c r="F9" s="80" t="inlineStr">
        <is>
          <t>Workshop 1</t>
        </is>
      </c>
      <c r="G9" s="80" t="inlineStr">
        <is>
          <t>Production line A</t>
        </is>
      </c>
      <c r="H9" s="80" t="inlineStr">
        <is>
          <t>Production line A main meter</t>
        </is>
      </c>
      <c r="I9" s="80" t="inlineStr">
        <is>
          <t>E-LA-001</t>
        </is>
      </c>
      <c r="J9" s="80" t="inlineStr">
        <is>
          <t>電気</t>
        </is>
      </c>
      <c r="K9" s="82">
        <f>IF($J9="","",IFERROR(VLOOKUP($J9,'基本設定'!$A$13:$K$19,2,FALSE),""))</f>
        <v/>
      </c>
      <c r="L9" s="139" t="n">
        <v>92600</v>
      </c>
      <c r="M9" s="139" t="n">
        <v>91450</v>
      </c>
      <c r="N9" s="140">
        <f>IF(OR($L9="",$M9=""),"",MAX(0,$L9-$M9))</f>
        <v/>
      </c>
      <c r="O9" s="140">
        <f>IF($J9="","",IFERROR(VLOOKUP($J9,'基本設定'!$A$13:$K$19,3,FALSE),0))</f>
        <v/>
      </c>
      <c r="P9" s="140">
        <f>IF($N9="","",$N9*$O9)</f>
        <v/>
      </c>
      <c r="Q9" s="139" t="inlineStr">
        <is>
          <t>Day shift</t>
        </is>
      </c>
      <c r="R9" s="139" t="n">
        <v>60</v>
      </c>
      <c r="S9" s="139" t="n">
        <v>1500</v>
      </c>
      <c r="T9" s="139" t="n">
        <v>980</v>
      </c>
      <c r="U9" s="140">
        <f>IF($J9="","",IFERROR($N9*VLOOKUP($J9,'基本設定'!$A$13:$K$19,4,FALSE),0))</f>
        <v/>
      </c>
      <c r="V9" s="140">
        <f>IFERROR($N9/$S9,"")</f>
        <v/>
      </c>
      <c r="W9" s="140">
        <f>IFERROR($N9/$T9,"")</f>
        <v/>
      </c>
      <c r="X9" s="80" t="inlineStr">
        <is>
          <t>ERP / MES import</t>
        </is>
      </c>
      <c r="Y9" s="80" t="inlineStr">
        <is>
          <t>关联产量</t>
        </is>
      </c>
    </row>
    <row r="10">
      <c r="A10" s="80" t="inlineStr">
        <is>
          <t>D0005</t>
        </is>
      </c>
      <c r="B10" s="138" t="n">
        <v>46115</v>
      </c>
      <c r="C10" s="80" t="inlineStr">
        <is>
          <t>Example Group</t>
        </is>
      </c>
      <c r="D10" s="80" t="inlineStr">
        <is>
          <t>Industrial park / factory</t>
        </is>
      </c>
      <c r="E10" s="80" t="inlineStr">
        <is>
          <t>动力站</t>
        </is>
      </c>
      <c r="F10" s="80" t="inlineStr">
        <is>
          <t>锅炉房</t>
        </is>
      </c>
      <c r="G10" s="80" t="inlineStr">
        <is>
          <t>锅炉系统</t>
        </is>
      </c>
      <c r="H10" s="80" t="inlineStr">
        <is>
          <t>燃ガス总表G1</t>
        </is>
      </c>
      <c r="I10" s="80" t="inlineStr">
        <is>
          <t>G-BLR-001</t>
        </is>
      </c>
      <c r="J10" s="80" t="inlineStr">
        <is>
          <t>ガス</t>
        </is>
      </c>
      <c r="K10" s="82">
        <f>IF($J10="","",IFERROR(VLOOKUP($J10,'基本設定'!$A$13:$K$19,2,FALSE),""))</f>
        <v/>
      </c>
      <c r="L10" s="139" t="n">
        <v>18680</v>
      </c>
      <c r="M10" s="139" t="n">
        <v>18120</v>
      </c>
      <c r="N10" s="140">
        <f>IF(OR($L10="",$M10=""),"",MAX(0,$L10-$M10))</f>
        <v/>
      </c>
      <c r="O10" s="140">
        <f>IF($J10="","",IFERROR(VLOOKUP($J10,'基本設定'!$A$13:$K$19,3,FALSE),0))</f>
        <v/>
      </c>
      <c r="P10" s="140">
        <f>IF($N10="","",$N10*$O10)</f>
        <v/>
      </c>
      <c r="Q10" s="139" t="inlineStr">
        <is>
          <t>All day</t>
        </is>
      </c>
      <c r="R10" s="139" t="n">
        <v>8</v>
      </c>
      <c r="S10" s="139" t="n">
        <v>450</v>
      </c>
      <c r="T10" s="139" t="n">
        <v>0</v>
      </c>
      <c r="U10" s="140">
        <f>IF($J10="","",IFERROR($N10*VLOOKUP($J10,'基本設定'!$A$13:$K$19,4,FALSE),0))</f>
        <v/>
      </c>
      <c r="V10" s="140">
        <f>IFERROR($N10/$S10,"")</f>
        <v/>
      </c>
      <c r="W10" s="140">
        <f>IFERROR($N10/$T10,"")</f>
        <v/>
      </c>
      <c r="X10" s="80" t="inlineStr">
        <is>
          <t>Automatic meter reading</t>
        </is>
      </c>
      <c r="Y10" s="80" t="inlineStr">
        <is>
          <t>锅炉用ガス</t>
        </is>
      </c>
    </row>
    <row r="11">
      <c r="A11" s="80" t="inlineStr">
        <is>
          <t>D0006</t>
        </is>
      </c>
      <c r="B11" s="138" t="n">
        <v>46115</v>
      </c>
      <c r="C11" s="80" t="inlineStr">
        <is>
          <t>Example Group</t>
        </is>
      </c>
      <c r="D11" s="80" t="inlineStr">
        <is>
          <t>School / hospital</t>
        </is>
      </c>
      <c r="E11" s="80" t="inlineStr">
        <is>
          <t>Hospital campus</t>
        </is>
      </c>
      <c r="F11" s="80" t="inlineStr">
        <is>
          <t>Inpatient building</t>
        </is>
      </c>
      <c r="G11" s="80" t="inlineStr">
        <is>
          <t>Hot water system</t>
        </is>
      </c>
      <c r="H11" s="80" t="inlineStr">
        <is>
          <t>熱水道总表</t>
        </is>
      </c>
      <c r="I11" s="80" t="inlineStr">
        <is>
          <t>H-HW-001</t>
        </is>
      </c>
      <c r="J11" s="80" t="inlineStr">
        <is>
          <t>熱</t>
        </is>
      </c>
      <c r="K11" s="82">
        <f>IF($J11="","",IFERROR(VLOOKUP($J11,'基本設定'!$A$13:$K$19,2,FALSE),""))</f>
        <v/>
      </c>
      <c r="L11" s="139" t="n">
        <v>2340</v>
      </c>
      <c r="M11" s="139" t="n">
        <v>2318</v>
      </c>
      <c r="N11" s="140">
        <f>IF(OR($L11="",$M11=""),"",MAX(0,$L11-$M11))</f>
        <v/>
      </c>
      <c r="O11" s="140">
        <f>IF($J11="","",IFERROR(VLOOKUP($J11,'基本設定'!$A$13:$K$19,3,FALSE),0))</f>
        <v/>
      </c>
      <c r="P11" s="140">
        <f>IF($N11="","",$N11*$O11)</f>
        <v/>
      </c>
      <c r="Q11" s="139" t="inlineStr">
        <is>
          <t>All day</t>
        </is>
      </c>
      <c r="R11" s="139" t="n">
        <v>420</v>
      </c>
      <c r="S11" s="139" t="n">
        <v>7800</v>
      </c>
      <c r="T11" s="139" t="n">
        <v>0</v>
      </c>
      <c r="U11" s="140">
        <f>IF($J11="","",IFERROR($N11*VLOOKUP($J11,'基本設定'!$A$13:$K$19,4,FALSE),0))</f>
        <v/>
      </c>
      <c r="V11" s="140">
        <f>IFERROR($N11/$S11,"")</f>
        <v/>
      </c>
      <c r="W11" s="140">
        <f>IFERROR($N11/$T11,"")</f>
        <v/>
      </c>
      <c r="X11" s="80" t="inlineStr">
        <is>
          <t>Bill import</t>
        </is>
      </c>
      <c r="Y11" s="80" t="inlineStr">
        <is>
          <t>Inpatient building熱耗</t>
        </is>
      </c>
    </row>
    <row r="12">
      <c r="A12" s="80" t="inlineStr">
        <is>
          <t>D0007</t>
        </is>
      </c>
      <c r="B12" s="138" t="n">
        <v>46116</v>
      </c>
      <c r="C12" s="80" t="inlineStr">
        <is>
          <t>Example Group</t>
        </is>
      </c>
      <c r="D12" s="80" t="inlineStr">
        <is>
          <t>Hotel / serviced apartment</t>
        </is>
      </c>
      <c r="E12" s="80" t="inlineStr">
        <is>
          <t>Apartment campus</t>
        </is>
      </c>
      <c r="F12" s="80" t="inlineStr">
        <is>
          <t>Building 2</t>
        </is>
      </c>
      <c r="G12" s="80" t="inlineStr">
        <is>
          <t>长租公寓</t>
        </is>
      </c>
      <c r="H12" s="80" t="inlineStr">
        <is>
          <t>Building 2 water meter</t>
        </is>
      </c>
      <c r="I12" s="80" t="inlineStr">
        <is>
          <t>W-APT-002</t>
        </is>
      </c>
      <c r="J12" s="80" t="inlineStr">
        <is>
          <t>水道</t>
        </is>
      </c>
      <c r="K12" s="82">
        <f>IF($J12="","",IFERROR(VLOOKUP($J12,'基本設定'!$A$13:$K$19,2,FALSE),""))</f>
        <v/>
      </c>
      <c r="L12" s="139" t="n">
        <v>1120</v>
      </c>
      <c r="M12" s="139" t="n">
        <v>1118</v>
      </c>
      <c r="N12" s="140">
        <f>IF(OR($L12="",$M12=""),"",MAX(0,$L12-$M12))</f>
        <v/>
      </c>
      <c r="O12" s="140">
        <f>IF($J12="","",IFERROR(VLOOKUP($J12,'基本設定'!$A$13:$K$19,3,FALSE),0))</f>
        <v/>
      </c>
      <c r="P12" s="140">
        <f>IF($N12="","",$N12*$O12)</f>
        <v/>
      </c>
      <c r="Q12" s="139" t="inlineStr">
        <is>
          <t>低负荷/夜间</t>
        </is>
      </c>
      <c r="R12" s="139" t="n">
        <v>80</v>
      </c>
      <c r="S12" s="139" t="n">
        <v>3200</v>
      </c>
      <c r="T12" s="139" t="n">
        <v>0</v>
      </c>
      <c r="U12" s="140">
        <f>IF($J12="","",IFERROR($N12*VLOOKUP($J12,'基本設定'!$A$13:$K$19,4,FALSE),0))</f>
        <v/>
      </c>
      <c r="V12" s="140">
        <f>IFERROR($N12/$S12,"")</f>
        <v/>
      </c>
      <c r="W12" s="140">
        <f>IFERROR($N12/$T12,"")</f>
        <v/>
      </c>
      <c r="X12" s="80" t="inlineStr">
        <is>
          <t>Automatic meter reading</t>
        </is>
      </c>
      <c r="Y12" s="80" t="inlineStr">
        <is>
          <t>Water use while vacant排查</t>
        </is>
      </c>
    </row>
    <row r="13">
      <c r="A13" s="80" t="inlineStr">
        <is>
          <t>D0008</t>
        </is>
      </c>
      <c r="B13" s="138" t="n">
        <v>46116</v>
      </c>
      <c r="C13" s="80" t="inlineStr">
        <is>
          <t>Example Group</t>
        </is>
      </c>
      <c r="D13" s="80" t="inlineStr">
        <is>
          <t>Data center / server room</t>
        </is>
      </c>
      <c r="E13" s="80" t="inlineStr">
        <is>
          <t>DC1</t>
        </is>
      </c>
      <c r="F13" s="80" t="inlineStr">
        <is>
          <t>Server room 1</t>
        </is>
      </c>
      <c r="G13" s="80" t="inlineStr">
        <is>
          <t>Chiller plant</t>
        </is>
      </c>
      <c r="H13" s="80" t="inlineStr">
        <is>
          <t>Chilled water cooling meter</t>
        </is>
      </c>
      <c r="I13" s="80" t="inlineStr">
        <is>
          <t>C-CH-001</t>
        </is>
      </c>
      <c r="J13" s="80" t="inlineStr">
        <is>
          <t>冷熱</t>
        </is>
      </c>
      <c r="K13" s="82">
        <f>IF($J13="","",IFERROR(VLOOKUP($J13,'基本設定'!$A$13:$K$19,2,FALSE),""))</f>
        <v/>
      </c>
      <c r="L13" s="139" t="n">
        <v>5680</v>
      </c>
      <c r="M13" s="139" t="n">
        <v>5620</v>
      </c>
      <c r="N13" s="140">
        <f>IF(OR($L13="",$M13=""),"",MAX(0,$L13-$M13))</f>
        <v/>
      </c>
      <c r="O13" s="140">
        <f>IF($J13="","",IFERROR(VLOOKUP($J13,'基本設定'!$A$13:$K$19,3,FALSE),0))</f>
        <v/>
      </c>
      <c r="P13" s="140">
        <f>IF($N13="","",$N13*$O13)</f>
        <v/>
      </c>
      <c r="Q13" s="139" t="inlineStr">
        <is>
          <t>All day</t>
        </is>
      </c>
      <c r="R13" s="139" t="n">
        <v>0</v>
      </c>
      <c r="S13" s="139" t="n">
        <v>600</v>
      </c>
      <c r="T13" s="139" t="n">
        <v>42</v>
      </c>
      <c r="U13" s="140">
        <f>IF($J13="","",IFERROR($N13*VLOOKUP($J13,'基本設定'!$A$13:$K$19,4,FALSE),0))</f>
        <v/>
      </c>
      <c r="V13" s="140">
        <f>IFERROR($N13/$S13,"")</f>
        <v/>
      </c>
      <c r="W13" s="140">
        <f>IFERROR($N13/$T13,"")</f>
        <v/>
      </c>
      <c r="X13" s="80" t="inlineStr">
        <is>
          <t>IoT platform import</t>
        </is>
      </c>
      <c r="Y13" s="80" t="inlineStr">
        <is>
          <t>冷熱/IT负载</t>
        </is>
      </c>
    </row>
    <row r="14">
      <c r="A14" s="80" t="inlineStr">
        <is>
          <t>D0009</t>
        </is>
      </c>
      <c r="B14" s="138" t="n">
        <v>46117</v>
      </c>
      <c r="C14" s="80" t="inlineStr">
        <is>
          <t>Example Group</t>
        </is>
      </c>
      <c r="D14" s="80" t="inlineStr">
        <is>
          <t>Municipal / water supply zone</t>
        </is>
      </c>
      <c r="E14" s="80" t="inlineStr">
        <is>
          <t>DMA-01</t>
        </is>
      </c>
      <c r="F14" s="80" t="inlineStr">
        <is>
          <t>Zone A</t>
        </is>
      </c>
      <c r="G14" s="80" t="inlineStr">
        <is>
          <t>供水道分区</t>
        </is>
      </c>
      <c r="H14" s="80" t="inlineStr">
        <is>
          <t>DMA-01 main meter</t>
        </is>
      </c>
      <c r="I14" s="80" t="inlineStr">
        <is>
          <t>W-DMA-001</t>
        </is>
      </c>
      <c r="J14" s="80" t="inlineStr">
        <is>
          <t>水道</t>
        </is>
      </c>
      <c r="K14" s="82">
        <f>IF($J14="","",IFERROR(VLOOKUP($J14,'基本設定'!$A$13:$K$19,2,FALSE),""))</f>
        <v/>
      </c>
      <c r="L14" s="139" t="n">
        <v>48900</v>
      </c>
      <c r="M14" s="139" t="n">
        <v>48840</v>
      </c>
      <c r="N14" s="140">
        <f>IF(OR($L14="",$M14=""),"",MAX(0,$L14-$M14))</f>
        <v/>
      </c>
      <c r="O14" s="140">
        <f>IF($J14="","",IFERROR(VLOOKUP($J14,'基本設定'!$A$13:$K$19,3,FALSE),0))</f>
        <v/>
      </c>
      <c r="P14" s="140">
        <f>IF($N14="","",$N14*$O14)</f>
        <v/>
      </c>
      <c r="Q14" s="139" t="inlineStr">
        <is>
          <t>低负荷/夜间</t>
        </is>
      </c>
      <c r="R14" s="139" t="n">
        <v>0</v>
      </c>
      <c r="S14" s="139" t="n">
        <v>0</v>
      </c>
      <c r="T14" s="139" t="n">
        <v>0</v>
      </c>
      <c r="U14" s="140">
        <f>IF($J14="","",IFERROR($N14*VLOOKUP($J14,'基本設定'!$A$13:$K$19,4,FALSE),0))</f>
        <v/>
      </c>
      <c r="V14" s="140">
        <f>IFERROR($N14/$S14,"")</f>
        <v/>
      </c>
      <c r="W14" s="140">
        <f>IFERROR($N14/$T14,"")</f>
        <v/>
      </c>
      <c r="X14" s="80" t="inlineStr">
        <is>
          <t>Automatic meter reading</t>
        </is>
      </c>
      <c r="Y14" s="80" t="inlineStr">
        <is>
          <t>夜间最小流量</t>
        </is>
      </c>
    </row>
    <row r="15">
      <c r="A15" s="80" t="inlineStr">
        <is>
          <t>D0010</t>
        </is>
      </c>
      <c r="B15" s="138" t="n">
        <v>46118</v>
      </c>
      <c r="C15" s="80" t="inlineStr">
        <is>
          <t>Example Group</t>
        </is>
      </c>
      <c r="D15" s="80" t="inlineStr">
        <is>
          <t>Office building / headquarters campus</t>
        </is>
      </c>
      <c r="E15" s="80" t="inlineStr">
        <is>
          <t>Headquarters campus</t>
        </is>
      </c>
      <c r="F15" s="80" t="inlineStr">
        <is>
          <t>Building A / 2F</t>
        </is>
      </c>
      <c r="G15" s="80" t="inlineStr">
        <is>
          <t>空调系统</t>
        </is>
      </c>
      <c r="H15" s="80" t="inlineStr">
        <is>
          <t>空调回路A2</t>
        </is>
      </c>
      <c r="I15" s="80" t="inlineStr">
        <is>
          <t>E-A2-AC</t>
        </is>
      </c>
      <c r="J15" s="80" t="inlineStr">
        <is>
          <t>電気</t>
        </is>
      </c>
      <c r="K15" s="82">
        <f>IF($J15="","",IFERROR(VLOOKUP($J15,'基本設定'!$A$13:$K$19,2,FALSE),""))</f>
        <v/>
      </c>
      <c r="L15" s="139" t="n">
        <v>21600</v>
      </c>
      <c r="M15" s="139" t="n">
        <v>21280</v>
      </c>
      <c r="N15" s="140">
        <f>IF(OR($L15="",$M15=""),"",MAX(0,$L15-$M15))</f>
        <v/>
      </c>
      <c r="O15" s="140">
        <f>IF($J15="","",IFERROR(VLOOKUP($J15,'基本設定'!$A$13:$K$19,3,FALSE),0))</f>
        <v/>
      </c>
      <c r="P15" s="140">
        <f>IF($N15="","",$N15*$O15)</f>
        <v/>
      </c>
      <c r="Q15" s="139" t="inlineStr">
        <is>
          <t>All day</t>
        </is>
      </c>
      <c r="R15" s="139" t="n">
        <v>115</v>
      </c>
      <c r="S15" s="139" t="n">
        <v>2200</v>
      </c>
      <c r="T15" s="139" t="n">
        <v>0</v>
      </c>
      <c r="U15" s="140">
        <f>IF($J15="","",IFERROR($N15*VLOOKUP($J15,'基本設定'!$A$13:$K$19,4,FALSE),0))</f>
        <v/>
      </c>
      <c r="V15" s="140">
        <f>IFERROR($N15/$S15,"")</f>
        <v/>
      </c>
      <c r="W15" s="140">
        <f>IFERROR($N15/$T15,"")</f>
        <v/>
      </c>
      <c r="X15" s="80" t="inlineStr">
        <is>
          <t>Automatic meter reading</t>
        </is>
      </c>
      <c r="Y15" s="80" t="inlineStr">
        <is>
          <t>空调能耗</t>
        </is>
      </c>
    </row>
    <row r="16">
      <c r="A16" s="80" t="inlineStr">
        <is>
          <t>D0011</t>
        </is>
      </c>
      <c r="B16" s="138" t="n">
        <v>46119</v>
      </c>
      <c r="C16" s="80" t="inlineStr">
        <is>
          <t>Example Group</t>
        </is>
      </c>
      <c r="D16" s="80" t="inlineStr">
        <is>
          <t>Commercial complex / office building</t>
        </is>
      </c>
      <c r="E16" s="80" t="inlineStr">
        <is>
          <t>Commercial center</t>
        </is>
      </c>
      <c r="F16" s="80" t="inlineStr">
        <is>
          <t>公区</t>
        </is>
      </c>
      <c r="G16" s="80" t="inlineStr">
        <is>
          <t>公共照明</t>
        </is>
      </c>
      <c r="H16" s="80" t="inlineStr">
        <is>
          <t>公区照明总表</t>
        </is>
      </c>
      <c r="I16" s="80" t="inlineStr">
        <is>
          <t>E-MALL-PUB</t>
        </is>
      </c>
      <c r="J16" s="80" t="inlineStr">
        <is>
          <t>電気</t>
        </is>
      </c>
      <c r="K16" s="82">
        <f>IF($J16="","",IFERROR(VLOOKUP($J16,'基本設定'!$A$13:$K$19,2,FALSE),""))</f>
        <v/>
      </c>
      <c r="L16" s="139" t="n">
        <v>74800</v>
      </c>
      <c r="M16" s="139" t="n">
        <v>74120</v>
      </c>
      <c r="N16" s="140">
        <f>IF(OR($L16="",$M16=""),"",MAX(0,$L16-$M16))</f>
        <v/>
      </c>
      <c r="O16" s="140">
        <f>IF($J16="","",IFERROR(VLOOKUP($J16,'基本設定'!$A$13:$K$19,3,FALSE),0))</f>
        <v/>
      </c>
      <c r="P16" s="140">
        <f>IF($N16="","",$N16*$O16)</f>
        <v/>
      </c>
      <c r="Q16" s="139" t="inlineStr">
        <is>
          <t>All day</t>
        </is>
      </c>
      <c r="R16" s="139" t="n">
        <v>0</v>
      </c>
      <c r="S16" s="139" t="n">
        <v>12500</v>
      </c>
      <c r="T16" s="139" t="n">
        <v>0</v>
      </c>
      <c r="U16" s="140">
        <f>IF($J16="","",IFERROR($N16*VLOOKUP($J16,'基本設定'!$A$13:$K$19,4,FALSE),0))</f>
        <v/>
      </c>
      <c r="V16" s="140">
        <f>IFERROR($N16/$S16,"")</f>
        <v/>
      </c>
      <c r="W16" s="140">
        <f>IFERROR($N16/$T16,"")</f>
        <v/>
      </c>
      <c r="X16" s="80" t="inlineStr">
        <is>
          <t>Automatic meter reading</t>
        </is>
      </c>
      <c r="Y16" s="80" t="inlineStr">
        <is>
          <t>公摊用電気</t>
        </is>
      </c>
    </row>
    <row r="17">
      <c r="A17" s="80" t="inlineStr">
        <is>
          <t>D0012</t>
        </is>
      </c>
      <c r="B17" s="138" t="n">
        <v>46120</v>
      </c>
      <c r="C17" s="80" t="inlineStr">
        <is>
          <t>Example Group</t>
        </is>
      </c>
      <c r="D17" s="80" t="inlineStr">
        <is>
          <t>Multi-subsidiary group</t>
        </is>
      </c>
      <c r="E17" s="80" t="inlineStr">
        <is>
          <t>East China branch</t>
        </is>
      </c>
      <c r="F17" s="80" t="inlineStr">
        <is>
          <t>Campus total</t>
        </is>
      </c>
      <c r="G17" s="80" t="inlineStr">
        <is>
          <t>Integrated energy</t>
        </is>
      </c>
      <c r="H17" s="80" t="inlineStr">
        <is>
          <t>Standard coal equivalent</t>
        </is>
      </c>
      <c r="I17" s="80" t="inlineStr">
        <is>
          <t>T-CE-001</t>
        </is>
      </c>
      <c r="J17" s="80" t="inlineStr">
        <is>
          <t>Integrated energy use</t>
        </is>
      </c>
      <c r="K17" s="82">
        <f>IF($J17="","",IFERROR(VLOOKUP($J17,'基本設定'!$A$13:$K$19,2,FALSE),""))</f>
        <v/>
      </c>
      <c r="L17" s="139" t="n">
        <v>8500</v>
      </c>
      <c r="M17" s="139" t="n">
        <v>8320</v>
      </c>
      <c r="N17" s="140">
        <f>IF(OR($L17="",$M17=""),"",MAX(0,$L17-$M17))</f>
        <v/>
      </c>
      <c r="O17" s="140">
        <f>IF($J17="","",IFERROR(VLOOKUP($J17,'基本設定'!$A$13:$K$19,3,FALSE),0))</f>
        <v/>
      </c>
      <c r="P17" s="140">
        <f>IF($N17="","",$N17*$O17)</f>
        <v/>
      </c>
      <c r="Q17" s="139" t="inlineStr">
        <is>
          <t>All day</t>
        </is>
      </c>
      <c r="R17" s="139" t="n">
        <v>0</v>
      </c>
      <c r="S17" s="139" t="n">
        <v>26000</v>
      </c>
      <c r="T17" s="139" t="n">
        <v>1800</v>
      </c>
      <c r="U17" s="140">
        <f>IF($J17="","",IFERROR($N17*VLOOKUP($J17,'基本設定'!$A$13:$K$19,4,FALSE),0))</f>
        <v/>
      </c>
      <c r="V17" s="140">
        <f>IFERROR($N17/$S17,"")</f>
        <v/>
      </c>
      <c r="W17" s="140">
        <f>IFERROR($N17/$T17,"")</f>
        <v/>
      </c>
      <c r="X17" s="80" t="inlineStr">
        <is>
          <t>Bill import</t>
        </is>
      </c>
      <c r="Y17" s="80" t="inlineStr">
        <is>
          <t>Monthly conversion example</t>
        </is>
      </c>
    </row>
    <row r="18">
      <c r="A18" s="80" t="n"/>
      <c r="B18" s="138" t="n"/>
      <c r="C18" s="80" t="n"/>
      <c r="D18" s="80" t="n"/>
      <c r="E18" s="80" t="n"/>
      <c r="F18" s="80" t="n"/>
      <c r="G18" s="80" t="n"/>
      <c r="H18" s="80" t="n"/>
      <c r="I18" s="80" t="n"/>
      <c r="J18" s="80" t="n"/>
      <c r="K18" s="82">
        <f>IF($J18="","",IFERROR(VLOOKUP($J18,'基本設定'!$A$13:$K$19,2,FALSE),""))</f>
        <v/>
      </c>
      <c r="L18" s="139" t="n"/>
      <c r="M18" s="139" t="n"/>
      <c r="N18" s="140">
        <f>IF(OR($L18="",$M18=""),"",MAX(0,$L18-$M18))</f>
        <v/>
      </c>
      <c r="O18" s="140">
        <f>IF($J18="","",IFERROR(VLOOKUP($J18,'基本設定'!$A$13:$K$19,3,FALSE),0))</f>
        <v/>
      </c>
      <c r="P18" s="140">
        <f>IF($N18="","",$N18*$O18)</f>
        <v/>
      </c>
      <c r="Q18" s="139" t="n"/>
      <c r="R18" s="139" t="n"/>
      <c r="S18" s="139" t="n"/>
      <c r="T18" s="139" t="n"/>
      <c r="U18" s="140">
        <f>IF($J18="","",IFERROR($N18*VLOOKUP($J18,'基本設定'!$A$13:$K$19,4,FALSE),0))</f>
        <v/>
      </c>
      <c r="V18" s="140">
        <f>IFERROR($N18/$S18,"")</f>
        <v/>
      </c>
      <c r="W18" s="140">
        <f>IFERROR($N18/$T18,"")</f>
        <v/>
      </c>
      <c r="X18" s="80" t="n"/>
      <c r="Y18" s="80" t="n"/>
    </row>
    <row r="19">
      <c r="A19" s="80" t="n"/>
      <c r="B19" s="138" t="n"/>
      <c r="C19" s="80" t="n"/>
      <c r="D19" s="80" t="n"/>
      <c r="E19" s="80" t="n"/>
      <c r="F19" s="80" t="n"/>
      <c r="G19" s="80" t="n"/>
      <c r="H19" s="80" t="n"/>
      <c r="I19" s="80" t="n"/>
      <c r="J19" s="80" t="n"/>
      <c r="K19" s="82">
        <f>IF($J19="","",IFERROR(VLOOKUP($J19,'基本設定'!$A$13:$K$19,2,FALSE),""))</f>
        <v/>
      </c>
      <c r="L19" s="139" t="n"/>
      <c r="M19" s="139" t="n"/>
      <c r="N19" s="140">
        <f>IF(OR($L19="",$M19=""),"",MAX(0,$L19-$M19))</f>
        <v/>
      </c>
      <c r="O19" s="140">
        <f>IF($J19="","",IFERROR(VLOOKUP($J19,'基本設定'!$A$13:$K$19,3,FALSE),0))</f>
        <v/>
      </c>
      <c r="P19" s="140">
        <f>IF($N19="","",$N19*$O19)</f>
        <v/>
      </c>
      <c r="Q19" s="139" t="n"/>
      <c r="R19" s="139" t="n"/>
      <c r="S19" s="139" t="n"/>
      <c r="T19" s="139" t="n"/>
      <c r="U19" s="140">
        <f>IF($J19="","",IFERROR($N19*VLOOKUP($J19,'基本設定'!$A$13:$K$19,4,FALSE),0))</f>
        <v/>
      </c>
      <c r="V19" s="140">
        <f>IFERROR($N19/$S19,"")</f>
        <v/>
      </c>
      <c r="W19" s="140">
        <f>IFERROR($N19/$T19,"")</f>
        <v/>
      </c>
      <c r="X19" s="80" t="n"/>
      <c r="Y19" s="80" t="n"/>
    </row>
    <row r="20">
      <c r="A20" s="80" t="n"/>
      <c r="B20" s="138" t="n"/>
      <c r="C20" s="80" t="n"/>
      <c r="D20" s="80" t="n"/>
      <c r="E20" s="80" t="n"/>
      <c r="F20" s="80" t="n"/>
      <c r="G20" s="80" t="n"/>
      <c r="H20" s="80" t="n"/>
      <c r="I20" s="80" t="n"/>
      <c r="J20" s="80" t="n"/>
      <c r="K20" s="82">
        <f>IF($J20="","",IFERROR(VLOOKUP($J20,'基本設定'!$A$13:$K$19,2,FALSE),""))</f>
        <v/>
      </c>
      <c r="L20" s="139" t="n"/>
      <c r="M20" s="139" t="n"/>
      <c r="N20" s="140">
        <f>IF(OR($L20="",$M20=""),"",MAX(0,$L20-$M20))</f>
        <v/>
      </c>
      <c r="O20" s="140">
        <f>IF($J20="","",IFERROR(VLOOKUP($J20,'基本設定'!$A$13:$K$19,3,FALSE),0))</f>
        <v/>
      </c>
      <c r="P20" s="140">
        <f>IF($N20="","",$N20*$O20)</f>
        <v/>
      </c>
      <c r="Q20" s="139" t="n"/>
      <c r="R20" s="139" t="n"/>
      <c r="S20" s="139" t="n"/>
      <c r="T20" s="139" t="n"/>
      <c r="U20" s="140">
        <f>IF($J20="","",IFERROR($N20*VLOOKUP($J20,'基本設定'!$A$13:$K$19,4,FALSE),0))</f>
        <v/>
      </c>
      <c r="V20" s="140">
        <f>IFERROR($N20/$S20,"")</f>
        <v/>
      </c>
      <c r="W20" s="140">
        <f>IFERROR($N20/$T20,"")</f>
        <v/>
      </c>
      <c r="X20" s="80" t="n"/>
      <c r="Y20" s="80" t="n"/>
    </row>
    <row r="21">
      <c r="A21" s="80" t="n"/>
      <c r="B21" s="138" t="n"/>
      <c r="C21" s="80" t="n"/>
      <c r="D21" s="80" t="n"/>
      <c r="E21" s="80" t="n"/>
      <c r="F21" s="80" t="n"/>
      <c r="G21" s="80" t="n"/>
      <c r="H21" s="80" t="n"/>
      <c r="I21" s="80" t="n"/>
      <c r="J21" s="80" t="n"/>
      <c r="K21" s="82">
        <f>IF($J21="","",IFERROR(VLOOKUP($J21,'基本設定'!$A$13:$K$19,2,FALSE),""))</f>
        <v/>
      </c>
      <c r="L21" s="139" t="n"/>
      <c r="M21" s="139" t="n"/>
      <c r="N21" s="140">
        <f>IF(OR($L21="",$M21=""),"",MAX(0,$L21-$M21))</f>
        <v/>
      </c>
      <c r="O21" s="140">
        <f>IF($J21="","",IFERROR(VLOOKUP($J21,'基本設定'!$A$13:$K$19,3,FALSE),0))</f>
        <v/>
      </c>
      <c r="P21" s="140">
        <f>IF($N21="","",$N21*$O21)</f>
        <v/>
      </c>
      <c r="Q21" s="139" t="n"/>
      <c r="R21" s="139" t="n"/>
      <c r="S21" s="139" t="n"/>
      <c r="T21" s="139" t="n"/>
      <c r="U21" s="140">
        <f>IF($J21="","",IFERROR($N21*VLOOKUP($J21,'基本設定'!$A$13:$K$19,4,FALSE),0))</f>
        <v/>
      </c>
      <c r="V21" s="140">
        <f>IFERROR($N21/$S21,"")</f>
        <v/>
      </c>
      <c r="W21" s="140">
        <f>IFERROR($N21/$T21,"")</f>
        <v/>
      </c>
      <c r="X21" s="80" t="n"/>
      <c r="Y21" s="80" t="n"/>
    </row>
    <row r="22">
      <c r="A22" s="80" t="n"/>
      <c r="B22" s="138" t="n"/>
      <c r="C22" s="80" t="n"/>
      <c r="D22" s="80" t="n"/>
      <c r="E22" s="80" t="n"/>
      <c r="F22" s="80" t="n"/>
      <c r="G22" s="80" t="n"/>
      <c r="H22" s="80" t="n"/>
      <c r="I22" s="80" t="n"/>
      <c r="J22" s="80" t="n"/>
      <c r="K22" s="82">
        <f>IF($J22="","",IFERROR(VLOOKUP($J22,'基本設定'!$A$13:$K$19,2,FALSE),""))</f>
        <v/>
      </c>
      <c r="L22" s="139" t="n"/>
      <c r="M22" s="139" t="n"/>
      <c r="N22" s="140">
        <f>IF(OR($L22="",$M22=""),"",MAX(0,$L22-$M22))</f>
        <v/>
      </c>
      <c r="O22" s="140">
        <f>IF($J22="","",IFERROR(VLOOKUP($J22,'基本設定'!$A$13:$K$19,3,FALSE),0))</f>
        <v/>
      </c>
      <c r="P22" s="140">
        <f>IF($N22="","",$N22*$O22)</f>
        <v/>
      </c>
      <c r="Q22" s="139" t="n"/>
      <c r="R22" s="139" t="n"/>
      <c r="S22" s="139" t="n"/>
      <c r="T22" s="139" t="n"/>
      <c r="U22" s="140">
        <f>IF($J22="","",IFERROR($N22*VLOOKUP($J22,'基本設定'!$A$13:$K$19,4,FALSE),0))</f>
        <v/>
      </c>
      <c r="V22" s="140">
        <f>IFERROR($N22/$S22,"")</f>
        <v/>
      </c>
      <c r="W22" s="140">
        <f>IFERROR($N22/$T22,"")</f>
        <v/>
      </c>
      <c r="X22" s="80" t="n"/>
      <c r="Y22" s="80" t="n"/>
    </row>
    <row r="23">
      <c r="A23" s="80" t="n"/>
      <c r="B23" s="138" t="n"/>
      <c r="C23" s="80" t="n"/>
      <c r="D23" s="80" t="n"/>
      <c r="E23" s="80" t="n"/>
      <c r="F23" s="80" t="n"/>
      <c r="G23" s="80" t="n"/>
      <c r="H23" s="80" t="n"/>
      <c r="I23" s="80" t="n"/>
      <c r="J23" s="80" t="n"/>
      <c r="K23" s="82">
        <f>IF($J23="","",IFERROR(VLOOKUP($J23,'基本設定'!$A$13:$K$19,2,FALSE),""))</f>
        <v/>
      </c>
      <c r="L23" s="139" t="n"/>
      <c r="M23" s="139" t="n"/>
      <c r="N23" s="140">
        <f>IF(OR($L23="",$M23=""),"",MAX(0,$L23-$M23))</f>
        <v/>
      </c>
      <c r="O23" s="140">
        <f>IF($J23="","",IFERROR(VLOOKUP($J23,'基本設定'!$A$13:$K$19,3,FALSE),0))</f>
        <v/>
      </c>
      <c r="P23" s="140">
        <f>IF($N23="","",$N23*$O23)</f>
        <v/>
      </c>
      <c r="Q23" s="139" t="n"/>
      <c r="R23" s="139" t="n"/>
      <c r="S23" s="139" t="n"/>
      <c r="T23" s="139" t="n"/>
      <c r="U23" s="140">
        <f>IF($J23="","",IFERROR($N23*VLOOKUP($J23,'基本設定'!$A$13:$K$19,4,FALSE),0))</f>
        <v/>
      </c>
      <c r="V23" s="140">
        <f>IFERROR($N23/$S23,"")</f>
        <v/>
      </c>
      <c r="W23" s="140">
        <f>IFERROR($N23/$T23,"")</f>
        <v/>
      </c>
      <c r="X23" s="80" t="n"/>
      <c r="Y23" s="80" t="n"/>
    </row>
    <row r="24">
      <c r="A24" s="80" t="n"/>
      <c r="B24" s="138" t="n"/>
      <c r="C24" s="80" t="n"/>
      <c r="D24" s="80" t="n"/>
      <c r="E24" s="80" t="n"/>
      <c r="F24" s="80" t="n"/>
      <c r="G24" s="80" t="n"/>
      <c r="H24" s="80" t="n"/>
      <c r="I24" s="80" t="n"/>
      <c r="J24" s="80" t="n"/>
      <c r="K24" s="82">
        <f>IF($J24="","",IFERROR(VLOOKUP($J24,'基本設定'!$A$13:$K$19,2,FALSE),""))</f>
        <v/>
      </c>
      <c r="L24" s="139" t="n"/>
      <c r="M24" s="139" t="n"/>
      <c r="N24" s="140">
        <f>IF(OR($L24="",$M24=""),"",MAX(0,$L24-$M24))</f>
        <v/>
      </c>
      <c r="O24" s="140">
        <f>IF($J24="","",IFERROR(VLOOKUP($J24,'基本設定'!$A$13:$K$19,3,FALSE),0))</f>
        <v/>
      </c>
      <c r="P24" s="140">
        <f>IF($N24="","",$N24*$O24)</f>
        <v/>
      </c>
      <c r="Q24" s="139" t="n"/>
      <c r="R24" s="139" t="n"/>
      <c r="S24" s="139" t="n"/>
      <c r="T24" s="139" t="n"/>
      <c r="U24" s="140">
        <f>IF($J24="","",IFERROR($N24*VLOOKUP($J24,'基本設定'!$A$13:$K$19,4,FALSE),0))</f>
        <v/>
      </c>
      <c r="V24" s="140">
        <f>IFERROR($N24/$S24,"")</f>
        <v/>
      </c>
      <c r="W24" s="140">
        <f>IFERROR($N24/$T24,"")</f>
        <v/>
      </c>
      <c r="X24" s="80" t="n"/>
      <c r="Y24" s="80" t="n"/>
    </row>
    <row r="25">
      <c r="A25" s="80" t="n"/>
      <c r="B25" s="138" t="n"/>
      <c r="C25" s="80" t="n"/>
      <c r="D25" s="80" t="n"/>
      <c r="E25" s="80" t="n"/>
      <c r="F25" s="80" t="n"/>
      <c r="G25" s="80" t="n"/>
      <c r="H25" s="80" t="n"/>
      <c r="I25" s="80" t="n"/>
      <c r="J25" s="80" t="n"/>
      <c r="K25" s="82">
        <f>IF($J25="","",IFERROR(VLOOKUP($J25,'基本設定'!$A$13:$K$19,2,FALSE),""))</f>
        <v/>
      </c>
      <c r="L25" s="139" t="n"/>
      <c r="M25" s="139" t="n"/>
      <c r="N25" s="140">
        <f>IF(OR($L25="",$M25=""),"",MAX(0,$L25-$M25))</f>
        <v/>
      </c>
      <c r="O25" s="140">
        <f>IF($J25="","",IFERROR(VLOOKUP($J25,'基本設定'!$A$13:$K$19,3,FALSE),0))</f>
        <v/>
      </c>
      <c r="P25" s="140">
        <f>IF($N25="","",$N25*$O25)</f>
        <v/>
      </c>
      <c r="Q25" s="139" t="n"/>
      <c r="R25" s="139" t="n"/>
      <c r="S25" s="139" t="n"/>
      <c r="T25" s="139" t="n"/>
      <c r="U25" s="140">
        <f>IF($J25="","",IFERROR($N25*VLOOKUP($J25,'基本設定'!$A$13:$K$19,4,FALSE),0))</f>
        <v/>
      </c>
      <c r="V25" s="140">
        <f>IFERROR($N25/$S25,"")</f>
        <v/>
      </c>
      <c r="W25" s="140">
        <f>IFERROR($N25/$T25,"")</f>
        <v/>
      </c>
      <c r="X25" s="80" t="n"/>
      <c r="Y25" s="80" t="n"/>
    </row>
    <row r="26">
      <c r="A26" s="80" t="n"/>
      <c r="B26" s="138" t="n"/>
      <c r="C26" s="80" t="n"/>
      <c r="D26" s="80" t="n"/>
      <c r="E26" s="80" t="n"/>
      <c r="F26" s="80" t="n"/>
      <c r="G26" s="80" t="n"/>
      <c r="H26" s="80" t="n"/>
      <c r="I26" s="80" t="n"/>
      <c r="J26" s="80" t="n"/>
      <c r="K26" s="82">
        <f>IF($J26="","",IFERROR(VLOOKUP($J26,'基本設定'!$A$13:$K$19,2,FALSE),""))</f>
        <v/>
      </c>
      <c r="L26" s="139" t="n"/>
      <c r="M26" s="139" t="n"/>
      <c r="N26" s="140">
        <f>IF(OR($L26="",$M26=""),"",MAX(0,$L26-$M26))</f>
        <v/>
      </c>
      <c r="O26" s="140">
        <f>IF($J26="","",IFERROR(VLOOKUP($J26,'基本設定'!$A$13:$K$19,3,FALSE),0))</f>
        <v/>
      </c>
      <c r="P26" s="140">
        <f>IF($N26="","",$N26*$O26)</f>
        <v/>
      </c>
      <c r="Q26" s="139" t="n"/>
      <c r="R26" s="139" t="n"/>
      <c r="S26" s="139" t="n"/>
      <c r="T26" s="139" t="n"/>
      <c r="U26" s="140">
        <f>IF($J26="","",IFERROR($N26*VLOOKUP($J26,'基本設定'!$A$13:$K$19,4,FALSE),0))</f>
        <v/>
      </c>
      <c r="V26" s="140">
        <f>IFERROR($N26/$S26,"")</f>
        <v/>
      </c>
      <c r="W26" s="140">
        <f>IFERROR($N26/$T26,"")</f>
        <v/>
      </c>
      <c r="X26" s="80" t="n"/>
      <c r="Y26" s="80" t="n"/>
    </row>
    <row r="27">
      <c r="A27" s="80" t="n"/>
      <c r="B27" s="138" t="n"/>
      <c r="C27" s="80" t="n"/>
      <c r="D27" s="80" t="n"/>
      <c r="E27" s="80" t="n"/>
      <c r="F27" s="80" t="n"/>
      <c r="G27" s="80" t="n"/>
      <c r="H27" s="80" t="n"/>
      <c r="I27" s="80" t="n"/>
      <c r="J27" s="80" t="n"/>
      <c r="K27" s="82">
        <f>IF($J27="","",IFERROR(VLOOKUP($J27,'基本設定'!$A$13:$K$19,2,FALSE),""))</f>
        <v/>
      </c>
      <c r="L27" s="139" t="n"/>
      <c r="M27" s="139" t="n"/>
      <c r="N27" s="140">
        <f>IF(OR($L27="",$M27=""),"",MAX(0,$L27-$M27))</f>
        <v/>
      </c>
      <c r="O27" s="140">
        <f>IF($J27="","",IFERROR(VLOOKUP($J27,'基本設定'!$A$13:$K$19,3,FALSE),0))</f>
        <v/>
      </c>
      <c r="P27" s="140">
        <f>IF($N27="","",$N27*$O27)</f>
        <v/>
      </c>
      <c r="Q27" s="139" t="n"/>
      <c r="R27" s="139" t="n"/>
      <c r="S27" s="139" t="n"/>
      <c r="T27" s="139" t="n"/>
      <c r="U27" s="140">
        <f>IF($J27="","",IFERROR($N27*VLOOKUP($J27,'基本設定'!$A$13:$K$19,4,FALSE),0))</f>
        <v/>
      </c>
      <c r="V27" s="140">
        <f>IFERROR($N27/$S27,"")</f>
        <v/>
      </c>
      <c r="W27" s="140">
        <f>IFERROR($N27/$T27,"")</f>
        <v/>
      </c>
      <c r="X27" s="80" t="n"/>
      <c r="Y27" s="80" t="n"/>
    </row>
    <row r="28">
      <c r="A28" s="80" t="n"/>
      <c r="B28" s="138" t="n"/>
      <c r="C28" s="80" t="n"/>
      <c r="D28" s="80" t="n"/>
      <c r="E28" s="80" t="n"/>
      <c r="F28" s="80" t="n"/>
      <c r="G28" s="80" t="n"/>
      <c r="H28" s="80" t="n"/>
      <c r="I28" s="80" t="n"/>
      <c r="J28" s="80" t="n"/>
      <c r="K28" s="82">
        <f>IF($J28="","",IFERROR(VLOOKUP($J28,'基本設定'!$A$13:$K$19,2,FALSE),""))</f>
        <v/>
      </c>
      <c r="L28" s="139" t="n"/>
      <c r="M28" s="139" t="n"/>
      <c r="N28" s="140">
        <f>IF(OR($L28="",$M28=""),"",MAX(0,$L28-$M28))</f>
        <v/>
      </c>
      <c r="O28" s="140">
        <f>IF($J28="","",IFERROR(VLOOKUP($J28,'基本設定'!$A$13:$K$19,3,FALSE),0))</f>
        <v/>
      </c>
      <c r="P28" s="140">
        <f>IF($N28="","",$N28*$O28)</f>
        <v/>
      </c>
      <c r="Q28" s="139" t="n"/>
      <c r="R28" s="139" t="n"/>
      <c r="S28" s="139" t="n"/>
      <c r="T28" s="139" t="n"/>
      <c r="U28" s="140">
        <f>IF($J28="","",IFERROR($N28*VLOOKUP($J28,'基本設定'!$A$13:$K$19,4,FALSE),0))</f>
        <v/>
      </c>
      <c r="V28" s="140">
        <f>IFERROR($N28/$S28,"")</f>
        <v/>
      </c>
      <c r="W28" s="140">
        <f>IFERROR($N28/$T28,"")</f>
        <v/>
      </c>
      <c r="X28" s="80" t="n"/>
      <c r="Y28" s="80" t="n"/>
    </row>
    <row r="29">
      <c r="A29" s="80" t="n"/>
      <c r="B29" s="138" t="n"/>
      <c r="C29" s="80" t="n"/>
      <c r="D29" s="80" t="n"/>
      <c r="E29" s="80" t="n"/>
      <c r="F29" s="80" t="n"/>
      <c r="G29" s="80" t="n"/>
      <c r="H29" s="80" t="n"/>
      <c r="I29" s="80" t="n"/>
      <c r="J29" s="80" t="n"/>
      <c r="K29" s="82">
        <f>IF($J29="","",IFERROR(VLOOKUP($J29,'基本設定'!$A$13:$K$19,2,FALSE),""))</f>
        <v/>
      </c>
      <c r="L29" s="139" t="n"/>
      <c r="M29" s="139" t="n"/>
      <c r="N29" s="140">
        <f>IF(OR($L29="",$M29=""),"",MAX(0,$L29-$M29))</f>
        <v/>
      </c>
      <c r="O29" s="140">
        <f>IF($J29="","",IFERROR(VLOOKUP($J29,'基本設定'!$A$13:$K$19,3,FALSE),0))</f>
        <v/>
      </c>
      <c r="P29" s="140">
        <f>IF($N29="","",$N29*$O29)</f>
        <v/>
      </c>
      <c r="Q29" s="139" t="n"/>
      <c r="R29" s="139" t="n"/>
      <c r="S29" s="139" t="n"/>
      <c r="T29" s="139" t="n"/>
      <c r="U29" s="140">
        <f>IF($J29="","",IFERROR($N29*VLOOKUP($J29,'基本設定'!$A$13:$K$19,4,FALSE),0))</f>
        <v/>
      </c>
      <c r="V29" s="140">
        <f>IFERROR($N29/$S29,"")</f>
        <v/>
      </c>
      <c r="W29" s="140">
        <f>IFERROR($N29/$T29,"")</f>
        <v/>
      </c>
      <c r="X29" s="80" t="n"/>
      <c r="Y29" s="80" t="n"/>
    </row>
    <row r="30">
      <c r="A30" s="80" t="n"/>
      <c r="B30" s="138" t="n"/>
      <c r="C30" s="80" t="n"/>
      <c r="D30" s="80" t="n"/>
      <c r="E30" s="80" t="n"/>
      <c r="F30" s="80" t="n"/>
      <c r="G30" s="80" t="n"/>
      <c r="H30" s="80" t="n"/>
      <c r="I30" s="80" t="n"/>
      <c r="J30" s="80" t="n"/>
      <c r="K30" s="82">
        <f>IF($J30="","",IFERROR(VLOOKUP($J30,'基本設定'!$A$13:$K$19,2,FALSE),""))</f>
        <v/>
      </c>
      <c r="L30" s="139" t="n"/>
      <c r="M30" s="139" t="n"/>
      <c r="N30" s="140">
        <f>IF(OR($L30="",$M30=""),"",MAX(0,$L30-$M30))</f>
        <v/>
      </c>
      <c r="O30" s="140">
        <f>IF($J30="","",IFERROR(VLOOKUP($J30,'基本設定'!$A$13:$K$19,3,FALSE),0))</f>
        <v/>
      </c>
      <c r="P30" s="140">
        <f>IF($N30="","",$N30*$O30)</f>
        <v/>
      </c>
      <c r="Q30" s="139" t="n"/>
      <c r="R30" s="139" t="n"/>
      <c r="S30" s="139" t="n"/>
      <c r="T30" s="139" t="n"/>
      <c r="U30" s="140">
        <f>IF($J30="","",IFERROR($N30*VLOOKUP($J30,'基本設定'!$A$13:$K$19,4,FALSE),0))</f>
        <v/>
      </c>
      <c r="V30" s="140">
        <f>IFERROR($N30/$S30,"")</f>
        <v/>
      </c>
      <c r="W30" s="140">
        <f>IFERROR($N30/$T30,"")</f>
        <v/>
      </c>
      <c r="X30" s="80" t="n"/>
      <c r="Y30" s="80" t="n"/>
    </row>
    <row r="31">
      <c r="A31" s="80" t="n"/>
      <c r="B31" s="138" t="n"/>
      <c r="C31" s="80" t="n"/>
      <c r="D31" s="80" t="n"/>
      <c r="E31" s="80" t="n"/>
      <c r="F31" s="80" t="n"/>
      <c r="G31" s="80" t="n"/>
      <c r="H31" s="80" t="n"/>
      <c r="I31" s="80" t="n"/>
      <c r="J31" s="80" t="n"/>
      <c r="K31" s="82">
        <f>IF($J31="","",IFERROR(VLOOKUP($J31,'基本設定'!$A$13:$K$19,2,FALSE),""))</f>
        <v/>
      </c>
      <c r="L31" s="139" t="n"/>
      <c r="M31" s="139" t="n"/>
      <c r="N31" s="140">
        <f>IF(OR($L31="",$M31=""),"",MAX(0,$L31-$M31))</f>
        <v/>
      </c>
      <c r="O31" s="140">
        <f>IF($J31="","",IFERROR(VLOOKUP($J31,'基本設定'!$A$13:$K$19,3,FALSE),0))</f>
        <v/>
      </c>
      <c r="P31" s="140">
        <f>IF($N31="","",$N31*$O31)</f>
        <v/>
      </c>
      <c r="Q31" s="139" t="n"/>
      <c r="R31" s="139" t="n"/>
      <c r="S31" s="139" t="n"/>
      <c r="T31" s="139" t="n"/>
      <c r="U31" s="140">
        <f>IF($J31="","",IFERROR($N31*VLOOKUP($J31,'基本設定'!$A$13:$K$19,4,FALSE),0))</f>
        <v/>
      </c>
      <c r="V31" s="140">
        <f>IFERROR($N31/$S31,"")</f>
        <v/>
      </c>
      <c r="W31" s="140">
        <f>IFERROR($N31/$T31,"")</f>
        <v/>
      </c>
      <c r="X31" s="80" t="n"/>
      <c r="Y31" s="80" t="n"/>
    </row>
    <row r="32">
      <c r="A32" s="80" t="n"/>
      <c r="B32" s="138" t="n"/>
      <c r="C32" s="80" t="n"/>
      <c r="D32" s="80" t="n"/>
      <c r="E32" s="80" t="n"/>
      <c r="F32" s="80" t="n"/>
      <c r="G32" s="80" t="n"/>
      <c r="H32" s="80" t="n"/>
      <c r="I32" s="80" t="n"/>
      <c r="J32" s="80" t="n"/>
      <c r="K32" s="82">
        <f>IF($J32="","",IFERROR(VLOOKUP($J32,'基本設定'!$A$13:$K$19,2,FALSE),""))</f>
        <v/>
      </c>
      <c r="L32" s="139" t="n"/>
      <c r="M32" s="139" t="n"/>
      <c r="N32" s="140">
        <f>IF(OR($L32="",$M32=""),"",MAX(0,$L32-$M32))</f>
        <v/>
      </c>
      <c r="O32" s="140">
        <f>IF($J32="","",IFERROR(VLOOKUP($J32,'基本設定'!$A$13:$K$19,3,FALSE),0))</f>
        <v/>
      </c>
      <c r="P32" s="140">
        <f>IF($N32="","",$N32*$O32)</f>
        <v/>
      </c>
      <c r="Q32" s="139" t="n"/>
      <c r="R32" s="139" t="n"/>
      <c r="S32" s="139" t="n"/>
      <c r="T32" s="139" t="n"/>
      <c r="U32" s="140">
        <f>IF($J32="","",IFERROR($N32*VLOOKUP($J32,'基本設定'!$A$13:$K$19,4,FALSE),0))</f>
        <v/>
      </c>
      <c r="V32" s="140">
        <f>IFERROR($N32/$S32,"")</f>
        <v/>
      </c>
      <c r="W32" s="140">
        <f>IFERROR($N32/$T32,"")</f>
        <v/>
      </c>
      <c r="X32" s="80" t="n"/>
      <c r="Y32" s="80" t="n"/>
    </row>
    <row r="33">
      <c r="A33" s="80" t="n"/>
      <c r="B33" s="138" t="n"/>
      <c r="C33" s="80" t="n"/>
      <c r="D33" s="80" t="n"/>
      <c r="E33" s="80" t="n"/>
      <c r="F33" s="80" t="n"/>
      <c r="G33" s="80" t="n"/>
      <c r="H33" s="80" t="n"/>
      <c r="I33" s="80" t="n"/>
      <c r="J33" s="80" t="n"/>
      <c r="K33" s="82">
        <f>IF($J33="","",IFERROR(VLOOKUP($J33,'基本設定'!$A$13:$K$19,2,FALSE),""))</f>
        <v/>
      </c>
      <c r="L33" s="139" t="n"/>
      <c r="M33" s="139" t="n"/>
      <c r="N33" s="140">
        <f>IF(OR($L33="",$M33=""),"",MAX(0,$L33-$M33))</f>
        <v/>
      </c>
      <c r="O33" s="140">
        <f>IF($J33="","",IFERROR(VLOOKUP($J33,'基本設定'!$A$13:$K$19,3,FALSE),0))</f>
        <v/>
      </c>
      <c r="P33" s="140">
        <f>IF($N33="","",$N33*$O33)</f>
        <v/>
      </c>
      <c r="Q33" s="139" t="n"/>
      <c r="R33" s="139" t="n"/>
      <c r="S33" s="139" t="n"/>
      <c r="T33" s="139" t="n"/>
      <c r="U33" s="140">
        <f>IF($J33="","",IFERROR($N33*VLOOKUP($J33,'基本設定'!$A$13:$K$19,4,FALSE),0))</f>
        <v/>
      </c>
      <c r="V33" s="140">
        <f>IFERROR($N33/$S33,"")</f>
        <v/>
      </c>
      <c r="W33" s="140">
        <f>IFERROR($N33/$T33,"")</f>
        <v/>
      </c>
      <c r="X33" s="80" t="n"/>
      <c r="Y33" s="80" t="n"/>
    </row>
    <row r="34">
      <c r="A34" s="80" t="n"/>
      <c r="B34" s="138" t="n"/>
      <c r="C34" s="80" t="n"/>
      <c r="D34" s="80" t="n"/>
      <c r="E34" s="80" t="n"/>
      <c r="F34" s="80" t="n"/>
      <c r="G34" s="80" t="n"/>
      <c r="H34" s="80" t="n"/>
      <c r="I34" s="80" t="n"/>
      <c r="J34" s="80" t="n"/>
      <c r="K34" s="82">
        <f>IF($J34="","",IFERROR(VLOOKUP($J34,'基本設定'!$A$13:$K$19,2,FALSE),""))</f>
        <v/>
      </c>
      <c r="L34" s="139" t="n"/>
      <c r="M34" s="139" t="n"/>
      <c r="N34" s="140">
        <f>IF(OR($L34="",$M34=""),"",MAX(0,$L34-$M34))</f>
        <v/>
      </c>
      <c r="O34" s="140">
        <f>IF($J34="","",IFERROR(VLOOKUP($J34,'基本設定'!$A$13:$K$19,3,FALSE),0))</f>
        <v/>
      </c>
      <c r="P34" s="140">
        <f>IF($N34="","",$N34*$O34)</f>
        <v/>
      </c>
      <c r="Q34" s="139" t="n"/>
      <c r="R34" s="139" t="n"/>
      <c r="S34" s="139" t="n"/>
      <c r="T34" s="139" t="n"/>
      <c r="U34" s="140">
        <f>IF($J34="","",IFERROR($N34*VLOOKUP($J34,'基本設定'!$A$13:$K$19,4,FALSE),0))</f>
        <v/>
      </c>
      <c r="V34" s="140">
        <f>IFERROR($N34/$S34,"")</f>
        <v/>
      </c>
      <c r="W34" s="140">
        <f>IFERROR($N34/$T34,"")</f>
        <v/>
      </c>
      <c r="X34" s="80" t="n"/>
      <c r="Y34" s="80" t="n"/>
    </row>
    <row r="35">
      <c r="A35" s="80" t="n"/>
      <c r="B35" s="138" t="n"/>
      <c r="C35" s="80" t="n"/>
      <c r="D35" s="80" t="n"/>
      <c r="E35" s="80" t="n"/>
      <c r="F35" s="80" t="n"/>
      <c r="G35" s="80" t="n"/>
      <c r="H35" s="80" t="n"/>
      <c r="I35" s="80" t="n"/>
      <c r="J35" s="80" t="n"/>
      <c r="K35" s="82">
        <f>IF($J35="","",IFERROR(VLOOKUP($J35,'基本設定'!$A$13:$K$19,2,FALSE),""))</f>
        <v/>
      </c>
      <c r="L35" s="139" t="n"/>
      <c r="M35" s="139" t="n"/>
      <c r="N35" s="140">
        <f>IF(OR($L35="",$M35=""),"",MAX(0,$L35-$M35))</f>
        <v/>
      </c>
      <c r="O35" s="140">
        <f>IF($J35="","",IFERROR(VLOOKUP($J35,'基本設定'!$A$13:$K$19,3,FALSE),0))</f>
        <v/>
      </c>
      <c r="P35" s="140">
        <f>IF($N35="","",$N35*$O35)</f>
        <v/>
      </c>
      <c r="Q35" s="139" t="n"/>
      <c r="R35" s="139" t="n"/>
      <c r="S35" s="139" t="n"/>
      <c r="T35" s="139" t="n"/>
      <c r="U35" s="140">
        <f>IF($J35="","",IFERROR($N35*VLOOKUP($J35,'基本設定'!$A$13:$K$19,4,FALSE),0))</f>
        <v/>
      </c>
      <c r="V35" s="140">
        <f>IFERROR($N35/$S35,"")</f>
        <v/>
      </c>
      <c r="W35" s="140">
        <f>IFERROR($N35/$T35,"")</f>
        <v/>
      </c>
      <c r="X35" s="80" t="n"/>
      <c r="Y35" s="80" t="n"/>
    </row>
    <row r="36">
      <c r="A36" s="80" t="n"/>
      <c r="B36" s="138" t="n"/>
      <c r="C36" s="80" t="n"/>
      <c r="D36" s="80" t="n"/>
      <c r="E36" s="80" t="n"/>
      <c r="F36" s="80" t="n"/>
      <c r="G36" s="80" t="n"/>
      <c r="H36" s="80" t="n"/>
      <c r="I36" s="80" t="n"/>
      <c r="J36" s="80" t="n"/>
      <c r="K36" s="82">
        <f>IF($J36="","",IFERROR(VLOOKUP($J36,'基本設定'!$A$13:$K$19,2,FALSE),""))</f>
        <v/>
      </c>
      <c r="L36" s="139" t="n"/>
      <c r="M36" s="139" t="n"/>
      <c r="N36" s="140">
        <f>IF(OR($L36="",$M36=""),"",MAX(0,$L36-$M36))</f>
        <v/>
      </c>
      <c r="O36" s="140">
        <f>IF($J36="","",IFERROR(VLOOKUP($J36,'基本設定'!$A$13:$K$19,3,FALSE),0))</f>
        <v/>
      </c>
      <c r="P36" s="140">
        <f>IF($N36="","",$N36*$O36)</f>
        <v/>
      </c>
      <c r="Q36" s="139" t="n"/>
      <c r="R36" s="139" t="n"/>
      <c r="S36" s="139" t="n"/>
      <c r="T36" s="139" t="n"/>
      <c r="U36" s="140">
        <f>IF($J36="","",IFERROR($N36*VLOOKUP($J36,'基本設定'!$A$13:$K$19,4,FALSE),0))</f>
        <v/>
      </c>
      <c r="V36" s="140">
        <f>IFERROR($N36/$S36,"")</f>
        <v/>
      </c>
      <c r="W36" s="140">
        <f>IFERROR($N36/$T36,"")</f>
        <v/>
      </c>
      <c r="X36" s="80" t="n"/>
      <c r="Y36" s="80" t="n"/>
    </row>
    <row r="37">
      <c r="A37" s="80" t="n"/>
      <c r="B37" s="138" t="n"/>
      <c r="C37" s="80" t="n"/>
      <c r="D37" s="80" t="n"/>
      <c r="E37" s="80" t="n"/>
      <c r="F37" s="80" t="n"/>
      <c r="G37" s="80" t="n"/>
      <c r="H37" s="80" t="n"/>
      <c r="I37" s="80" t="n"/>
      <c r="J37" s="80" t="n"/>
      <c r="K37" s="82">
        <f>IF($J37="","",IFERROR(VLOOKUP($J37,'基本設定'!$A$13:$K$19,2,FALSE),""))</f>
        <v/>
      </c>
      <c r="L37" s="139" t="n"/>
      <c r="M37" s="139" t="n"/>
      <c r="N37" s="140">
        <f>IF(OR($L37="",$M37=""),"",MAX(0,$L37-$M37))</f>
        <v/>
      </c>
      <c r="O37" s="140">
        <f>IF($J37="","",IFERROR(VLOOKUP($J37,'基本設定'!$A$13:$K$19,3,FALSE),0))</f>
        <v/>
      </c>
      <c r="P37" s="140">
        <f>IF($N37="","",$N37*$O37)</f>
        <v/>
      </c>
      <c r="Q37" s="139" t="n"/>
      <c r="R37" s="139" t="n"/>
      <c r="S37" s="139" t="n"/>
      <c r="T37" s="139" t="n"/>
      <c r="U37" s="140">
        <f>IF($J37="","",IFERROR($N37*VLOOKUP($J37,'基本設定'!$A$13:$K$19,4,FALSE),0))</f>
        <v/>
      </c>
      <c r="V37" s="140">
        <f>IFERROR($N37/$S37,"")</f>
        <v/>
      </c>
      <c r="W37" s="140">
        <f>IFERROR($N37/$T37,"")</f>
        <v/>
      </c>
      <c r="X37" s="80" t="n"/>
      <c r="Y37" s="80" t="n"/>
    </row>
    <row r="38">
      <c r="A38" s="80" t="n"/>
      <c r="B38" s="138" t="n"/>
      <c r="C38" s="80" t="n"/>
      <c r="D38" s="80" t="n"/>
      <c r="E38" s="80" t="n"/>
      <c r="F38" s="80" t="n"/>
      <c r="G38" s="80" t="n"/>
      <c r="H38" s="80" t="n"/>
      <c r="I38" s="80" t="n"/>
      <c r="J38" s="80" t="n"/>
      <c r="K38" s="82">
        <f>IF($J38="","",IFERROR(VLOOKUP($J38,'基本設定'!$A$13:$K$19,2,FALSE),""))</f>
        <v/>
      </c>
      <c r="L38" s="139" t="n"/>
      <c r="M38" s="139" t="n"/>
      <c r="N38" s="140">
        <f>IF(OR($L38="",$M38=""),"",MAX(0,$L38-$M38))</f>
        <v/>
      </c>
      <c r="O38" s="140">
        <f>IF($J38="","",IFERROR(VLOOKUP($J38,'基本設定'!$A$13:$K$19,3,FALSE),0))</f>
        <v/>
      </c>
      <c r="P38" s="140">
        <f>IF($N38="","",$N38*$O38)</f>
        <v/>
      </c>
      <c r="Q38" s="139" t="n"/>
      <c r="R38" s="139" t="n"/>
      <c r="S38" s="139" t="n"/>
      <c r="T38" s="139" t="n"/>
      <c r="U38" s="140">
        <f>IF($J38="","",IFERROR($N38*VLOOKUP($J38,'基本設定'!$A$13:$K$19,4,FALSE),0))</f>
        <v/>
      </c>
      <c r="V38" s="140">
        <f>IFERROR($N38/$S38,"")</f>
        <v/>
      </c>
      <c r="W38" s="140">
        <f>IFERROR($N38/$T38,"")</f>
        <v/>
      </c>
      <c r="X38" s="80" t="n"/>
      <c r="Y38" s="80" t="n"/>
    </row>
    <row r="39">
      <c r="A39" s="80" t="n"/>
      <c r="B39" s="138" t="n"/>
      <c r="C39" s="80" t="n"/>
      <c r="D39" s="80" t="n"/>
      <c r="E39" s="80" t="n"/>
      <c r="F39" s="80" t="n"/>
      <c r="G39" s="80" t="n"/>
      <c r="H39" s="80" t="n"/>
      <c r="I39" s="80" t="n"/>
      <c r="J39" s="80" t="n"/>
      <c r="K39" s="82">
        <f>IF($J39="","",IFERROR(VLOOKUP($J39,'基本設定'!$A$13:$K$19,2,FALSE),""))</f>
        <v/>
      </c>
      <c r="L39" s="139" t="n"/>
      <c r="M39" s="139" t="n"/>
      <c r="N39" s="140">
        <f>IF(OR($L39="",$M39=""),"",MAX(0,$L39-$M39))</f>
        <v/>
      </c>
      <c r="O39" s="140">
        <f>IF($J39="","",IFERROR(VLOOKUP($J39,'基本設定'!$A$13:$K$19,3,FALSE),0))</f>
        <v/>
      </c>
      <c r="P39" s="140">
        <f>IF($N39="","",$N39*$O39)</f>
        <v/>
      </c>
      <c r="Q39" s="139" t="n"/>
      <c r="R39" s="139" t="n"/>
      <c r="S39" s="139" t="n"/>
      <c r="T39" s="139" t="n"/>
      <c r="U39" s="140">
        <f>IF($J39="","",IFERROR($N39*VLOOKUP($J39,'基本設定'!$A$13:$K$19,4,FALSE),0))</f>
        <v/>
      </c>
      <c r="V39" s="140">
        <f>IFERROR($N39/$S39,"")</f>
        <v/>
      </c>
      <c r="W39" s="140">
        <f>IFERROR($N39/$T39,"")</f>
        <v/>
      </c>
      <c r="X39" s="80" t="n"/>
      <c r="Y39" s="80" t="n"/>
    </row>
    <row r="40">
      <c r="A40" s="80" t="n"/>
      <c r="B40" s="138" t="n"/>
      <c r="C40" s="80" t="n"/>
      <c r="D40" s="80" t="n"/>
      <c r="E40" s="80" t="n"/>
      <c r="F40" s="80" t="n"/>
      <c r="G40" s="80" t="n"/>
      <c r="H40" s="80" t="n"/>
      <c r="I40" s="80" t="n"/>
      <c r="J40" s="80" t="n"/>
      <c r="K40" s="82">
        <f>IF($J40="","",IFERROR(VLOOKUP($J40,'基本設定'!$A$13:$K$19,2,FALSE),""))</f>
        <v/>
      </c>
      <c r="L40" s="139" t="n"/>
      <c r="M40" s="139" t="n"/>
      <c r="N40" s="140">
        <f>IF(OR($L40="",$M40=""),"",MAX(0,$L40-$M40))</f>
        <v/>
      </c>
      <c r="O40" s="140">
        <f>IF($J40="","",IFERROR(VLOOKUP($J40,'基本設定'!$A$13:$K$19,3,FALSE),0))</f>
        <v/>
      </c>
      <c r="P40" s="140">
        <f>IF($N40="","",$N40*$O40)</f>
        <v/>
      </c>
      <c r="Q40" s="139" t="n"/>
      <c r="R40" s="139" t="n"/>
      <c r="S40" s="139" t="n"/>
      <c r="T40" s="139" t="n"/>
      <c r="U40" s="140">
        <f>IF($J40="","",IFERROR($N40*VLOOKUP($J40,'基本設定'!$A$13:$K$19,4,FALSE),0))</f>
        <v/>
      </c>
      <c r="V40" s="140">
        <f>IFERROR($N40/$S40,"")</f>
        <v/>
      </c>
      <c r="W40" s="140">
        <f>IFERROR($N40/$T40,"")</f>
        <v/>
      </c>
      <c r="X40" s="80" t="n"/>
      <c r="Y40" s="80" t="n"/>
    </row>
    <row r="41">
      <c r="A41" s="80" t="n"/>
      <c r="B41" s="138" t="n"/>
      <c r="C41" s="80" t="n"/>
      <c r="D41" s="80" t="n"/>
      <c r="E41" s="80" t="n"/>
      <c r="F41" s="80" t="n"/>
      <c r="G41" s="80" t="n"/>
      <c r="H41" s="80" t="n"/>
      <c r="I41" s="80" t="n"/>
      <c r="J41" s="80" t="n"/>
      <c r="K41" s="82">
        <f>IF($J41="","",IFERROR(VLOOKUP($J41,'基本設定'!$A$13:$K$19,2,FALSE),""))</f>
        <v/>
      </c>
      <c r="L41" s="139" t="n"/>
      <c r="M41" s="139" t="n"/>
      <c r="N41" s="140">
        <f>IF(OR($L41="",$M41=""),"",MAX(0,$L41-$M41))</f>
        <v/>
      </c>
      <c r="O41" s="140">
        <f>IF($J41="","",IFERROR(VLOOKUP($J41,'基本設定'!$A$13:$K$19,3,FALSE),0))</f>
        <v/>
      </c>
      <c r="P41" s="140">
        <f>IF($N41="","",$N41*$O41)</f>
        <v/>
      </c>
      <c r="Q41" s="139" t="n"/>
      <c r="R41" s="139" t="n"/>
      <c r="S41" s="139" t="n"/>
      <c r="T41" s="139" t="n"/>
      <c r="U41" s="140">
        <f>IF($J41="","",IFERROR($N41*VLOOKUP($J41,'基本設定'!$A$13:$K$19,4,FALSE),0))</f>
        <v/>
      </c>
      <c r="V41" s="140">
        <f>IFERROR($N41/$S41,"")</f>
        <v/>
      </c>
      <c r="W41" s="140">
        <f>IFERROR($N41/$T41,"")</f>
        <v/>
      </c>
      <c r="X41" s="80" t="n"/>
      <c r="Y41" s="80" t="n"/>
    </row>
    <row r="42">
      <c r="A42" s="80" t="n"/>
      <c r="B42" s="138" t="n"/>
      <c r="C42" s="80" t="n"/>
      <c r="D42" s="80" t="n"/>
      <c r="E42" s="80" t="n"/>
      <c r="F42" s="80" t="n"/>
      <c r="G42" s="80" t="n"/>
      <c r="H42" s="80" t="n"/>
      <c r="I42" s="80" t="n"/>
      <c r="J42" s="80" t="n"/>
      <c r="K42" s="82">
        <f>IF($J42="","",IFERROR(VLOOKUP($J42,'基本設定'!$A$13:$K$19,2,FALSE),""))</f>
        <v/>
      </c>
      <c r="L42" s="139" t="n"/>
      <c r="M42" s="139" t="n"/>
      <c r="N42" s="140">
        <f>IF(OR($L42="",$M42=""),"",MAX(0,$L42-$M42))</f>
        <v/>
      </c>
      <c r="O42" s="140">
        <f>IF($J42="","",IFERROR(VLOOKUP($J42,'基本設定'!$A$13:$K$19,3,FALSE),0))</f>
        <v/>
      </c>
      <c r="P42" s="140">
        <f>IF($N42="","",$N42*$O42)</f>
        <v/>
      </c>
      <c r="Q42" s="139" t="n"/>
      <c r="R42" s="139" t="n"/>
      <c r="S42" s="139" t="n"/>
      <c r="T42" s="139" t="n"/>
      <c r="U42" s="140">
        <f>IF($J42="","",IFERROR($N42*VLOOKUP($J42,'基本設定'!$A$13:$K$19,4,FALSE),0))</f>
        <v/>
      </c>
      <c r="V42" s="140">
        <f>IFERROR($N42/$S42,"")</f>
        <v/>
      </c>
      <c r="W42" s="140">
        <f>IFERROR($N42/$T42,"")</f>
        <v/>
      </c>
      <c r="X42" s="80" t="n"/>
      <c r="Y42" s="80" t="n"/>
    </row>
    <row r="43">
      <c r="A43" s="80" t="n"/>
      <c r="B43" s="138" t="n"/>
      <c r="C43" s="80" t="n"/>
      <c r="D43" s="80" t="n"/>
      <c r="E43" s="80" t="n"/>
      <c r="F43" s="80" t="n"/>
      <c r="G43" s="80" t="n"/>
      <c r="H43" s="80" t="n"/>
      <c r="I43" s="80" t="n"/>
      <c r="J43" s="80" t="n"/>
      <c r="K43" s="82">
        <f>IF($J43="","",IFERROR(VLOOKUP($J43,'基本設定'!$A$13:$K$19,2,FALSE),""))</f>
        <v/>
      </c>
      <c r="L43" s="139" t="n"/>
      <c r="M43" s="139" t="n"/>
      <c r="N43" s="140">
        <f>IF(OR($L43="",$M43=""),"",MAX(0,$L43-$M43))</f>
        <v/>
      </c>
      <c r="O43" s="140">
        <f>IF($J43="","",IFERROR(VLOOKUP($J43,'基本設定'!$A$13:$K$19,3,FALSE),0))</f>
        <v/>
      </c>
      <c r="P43" s="140">
        <f>IF($N43="","",$N43*$O43)</f>
        <v/>
      </c>
      <c r="Q43" s="139" t="n"/>
      <c r="R43" s="139" t="n"/>
      <c r="S43" s="139" t="n"/>
      <c r="T43" s="139" t="n"/>
      <c r="U43" s="140">
        <f>IF($J43="","",IFERROR($N43*VLOOKUP($J43,'基本設定'!$A$13:$K$19,4,FALSE),0))</f>
        <v/>
      </c>
      <c r="V43" s="140">
        <f>IFERROR($N43/$S43,"")</f>
        <v/>
      </c>
      <c r="W43" s="140">
        <f>IFERROR($N43/$T43,"")</f>
        <v/>
      </c>
      <c r="X43" s="80" t="n"/>
      <c r="Y43" s="80" t="n"/>
    </row>
    <row r="44">
      <c r="A44" s="80" t="n"/>
      <c r="B44" s="138" t="n"/>
      <c r="C44" s="80" t="n"/>
      <c r="D44" s="80" t="n"/>
      <c r="E44" s="80" t="n"/>
      <c r="F44" s="80" t="n"/>
      <c r="G44" s="80" t="n"/>
      <c r="H44" s="80" t="n"/>
      <c r="I44" s="80" t="n"/>
      <c r="J44" s="80" t="n"/>
      <c r="K44" s="82">
        <f>IF($J44="","",IFERROR(VLOOKUP($J44,'基本設定'!$A$13:$K$19,2,FALSE),""))</f>
        <v/>
      </c>
      <c r="L44" s="139" t="n"/>
      <c r="M44" s="139" t="n"/>
      <c r="N44" s="140">
        <f>IF(OR($L44="",$M44=""),"",MAX(0,$L44-$M44))</f>
        <v/>
      </c>
      <c r="O44" s="140">
        <f>IF($J44="","",IFERROR(VLOOKUP($J44,'基本設定'!$A$13:$K$19,3,FALSE),0))</f>
        <v/>
      </c>
      <c r="P44" s="140">
        <f>IF($N44="","",$N44*$O44)</f>
        <v/>
      </c>
      <c r="Q44" s="139" t="n"/>
      <c r="R44" s="139" t="n"/>
      <c r="S44" s="139" t="n"/>
      <c r="T44" s="139" t="n"/>
      <c r="U44" s="140">
        <f>IF($J44="","",IFERROR($N44*VLOOKUP($J44,'基本設定'!$A$13:$K$19,4,FALSE),0))</f>
        <v/>
      </c>
      <c r="V44" s="140">
        <f>IFERROR($N44/$S44,"")</f>
        <v/>
      </c>
      <c r="W44" s="140">
        <f>IFERROR($N44/$T44,"")</f>
        <v/>
      </c>
      <c r="X44" s="80" t="n"/>
      <c r="Y44" s="80" t="n"/>
    </row>
    <row r="45">
      <c r="A45" s="80" t="n"/>
      <c r="B45" s="138" t="n"/>
      <c r="C45" s="80" t="n"/>
      <c r="D45" s="80" t="n"/>
      <c r="E45" s="80" t="n"/>
      <c r="F45" s="80" t="n"/>
      <c r="G45" s="80" t="n"/>
      <c r="H45" s="80" t="n"/>
      <c r="I45" s="80" t="n"/>
      <c r="J45" s="80" t="n"/>
      <c r="K45" s="82">
        <f>IF($J45="","",IFERROR(VLOOKUP($J45,'基本設定'!$A$13:$K$19,2,FALSE),""))</f>
        <v/>
      </c>
      <c r="L45" s="139" t="n"/>
      <c r="M45" s="139" t="n"/>
      <c r="N45" s="140">
        <f>IF(OR($L45="",$M45=""),"",MAX(0,$L45-$M45))</f>
        <v/>
      </c>
      <c r="O45" s="140">
        <f>IF($J45="","",IFERROR(VLOOKUP($J45,'基本設定'!$A$13:$K$19,3,FALSE),0))</f>
        <v/>
      </c>
      <c r="P45" s="140">
        <f>IF($N45="","",$N45*$O45)</f>
        <v/>
      </c>
      <c r="Q45" s="139" t="n"/>
      <c r="R45" s="139" t="n"/>
      <c r="S45" s="139" t="n"/>
      <c r="T45" s="139" t="n"/>
      <c r="U45" s="140">
        <f>IF($J45="","",IFERROR($N45*VLOOKUP($J45,'基本設定'!$A$13:$K$19,4,FALSE),0))</f>
        <v/>
      </c>
      <c r="V45" s="140">
        <f>IFERROR($N45/$S45,"")</f>
        <v/>
      </c>
      <c r="W45" s="140">
        <f>IFERROR($N45/$T45,"")</f>
        <v/>
      </c>
      <c r="X45" s="80" t="n"/>
      <c r="Y45" s="80" t="n"/>
    </row>
    <row r="46">
      <c r="A46" s="80" t="n"/>
      <c r="B46" s="138" t="n"/>
      <c r="C46" s="80" t="n"/>
      <c r="D46" s="80" t="n"/>
      <c r="E46" s="80" t="n"/>
      <c r="F46" s="80" t="n"/>
      <c r="G46" s="80" t="n"/>
      <c r="H46" s="80" t="n"/>
      <c r="I46" s="80" t="n"/>
      <c r="J46" s="80" t="n"/>
      <c r="K46" s="82">
        <f>IF($J46="","",IFERROR(VLOOKUP($J46,'基本設定'!$A$13:$K$19,2,FALSE),""))</f>
        <v/>
      </c>
      <c r="L46" s="139" t="n"/>
      <c r="M46" s="139" t="n"/>
      <c r="N46" s="140">
        <f>IF(OR($L46="",$M46=""),"",MAX(0,$L46-$M46))</f>
        <v/>
      </c>
      <c r="O46" s="140">
        <f>IF($J46="","",IFERROR(VLOOKUP($J46,'基本設定'!$A$13:$K$19,3,FALSE),0))</f>
        <v/>
      </c>
      <c r="P46" s="140">
        <f>IF($N46="","",$N46*$O46)</f>
        <v/>
      </c>
      <c r="Q46" s="139" t="n"/>
      <c r="R46" s="139" t="n"/>
      <c r="S46" s="139" t="n"/>
      <c r="T46" s="139" t="n"/>
      <c r="U46" s="140">
        <f>IF($J46="","",IFERROR($N46*VLOOKUP($J46,'基本設定'!$A$13:$K$19,4,FALSE),0))</f>
        <v/>
      </c>
      <c r="V46" s="140">
        <f>IFERROR($N46/$S46,"")</f>
        <v/>
      </c>
      <c r="W46" s="140">
        <f>IFERROR($N46/$T46,"")</f>
        <v/>
      </c>
      <c r="X46" s="80" t="n"/>
      <c r="Y46" s="80" t="n"/>
    </row>
    <row r="47">
      <c r="A47" s="80" t="n"/>
      <c r="B47" s="138" t="n"/>
      <c r="C47" s="80" t="n"/>
      <c r="D47" s="80" t="n"/>
      <c r="E47" s="80" t="n"/>
      <c r="F47" s="80" t="n"/>
      <c r="G47" s="80" t="n"/>
      <c r="H47" s="80" t="n"/>
      <c r="I47" s="80" t="n"/>
      <c r="J47" s="80" t="n"/>
      <c r="K47" s="82">
        <f>IF($J47="","",IFERROR(VLOOKUP($J47,'基本設定'!$A$13:$K$19,2,FALSE),""))</f>
        <v/>
      </c>
      <c r="L47" s="139" t="n"/>
      <c r="M47" s="139" t="n"/>
      <c r="N47" s="140">
        <f>IF(OR($L47="",$M47=""),"",MAX(0,$L47-$M47))</f>
        <v/>
      </c>
      <c r="O47" s="140">
        <f>IF($J47="","",IFERROR(VLOOKUP($J47,'基本設定'!$A$13:$K$19,3,FALSE),0))</f>
        <v/>
      </c>
      <c r="P47" s="140">
        <f>IF($N47="","",$N47*$O47)</f>
        <v/>
      </c>
      <c r="Q47" s="139" t="n"/>
      <c r="R47" s="139" t="n"/>
      <c r="S47" s="139" t="n"/>
      <c r="T47" s="139" t="n"/>
      <c r="U47" s="140">
        <f>IF($J47="","",IFERROR($N47*VLOOKUP($J47,'基本設定'!$A$13:$K$19,4,FALSE),0))</f>
        <v/>
      </c>
      <c r="V47" s="140">
        <f>IFERROR($N47/$S47,"")</f>
        <v/>
      </c>
      <c r="W47" s="140">
        <f>IFERROR($N47/$T47,"")</f>
        <v/>
      </c>
      <c r="X47" s="80" t="n"/>
      <c r="Y47" s="80" t="n"/>
    </row>
    <row r="48">
      <c r="A48" s="80" t="n"/>
      <c r="B48" s="138" t="n"/>
      <c r="C48" s="80" t="n"/>
      <c r="D48" s="80" t="n"/>
      <c r="E48" s="80" t="n"/>
      <c r="F48" s="80" t="n"/>
      <c r="G48" s="80" t="n"/>
      <c r="H48" s="80" t="n"/>
      <c r="I48" s="80" t="n"/>
      <c r="J48" s="80" t="n"/>
      <c r="K48" s="82">
        <f>IF($J48="","",IFERROR(VLOOKUP($J48,'基本設定'!$A$13:$K$19,2,FALSE),""))</f>
        <v/>
      </c>
      <c r="L48" s="139" t="n"/>
      <c r="M48" s="139" t="n"/>
      <c r="N48" s="140">
        <f>IF(OR($L48="",$M48=""),"",MAX(0,$L48-$M48))</f>
        <v/>
      </c>
      <c r="O48" s="140">
        <f>IF($J48="","",IFERROR(VLOOKUP($J48,'基本設定'!$A$13:$K$19,3,FALSE),0))</f>
        <v/>
      </c>
      <c r="P48" s="140">
        <f>IF($N48="","",$N48*$O48)</f>
        <v/>
      </c>
      <c r="Q48" s="139" t="n"/>
      <c r="R48" s="139" t="n"/>
      <c r="S48" s="139" t="n"/>
      <c r="T48" s="139" t="n"/>
      <c r="U48" s="140">
        <f>IF($J48="","",IFERROR($N48*VLOOKUP($J48,'基本設定'!$A$13:$K$19,4,FALSE),0))</f>
        <v/>
      </c>
      <c r="V48" s="140">
        <f>IFERROR($N48/$S48,"")</f>
        <v/>
      </c>
      <c r="W48" s="140">
        <f>IFERROR($N48/$T48,"")</f>
        <v/>
      </c>
      <c r="X48" s="80" t="n"/>
      <c r="Y48" s="80" t="n"/>
    </row>
    <row r="49">
      <c r="A49" s="80" t="n"/>
      <c r="B49" s="138" t="n"/>
      <c r="C49" s="80" t="n"/>
      <c r="D49" s="80" t="n"/>
      <c r="E49" s="80" t="n"/>
      <c r="F49" s="80" t="n"/>
      <c r="G49" s="80" t="n"/>
      <c r="H49" s="80" t="n"/>
      <c r="I49" s="80" t="n"/>
      <c r="J49" s="80" t="n"/>
      <c r="K49" s="82">
        <f>IF($J49="","",IFERROR(VLOOKUP($J49,'基本設定'!$A$13:$K$19,2,FALSE),""))</f>
        <v/>
      </c>
      <c r="L49" s="139" t="n"/>
      <c r="M49" s="139" t="n"/>
      <c r="N49" s="140">
        <f>IF(OR($L49="",$M49=""),"",MAX(0,$L49-$M49))</f>
        <v/>
      </c>
      <c r="O49" s="140">
        <f>IF($J49="","",IFERROR(VLOOKUP($J49,'基本設定'!$A$13:$K$19,3,FALSE),0))</f>
        <v/>
      </c>
      <c r="P49" s="140">
        <f>IF($N49="","",$N49*$O49)</f>
        <v/>
      </c>
      <c r="Q49" s="139" t="n"/>
      <c r="R49" s="139" t="n"/>
      <c r="S49" s="139" t="n"/>
      <c r="T49" s="139" t="n"/>
      <c r="U49" s="140">
        <f>IF($J49="","",IFERROR($N49*VLOOKUP($J49,'基本設定'!$A$13:$K$19,4,FALSE),0))</f>
        <v/>
      </c>
      <c r="V49" s="140">
        <f>IFERROR($N49/$S49,"")</f>
        <v/>
      </c>
      <c r="W49" s="140">
        <f>IFERROR($N49/$T49,"")</f>
        <v/>
      </c>
      <c r="X49" s="80" t="n"/>
      <c r="Y49" s="80" t="n"/>
    </row>
    <row r="50">
      <c r="A50" s="80" t="n"/>
      <c r="B50" s="138" t="n"/>
      <c r="C50" s="80" t="n"/>
      <c r="D50" s="80" t="n"/>
      <c r="E50" s="80" t="n"/>
      <c r="F50" s="80" t="n"/>
      <c r="G50" s="80" t="n"/>
      <c r="H50" s="80" t="n"/>
      <c r="I50" s="80" t="n"/>
      <c r="J50" s="80" t="n"/>
      <c r="K50" s="82">
        <f>IF($J50="","",IFERROR(VLOOKUP($J50,'基本設定'!$A$13:$K$19,2,FALSE),""))</f>
        <v/>
      </c>
      <c r="L50" s="139" t="n"/>
      <c r="M50" s="139" t="n"/>
      <c r="N50" s="140">
        <f>IF(OR($L50="",$M50=""),"",MAX(0,$L50-$M50))</f>
        <v/>
      </c>
      <c r="O50" s="140">
        <f>IF($J50="","",IFERROR(VLOOKUP($J50,'基本設定'!$A$13:$K$19,3,FALSE),0))</f>
        <v/>
      </c>
      <c r="P50" s="140">
        <f>IF($N50="","",$N50*$O50)</f>
        <v/>
      </c>
      <c r="Q50" s="139" t="n"/>
      <c r="R50" s="139" t="n"/>
      <c r="S50" s="139" t="n"/>
      <c r="T50" s="139" t="n"/>
      <c r="U50" s="140">
        <f>IF($J50="","",IFERROR($N50*VLOOKUP($J50,'基本設定'!$A$13:$K$19,4,FALSE),0))</f>
        <v/>
      </c>
      <c r="V50" s="140">
        <f>IFERROR($N50/$S50,"")</f>
        <v/>
      </c>
      <c r="W50" s="140">
        <f>IFERROR($N50/$T50,"")</f>
        <v/>
      </c>
      <c r="X50" s="80" t="n"/>
      <c r="Y50" s="80" t="n"/>
    </row>
    <row r="51">
      <c r="A51" s="80" t="n"/>
      <c r="B51" s="138" t="n"/>
      <c r="C51" s="80" t="n"/>
      <c r="D51" s="80" t="n"/>
      <c r="E51" s="80" t="n"/>
      <c r="F51" s="80" t="n"/>
      <c r="G51" s="80" t="n"/>
      <c r="H51" s="80" t="n"/>
      <c r="I51" s="80" t="n"/>
      <c r="J51" s="80" t="n"/>
      <c r="K51" s="82">
        <f>IF($J51="","",IFERROR(VLOOKUP($J51,'基本設定'!$A$13:$K$19,2,FALSE),""))</f>
        <v/>
      </c>
      <c r="L51" s="139" t="n"/>
      <c r="M51" s="139" t="n"/>
      <c r="N51" s="140">
        <f>IF(OR($L51="",$M51=""),"",MAX(0,$L51-$M51))</f>
        <v/>
      </c>
      <c r="O51" s="140">
        <f>IF($J51="","",IFERROR(VLOOKUP($J51,'基本設定'!$A$13:$K$19,3,FALSE),0))</f>
        <v/>
      </c>
      <c r="P51" s="140">
        <f>IF($N51="","",$N51*$O51)</f>
        <v/>
      </c>
      <c r="Q51" s="139" t="n"/>
      <c r="R51" s="139" t="n"/>
      <c r="S51" s="139" t="n"/>
      <c r="T51" s="139" t="n"/>
      <c r="U51" s="140">
        <f>IF($J51="","",IFERROR($N51*VLOOKUP($J51,'基本設定'!$A$13:$K$19,4,FALSE),0))</f>
        <v/>
      </c>
      <c r="V51" s="140">
        <f>IFERROR($N51/$S51,"")</f>
        <v/>
      </c>
      <c r="W51" s="140">
        <f>IFERROR($N51/$T51,"")</f>
        <v/>
      </c>
      <c r="X51" s="80" t="n"/>
      <c r="Y51" s="80" t="n"/>
    </row>
    <row r="52">
      <c r="A52" s="80" t="n"/>
      <c r="B52" s="138" t="n"/>
      <c r="C52" s="80" t="n"/>
      <c r="D52" s="80" t="n"/>
      <c r="E52" s="80" t="n"/>
      <c r="F52" s="80" t="n"/>
      <c r="G52" s="80" t="n"/>
      <c r="H52" s="80" t="n"/>
      <c r="I52" s="80" t="n"/>
      <c r="J52" s="80" t="n"/>
      <c r="K52" s="82">
        <f>IF($J52="","",IFERROR(VLOOKUP($J52,'基本設定'!$A$13:$K$19,2,FALSE),""))</f>
        <v/>
      </c>
      <c r="L52" s="139" t="n"/>
      <c r="M52" s="139" t="n"/>
      <c r="N52" s="140">
        <f>IF(OR($L52="",$M52=""),"",MAX(0,$L52-$M52))</f>
        <v/>
      </c>
      <c r="O52" s="140">
        <f>IF($J52="","",IFERROR(VLOOKUP($J52,'基本設定'!$A$13:$K$19,3,FALSE),0))</f>
        <v/>
      </c>
      <c r="P52" s="140">
        <f>IF($N52="","",$N52*$O52)</f>
        <v/>
      </c>
      <c r="Q52" s="139" t="n"/>
      <c r="R52" s="139" t="n"/>
      <c r="S52" s="139" t="n"/>
      <c r="T52" s="139" t="n"/>
      <c r="U52" s="140">
        <f>IF($J52="","",IFERROR($N52*VLOOKUP($J52,'基本設定'!$A$13:$K$19,4,FALSE),0))</f>
        <v/>
      </c>
      <c r="V52" s="140">
        <f>IFERROR($N52/$S52,"")</f>
        <v/>
      </c>
      <c r="W52" s="140">
        <f>IFERROR($N52/$T52,"")</f>
        <v/>
      </c>
      <c r="X52" s="80" t="n"/>
      <c r="Y52" s="80" t="n"/>
    </row>
    <row r="53">
      <c r="A53" s="80" t="n"/>
      <c r="B53" s="138" t="n"/>
      <c r="C53" s="80" t="n"/>
      <c r="D53" s="80" t="n"/>
      <c r="E53" s="80" t="n"/>
      <c r="F53" s="80" t="n"/>
      <c r="G53" s="80" t="n"/>
      <c r="H53" s="80" t="n"/>
      <c r="I53" s="80" t="n"/>
      <c r="J53" s="80" t="n"/>
      <c r="K53" s="82">
        <f>IF($J53="","",IFERROR(VLOOKUP($J53,'基本設定'!$A$13:$K$19,2,FALSE),""))</f>
        <v/>
      </c>
      <c r="L53" s="139" t="n"/>
      <c r="M53" s="139" t="n"/>
      <c r="N53" s="140">
        <f>IF(OR($L53="",$M53=""),"",MAX(0,$L53-$M53))</f>
        <v/>
      </c>
      <c r="O53" s="140">
        <f>IF($J53="","",IFERROR(VLOOKUP($J53,'基本設定'!$A$13:$K$19,3,FALSE),0))</f>
        <v/>
      </c>
      <c r="P53" s="140">
        <f>IF($N53="","",$N53*$O53)</f>
        <v/>
      </c>
      <c r="Q53" s="139" t="n"/>
      <c r="R53" s="139" t="n"/>
      <c r="S53" s="139" t="n"/>
      <c r="T53" s="139" t="n"/>
      <c r="U53" s="140">
        <f>IF($J53="","",IFERROR($N53*VLOOKUP($J53,'基本設定'!$A$13:$K$19,4,FALSE),0))</f>
        <v/>
      </c>
      <c r="V53" s="140">
        <f>IFERROR($N53/$S53,"")</f>
        <v/>
      </c>
      <c r="W53" s="140">
        <f>IFERROR($N53/$T53,"")</f>
        <v/>
      </c>
      <c r="X53" s="80" t="n"/>
      <c r="Y53" s="80" t="n"/>
    </row>
    <row r="54">
      <c r="A54" s="80" t="n"/>
      <c r="B54" s="138" t="n"/>
      <c r="C54" s="80" t="n"/>
      <c r="D54" s="80" t="n"/>
      <c r="E54" s="80" t="n"/>
      <c r="F54" s="80" t="n"/>
      <c r="G54" s="80" t="n"/>
      <c r="H54" s="80" t="n"/>
      <c r="I54" s="80" t="n"/>
      <c r="J54" s="80" t="n"/>
      <c r="K54" s="82">
        <f>IF($J54="","",IFERROR(VLOOKUP($J54,'基本設定'!$A$13:$K$19,2,FALSE),""))</f>
        <v/>
      </c>
      <c r="L54" s="139" t="n"/>
      <c r="M54" s="139" t="n"/>
      <c r="N54" s="140">
        <f>IF(OR($L54="",$M54=""),"",MAX(0,$L54-$M54))</f>
        <v/>
      </c>
      <c r="O54" s="140">
        <f>IF($J54="","",IFERROR(VLOOKUP($J54,'基本設定'!$A$13:$K$19,3,FALSE),0))</f>
        <v/>
      </c>
      <c r="P54" s="140">
        <f>IF($N54="","",$N54*$O54)</f>
        <v/>
      </c>
      <c r="Q54" s="139" t="n"/>
      <c r="R54" s="139" t="n"/>
      <c r="S54" s="139" t="n"/>
      <c r="T54" s="139" t="n"/>
      <c r="U54" s="140">
        <f>IF($J54="","",IFERROR($N54*VLOOKUP($J54,'基本設定'!$A$13:$K$19,4,FALSE),0))</f>
        <v/>
      </c>
      <c r="V54" s="140">
        <f>IFERROR($N54/$S54,"")</f>
        <v/>
      </c>
      <c r="W54" s="140">
        <f>IFERROR($N54/$T54,"")</f>
        <v/>
      </c>
      <c r="X54" s="80" t="n"/>
      <c r="Y54" s="80" t="n"/>
    </row>
    <row r="55">
      <c r="A55" s="80" t="n"/>
      <c r="B55" s="138" t="n"/>
      <c r="C55" s="80" t="n"/>
      <c r="D55" s="80" t="n"/>
      <c r="E55" s="80" t="n"/>
      <c r="F55" s="80" t="n"/>
      <c r="G55" s="80" t="n"/>
      <c r="H55" s="80" t="n"/>
      <c r="I55" s="80" t="n"/>
      <c r="J55" s="80" t="n"/>
      <c r="K55" s="82">
        <f>IF($J55="","",IFERROR(VLOOKUP($J55,'基本設定'!$A$13:$K$19,2,FALSE),""))</f>
        <v/>
      </c>
      <c r="L55" s="139" t="n"/>
      <c r="M55" s="139" t="n"/>
      <c r="N55" s="140">
        <f>IF(OR($L55="",$M55=""),"",MAX(0,$L55-$M55))</f>
        <v/>
      </c>
      <c r="O55" s="140">
        <f>IF($J55="","",IFERROR(VLOOKUP($J55,'基本設定'!$A$13:$K$19,3,FALSE),0))</f>
        <v/>
      </c>
      <c r="P55" s="140">
        <f>IF($N55="","",$N55*$O55)</f>
        <v/>
      </c>
      <c r="Q55" s="139" t="n"/>
      <c r="R55" s="139" t="n"/>
      <c r="S55" s="139" t="n"/>
      <c r="T55" s="139" t="n"/>
      <c r="U55" s="140">
        <f>IF($J55="","",IFERROR($N55*VLOOKUP($J55,'基本設定'!$A$13:$K$19,4,FALSE),0))</f>
        <v/>
      </c>
      <c r="V55" s="140">
        <f>IFERROR($N55/$S55,"")</f>
        <v/>
      </c>
      <c r="W55" s="140">
        <f>IFERROR($N55/$T55,"")</f>
        <v/>
      </c>
      <c r="X55" s="80" t="n"/>
      <c r="Y55" s="80" t="n"/>
    </row>
    <row r="56">
      <c r="A56" s="80" t="n"/>
      <c r="B56" s="138" t="n"/>
      <c r="C56" s="80" t="n"/>
      <c r="D56" s="80" t="n"/>
      <c r="E56" s="80" t="n"/>
      <c r="F56" s="80" t="n"/>
      <c r="G56" s="80" t="n"/>
      <c r="H56" s="80" t="n"/>
      <c r="I56" s="80" t="n"/>
      <c r="J56" s="80" t="n"/>
      <c r="K56" s="82">
        <f>IF($J56="","",IFERROR(VLOOKUP($J56,'基本設定'!$A$13:$K$19,2,FALSE),""))</f>
        <v/>
      </c>
      <c r="L56" s="139" t="n"/>
      <c r="M56" s="139" t="n"/>
      <c r="N56" s="140">
        <f>IF(OR($L56="",$M56=""),"",MAX(0,$L56-$M56))</f>
        <v/>
      </c>
      <c r="O56" s="140">
        <f>IF($J56="","",IFERROR(VLOOKUP($J56,'基本設定'!$A$13:$K$19,3,FALSE),0))</f>
        <v/>
      </c>
      <c r="P56" s="140">
        <f>IF($N56="","",$N56*$O56)</f>
        <v/>
      </c>
      <c r="Q56" s="139" t="n"/>
      <c r="R56" s="139" t="n"/>
      <c r="S56" s="139" t="n"/>
      <c r="T56" s="139" t="n"/>
      <c r="U56" s="140">
        <f>IF($J56="","",IFERROR($N56*VLOOKUP($J56,'基本設定'!$A$13:$K$19,4,FALSE),0))</f>
        <v/>
      </c>
      <c r="V56" s="140">
        <f>IFERROR($N56/$S56,"")</f>
        <v/>
      </c>
      <c r="W56" s="140">
        <f>IFERROR($N56/$T56,"")</f>
        <v/>
      </c>
      <c r="X56" s="80" t="n"/>
      <c r="Y56" s="80" t="n"/>
    </row>
    <row r="57">
      <c r="A57" s="80" t="n"/>
      <c r="B57" s="138" t="n"/>
      <c r="C57" s="80" t="n"/>
      <c r="D57" s="80" t="n"/>
      <c r="E57" s="80" t="n"/>
      <c r="F57" s="80" t="n"/>
      <c r="G57" s="80" t="n"/>
      <c r="H57" s="80" t="n"/>
      <c r="I57" s="80" t="n"/>
      <c r="J57" s="80" t="n"/>
      <c r="K57" s="82">
        <f>IF($J57="","",IFERROR(VLOOKUP($J57,'基本設定'!$A$13:$K$19,2,FALSE),""))</f>
        <v/>
      </c>
      <c r="L57" s="139" t="n"/>
      <c r="M57" s="139" t="n"/>
      <c r="N57" s="140">
        <f>IF(OR($L57="",$M57=""),"",MAX(0,$L57-$M57))</f>
        <v/>
      </c>
      <c r="O57" s="140">
        <f>IF($J57="","",IFERROR(VLOOKUP($J57,'基本設定'!$A$13:$K$19,3,FALSE),0))</f>
        <v/>
      </c>
      <c r="P57" s="140">
        <f>IF($N57="","",$N57*$O57)</f>
        <v/>
      </c>
      <c r="Q57" s="139" t="n"/>
      <c r="R57" s="139" t="n"/>
      <c r="S57" s="139" t="n"/>
      <c r="T57" s="139" t="n"/>
      <c r="U57" s="140">
        <f>IF($J57="","",IFERROR($N57*VLOOKUP($J57,'基本設定'!$A$13:$K$19,4,FALSE),0))</f>
        <v/>
      </c>
      <c r="V57" s="140">
        <f>IFERROR($N57/$S57,"")</f>
        <v/>
      </c>
      <c r="W57" s="140">
        <f>IFERROR($N57/$T57,"")</f>
        <v/>
      </c>
      <c r="X57" s="80" t="n"/>
      <c r="Y57" s="80" t="n"/>
    </row>
    <row r="58">
      <c r="A58" s="80" t="n"/>
      <c r="B58" s="138" t="n"/>
      <c r="C58" s="80" t="n"/>
      <c r="D58" s="80" t="n"/>
      <c r="E58" s="80" t="n"/>
      <c r="F58" s="80" t="n"/>
      <c r="G58" s="80" t="n"/>
      <c r="H58" s="80" t="n"/>
      <c r="I58" s="80" t="n"/>
      <c r="J58" s="80" t="n"/>
      <c r="K58" s="82">
        <f>IF($J58="","",IFERROR(VLOOKUP($J58,'基本設定'!$A$13:$K$19,2,FALSE),""))</f>
        <v/>
      </c>
      <c r="L58" s="139" t="n"/>
      <c r="M58" s="139" t="n"/>
      <c r="N58" s="140">
        <f>IF(OR($L58="",$M58=""),"",MAX(0,$L58-$M58))</f>
        <v/>
      </c>
      <c r="O58" s="140">
        <f>IF($J58="","",IFERROR(VLOOKUP($J58,'基本設定'!$A$13:$K$19,3,FALSE),0))</f>
        <v/>
      </c>
      <c r="P58" s="140">
        <f>IF($N58="","",$N58*$O58)</f>
        <v/>
      </c>
      <c r="Q58" s="139" t="n"/>
      <c r="R58" s="139" t="n"/>
      <c r="S58" s="139" t="n"/>
      <c r="T58" s="139" t="n"/>
      <c r="U58" s="140">
        <f>IF($J58="","",IFERROR($N58*VLOOKUP($J58,'基本設定'!$A$13:$K$19,4,FALSE),0))</f>
        <v/>
      </c>
      <c r="V58" s="140">
        <f>IFERROR($N58/$S58,"")</f>
        <v/>
      </c>
      <c r="W58" s="140">
        <f>IFERROR($N58/$T58,"")</f>
        <v/>
      </c>
      <c r="X58" s="80" t="n"/>
      <c r="Y58" s="80" t="n"/>
    </row>
    <row r="59">
      <c r="A59" s="80" t="n"/>
      <c r="B59" s="138" t="n"/>
      <c r="C59" s="80" t="n"/>
      <c r="D59" s="80" t="n"/>
      <c r="E59" s="80" t="n"/>
      <c r="F59" s="80" t="n"/>
      <c r="G59" s="80" t="n"/>
      <c r="H59" s="80" t="n"/>
      <c r="I59" s="80" t="n"/>
      <c r="J59" s="80" t="n"/>
      <c r="K59" s="82">
        <f>IF($J59="","",IFERROR(VLOOKUP($J59,'基本設定'!$A$13:$K$19,2,FALSE),""))</f>
        <v/>
      </c>
      <c r="L59" s="139" t="n"/>
      <c r="M59" s="139" t="n"/>
      <c r="N59" s="140">
        <f>IF(OR($L59="",$M59=""),"",MAX(0,$L59-$M59))</f>
        <v/>
      </c>
      <c r="O59" s="140">
        <f>IF($J59="","",IFERROR(VLOOKUP($J59,'基本設定'!$A$13:$K$19,3,FALSE),0))</f>
        <v/>
      </c>
      <c r="P59" s="140">
        <f>IF($N59="","",$N59*$O59)</f>
        <v/>
      </c>
      <c r="Q59" s="139" t="n"/>
      <c r="R59" s="139" t="n"/>
      <c r="S59" s="139" t="n"/>
      <c r="T59" s="139" t="n"/>
      <c r="U59" s="140">
        <f>IF($J59="","",IFERROR($N59*VLOOKUP($J59,'基本設定'!$A$13:$K$19,4,FALSE),0))</f>
        <v/>
      </c>
      <c r="V59" s="140">
        <f>IFERROR($N59/$S59,"")</f>
        <v/>
      </c>
      <c r="W59" s="140">
        <f>IFERROR($N59/$T59,"")</f>
        <v/>
      </c>
      <c r="X59" s="80" t="n"/>
      <c r="Y59" s="80" t="n"/>
    </row>
    <row r="60">
      <c r="A60" s="80" t="n"/>
      <c r="B60" s="138" t="n"/>
      <c r="C60" s="80" t="n"/>
      <c r="D60" s="80" t="n"/>
      <c r="E60" s="80" t="n"/>
      <c r="F60" s="80" t="n"/>
      <c r="G60" s="80" t="n"/>
      <c r="H60" s="80" t="n"/>
      <c r="I60" s="80" t="n"/>
      <c r="J60" s="80" t="n"/>
      <c r="K60" s="82">
        <f>IF($J60="","",IFERROR(VLOOKUP($J60,'基本設定'!$A$13:$K$19,2,FALSE),""))</f>
        <v/>
      </c>
      <c r="L60" s="139" t="n"/>
      <c r="M60" s="139" t="n"/>
      <c r="N60" s="140">
        <f>IF(OR($L60="",$M60=""),"",MAX(0,$L60-$M60))</f>
        <v/>
      </c>
      <c r="O60" s="140">
        <f>IF($J60="","",IFERROR(VLOOKUP($J60,'基本設定'!$A$13:$K$19,3,FALSE),0))</f>
        <v/>
      </c>
      <c r="P60" s="140">
        <f>IF($N60="","",$N60*$O60)</f>
        <v/>
      </c>
      <c r="Q60" s="139" t="n"/>
      <c r="R60" s="139" t="n"/>
      <c r="S60" s="139" t="n"/>
      <c r="T60" s="139" t="n"/>
      <c r="U60" s="140">
        <f>IF($J60="","",IFERROR($N60*VLOOKUP($J60,'基本設定'!$A$13:$K$19,4,FALSE),0))</f>
        <v/>
      </c>
      <c r="V60" s="140">
        <f>IFERROR($N60/$S60,"")</f>
        <v/>
      </c>
      <c r="W60" s="140">
        <f>IFERROR($N60/$T60,"")</f>
        <v/>
      </c>
      <c r="X60" s="80" t="n"/>
      <c r="Y60" s="80" t="n"/>
    </row>
    <row r="61">
      <c r="A61" s="80" t="n"/>
      <c r="B61" s="138" t="n"/>
      <c r="C61" s="80" t="n"/>
      <c r="D61" s="80" t="n"/>
      <c r="E61" s="80" t="n"/>
      <c r="F61" s="80" t="n"/>
      <c r="G61" s="80" t="n"/>
      <c r="H61" s="80" t="n"/>
      <c r="I61" s="80" t="n"/>
      <c r="J61" s="80" t="n"/>
      <c r="K61" s="82">
        <f>IF($J61="","",IFERROR(VLOOKUP($J61,'基本設定'!$A$13:$K$19,2,FALSE),""))</f>
        <v/>
      </c>
      <c r="L61" s="139" t="n"/>
      <c r="M61" s="139" t="n"/>
      <c r="N61" s="140">
        <f>IF(OR($L61="",$M61=""),"",MAX(0,$L61-$M61))</f>
        <v/>
      </c>
      <c r="O61" s="140">
        <f>IF($J61="","",IFERROR(VLOOKUP($J61,'基本設定'!$A$13:$K$19,3,FALSE),0))</f>
        <v/>
      </c>
      <c r="P61" s="140">
        <f>IF($N61="","",$N61*$O61)</f>
        <v/>
      </c>
      <c r="Q61" s="139" t="n"/>
      <c r="R61" s="139" t="n"/>
      <c r="S61" s="139" t="n"/>
      <c r="T61" s="139" t="n"/>
      <c r="U61" s="140">
        <f>IF($J61="","",IFERROR($N61*VLOOKUP($J61,'基本設定'!$A$13:$K$19,4,FALSE),0))</f>
        <v/>
      </c>
      <c r="V61" s="140">
        <f>IFERROR($N61/$S61,"")</f>
        <v/>
      </c>
      <c r="W61" s="140">
        <f>IFERROR($N61/$T61,"")</f>
        <v/>
      </c>
      <c r="X61" s="80" t="n"/>
      <c r="Y61" s="80" t="n"/>
    </row>
    <row r="62">
      <c r="A62" s="80" t="n"/>
      <c r="B62" s="138" t="n"/>
      <c r="C62" s="80" t="n"/>
      <c r="D62" s="80" t="n"/>
      <c r="E62" s="80" t="n"/>
      <c r="F62" s="80" t="n"/>
      <c r="G62" s="80" t="n"/>
      <c r="H62" s="80" t="n"/>
      <c r="I62" s="80" t="n"/>
      <c r="J62" s="80" t="n"/>
      <c r="K62" s="82">
        <f>IF($J62="","",IFERROR(VLOOKUP($J62,'基本設定'!$A$13:$K$19,2,FALSE),""))</f>
        <v/>
      </c>
      <c r="L62" s="139" t="n"/>
      <c r="M62" s="139" t="n"/>
      <c r="N62" s="140">
        <f>IF(OR($L62="",$M62=""),"",MAX(0,$L62-$M62))</f>
        <v/>
      </c>
      <c r="O62" s="140">
        <f>IF($J62="","",IFERROR(VLOOKUP($J62,'基本設定'!$A$13:$K$19,3,FALSE),0))</f>
        <v/>
      </c>
      <c r="P62" s="140">
        <f>IF($N62="","",$N62*$O62)</f>
        <v/>
      </c>
      <c r="Q62" s="139" t="n"/>
      <c r="R62" s="139" t="n"/>
      <c r="S62" s="139" t="n"/>
      <c r="T62" s="139" t="n"/>
      <c r="U62" s="140">
        <f>IF($J62="","",IFERROR($N62*VLOOKUP($J62,'基本設定'!$A$13:$K$19,4,FALSE),0))</f>
        <v/>
      </c>
      <c r="V62" s="140">
        <f>IFERROR($N62/$S62,"")</f>
        <v/>
      </c>
      <c r="W62" s="140">
        <f>IFERROR($N62/$T62,"")</f>
        <v/>
      </c>
      <c r="X62" s="80" t="n"/>
      <c r="Y62" s="80" t="n"/>
    </row>
    <row r="63">
      <c r="A63" s="80" t="n"/>
      <c r="B63" s="138" t="n"/>
      <c r="C63" s="80" t="n"/>
      <c r="D63" s="80" t="n"/>
      <c r="E63" s="80" t="n"/>
      <c r="F63" s="80" t="n"/>
      <c r="G63" s="80" t="n"/>
      <c r="H63" s="80" t="n"/>
      <c r="I63" s="80" t="n"/>
      <c r="J63" s="80" t="n"/>
      <c r="K63" s="82">
        <f>IF($J63="","",IFERROR(VLOOKUP($J63,'基本設定'!$A$13:$K$19,2,FALSE),""))</f>
        <v/>
      </c>
      <c r="L63" s="139" t="n"/>
      <c r="M63" s="139" t="n"/>
      <c r="N63" s="140">
        <f>IF(OR($L63="",$M63=""),"",MAX(0,$L63-$M63))</f>
        <v/>
      </c>
      <c r="O63" s="140">
        <f>IF($J63="","",IFERROR(VLOOKUP($J63,'基本設定'!$A$13:$K$19,3,FALSE),0))</f>
        <v/>
      </c>
      <c r="P63" s="140">
        <f>IF($N63="","",$N63*$O63)</f>
        <v/>
      </c>
      <c r="Q63" s="139" t="n"/>
      <c r="R63" s="139" t="n"/>
      <c r="S63" s="139" t="n"/>
      <c r="T63" s="139" t="n"/>
      <c r="U63" s="140">
        <f>IF($J63="","",IFERROR($N63*VLOOKUP($J63,'基本設定'!$A$13:$K$19,4,FALSE),0))</f>
        <v/>
      </c>
      <c r="V63" s="140">
        <f>IFERROR($N63/$S63,"")</f>
        <v/>
      </c>
      <c r="W63" s="140">
        <f>IFERROR($N63/$T63,"")</f>
        <v/>
      </c>
      <c r="X63" s="80" t="n"/>
      <c r="Y63" s="80" t="n"/>
    </row>
    <row r="64">
      <c r="A64" s="80" t="n"/>
      <c r="B64" s="138" t="n"/>
      <c r="C64" s="80" t="n"/>
      <c r="D64" s="80" t="n"/>
      <c r="E64" s="80" t="n"/>
      <c r="F64" s="80" t="n"/>
      <c r="G64" s="80" t="n"/>
      <c r="H64" s="80" t="n"/>
      <c r="I64" s="80" t="n"/>
      <c r="J64" s="80" t="n"/>
      <c r="K64" s="82">
        <f>IF($J64="","",IFERROR(VLOOKUP($J64,'基本設定'!$A$13:$K$19,2,FALSE),""))</f>
        <v/>
      </c>
      <c r="L64" s="139" t="n"/>
      <c r="M64" s="139" t="n"/>
      <c r="N64" s="140">
        <f>IF(OR($L64="",$M64=""),"",MAX(0,$L64-$M64))</f>
        <v/>
      </c>
      <c r="O64" s="140">
        <f>IF($J64="","",IFERROR(VLOOKUP($J64,'基本設定'!$A$13:$K$19,3,FALSE),0))</f>
        <v/>
      </c>
      <c r="P64" s="140">
        <f>IF($N64="","",$N64*$O64)</f>
        <v/>
      </c>
      <c r="Q64" s="139" t="n"/>
      <c r="R64" s="139" t="n"/>
      <c r="S64" s="139" t="n"/>
      <c r="T64" s="139" t="n"/>
      <c r="U64" s="140">
        <f>IF($J64="","",IFERROR($N64*VLOOKUP($J64,'基本設定'!$A$13:$K$19,4,FALSE),0))</f>
        <v/>
      </c>
      <c r="V64" s="140">
        <f>IFERROR($N64/$S64,"")</f>
        <v/>
      </c>
      <c r="W64" s="140">
        <f>IFERROR($N64/$T64,"")</f>
        <v/>
      </c>
      <c r="X64" s="80" t="n"/>
      <c r="Y64" s="80" t="n"/>
    </row>
    <row r="65">
      <c r="A65" s="80" t="n"/>
      <c r="B65" s="138" t="n"/>
      <c r="C65" s="80" t="n"/>
      <c r="D65" s="80" t="n"/>
      <c r="E65" s="80" t="n"/>
      <c r="F65" s="80" t="n"/>
      <c r="G65" s="80" t="n"/>
      <c r="H65" s="80" t="n"/>
      <c r="I65" s="80" t="n"/>
      <c r="J65" s="80" t="n"/>
      <c r="K65" s="82">
        <f>IF($J65="","",IFERROR(VLOOKUP($J65,'基本設定'!$A$13:$K$19,2,FALSE),""))</f>
        <v/>
      </c>
      <c r="L65" s="139" t="n"/>
      <c r="M65" s="139" t="n"/>
      <c r="N65" s="140">
        <f>IF(OR($L65="",$M65=""),"",MAX(0,$L65-$M65))</f>
        <v/>
      </c>
      <c r="O65" s="140">
        <f>IF($J65="","",IFERROR(VLOOKUP($J65,'基本設定'!$A$13:$K$19,3,FALSE),0))</f>
        <v/>
      </c>
      <c r="P65" s="140">
        <f>IF($N65="","",$N65*$O65)</f>
        <v/>
      </c>
      <c r="Q65" s="139" t="n"/>
      <c r="R65" s="139" t="n"/>
      <c r="S65" s="139" t="n"/>
      <c r="T65" s="139" t="n"/>
      <c r="U65" s="140">
        <f>IF($J65="","",IFERROR($N65*VLOOKUP($J65,'基本設定'!$A$13:$K$19,4,FALSE),0))</f>
        <v/>
      </c>
      <c r="V65" s="140">
        <f>IFERROR($N65/$S65,"")</f>
        <v/>
      </c>
      <c r="W65" s="140">
        <f>IFERROR($N65/$T65,"")</f>
        <v/>
      </c>
      <c r="X65" s="80" t="n"/>
      <c r="Y65" s="80" t="n"/>
    </row>
    <row r="66">
      <c r="A66" s="80" t="n"/>
      <c r="B66" s="138" t="n"/>
      <c r="C66" s="80" t="n"/>
      <c r="D66" s="80" t="n"/>
      <c r="E66" s="80" t="n"/>
      <c r="F66" s="80" t="n"/>
      <c r="G66" s="80" t="n"/>
      <c r="H66" s="80" t="n"/>
      <c r="I66" s="80" t="n"/>
      <c r="J66" s="80" t="n"/>
      <c r="K66" s="82">
        <f>IF($J66="","",IFERROR(VLOOKUP($J66,'基本設定'!$A$13:$K$19,2,FALSE),""))</f>
        <v/>
      </c>
      <c r="L66" s="139" t="n"/>
      <c r="M66" s="139" t="n"/>
      <c r="N66" s="140">
        <f>IF(OR($L66="",$M66=""),"",MAX(0,$L66-$M66))</f>
        <v/>
      </c>
      <c r="O66" s="140">
        <f>IF($J66="","",IFERROR(VLOOKUP($J66,'基本設定'!$A$13:$K$19,3,FALSE),0))</f>
        <v/>
      </c>
      <c r="P66" s="140">
        <f>IF($N66="","",$N66*$O66)</f>
        <v/>
      </c>
      <c r="Q66" s="139" t="n"/>
      <c r="R66" s="139" t="n"/>
      <c r="S66" s="139" t="n"/>
      <c r="T66" s="139" t="n"/>
      <c r="U66" s="140">
        <f>IF($J66="","",IFERROR($N66*VLOOKUP($J66,'基本設定'!$A$13:$K$19,4,FALSE),0))</f>
        <v/>
      </c>
      <c r="V66" s="140">
        <f>IFERROR($N66/$S66,"")</f>
        <v/>
      </c>
      <c r="W66" s="140">
        <f>IFERROR($N66/$T66,"")</f>
        <v/>
      </c>
      <c r="X66" s="80" t="n"/>
      <c r="Y66" s="80" t="n"/>
    </row>
    <row r="67">
      <c r="A67" s="80" t="n"/>
      <c r="B67" s="138" t="n"/>
      <c r="C67" s="80" t="n"/>
      <c r="D67" s="80" t="n"/>
      <c r="E67" s="80" t="n"/>
      <c r="F67" s="80" t="n"/>
      <c r="G67" s="80" t="n"/>
      <c r="H67" s="80" t="n"/>
      <c r="I67" s="80" t="n"/>
      <c r="J67" s="80" t="n"/>
      <c r="K67" s="82">
        <f>IF($J67="","",IFERROR(VLOOKUP($J67,'基本設定'!$A$13:$K$19,2,FALSE),""))</f>
        <v/>
      </c>
      <c r="L67" s="139" t="n"/>
      <c r="M67" s="139" t="n"/>
      <c r="N67" s="140">
        <f>IF(OR($L67="",$M67=""),"",MAX(0,$L67-$M67))</f>
        <v/>
      </c>
      <c r="O67" s="140">
        <f>IF($J67="","",IFERROR(VLOOKUP($J67,'基本設定'!$A$13:$K$19,3,FALSE),0))</f>
        <v/>
      </c>
      <c r="P67" s="140">
        <f>IF($N67="","",$N67*$O67)</f>
        <v/>
      </c>
      <c r="Q67" s="139" t="n"/>
      <c r="R67" s="139" t="n"/>
      <c r="S67" s="139" t="n"/>
      <c r="T67" s="139" t="n"/>
      <c r="U67" s="140">
        <f>IF($J67="","",IFERROR($N67*VLOOKUP($J67,'基本設定'!$A$13:$K$19,4,FALSE),0))</f>
        <v/>
      </c>
      <c r="V67" s="140">
        <f>IFERROR($N67/$S67,"")</f>
        <v/>
      </c>
      <c r="W67" s="140">
        <f>IFERROR($N67/$T67,"")</f>
        <v/>
      </c>
      <c r="X67" s="80" t="n"/>
      <c r="Y67" s="80" t="n"/>
    </row>
    <row r="68">
      <c r="A68" s="80" t="n"/>
      <c r="B68" s="138" t="n"/>
      <c r="C68" s="80" t="n"/>
      <c r="D68" s="80" t="n"/>
      <c r="E68" s="80" t="n"/>
      <c r="F68" s="80" t="n"/>
      <c r="G68" s="80" t="n"/>
      <c r="H68" s="80" t="n"/>
      <c r="I68" s="80" t="n"/>
      <c r="J68" s="80" t="n"/>
      <c r="K68" s="82">
        <f>IF($J68="","",IFERROR(VLOOKUP($J68,'基本設定'!$A$13:$K$19,2,FALSE),""))</f>
        <v/>
      </c>
      <c r="L68" s="139" t="n"/>
      <c r="M68" s="139" t="n"/>
      <c r="N68" s="140">
        <f>IF(OR($L68="",$M68=""),"",MAX(0,$L68-$M68))</f>
        <v/>
      </c>
      <c r="O68" s="140">
        <f>IF($J68="","",IFERROR(VLOOKUP($J68,'基本設定'!$A$13:$K$19,3,FALSE),0))</f>
        <v/>
      </c>
      <c r="P68" s="140">
        <f>IF($N68="","",$N68*$O68)</f>
        <v/>
      </c>
      <c r="Q68" s="139" t="n"/>
      <c r="R68" s="139" t="n"/>
      <c r="S68" s="139" t="n"/>
      <c r="T68" s="139" t="n"/>
      <c r="U68" s="140">
        <f>IF($J68="","",IFERROR($N68*VLOOKUP($J68,'基本設定'!$A$13:$K$19,4,FALSE),0))</f>
        <v/>
      </c>
      <c r="V68" s="140">
        <f>IFERROR($N68/$S68,"")</f>
        <v/>
      </c>
      <c r="W68" s="140">
        <f>IFERROR($N68/$T68,"")</f>
        <v/>
      </c>
      <c r="X68" s="80" t="n"/>
      <c r="Y68" s="80" t="n"/>
    </row>
    <row r="69">
      <c r="A69" s="80" t="n"/>
      <c r="B69" s="138" t="n"/>
      <c r="C69" s="80" t="n"/>
      <c r="D69" s="80" t="n"/>
      <c r="E69" s="80" t="n"/>
      <c r="F69" s="80" t="n"/>
      <c r="G69" s="80" t="n"/>
      <c r="H69" s="80" t="n"/>
      <c r="I69" s="80" t="n"/>
      <c r="J69" s="80" t="n"/>
      <c r="K69" s="82">
        <f>IF($J69="","",IFERROR(VLOOKUP($J69,'基本設定'!$A$13:$K$19,2,FALSE),""))</f>
        <v/>
      </c>
      <c r="L69" s="139" t="n"/>
      <c r="M69" s="139" t="n"/>
      <c r="N69" s="140">
        <f>IF(OR($L69="",$M69=""),"",MAX(0,$L69-$M69))</f>
        <v/>
      </c>
      <c r="O69" s="140">
        <f>IF($J69="","",IFERROR(VLOOKUP($J69,'基本設定'!$A$13:$K$19,3,FALSE),0))</f>
        <v/>
      </c>
      <c r="P69" s="140">
        <f>IF($N69="","",$N69*$O69)</f>
        <v/>
      </c>
      <c r="Q69" s="139" t="n"/>
      <c r="R69" s="139" t="n"/>
      <c r="S69" s="139" t="n"/>
      <c r="T69" s="139" t="n"/>
      <c r="U69" s="140">
        <f>IF($J69="","",IFERROR($N69*VLOOKUP($J69,'基本設定'!$A$13:$K$19,4,FALSE),0))</f>
        <v/>
      </c>
      <c r="V69" s="140">
        <f>IFERROR($N69/$S69,"")</f>
        <v/>
      </c>
      <c r="W69" s="140">
        <f>IFERROR($N69/$T69,"")</f>
        <v/>
      </c>
      <c r="X69" s="80" t="n"/>
      <c r="Y69" s="80" t="n"/>
    </row>
    <row r="70">
      <c r="A70" s="80" t="n"/>
      <c r="B70" s="138" t="n"/>
      <c r="C70" s="80" t="n"/>
      <c r="D70" s="80" t="n"/>
      <c r="E70" s="80" t="n"/>
      <c r="F70" s="80" t="n"/>
      <c r="G70" s="80" t="n"/>
      <c r="H70" s="80" t="n"/>
      <c r="I70" s="80" t="n"/>
      <c r="J70" s="80" t="n"/>
      <c r="K70" s="82">
        <f>IF($J70="","",IFERROR(VLOOKUP($J70,'基本設定'!$A$13:$K$19,2,FALSE),""))</f>
        <v/>
      </c>
      <c r="L70" s="139" t="n"/>
      <c r="M70" s="139" t="n"/>
      <c r="N70" s="140">
        <f>IF(OR($L70="",$M70=""),"",MAX(0,$L70-$M70))</f>
        <v/>
      </c>
      <c r="O70" s="140">
        <f>IF($J70="","",IFERROR(VLOOKUP($J70,'基本設定'!$A$13:$K$19,3,FALSE),0))</f>
        <v/>
      </c>
      <c r="P70" s="140">
        <f>IF($N70="","",$N70*$O70)</f>
        <v/>
      </c>
      <c r="Q70" s="139" t="n"/>
      <c r="R70" s="139" t="n"/>
      <c r="S70" s="139" t="n"/>
      <c r="T70" s="139" t="n"/>
      <c r="U70" s="140">
        <f>IF($J70="","",IFERROR($N70*VLOOKUP($J70,'基本設定'!$A$13:$K$19,4,FALSE),0))</f>
        <v/>
      </c>
      <c r="V70" s="140">
        <f>IFERROR($N70/$S70,"")</f>
        <v/>
      </c>
      <c r="W70" s="140">
        <f>IFERROR($N70/$T70,"")</f>
        <v/>
      </c>
      <c r="X70" s="80" t="n"/>
      <c r="Y70" s="80" t="n"/>
    </row>
    <row r="71">
      <c r="A71" s="80" t="n"/>
      <c r="B71" s="138" t="n"/>
      <c r="C71" s="80" t="n"/>
      <c r="D71" s="80" t="n"/>
      <c r="E71" s="80" t="n"/>
      <c r="F71" s="80" t="n"/>
      <c r="G71" s="80" t="n"/>
      <c r="H71" s="80" t="n"/>
      <c r="I71" s="80" t="n"/>
      <c r="J71" s="80" t="n"/>
      <c r="K71" s="82">
        <f>IF($J71="","",IFERROR(VLOOKUP($J71,'基本設定'!$A$13:$K$19,2,FALSE),""))</f>
        <v/>
      </c>
      <c r="L71" s="139" t="n"/>
      <c r="M71" s="139" t="n"/>
      <c r="N71" s="140">
        <f>IF(OR($L71="",$M71=""),"",MAX(0,$L71-$M71))</f>
        <v/>
      </c>
      <c r="O71" s="140">
        <f>IF($J71="","",IFERROR(VLOOKUP($J71,'基本設定'!$A$13:$K$19,3,FALSE),0))</f>
        <v/>
      </c>
      <c r="P71" s="140">
        <f>IF($N71="","",$N71*$O71)</f>
        <v/>
      </c>
      <c r="Q71" s="139" t="n"/>
      <c r="R71" s="139" t="n"/>
      <c r="S71" s="139" t="n"/>
      <c r="T71" s="139" t="n"/>
      <c r="U71" s="140">
        <f>IF($J71="","",IFERROR($N71*VLOOKUP($J71,'基本設定'!$A$13:$K$19,4,FALSE),0))</f>
        <v/>
      </c>
      <c r="V71" s="140">
        <f>IFERROR($N71/$S71,"")</f>
        <v/>
      </c>
      <c r="W71" s="140">
        <f>IFERROR($N71/$T71,"")</f>
        <v/>
      </c>
      <c r="X71" s="80" t="n"/>
      <c r="Y71" s="80" t="n"/>
    </row>
    <row r="72">
      <c r="A72" s="80" t="n"/>
      <c r="B72" s="138" t="n"/>
      <c r="C72" s="80" t="n"/>
      <c r="D72" s="80" t="n"/>
      <c r="E72" s="80" t="n"/>
      <c r="F72" s="80" t="n"/>
      <c r="G72" s="80" t="n"/>
      <c r="H72" s="80" t="n"/>
      <c r="I72" s="80" t="n"/>
      <c r="J72" s="80" t="n"/>
      <c r="K72" s="82">
        <f>IF($J72="","",IFERROR(VLOOKUP($J72,'基本設定'!$A$13:$K$19,2,FALSE),""))</f>
        <v/>
      </c>
      <c r="L72" s="139" t="n"/>
      <c r="M72" s="139" t="n"/>
      <c r="N72" s="140">
        <f>IF(OR($L72="",$M72=""),"",MAX(0,$L72-$M72))</f>
        <v/>
      </c>
      <c r="O72" s="140">
        <f>IF($J72="","",IFERROR(VLOOKUP($J72,'基本設定'!$A$13:$K$19,3,FALSE),0))</f>
        <v/>
      </c>
      <c r="P72" s="140">
        <f>IF($N72="","",$N72*$O72)</f>
        <v/>
      </c>
      <c r="Q72" s="139" t="n"/>
      <c r="R72" s="139" t="n"/>
      <c r="S72" s="139" t="n"/>
      <c r="T72" s="139" t="n"/>
      <c r="U72" s="140">
        <f>IF($J72="","",IFERROR($N72*VLOOKUP($J72,'基本設定'!$A$13:$K$19,4,FALSE),0))</f>
        <v/>
      </c>
      <c r="V72" s="140">
        <f>IFERROR($N72/$S72,"")</f>
        <v/>
      </c>
      <c r="W72" s="140">
        <f>IFERROR($N72/$T72,"")</f>
        <v/>
      </c>
      <c r="X72" s="80" t="n"/>
      <c r="Y72" s="80" t="n"/>
    </row>
    <row r="73">
      <c r="A73" s="80" t="n"/>
      <c r="B73" s="138" t="n"/>
      <c r="C73" s="80" t="n"/>
      <c r="D73" s="80" t="n"/>
      <c r="E73" s="80" t="n"/>
      <c r="F73" s="80" t="n"/>
      <c r="G73" s="80" t="n"/>
      <c r="H73" s="80" t="n"/>
      <c r="I73" s="80" t="n"/>
      <c r="J73" s="80" t="n"/>
      <c r="K73" s="82">
        <f>IF($J73="","",IFERROR(VLOOKUP($J73,'基本設定'!$A$13:$K$19,2,FALSE),""))</f>
        <v/>
      </c>
      <c r="L73" s="139" t="n"/>
      <c r="M73" s="139" t="n"/>
      <c r="N73" s="140">
        <f>IF(OR($L73="",$M73=""),"",MAX(0,$L73-$M73))</f>
        <v/>
      </c>
      <c r="O73" s="140">
        <f>IF($J73="","",IFERROR(VLOOKUP($J73,'基本設定'!$A$13:$K$19,3,FALSE),0))</f>
        <v/>
      </c>
      <c r="P73" s="140">
        <f>IF($N73="","",$N73*$O73)</f>
        <v/>
      </c>
      <c r="Q73" s="139" t="n"/>
      <c r="R73" s="139" t="n"/>
      <c r="S73" s="139" t="n"/>
      <c r="T73" s="139" t="n"/>
      <c r="U73" s="140">
        <f>IF($J73="","",IFERROR($N73*VLOOKUP($J73,'基本設定'!$A$13:$K$19,4,FALSE),0))</f>
        <v/>
      </c>
      <c r="V73" s="140">
        <f>IFERROR($N73/$S73,"")</f>
        <v/>
      </c>
      <c r="W73" s="140">
        <f>IFERROR($N73/$T73,"")</f>
        <v/>
      </c>
      <c r="X73" s="80" t="n"/>
      <c r="Y73" s="80" t="n"/>
    </row>
    <row r="74">
      <c r="A74" s="80" t="n"/>
      <c r="B74" s="138" t="n"/>
      <c r="C74" s="80" t="n"/>
      <c r="D74" s="80" t="n"/>
      <c r="E74" s="80" t="n"/>
      <c r="F74" s="80" t="n"/>
      <c r="G74" s="80" t="n"/>
      <c r="H74" s="80" t="n"/>
      <c r="I74" s="80" t="n"/>
      <c r="J74" s="80" t="n"/>
      <c r="K74" s="82">
        <f>IF($J74="","",IFERROR(VLOOKUP($J74,'基本設定'!$A$13:$K$19,2,FALSE),""))</f>
        <v/>
      </c>
      <c r="L74" s="139" t="n"/>
      <c r="M74" s="139" t="n"/>
      <c r="N74" s="140">
        <f>IF(OR($L74="",$M74=""),"",MAX(0,$L74-$M74))</f>
        <v/>
      </c>
      <c r="O74" s="140">
        <f>IF($J74="","",IFERROR(VLOOKUP($J74,'基本設定'!$A$13:$K$19,3,FALSE),0))</f>
        <v/>
      </c>
      <c r="P74" s="140">
        <f>IF($N74="","",$N74*$O74)</f>
        <v/>
      </c>
      <c r="Q74" s="139" t="n"/>
      <c r="R74" s="139" t="n"/>
      <c r="S74" s="139" t="n"/>
      <c r="T74" s="139" t="n"/>
      <c r="U74" s="140">
        <f>IF($J74="","",IFERROR($N74*VLOOKUP($J74,'基本設定'!$A$13:$K$19,4,FALSE),0))</f>
        <v/>
      </c>
      <c r="V74" s="140">
        <f>IFERROR($N74/$S74,"")</f>
        <v/>
      </c>
      <c r="W74" s="140">
        <f>IFERROR($N74/$T74,"")</f>
        <v/>
      </c>
      <c r="X74" s="80" t="n"/>
      <c r="Y74" s="80" t="n"/>
    </row>
    <row r="75">
      <c r="A75" s="80" t="n"/>
      <c r="B75" s="138" t="n"/>
      <c r="C75" s="80" t="n"/>
      <c r="D75" s="80" t="n"/>
      <c r="E75" s="80" t="n"/>
      <c r="F75" s="80" t="n"/>
      <c r="G75" s="80" t="n"/>
      <c r="H75" s="80" t="n"/>
      <c r="I75" s="80" t="n"/>
      <c r="J75" s="80" t="n"/>
      <c r="K75" s="82">
        <f>IF($J75="","",IFERROR(VLOOKUP($J75,'基本設定'!$A$13:$K$19,2,FALSE),""))</f>
        <v/>
      </c>
      <c r="L75" s="139" t="n"/>
      <c r="M75" s="139" t="n"/>
      <c r="N75" s="140">
        <f>IF(OR($L75="",$M75=""),"",MAX(0,$L75-$M75))</f>
        <v/>
      </c>
      <c r="O75" s="140">
        <f>IF($J75="","",IFERROR(VLOOKUP($J75,'基本設定'!$A$13:$K$19,3,FALSE),0))</f>
        <v/>
      </c>
      <c r="P75" s="140">
        <f>IF($N75="","",$N75*$O75)</f>
        <v/>
      </c>
      <c r="Q75" s="139" t="n"/>
      <c r="R75" s="139" t="n"/>
      <c r="S75" s="139" t="n"/>
      <c r="T75" s="139" t="n"/>
      <c r="U75" s="140">
        <f>IF($J75="","",IFERROR($N75*VLOOKUP($J75,'基本設定'!$A$13:$K$19,4,FALSE),0))</f>
        <v/>
      </c>
      <c r="V75" s="140">
        <f>IFERROR($N75/$S75,"")</f>
        <v/>
      </c>
      <c r="W75" s="140">
        <f>IFERROR($N75/$T75,"")</f>
        <v/>
      </c>
      <c r="X75" s="80" t="n"/>
      <c r="Y75" s="80" t="n"/>
    </row>
    <row r="76">
      <c r="A76" s="80" t="n"/>
      <c r="B76" s="138" t="n"/>
      <c r="C76" s="80" t="n"/>
      <c r="D76" s="80" t="n"/>
      <c r="E76" s="80" t="n"/>
      <c r="F76" s="80" t="n"/>
      <c r="G76" s="80" t="n"/>
      <c r="H76" s="80" t="n"/>
      <c r="I76" s="80" t="n"/>
      <c r="J76" s="80" t="n"/>
      <c r="K76" s="82">
        <f>IF($J76="","",IFERROR(VLOOKUP($J76,'基本設定'!$A$13:$K$19,2,FALSE),""))</f>
        <v/>
      </c>
      <c r="L76" s="139" t="n"/>
      <c r="M76" s="139" t="n"/>
      <c r="N76" s="140">
        <f>IF(OR($L76="",$M76=""),"",MAX(0,$L76-$M76))</f>
        <v/>
      </c>
      <c r="O76" s="140">
        <f>IF($J76="","",IFERROR(VLOOKUP($J76,'基本設定'!$A$13:$K$19,3,FALSE),0))</f>
        <v/>
      </c>
      <c r="P76" s="140">
        <f>IF($N76="","",$N76*$O76)</f>
        <v/>
      </c>
      <c r="Q76" s="139" t="n"/>
      <c r="R76" s="139" t="n"/>
      <c r="S76" s="139" t="n"/>
      <c r="T76" s="139" t="n"/>
      <c r="U76" s="140">
        <f>IF($J76="","",IFERROR($N76*VLOOKUP($J76,'基本設定'!$A$13:$K$19,4,FALSE),0))</f>
        <v/>
      </c>
      <c r="V76" s="140">
        <f>IFERROR($N76/$S76,"")</f>
        <v/>
      </c>
      <c r="W76" s="140">
        <f>IFERROR($N76/$T76,"")</f>
        <v/>
      </c>
      <c r="X76" s="80" t="n"/>
      <c r="Y76" s="80" t="n"/>
    </row>
    <row r="77">
      <c r="A77" s="80" t="n"/>
      <c r="B77" s="138" t="n"/>
      <c r="C77" s="80" t="n"/>
      <c r="D77" s="80" t="n"/>
      <c r="E77" s="80" t="n"/>
      <c r="F77" s="80" t="n"/>
      <c r="G77" s="80" t="n"/>
      <c r="H77" s="80" t="n"/>
      <c r="I77" s="80" t="n"/>
      <c r="J77" s="80" t="n"/>
      <c r="K77" s="82">
        <f>IF($J77="","",IFERROR(VLOOKUP($J77,'基本設定'!$A$13:$K$19,2,FALSE),""))</f>
        <v/>
      </c>
      <c r="L77" s="139" t="n"/>
      <c r="M77" s="139" t="n"/>
      <c r="N77" s="140">
        <f>IF(OR($L77="",$M77=""),"",MAX(0,$L77-$M77))</f>
        <v/>
      </c>
      <c r="O77" s="140">
        <f>IF($J77="","",IFERROR(VLOOKUP($J77,'基本設定'!$A$13:$K$19,3,FALSE),0))</f>
        <v/>
      </c>
      <c r="P77" s="140">
        <f>IF($N77="","",$N77*$O77)</f>
        <v/>
      </c>
      <c r="Q77" s="139" t="n"/>
      <c r="R77" s="139" t="n"/>
      <c r="S77" s="139" t="n"/>
      <c r="T77" s="139" t="n"/>
      <c r="U77" s="140">
        <f>IF($J77="","",IFERROR($N77*VLOOKUP($J77,'基本設定'!$A$13:$K$19,4,FALSE),0))</f>
        <v/>
      </c>
      <c r="V77" s="140">
        <f>IFERROR($N77/$S77,"")</f>
        <v/>
      </c>
      <c r="W77" s="140">
        <f>IFERROR($N77/$T77,"")</f>
        <v/>
      </c>
      <c r="X77" s="80" t="n"/>
      <c r="Y77" s="80" t="n"/>
    </row>
    <row r="78">
      <c r="A78" s="80" t="n"/>
      <c r="B78" s="138" t="n"/>
      <c r="C78" s="80" t="n"/>
      <c r="D78" s="80" t="n"/>
      <c r="E78" s="80" t="n"/>
      <c r="F78" s="80" t="n"/>
      <c r="G78" s="80" t="n"/>
      <c r="H78" s="80" t="n"/>
      <c r="I78" s="80" t="n"/>
      <c r="J78" s="80" t="n"/>
      <c r="K78" s="82">
        <f>IF($J78="","",IFERROR(VLOOKUP($J78,'基本設定'!$A$13:$K$19,2,FALSE),""))</f>
        <v/>
      </c>
      <c r="L78" s="139" t="n"/>
      <c r="M78" s="139" t="n"/>
      <c r="N78" s="140">
        <f>IF(OR($L78="",$M78=""),"",MAX(0,$L78-$M78))</f>
        <v/>
      </c>
      <c r="O78" s="140">
        <f>IF($J78="","",IFERROR(VLOOKUP($J78,'基本設定'!$A$13:$K$19,3,FALSE),0))</f>
        <v/>
      </c>
      <c r="P78" s="140">
        <f>IF($N78="","",$N78*$O78)</f>
        <v/>
      </c>
      <c r="Q78" s="139" t="n"/>
      <c r="R78" s="139" t="n"/>
      <c r="S78" s="139" t="n"/>
      <c r="T78" s="139" t="n"/>
      <c r="U78" s="140">
        <f>IF($J78="","",IFERROR($N78*VLOOKUP($J78,'基本設定'!$A$13:$K$19,4,FALSE),0))</f>
        <v/>
      </c>
      <c r="V78" s="140">
        <f>IFERROR($N78/$S78,"")</f>
        <v/>
      </c>
      <c r="W78" s="140">
        <f>IFERROR($N78/$T78,"")</f>
        <v/>
      </c>
      <c r="X78" s="80" t="n"/>
      <c r="Y78" s="80" t="n"/>
    </row>
    <row r="79">
      <c r="A79" s="80" t="n"/>
      <c r="B79" s="138" t="n"/>
      <c r="C79" s="80" t="n"/>
      <c r="D79" s="80" t="n"/>
      <c r="E79" s="80" t="n"/>
      <c r="F79" s="80" t="n"/>
      <c r="G79" s="80" t="n"/>
      <c r="H79" s="80" t="n"/>
      <c r="I79" s="80" t="n"/>
      <c r="J79" s="80" t="n"/>
      <c r="K79" s="82">
        <f>IF($J79="","",IFERROR(VLOOKUP($J79,'基本設定'!$A$13:$K$19,2,FALSE),""))</f>
        <v/>
      </c>
      <c r="L79" s="139" t="n"/>
      <c r="M79" s="139" t="n"/>
      <c r="N79" s="140">
        <f>IF(OR($L79="",$M79=""),"",MAX(0,$L79-$M79))</f>
        <v/>
      </c>
      <c r="O79" s="140">
        <f>IF($J79="","",IFERROR(VLOOKUP($J79,'基本設定'!$A$13:$K$19,3,FALSE),0))</f>
        <v/>
      </c>
      <c r="P79" s="140">
        <f>IF($N79="","",$N79*$O79)</f>
        <v/>
      </c>
      <c r="Q79" s="139" t="n"/>
      <c r="R79" s="139" t="n"/>
      <c r="S79" s="139" t="n"/>
      <c r="T79" s="139" t="n"/>
      <c r="U79" s="140">
        <f>IF($J79="","",IFERROR($N79*VLOOKUP($J79,'基本設定'!$A$13:$K$19,4,FALSE),0))</f>
        <v/>
      </c>
      <c r="V79" s="140">
        <f>IFERROR($N79/$S79,"")</f>
        <v/>
      </c>
      <c r="W79" s="140">
        <f>IFERROR($N79/$T79,"")</f>
        <v/>
      </c>
      <c r="X79" s="80" t="n"/>
      <c r="Y79" s="80" t="n"/>
    </row>
    <row r="80">
      <c r="A80" s="80" t="n"/>
      <c r="B80" s="138" t="n"/>
      <c r="C80" s="80" t="n"/>
      <c r="D80" s="80" t="n"/>
      <c r="E80" s="80" t="n"/>
      <c r="F80" s="80" t="n"/>
      <c r="G80" s="80" t="n"/>
      <c r="H80" s="80" t="n"/>
      <c r="I80" s="80" t="n"/>
      <c r="J80" s="80" t="n"/>
      <c r="K80" s="82">
        <f>IF($J80="","",IFERROR(VLOOKUP($J80,'基本設定'!$A$13:$K$19,2,FALSE),""))</f>
        <v/>
      </c>
      <c r="L80" s="139" t="n"/>
      <c r="M80" s="139" t="n"/>
      <c r="N80" s="140">
        <f>IF(OR($L80="",$M80=""),"",MAX(0,$L80-$M80))</f>
        <v/>
      </c>
      <c r="O80" s="140">
        <f>IF($J80="","",IFERROR(VLOOKUP($J80,'基本設定'!$A$13:$K$19,3,FALSE),0))</f>
        <v/>
      </c>
      <c r="P80" s="140">
        <f>IF($N80="","",$N80*$O80)</f>
        <v/>
      </c>
      <c r="Q80" s="139" t="n"/>
      <c r="R80" s="139" t="n"/>
      <c r="S80" s="139" t="n"/>
      <c r="T80" s="139" t="n"/>
      <c r="U80" s="140">
        <f>IF($J80="","",IFERROR($N80*VLOOKUP($J80,'基本設定'!$A$13:$K$19,4,FALSE),0))</f>
        <v/>
      </c>
      <c r="V80" s="140">
        <f>IFERROR($N80/$S80,"")</f>
        <v/>
      </c>
      <c r="W80" s="140">
        <f>IFERROR($N80/$T80,"")</f>
        <v/>
      </c>
      <c r="X80" s="80" t="n"/>
      <c r="Y80" s="80" t="n"/>
    </row>
    <row r="81">
      <c r="A81" s="80" t="n"/>
      <c r="B81" s="138" t="n"/>
      <c r="C81" s="80" t="n"/>
      <c r="D81" s="80" t="n"/>
      <c r="E81" s="80" t="n"/>
      <c r="F81" s="80" t="n"/>
      <c r="G81" s="80" t="n"/>
      <c r="H81" s="80" t="n"/>
      <c r="I81" s="80" t="n"/>
      <c r="J81" s="80" t="n"/>
      <c r="K81" s="82">
        <f>IF($J81="","",IFERROR(VLOOKUP($J81,'基本設定'!$A$13:$K$19,2,FALSE),""))</f>
        <v/>
      </c>
      <c r="L81" s="139" t="n"/>
      <c r="M81" s="139" t="n"/>
      <c r="N81" s="140">
        <f>IF(OR($L81="",$M81=""),"",MAX(0,$L81-$M81))</f>
        <v/>
      </c>
      <c r="O81" s="140">
        <f>IF($J81="","",IFERROR(VLOOKUP($J81,'基本設定'!$A$13:$K$19,3,FALSE),0))</f>
        <v/>
      </c>
      <c r="P81" s="140">
        <f>IF($N81="","",$N81*$O81)</f>
        <v/>
      </c>
      <c r="Q81" s="139" t="n"/>
      <c r="R81" s="139" t="n"/>
      <c r="S81" s="139" t="n"/>
      <c r="T81" s="139" t="n"/>
      <c r="U81" s="140">
        <f>IF($J81="","",IFERROR($N81*VLOOKUP($J81,'基本設定'!$A$13:$K$19,4,FALSE),0))</f>
        <v/>
      </c>
      <c r="V81" s="140">
        <f>IFERROR($N81/$S81,"")</f>
        <v/>
      </c>
      <c r="W81" s="140">
        <f>IFERROR($N81/$T81,"")</f>
        <v/>
      </c>
      <c r="X81" s="80" t="n"/>
      <c r="Y81" s="80" t="n"/>
    </row>
    <row r="82">
      <c r="A82" s="80" t="n"/>
      <c r="B82" s="138" t="n"/>
      <c r="C82" s="80" t="n"/>
      <c r="D82" s="80" t="n"/>
      <c r="E82" s="80" t="n"/>
      <c r="F82" s="80" t="n"/>
      <c r="G82" s="80" t="n"/>
      <c r="H82" s="80" t="n"/>
      <c r="I82" s="80" t="n"/>
      <c r="J82" s="80" t="n"/>
      <c r="K82" s="82">
        <f>IF($J82="","",IFERROR(VLOOKUP($J82,'基本設定'!$A$13:$K$19,2,FALSE),""))</f>
        <v/>
      </c>
      <c r="L82" s="139" t="n"/>
      <c r="M82" s="139" t="n"/>
      <c r="N82" s="140">
        <f>IF(OR($L82="",$M82=""),"",MAX(0,$L82-$M82))</f>
        <v/>
      </c>
      <c r="O82" s="140">
        <f>IF($J82="","",IFERROR(VLOOKUP($J82,'基本設定'!$A$13:$K$19,3,FALSE),0))</f>
        <v/>
      </c>
      <c r="P82" s="140">
        <f>IF($N82="","",$N82*$O82)</f>
        <v/>
      </c>
      <c r="Q82" s="139" t="n"/>
      <c r="R82" s="139" t="n"/>
      <c r="S82" s="139" t="n"/>
      <c r="T82" s="139" t="n"/>
      <c r="U82" s="140">
        <f>IF($J82="","",IFERROR($N82*VLOOKUP($J82,'基本設定'!$A$13:$K$19,4,FALSE),0))</f>
        <v/>
      </c>
      <c r="V82" s="140">
        <f>IFERROR($N82/$S82,"")</f>
        <v/>
      </c>
      <c r="W82" s="140">
        <f>IFERROR($N82/$T82,"")</f>
        <v/>
      </c>
      <c r="X82" s="80" t="n"/>
      <c r="Y82" s="80" t="n"/>
    </row>
    <row r="83">
      <c r="A83" s="80" t="n"/>
      <c r="B83" s="138" t="n"/>
      <c r="C83" s="80" t="n"/>
      <c r="D83" s="80" t="n"/>
      <c r="E83" s="80" t="n"/>
      <c r="F83" s="80" t="n"/>
      <c r="G83" s="80" t="n"/>
      <c r="H83" s="80" t="n"/>
      <c r="I83" s="80" t="n"/>
      <c r="J83" s="80" t="n"/>
      <c r="K83" s="82">
        <f>IF($J83="","",IFERROR(VLOOKUP($J83,'基本設定'!$A$13:$K$19,2,FALSE),""))</f>
        <v/>
      </c>
      <c r="L83" s="139" t="n"/>
      <c r="M83" s="139" t="n"/>
      <c r="N83" s="140">
        <f>IF(OR($L83="",$M83=""),"",MAX(0,$L83-$M83))</f>
        <v/>
      </c>
      <c r="O83" s="140">
        <f>IF($J83="","",IFERROR(VLOOKUP($J83,'基本設定'!$A$13:$K$19,3,FALSE),0))</f>
        <v/>
      </c>
      <c r="P83" s="140">
        <f>IF($N83="","",$N83*$O83)</f>
        <v/>
      </c>
      <c r="Q83" s="139" t="n"/>
      <c r="R83" s="139" t="n"/>
      <c r="S83" s="139" t="n"/>
      <c r="T83" s="139" t="n"/>
      <c r="U83" s="140">
        <f>IF($J83="","",IFERROR($N83*VLOOKUP($J83,'基本設定'!$A$13:$K$19,4,FALSE),0))</f>
        <v/>
      </c>
      <c r="V83" s="140">
        <f>IFERROR($N83/$S83,"")</f>
        <v/>
      </c>
      <c r="W83" s="140">
        <f>IFERROR($N83/$T83,"")</f>
        <v/>
      </c>
      <c r="X83" s="80" t="n"/>
      <c r="Y83" s="80" t="n"/>
    </row>
    <row r="84">
      <c r="A84" s="80" t="n"/>
      <c r="B84" s="138" t="n"/>
      <c r="C84" s="80" t="n"/>
      <c r="D84" s="80" t="n"/>
      <c r="E84" s="80" t="n"/>
      <c r="F84" s="80" t="n"/>
      <c r="G84" s="80" t="n"/>
      <c r="H84" s="80" t="n"/>
      <c r="I84" s="80" t="n"/>
      <c r="J84" s="80" t="n"/>
      <c r="K84" s="82">
        <f>IF($J84="","",IFERROR(VLOOKUP($J84,'基本設定'!$A$13:$K$19,2,FALSE),""))</f>
        <v/>
      </c>
      <c r="L84" s="139" t="n"/>
      <c r="M84" s="139" t="n"/>
      <c r="N84" s="140">
        <f>IF(OR($L84="",$M84=""),"",MAX(0,$L84-$M84))</f>
        <v/>
      </c>
      <c r="O84" s="140">
        <f>IF($J84="","",IFERROR(VLOOKUP($J84,'基本設定'!$A$13:$K$19,3,FALSE),0))</f>
        <v/>
      </c>
      <c r="P84" s="140">
        <f>IF($N84="","",$N84*$O84)</f>
        <v/>
      </c>
      <c r="Q84" s="139" t="n"/>
      <c r="R84" s="139" t="n"/>
      <c r="S84" s="139" t="n"/>
      <c r="T84" s="139" t="n"/>
      <c r="U84" s="140">
        <f>IF($J84="","",IFERROR($N84*VLOOKUP($J84,'基本設定'!$A$13:$K$19,4,FALSE),0))</f>
        <v/>
      </c>
      <c r="V84" s="140">
        <f>IFERROR($N84/$S84,"")</f>
        <v/>
      </c>
      <c r="W84" s="140">
        <f>IFERROR($N84/$T84,"")</f>
        <v/>
      </c>
      <c r="X84" s="80" t="n"/>
      <c r="Y84" s="80" t="n"/>
    </row>
    <row r="85">
      <c r="A85" s="80" t="n"/>
      <c r="B85" s="138" t="n"/>
      <c r="C85" s="80" t="n"/>
      <c r="D85" s="80" t="n"/>
      <c r="E85" s="80" t="n"/>
      <c r="F85" s="80" t="n"/>
      <c r="G85" s="80" t="n"/>
      <c r="H85" s="80" t="n"/>
      <c r="I85" s="80" t="n"/>
      <c r="J85" s="80" t="n"/>
      <c r="K85" s="82">
        <f>IF($J85="","",IFERROR(VLOOKUP($J85,'基本設定'!$A$13:$K$19,2,FALSE),""))</f>
        <v/>
      </c>
      <c r="L85" s="139" t="n"/>
      <c r="M85" s="139" t="n"/>
      <c r="N85" s="140">
        <f>IF(OR($L85="",$M85=""),"",MAX(0,$L85-$M85))</f>
        <v/>
      </c>
      <c r="O85" s="140">
        <f>IF($J85="","",IFERROR(VLOOKUP($J85,'基本設定'!$A$13:$K$19,3,FALSE),0))</f>
        <v/>
      </c>
      <c r="P85" s="140">
        <f>IF($N85="","",$N85*$O85)</f>
        <v/>
      </c>
      <c r="Q85" s="139" t="n"/>
      <c r="R85" s="139" t="n"/>
      <c r="S85" s="139" t="n"/>
      <c r="T85" s="139" t="n"/>
      <c r="U85" s="140">
        <f>IF($J85="","",IFERROR($N85*VLOOKUP($J85,'基本設定'!$A$13:$K$19,4,FALSE),0))</f>
        <v/>
      </c>
      <c r="V85" s="140">
        <f>IFERROR($N85/$S85,"")</f>
        <v/>
      </c>
      <c r="W85" s="140">
        <f>IFERROR($N85/$T85,"")</f>
        <v/>
      </c>
      <c r="X85" s="80" t="n"/>
      <c r="Y85" s="80" t="n"/>
    </row>
    <row r="86">
      <c r="A86" s="80" t="n"/>
      <c r="B86" s="138" t="n"/>
      <c r="C86" s="80" t="n"/>
      <c r="D86" s="80" t="n"/>
      <c r="E86" s="80" t="n"/>
      <c r="F86" s="80" t="n"/>
      <c r="G86" s="80" t="n"/>
      <c r="H86" s="80" t="n"/>
      <c r="I86" s="80" t="n"/>
      <c r="J86" s="80" t="n"/>
      <c r="K86" s="82">
        <f>IF($J86="","",IFERROR(VLOOKUP($J86,'基本設定'!$A$13:$K$19,2,FALSE),""))</f>
        <v/>
      </c>
      <c r="L86" s="139" t="n"/>
      <c r="M86" s="139" t="n"/>
      <c r="N86" s="140">
        <f>IF(OR($L86="",$M86=""),"",MAX(0,$L86-$M86))</f>
        <v/>
      </c>
      <c r="O86" s="140">
        <f>IF($J86="","",IFERROR(VLOOKUP($J86,'基本設定'!$A$13:$K$19,3,FALSE),0))</f>
        <v/>
      </c>
      <c r="P86" s="140">
        <f>IF($N86="","",$N86*$O86)</f>
        <v/>
      </c>
      <c r="Q86" s="139" t="n"/>
      <c r="R86" s="139" t="n"/>
      <c r="S86" s="139" t="n"/>
      <c r="T86" s="139" t="n"/>
      <c r="U86" s="140">
        <f>IF($J86="","",IFERROR($N86*VLOOKUP($J86,'基本設定'!$A$13:$K$19,4,FALSE),0))</f>
        <v/>
      </c>
      <c r="V86" s="140">
        <f>IFERROR($N86/$S86,"")</f>
        <v/>
      </c>
      <c r="W86" s="140">
        <f>IFERROR($N86/$T86,"")</f>
        <v/>
      </c>
      <c r="X86" s="80" t="n"/>
      <c r="Y86" s="80" t="n"/>
    </row>
    <row r="87">
      <c r="A87" s="80" t="n"/>
      <c r="B87" s="138" t="n"/>
      <c r="C87" s="80" t="n"/>
      <c r="D87" s="80" t="n"/>
      <c r="E87" s="80" t="n"/>
      <c r="F87" s="80" t="n"/>
      <c r="G87" s="80" t="n"/>
      <c r="H87" s="80" t="n"/>
      <c r="I87" s="80" t="n"/>
      <c r="J87" s="80" t="n"/>
      <c r="K87" s="82">
        <f>IF($J87="","",IFERROR(VLOOKUP($J87,'基本設定'!$A$13:$K$19,2,FALSE),""))</f>
        <v/>
      </c>
      <c r="L87" s="139" t="n"/>
      <c r="M87" s="139" t="n"/>
      <c r="N87" s="140">
        <f>IF(OR($L87="",$M87=""),"",MAX(0,$L87-$M87))</f>
        <v/>
      </c>
      <c r="O87" s="140">
        <f>IF($J87="","",IFERROR(VLOOKUP($J87,'基本設定'!$A$13:$K$19,3,FALSE),0))</f>
        <v/>
      </c>
      <c r="P87" s="140">
        <f>IF($N87="","",$N87*$O87)</f>
        <v/>
      </c>
      <c r="Q87" s="139" t="n"/>
      <c r="R87" s="139" t="n"/>
      <c r="S87" s="139" t="n"/>
      <c r="T87" s="139" t="n"/>
      <c r="U87" s="140">
        <f>IF($J87="","",IFERROR($N87*VLOOKUP($J87,'基本設定'!$A$13:$K$19,4,FALSE),0))</f>
        <v/>
      </c>
      <c r="V87" s="140">
        <f>IFERROR($N87/$S87,"")</f>
        <v/>
      </c>
      <c r="W87" s="140">
        <f>IFERROR($N87/$T87,"")</f>
        <v/>
      </c>
      <c r="X87" s="80" t="n"/>
      <c r="Y87" s="80" t="n"/>
    </row>
    <row r="88">
      <c r="A88" s="80" t="n"/>
      <c r="B88" s="138" t="n"/>
      <c r="C88" s="80" t="n"/>
      <c r="D88" s="80" t="n"/>
      <c r="E88" s="80" t="n"/>
      <c r="F88" s="80" t="n"/>
      <c r="G88" s="80" t="n"/>
      <c r="H88" s="80" t="n"/>
      <c r="I88" s="80" t="n"/>
      <c r="J88" s="80" t="n"/>
      <c r="K88" s="82">
        <f>IF($J88="","",IFERROR(VLOOKUP($J88,'基本設定'!$A$13:$K$19,2,FALSE),""))</f>
        <v/>
      </c>
      <c r="L88" s="139" t="n"/>
      <c r="M88" s="139" t="n"/>
      <c r="N88" s="140">
        <f>IF(OR($L88="",$M88=""),"",MAX(0,$L88-$M88))</f>
        <v/>
      </c>
      <c r="O88" s="140">
        <f>IF($J88="","",IFERROR(VLOOKUP($J88,'基本設定'!$A$13:$K$19,3,FALSE),0))</f>
        <v/>
      </c>
      <c r="P88" s="140">
        <f>IF($N88="","",$N88*$O88)</f>
        <v/>
      </c>
      <c r="Q88" s="139" t="n"/>
      <c r="R88" s="139" t="n"/>
      <c r="S88" s="139" t="n"/>
      <c r="T88" s="139" t="n"/>
      <c r="U88" s="140">
        <f>IF($J88="","",IFERROR($N88*VLOOKUP($J88,'基本設定'!$A$13:$K$19,4,FALSE),0))</f>
        <v/>
      </c>
      <c r="V88" s="140">
        <f>IFERROR($N88/$S88,"")</f>
        <v/>
      </c>
      <c r="W88" s="140">
        <f>IFERROR($N88/$T88,"")</f>
        <v/>
      </c>
      <c r="X88" s="80" t="n"/>
      <c r="Y88" s="80" t="n"/>
    </row>
    <row r="89">
      <c r="A89" s="80" t="n"/>
      <c r="B89" s="138" t="n"/>
      <c r="C89" s="80" t="n"/>
      <c r="D89" s="80" t="n"/>
      <c r="E89" s="80" t="n"/>
      <c r="F89" s="80" t="n"/>
      <c r="G89" s="80" t="n"/>
      <c r="H89" s="80" t="n"/>
      <c r="I89" s="80" t="n"/>
      <c r="J89" s="80" t="n"/>
      <c r="K89" s="82">
        <f>IF($J89="","",IFERROR(VLOOKUP($J89,'基本設定'!$A$13:$K$19,2,FALSE),""))</f>
        <v/>
      </c>
      <c r="L89" s="139" t="n"/>
      <c r="M89" s="139" t="n"/>
      <c r="N89" s="140">
        <f>IF(OR($L89="",$M89=""),"",MAX(0,$L89-$M89))</f>
        <v/>
      </c>
      <c r="O89" s="140">
        <f>IF($J89="","",IFERROR(VLOOKUP($J89,'基本設定'!$A$13:$K$19,3,FALSE),0))</f>
        <v/>
      </c>
      <c r="P89" s="140">
        <f>IF($N89="","",$N89*$O89)</f>
        <v/>
      </c>
      <c r="Q89" s="139" t="n"/>
      <c r="R89" s="139" t="n"/>
      <c r="S89" s="139" t="n"/>
      <c r="T89" s="139" t="n"/>
      <c r="U89" s="140">
        <f>IF($J89="","",IFERROR($N89*VLOOKUP($J89,'基本設定'!$A$13:$K$19,4,FALSE),0))</f>
        <v/>
      </c>
      <c r="V89" s="140">
        <f>IFERROR($N89/$S89,"")</f>
        <v/>
      </c>
      <c r="W89" s="140">
        <f>IFERROR($N89/$T89,"")</f>
        <v/>
      </c>
      <c r="X89" s="80" t="n"/>
      <c r="Y89" s="80" t="n"/>
    </row>
    <row r="90">
      <c r="A90" s="80" t="n"/>
      <c r="B90" s="138" t="n"/>
      <c r="C90" s="80" t="n"/>
      <c r="D90" s="80" t="n"/>
      <c r="E90" s="80" t="n"/>
      <c r="F90" s="80" t="n"/>
      <c r="G90" s="80" t="n"/>
      <c r="H90" s="80" t="n"/>
      <c r="I90" s="80" t="n"/>
      <c r="J90" s="80" t="n"/>
      <c r="K90" s="82">
        <f>IF($J90="","",IFERROR(VLOOKUP($J90,'基本設定'!$A$13:$K$19,2,FALSE),""))</f>
        <v/>
      </c>
      <c r="L90" s="139" t="n"/>
      <c r="M90" s="139" t="n"/>
      <c r="N90" s="140">
        <f>IF(OR($L90="",$M90=""),"",MAX(0,$L90-$M90))</f>
        <v/>
      </c>
      <c r="O90" s="140">
        <f>IF($J90="","",IFERROR(VLOOKUP($J90,'基本設定'!$A$13:$K$19,3,FALSE),0))</f>
        <v/>
      </c>
      <c r="P90" s="140">
        <f>IF($N90="","",$N90*$O90)</f>
        <v/>
      </c>
      <c r="Q90" s="139" t="n"/>
      <c r="R90" s="139" t="n"/>
      <c r="S90" s="139" t="n"/>
      <c r="T90" s="139" t="n"/>
      <c r="U90" s="140">
        <f>IF($J90="","",IFERROR($N90*VLOOKUP($J90,'基本設定'!$A$13:$K$19,4,FALSE),0))</f>
        <v/>
      </c>
      <c r="V90" s="140">
        <f>IFERROR($N90/$S90,"")</f>
        <v/>
      </c>
      <c r="W90" s="140">
        <f>IFERROR($N90/$T90,"")</f>
        <v/>
      </c>
      <c r="X90" s="80" t="n"/>
      <c r="Y90" s="80" t="n"/>
    </row>
    <row r="91">
      <c r="A91" s="80" t="n"/>
      <c r="B91" s="138" t="n"/>
      <c r="C91" s="80" t="n"/>
      <c r="D91" s="80" t="n"/>
      <c r="E91" s="80" t="n"/>
      <c r="F91" s="80" t="n"/>
      <c r="G91" s="80" t="n"/>
      <c r="H91" s="80" t="n"/>
      <c r="I91" s="80" t="n"/>
      <c r="J91" s="80" t="n"/>
      <c r="K91" s="82">
        <f>IF($J91="","",IFERROR(VLOOKUP($J91,'基本設定'!$A$13:$K$19,2,FALSE),""))</f>
        <v/>
      </c>
      <c r="L91" s="139" t="n"/>
      <c r="M91" s="139" t="n"/>
      <c r="N91" s="140">
        <f>IF(OR($L91="",$M91=""),"",MAX(0,$L91-$M91))</f>
        <v/>
      </c>
      <c r="O91" s="140">
        <f>IF($J91="","",IFERROR(VLOOKUP($J91,'基本設定'!$A$13:$K$19,3,FALSE),0))</f>
        <v/>
      </c>
      <c r="P91" s="140">
        <f>IF($N91="","",$N91*$O91)</f>
        <v/>
      </c>
      <c r="Q91" s="139" t="n"/>
      <c r="R91" s="139" t="n"/>
      <c r="S91" s="139" t="n"/>
      <c r="T91" s="139" t="n"/>
      <c r="U91" s="140">
        <f>IF($J91="","",IFERROR($N91*VLOOKUP($J91,'基本設定'!$A$13:$K$19,4,FALSE),0))</f>
        <v/>
      </c>
      <c r="V91" s="140">
        <f>IFERROR($N91/$S91,"")</f>
        <v/>
      </c>
      <c r="W91" s="140">
        <f>IFERROR($N91/$T91,"")</f>
        <v/>
      </c>
      <c r="X91" s="80" t="n"/>
      <c r="Y91" s="80" t="n"/>
    </row>
    <row r="92">
      <c r="A92" s="80" t="n"/>
      <c r="B92" s="138" t="n"/>
      <c r="C92" s="80" t="n"/>
      <c r="D92" s="80" t="n"/>
      <c r="E92" s="80" t="n"/>
      <c r="F92" s="80" t="n"/>
      <c r="G92" s="80" t="n"/>
      <c r="H92" s="80" t="n"/>
      <c r="I92" s="80" t="n"/>
      <c r="J92" s="80" t="n"/>
      <c r="K92" s="82">
        <f>IF($J92="","",IFERROR(VLOOKUP($J92,'基本設定'!$A$13:$K$19,2,FALSE),""))</f>
        <v/>
      </c>
      <c r="L92" s="139" t="n"/>
      <c r="M92" s="139" t="n"/>
      <c r="N92" s="140">
        <f>IF(OR($L92="",$M92=""),"",MAX(0,$L92-$M92))</f>
        <v/>
      </c>
      <c r="O92" s="140">
        <f>IF($J92="","",IFERROR(VLOOKUP($J92,'基本設定'!$A$13:$K$19,3,FALSE),0))</f>
        <v/>
      </c>
      <c r="P92" s="140">
        <f>IF($N92="","",$N92*$O92)</f>
        <v/>
      </c>
      <c r="Q92" s="139" t="n"/>
      <c r="R92" s="139" t="n"/>
      <c r="S92" s="139" t="n"/>
      <c r="T92" s="139" t="n"/>
      <c r="U92" s="140">
        <f>IF($J92="","",IFERROR($N92*VLOOKUP($J92,'基本設定'!$A$13:$K$19,4,FALSE),0))</f>
        <v/>
      </c>
      <c r="V92" s="140">
        <f>IFERROR($N92/$S92,"")</f>
        <v/>
      </c>
      <c r="W92" s="140">
        <f>IFERROR($N92/$T92,"")</f>
        <v/>
      </c>
      <c r="X92" s="80" t="n"/>
      <c r="Y92" s="80" t="n"/>
    </row>
    <row r="93">
      <c r="A93" s="80" t="n"/>
      <c r="B93" s="138" t="n"/>
      <c r="C93" s="80" t="n"/>
      <c r="D93" s="80" t="n"/>
      <c r="E93" s="80" t="n"/>
      <c r="F93" s="80" t="n"/>
      <c r="G93" s="80" t="n"/>
      <c r="H93" s="80" t="n"/>
      <c r="I93" s="80" t="n"/>
      <c r="J93" s="80" t="n"/>
      <c r="K93" s="82">
        <f>IF($J93="","",IFERROR(VLOOKUP($J93,'基本設定'!$A$13:$K$19,2,FALSE),""))</f>
        <v/>
      </c>
      <c r="L93" s="139" t="n"/>
      <c r="M93" s="139" t="n"/>
      <c r="N93" s="140">
        <f>IF(OR($L93="",$M93=""),"",MAX(0,$L93-$M93))</f>
        <v/>
      </c>
      <c r="O93" s="140">
        <f>IF($J93="","",IFERROR(VLOOKUP($J93,'基本設定'!$A$13:$K$19,3,FALSE),0))</f>
        <v/>
      </c>
      <c r="P93" s="140">
        <f>IF($N93="","",$N93*$O93)</f>
        <v/>
      </c>
      <c r="Q93" s="139" t="n"/>
      <c r="R93" s="139" t="n"/>
      <c r="S93" s="139" t="n"/>
      <c r="T93" s="139" t="n"/>
      <c r="U93" s="140">
        <f>IF($J93="","",IFERROR($N93*VLOOKUP($J93,'基本設定'!$A$13:$K$19,4,FALSE),0))</f>
        <v/>
      </c>
      <c r="V93" s="140">
        <f>IFERROR($N93/$S93,"")</f>
        <v/>
      </c>
      <c r="W93" s="140">
        <f>IFERROR($N93/$T93,"")</f>
        <v/>
      </c>
      <c r="X93" s="80" t="n"/>
      <c r="Y93" s="80" t="n"/>
    </row>
    <row r="94">
      <c r="A94" s="80" t="n"/>
      <c r="B94" s="138" t="n"/>
      <c r="C94" s="80" t="n"/>
      <c r="D94" s="80" t="n"/>
      <c r="E94" s="80" t="n"/>
      <c r="F94" s="80" t="n"/>
      <c r="G94" s="80" t="n"/>
      <c r="H94" s="80" t="n"/>
      <c r="I94" s="80" t="n"/>
      <c r="J94" s="80" t="n"/>
      <c r="K94" s="82">
        <f>IF($J94="","",IFERROR(VLOOKUP($J94,'基本設定'!$A$13:$K$19,2,FALSE),""))</f>
        <v/>
      </c>
      <c r="L94" s="139" t="n"/>
      <c r="M94" s="139" t="n"/>
      <c r="N94" s="140">
        <f>IF(OR($L94="",$M94=""),"",MAX(0,$L94-$M94))</f>
        <v/>
      </c>
      <c r="O94" s="140">
        <f>IF($J94="","",IFERROR(VLOOKUP($J94,'基本設定'!$A$13:$K$19,3,FALSE),0))</f>
        <v/>
      </c>
      <c r="P94" s="140">
        <f>IF($N94="","",$N94*$O94)</f>
        <v/>
      </c>
      <c r="Q94" s="139" t="n"/>
      <c r="R94" s="139" t="n"/>
      <c r="S94" s="139" t="n"/>
      <c r="T94" s="139" t="n"/>
      <c r="U94" s="140">
        <f>IF($J94="","",IFERROR($N94*VLOOKUP($J94,'基本設定'!$A$13:$K$19,4,FALSE),0))</f>
        <v/>
      </c>
      <c r="V94" s="140">
        <f>IFERROR($N94/$S94,"")</f>
        <v/>
      </c>
      <c r="W94" s="140">
        <f>IFERROR($N94/$T94,"")</f>
        <v/>
      </c>
      <c r="X94" s="80" t="n"/>
      <c r="Y94" s="80" t="n"/>
    </row>
    <row r="95">
      <c r="A95" s="80" t="n"/>
      <c r="B95" s="138" t="n"/>
      <c r="C95" s="80" t="n"/>
      <c r="D95" s="80" t="n"/>
      <c r="E95" s="80" t="n"/>
      <c r="F95" s="80" t="n"/>
      <c r="G95" s="80" t="n"/>
      <c r="H95" s="80" t="n"/>
      <c r="I95" s="80" t="n"/>
      <c r="J95" s="80" t="n"/>
      <c r="K95" s="82">
        <f>IF($J95="","",IFERROR(VLOOKUP($J95,'基本設定'!$A$13:$K$19,2,FALSE),""))</f>
        <v/>
      </c>
      <c r="L95" s="139" t="n"/>
      <c r="M95" s="139" t="n"/>
      <c r="N95" s="140">
        <f>IF(OR($L95="",$M95=""),"",MAX(0,$L95-$M95))</f>
        <v/>
      </c>
      <c r="O95" s="140">
        <f>IF($J95="","",IFERROR(VLOOKUP($J95,'基本設定'!$A$13:$K$19,3,FALSE),0))</f>
        <v/>
      </c>
      <c r="P95" s="140">
        <f>IF($N95="","",$N95*$O95)</f>
        <v/>
      </c>
      <c r="Q95" s="139" t="n"/>
      <c r="R95" s="139" t="n"/>
      <c r="S95" s="139" t="n"/>
      <c r="T95" s="139" t="n"/>
      <c r="U95" s="140">
        <f>IF($J95="","",IFERROR($N95*VLOOKUP($J95,'基本設定'!$A$13:$K$19,4,FALSE),0))</f>
        <v/>
      </c>
      <c r="V95" s="140">
        <f>IFERROR($N95/$S95,"")</f>
        <v/>
      </c>
      <c r="W95" s="140">
        <f>IFERROR($N95/$T95,"")</f>
        <v/>
      </c>
      <c r="X95" s="80" t="n"/>
      <c r="Y95" s="80" t="n"/>
    </row>
    <row r="96">
      <c r="A96" s="80" t="n"/>
      <c r="B96" s="138" t="n"/>
      <c r="C96" s="80" t="n"/>
      <c r="D96" s="80" t="n"/>
      <c r="E96" s="80" t="n"/>
      <c r="F96" s="80" t="n"/>
      <c r="G96" s="80" t="n"/>
      <c r="H96" s="80" t="n"/>
      <c r="I96" s="80" t="n"/>
      <c r="J96" s="80" t="n"/>
      <c r="K96" s="82">
        <f>IF($J96="","",IFERROR(VLOOKUP($J96,'基本設定'!$A$13:$K$19,2,FALSE),""))</f>
        <v/>
      </c>
      <c r="L96" s="139" t="n"/>
      <c r="M96" s="139" t="n"/>
      <c r="N96" s="140">
        <f>IF(OR($L96="",$M96=""),"",MAX(0,$L96-$M96))</f>
        <v/>
      </c>
      <c r="O96" s="140">
        <f>IF($J96="","",IFERROR(VLOOKUP($J96,'基本設定'!$A$13:$K$19,3,FALSE),0))</f>
        <v/>
      </c>
      <c r="P96" s="140">
        <f>IF($N96="","",$N96*$O96)</f>
        <v/>
      </c>
      <c r="Q96" s="139" t="n"/>
      <c r="R96" s="139" t="n"/>
      <c r="S96" s="139" t="n"/>
      <c r="T96" s="139" t="n"/>
      <c r="U96" s="140">
        <f>IF($J96="","",IFERROR($N96*VLOOKUP($J96,'基本設定'!$A$13:$K$19,4,FALSE),0))</f>
        <v/>
      </c>
      <c r="V96" s="140">
        <f>IFERROR($N96/$S96,"")</f>
        <v/>
      </c>
      <c r="W96" s="140">
        <f>IFERROR($N96/$T96,"")</f>
        <v/>
      </c>
      <c r="X96" s="80" t="n"/>
      <c r="Y96" s="80" t="n"/>
    </row>
    <row r="97">
      <c r="A97" s="80" t="n"/>
      <c r="B97" s="138" t="n"/>
      <c r="C97" s="80" t="n"/>
      <c r="D97" s="80" t="n"/>
      <c r="E97" s="80" t="n"/>
      <c r="F97" s="80" t="n"/>
      <c r="G97" s="80" t="n"/>
      <c r="H97" s="80" t="n"/>
      <c r="I97" s="80" t="n"/>
      <c r="J97" s="80" t="n"/>
      <c r="K97" s="82">
        <f>IF($J97="","",IFERROR(VLOOKUP($J97,'基本設定'!$A$13:$K$19,2,FALSE),""))</f>
        <v/>
      </c>
      <c r="L97" s="139" t="n"/>
      <c r="M97" s="139" t="n"/>
      <c r="N97" s="140">
        <f>IF(OR($L97="",$M97=""),"",MAX(0,$L97-$M97))</f>
        <v/>
      </c>
      <c r="O97" s="140">
        <f>IF($J97="","",IFERROR(VLOOKUP($J97,'基本設定'!$A$13:$K$19,3,FALSE),0))</f>
        <v/>
      </c>
      <c r="P97" s="140">
        <f>IF($N97="","",$N97*$O97)</f>
        <v/>
      </c>
      <c r="Q97" s="139" t="n"/>
      <c r="R97" s="139" t="n"/>
      <c r="S97" s="139" t="n"/>
      <c r="T97" s="139" t="n"/>
      <c r="U97" s="140">
        <f>IF($J97="","",IFERROR($N97*VLOOKUP($J97,'基本設定'!$A$13:$K$19,4,FALSE),0))</f>
        <v/>
      </c>
      <c r="V97" s="140">
        <f>IFERROR($N97/$S97,"")</f>
        <v/>
      </c>
      <c r="W97" s="140">
        <f>IFERROR($N97/$T97,"")</f>
        <v/>
      </c>
      <c r="X97" s="80" t="n"/>
      <c r="Y97" s="80" t="n"/>
    </row>
    <row r="98">
      <c r="A98" s="80" t="n"/>
      <c r="B98" s="138" t="n"/>
      <c r="C98" s="80" t="n"/>
      <c r="D98" s="80" t="n"/>
      <c r="E98" s="80" t="n"/>
      <c r="F98" s="80" t="n"/>
      <c r="G98" s="80" t="n"/>
      <c r="H98" s="80" t="n"/>
      <c r="I98" s="80" t="n"/>
      <c r="J98" s="80" t="n"/>
      <c r="K98" s="82">
        <f>IF($J98="","",IFERROR(VLOOKUP($J98,'基本設定'!$A$13:$K$19,2,FALSE),""))</f>
        <v/>
      </c>
      <c r="L98" s="139" t="n"/>
      <c r="M98" s="139" t="n"/>
      <c r="N98" s="140">
        <f>IF(OR($L98="",$M98=""),"",MAX(0,$L98-$M98))</f>
        <v/>
      </c>
      <c r="O98" s="140">
        <f>IF($J98="","",IFERROR(VLOOKUP($J98,'基本設定'!$A$13:$K$19,3,FALSE),0))</f>
        <v/>
      </c>
      <c r="P98" s="140">
        <f>IF($N98="","",$N98*$O98)</f>
        <v/>
      </c>
      <c r="Q98" s="139" t="n"/>
      <c r="R98" s="139" t="n"/>
      <c r="S98" s="139" t="n"/>
      <c r="T98" s="139" t="n"/>
      <c r="U98" s="140">
        <f>IF($J98="","",IFERROR($N98*VLOOKUP($J98,'基本設定'!$A$13:$K$19,4,FALSE),0))</f>
        <v/>
      </c>
      <c r="V98" s="140">
        <f>IFERROR($N98/$S98,"")</f>
        <v/>
      </c>
      <c r="W98" s="140">
        <f>IFERROR($N98/$T98,"")</f>
        <v/>
      </c>
      <c r="X98" s="80" t="n"/>
      <c r="Y98" s="80" t="n"/>
    </row>
    <row r="99">
      <c r="A99" s="80" t="n"/>
      <c r="B99" s="138" t="n"/>
      <c r="C99" s="80" t="n"/>
      <c r="D99" s="80" t="n"/>
      <c r="E99" s="80" t="n"/>
      <c r="F99" s="80" t="n"/>
      <c r="G99" s="80" t="n"/>
      <c r="H99" s="80" t="n"/>
      <c r="I99" s="80" t="n"/>
      <c r="J99" s="80" t="n"/>
      <c r="K99" s="82">
        <f>IF($J99="","",IFERROR(VLOOKUP($J99,'基本設定'!$A$13:$K$19,2,FALSE),""))</f>
        <v/>
      </c>
      <c r="L99" s="139" t="n"/>
      <c r="M99" s="139" t="n"/>
      <c r="N99" s="140">
        <f>IF(OR($L99="",$M99=""),"",MAX(0,$L99-$M99))</f>
        <v/>
      </c>
      <c r="O99" s="140">
        <f>IF($J99="","",IFERROR(VLOOKUP($J99,'基本設定'!$A$13:$K$19,3,FALSE),0))</f>
        <v/>
      </c>
      <c r="P99" s="140">
        <f>IF($N99="","",$N99*$O99)</f>
        <v/>
      </c>
      <c r="Q99" s="139" t="n"/>
      <c r="R99" s="139" t="n"/>
      <c r="S99" s="139" t="n"/>
      <c r="T99" s="139" t="n"/>
      <c r="U99" s="140">
        <f>IF($J99="","",IFERROR($N99*VLOOKUP($J99,'基本設定'!$A$13:$K$19,4,FALSE),0))</f>
        <v/>
      </c>
      <c r="V99" s="140">
        <f>IFERROR($N99/$S99,"")</f>
        <v/>
      </c>
      <c r="W99" s="140">
        <f>IFERROR($N99/$T99,"")</f>
        <v/>
      </c>
      <c r="X99" s="80" t="n"/>
      <c r="Y99" s="80" t="n"/>
    </row>
    <row r="100">
      <c r="A100" s="80" t="n"/>
      <c r="B100" s="138" t="n"/>
      <c r="C100" s="80" t="n"/>
      <c r="D100" s="80" t="n"/>
      <c r="E100" s="80" t="n"/>
      <c r="F100" s="80" t="n"/>
      <c r="G100" s="80" t="n"/>
      <c r="H100" s="80" t="n"/>
      <c r="I100" s="80" t="n"/>
      <c r="J100" s="80" t="n"/>
      <c r="K100" s="82">
        <f>IF($J100="","",IFERROR(VLOOKUP($J100,'基本設定'!$A$13:$K$19,2,FALSE),""))</f>
        <v/>
      </c>
      <c r="L100" s="139" t="n"/>
      <c r="M100" s="139" t="n"/>
      <c r="N100" s="140">
        <f>IF(OR($L100="",$M100=""),"",MAX(0,$L100-$M100))</f>
        <v/>
      </c>
      <c r="O100" s="140">
        <f>IF($J100="","",IFERROR(VLOOKUP($J100,'基本設定'!$A$13:$K$19,3,FALSE),0))</f>
        <v/>
      </c>
      <c r="P100" s="140">
        <f>IF($N100="","",$N100*$O100)</f>
        <v/>
      </c>
      <c r="Q100" s="139" t="n"/>
      <c r="R100" s="139" t="n"/>
      <c r="S100" s="139" t="n"/>
      <c r="T100" s="139" t="n"/>
      <c r="U100" s="140">
        <f>IF($J100="","",IFERROR($N100*VLOOKUP($J100,'基本設定'!$A$13:$K$19,4,FALSE),0))</f>
        <v/>
      </c>
      <c r="V100" s="140">
        <f>IFERROR($N100/$S100,"")</f>
        <v/>
      </c>
      <c r="W100" s="140">
        <f>IFERROR($N100/$T100,"")</f>
        <v/>
      </c>
      <c r="X100" s="80" t="n"/>
      <c r="Y100" s="80" t="n"/>
    </row>
    <row r="101">
      <c r="A101" s="80" t="n"/>
      <c r="B101" s="138" t="n"/>
      <c r="C101" s="80" t="n"/>
      <c r="D101" s="80" t="n"/>
      <c r="E101" s="80" t="n"/>
      <c r="F101" s="80" t="n"/>
      <c r="G101" s="80" t="n"/>
      <c r="H101" s="80" t="n"/>
      <c r="I101" s="80" t="n"/>
      <c r="J101" s="80" t="n"/>
      <c r="K101" s="82">
        <f>IF($J101="","",IFERROR(VLOOKUP($J101,'基本設定'!$A$13:$K$19,2,FALSE),""))</f>
        <v/>
      </c>
      <c r="L101" s="139" t="n"/>
      <c r="M101" s="139" t="n"/>
      <c r="N101" s="140">
        <f>IF(OR($L101="",$M101=""),"",MAX(0,$L101-$M101))</f>
        <v/>
      </c>
      <c r="O101" s="140">
        <f>IF($J101="","",IFERROR(VLOOKUP($J101,'基本設定'!$A$13:$K$19,3,FALSE),0))</f>
        <v/>
      </c>
      <c r="P101" s="140">
        <f>IF($N101="","",$N101*$O101)</f>
        <v/>
      </c>
      <c r="Q101" s="139" t="n"/>
      <c r="R101" s="139" t="n"/>
      <c r="S101" s="139" t="n"/>
      <c r="T101" s="139" t="n"/>
      <c r="U101" s="140">
        <f>IF($J101="","",IFERROR($N101*VLOOKUP($J101,'基本設定'!$A$13:$K$19,4,FALSE),0))</f>
        <v/>
      </c>
      <c r="V101" s="140">
        <f>IFERROR($N101/$S101,"")</f>
        <v/>
      </c>
      <c r="W101" s="140">
        <f>IFERROR($N101/$T101,"")</f>
        <v/>
      </c>
      <c r="X101" s="80" t="n"/>
      <c r="Y101" s="80" t="n"/>
    </row>
    <row r="102">
      <c r="A102" s="80" t="n"/>
      <c r="B102" s="138" t="n"/>
      <c r="C102" s="80" t="n"/>
      <c r="D102" s="80" t="n"/>
      <c r="E102" s="80" t="n"/>
      <c r="F102" s="80" t="n"/>
      <c r="G102" s="80" t="n"/>
      <c r="H102" s="80" t="n"/>
      <c r="I102" s="80" t="n"/>
      <c r="J102" s="80" t="n"/>
      <c r="K102" s="82">
        <f>IF($J102="","",IFERROR(VLOOKUP($J102,'基本設定'!$A$13:$K$19,2,FALSE),""))</f>
        <v/>
      </c>
      <c r="L102" s="139" t="n"/>
      <c r="M102" s="139" t="n"/>
      <c r="N102" s="140">
        <f>IF(OR($L102="",$M102=""),"",MAX(0,$L102-$M102))</f>
        <v/>
      </c>
      <c r="O102" s="140">
        <f>IF($J102="","",IFERROR(VLOOKUP($J102,'基本設定'!$A$13:$K$19,3,FALSE),0))</f>
        <v/>
      </c>
      <c r="P102" s="140">
        <f>IF($N102="","",$N102*$O102)</f>
        <v/>
      </c>
      <c r="Q102" s="139" t="n"/>
      <c r="R102" s="139" t="n"/>
      <c r="S102" s="139" t="n"/>
      <c r="T102" s="139" t="n"/>
      <c r="U102" s="140">
        <f>IF($J102="","",IFERROR($N102*VLOOKUP($J102,'基本設定'!$A$13:$K$19,4,FALSE),0))</f>
        <v/>
      </c>
      <c r="V102" s="140">
        <f>IFERROR($N102/$S102,"")</f>
        <v/>
      </c>
      <c r="W102" s="140">
        <f>IFERROR($N102/$T102,"")</f>
        <v/>
      </c>
      <c r="X102" s="80" t="n"/>
      <c r="Y102" s="80" t="n"/>
    </row>
    <row r="103">
      <c r="A103" s="80" t="n"/>
      <c r="B103" s="138" t="n"/>
      <c r="C103" s="80" t="n"/>
      <c r="D103" s="80" t="n"/>
      <c r="E103" s="80" t="n"/>
      <c r="F103" s="80" t="n"/>
      <c r="G103" s="80" t="n"/>
      <c r="H103" s="80" t="n"/>
      <c r="I103" s="80" t="n"/>
      <c r="J103" s="80" t="n"/>
      <c r="K103" s="82">
        <f>IF($J103="","",IFERROR(VLOOKUP($J103,'基本設定'!$A$13:$K$19,2,FALSE),""))</f>
        <v/>
      </c>
      <c r="L103" s="139" t="n"/>
      <c r="M103" s="139" t="n"/>
      <c r="N103" s="140">
        <f>IF(OR($L103="",$M103=""),"",MAX(0,$L103-$M103))</f>
        <v/>
      </c>
      <c r="O103" s="140">
        <f>IF($J103="","",IFERROR(VLOOKUP($J103,'基本設定'!$A$13:$K$19,3,FALSE),0))</f>
        <v/>
      </c>
      <c r="P103" s="140">
        <f>IF($N103="","",$N103*$O103)</f>
        <v/>
      </c>
      <c r="Q103" s="139" t="n"/>
      <c r="R103" s="139" t="n"/>
      <c r="S103" s="139" t="n"/>
      <c r="T103" s="139" t="n"/>
      <c r="U103" s="140">
        <f>IF($J103="","",IFERROR($N103*VLOOKUP($J103,'基本設定'!$A$13:$K$19,4,FALSE),0))</f>
        <v/>
      </c>
      <c r="V103" s="140">
        <f>IFERROR($N103/$S103,"")</f>
        <v/>
      </c>
      <c r="W103" s="140">
        <f>IFERROR($N103/$T103,"")</f>
        <v/>
      </c>
      <c r="X103" s="80" t="n"/>
      <c r="Y103" s="80" t="n"/>
    </row>
    <row r="104">
      <c r="A104" s="80" t="n"/>
      <c r="B104" s="138" t="n"/>
      <c r="C104" s="80" t="n"/>
      <c r="D104" s="80" t="n"/>
      <c r="E104" s="80" t="n"/>
      <c r="F104" s="80" t="n"/>
      <c r="G104" s="80" t="n"/>
      <c r="H104" s="80" t="n"/>
      <c r="I104" s="80" t="n"/>
      <c r="J104" s="80" t="n"/>
      <c r="K104" s="82">
        <f>IF($J104="","",IFERROR(VLOOKUP($J104,'基本設定'!$A$13:$K$19,2,FALSE),""))</f>
        <v/>
      </c>
      <c r="L104" s="139" t="n"/>
      <c r="M104" s="139" t="n"/>
      <c r="N104" s="140">
        <f>IF(OR($L104="",$M104=""),"",MAX(0,$L104-$M104))</f>
        <v/>
      </c>
      <c r="O104" s="140">
        <f>IF($J104="","",IFERROR(VLOOKUP($J104,'基本設定'!$A$13:$K$19,3,FALSE),0))</f>
        <v/>
      </c>
      <c r="P104" s="140">
        <f>IF($N104="","",$N104*$O104)</f>
        <v/>
      </c>
      <c r="Q104" s="139" t="n"/>
      <c r="R104" s="139" t="n"/>
      <c r="S104" s="139" t="n"/>
      <c r="T104" s="139" t="n"/>
      <c r="U104" s="140">
        <f>IF($J104="","",IFERROR($N104*VLOOKUP($J104,'基本設定'!$A$13:$K$19,4,FALSE),0))</f>
        <v/>
      </c>
      <c r="V104" s="140">
        <f>IFERROR($N104/$S104,"")</f>
        <v/>
      </c>
      <c r="W104" s="140">
        <f>IFERROR($N104/$T104,"")</f>
        <v/>
      </c>
      <c r="X104" s="80" t="n"/>
      <c r="Y104" s="80" t="n"/>
    </row>
    <row r="105">
      <c r="A105" s="80" t="n"/>
      <c r="B105" s="138" t="n"/>
      <c r="C105" s="80" t="n"/>
      <c r="D105" s="80" t="n"/>
      <c r="E105" s="80" t="n"/>
      <c r="F105" s="80" t="n"/>
      <c r="G105" s="80" t="n"/>
      <c r="H105" s="80" t="n"/>
      <c r="I105" s="80" t="n"/>
      <c r="J105" s="80" t="n"/>
      <c r="K105" s="82">
        <f>IF($J105="","",IFERROR(VLOOKUP($J105,'基本設定'!$A$13:$K$19,2,FALSE),""))</f>
        <v/>
      </c>
      <c r="L105" s="139" t="n"/>
      <c r="M105" s="139" t="n"/>
      <c r="N105" s="140">
        <f>IF(OR($L105="",$M105=""),"",MAX(0,$L105-$M105))</f>
        <v/>
      </c>
      <c r="O105" s="140">
        <f>IF($J105="","",IFERROR(VLOOKUP($J105,'基本設定'!$A$13:$K$19,3,FALSE),0))</f>
        <v/>
      </c>
      <c r="P105" s="140">
        <f>IF($N105="","",$N105*$O105)</f>
        <v/>
      </c>
      <c r="Q105" s="139" t="n"/>
      <c r="R105" s="139" t="n"/>
      <c r="S105" s="139" t="n"/>
      <c r="T105" s="139" t="n"/>
      <c r="U105" s="140">
        <f>IF($J105="","",IFERROR($N105*VLOOKUP($J105,'基本設定'!$A$13:$K$19,4,FALSE),0))</f>
        <v/>
      </c>
      <c r="V105" s="140">
        <f>IFERROR($N105/$S105,"")</f>
        <v/>
      </c>
      <c r="W105" s="140">
        <f>IFERROR($N105/$T105,"")</f>
        <v/>
      </c>
      <c r="X105" s="80" t="n"/>
      <c r="Y105" s="80" t="n"/>
    </row>
    <row r="106">
      <c r="A106" s="80" t="n"/>
      <c r="B106" s="138" t="n"/>
      <c r="C106" s="80" t="n"/>
      <c r="D106" s="80" t="n"/>
      <c r="E106" s="80" t="n"/>
      <c r="F106" s="80" t="n"/>
      <c r="G106" s="80" t="n"/>
      <c r="H106" s="80" t="n"/>
      <c r="I106" s="80" t="n"/>
      <c r="J106" s="80" t="n"/>
      <c r="K106" s="82">
        <f>IF($J106="","",IFERROR(VLOOKUP($J106,'基本設定'!$A$13:$K$19,2,FALSE),""))</f>
        <v/>
      </c>
      <c r="L106" s="139" t="n"/>
      <c r="M106" s="139" t="n"/>
      <c r="N106" s="140">
        <f>IF(OR($L106="",$M106=""),"",MAX(0,$L106-$M106))</f>
        <v/>
      </c>
      <c r="O106" s="140">
        <f>IF($J106="","",IFERROR(VLOOKUP($J106,'基本設定'!$A$13:$K$19,3,FALSE),0))</f>
        <v/>
      </c>
      <c r="P106" s="140">
        <f>IF($N106="","",$N106*$O106)</f>
        <v/>
      </c>
      <c r="Q106" s="139" t="n"/>
      <c r="R106" s="139" t="n"/>
      <c r="S106" s="139" t="n"/>
      <c r="T106" s="139" t="n"/>
      <c r="U106" s="140">
        <f>IF($J106="","",IFERROR($N106*VLOOKUP($J106,'基本設定'!$A$13:$K$19,4,FALSE),0))</f>
        <v/>
      </c>
      <c r="V106" s="140">
        <f>IFERROR($N106/$S106,"")</f>
        <v/>
      </c>
      <c r="W106" s="140">
        <f>IFERROR($N106/$T106,"")</f>
        <v/>
      </c>
      <c r="X106" s="80" t="n"/>
      <c r="Y106" s="80" t="n"/>
    </row>
    <row r="107">
      <c r="A107" s="80" t="n"/>
      <c r="B107" s="138" t="n"/>
      <c r="C107" s="80" t="n"/>
      <c r="D107" s="80" t="n"/>
      <c r="E107" s="80" t="n"/>
      <c r="F107" s="80" t="n"/>
      <c r="G107" s="80" t="n"/>
      <c r="H107" s="80" t="n"/>
      <c r="I107" s="80" t="n"/>
      <c r="J107" s="80" t="n"/>
      <c r="K107" s="82">
        <f>IF($J107="","",IFERROR(VLOOKUP($J107,'基本設定'!$A$13:$K$19,2,FALSE),""))</f>
        <v/>
      </c>
      <c r="L107" s="139" t="n"/>
      <c r="M107" s="139" t="n"/>
      <c r="N107" s="140">
        <f>IF(OR($L107="",$M107=""),"",MAX(0,$L107-$M107))</f>
        <v/>
      </c>
      <c r="O107" s="140">
        <f>IF($J107="","",IFERROR(VLOOKUP($J107,'基本設定'!$A$13:$K$19,3,FALSE),0))</f>
        <v/>
      </c>
      <c r="P107" s="140">
        <f>IF($N107="","",$N107*$O107)</f>
        <v/>
      </c>
      <c r="Q107" s="139" t="n"/>
      <c r="R107" s="139" t="n"/>
      <c r="S107" s="139" t="n"/>
      <c r="T107" s="139" t="n"/>
      <c r="U107" s="140">
        <f>IF($J107="","",IFERROR($N107*VLOOKUP($J107,'基本設定'!$A$13:$K$19,4,FALSE),0))</f>
        <v/>
      </c>
      <c r="V107" s="140">
        <f>IFERROR($N107/$S107,"")</f>
        <v/>
      </c>
      <c r="W107" s="140">
        <f>IFERROR($N107/$T107,"")</f>
        <v/>
      </c>
      <c r="X107" s="80" t="n"/>
      <c r="Y107" s="80" t="n"/>
    </row>
    <row r="108">
      <c r="A108" s="80" t="n"/>
      <c r="B108" s="138" t="n"/>
      <c r="C108" s="80" t="n"/>
      <c r="D108" s="80" t="n"/>
      <c r="E108" s="80" t="n"/>
      <c r="F108" s="80" t="n"/>
      <c r="G108" s="80" t="n"/>
      <c r="H108" s="80" t="n"/>
      <c r="I108" s="80" t="n"/>
      <c r="J108" s="80" t="n"/>
      <c r="K108" s="82">
        <f>IF($J108="","",IFERROR(VLOOKUP($J108,'基本設定'!$A$13:$K$19,2,FALSE),""))</f>
        <v/>
      </c>
      <c r="L108" s="139" t="n"/>
      <c r="M108" s="139" t="n"/>
      <c r="N108" s="140">
        <f>IF(OR($L108="",$M108=""),"",MAX(0,$L108-$M108))</f>
        <v/>
      </c>
      <c r="O108" s="140">
        <f>IF($J108="","",IFERROR(VLOOKUP($J108,'基本設定'!$A$13:$K$19,3,FALSE),0))</f>
        <v/>
      </c>
      <c r="P108" s="140">
        <f>IF($N108="","",$N108*$O108)</f>
        <v/>
      </c>
      <c r="Q108" s="139" t="n"/>
      <c r="R108" s="139" t="n"/>
      <c r="S108" s="139" t="n"/>
      <c r="T108" s="139" t="n"/>
      <c r="U108" s="140">
        <f>IF($J108="","",IFERROR($N108*VLOOKUP($J108,'基本設定'!$A$13:$K$19,4,FALSE),0))</f>
        <v/>
      </c>
      <c r="V108" s="140">
        <f>IFERROR($N108/$S108,"")</f>
        <v/>
      </c>
      <c r="W108" s="140">
        <f>IFERROR($N108/$T108,"")</f>
        <v/>
      </c>
      <c r="X108" s="80" t="n"/>
      <c r="Y108" s="80" t="n"/>
    </row>
    <row r="109">
      <c r="A109" s="80" t="n"/>
      <c r="B109" s="138" t="n"/>
      <c r="C109" s="80" t="n"/>
      <c r="D109" s="80" t="n"/>
      <c r="E109" s="80" t="n"/>
      <c r="F109" s="80" t="n"/>
      <c r="G109" s="80" t="n"/>
      <c r="H109" s="80" t="n"/>
      <c r="I109" s="80" t="n"/>
      <c r="J109" s="80" t="n"/>
      <c r="K109" s="82">
        <f>IF($J109="","",IFERROR(VLOOKUP($J109,'基本設定'!$A$13:$K$19,2,FALSE),""))</f>
        <v/>
      </c>
      <c r="L109" s="139" t="n"/>
      <c r="M109" s="139" t="n"/>
      <c r="N109" s="140">
        <f>IF(OR($L109="",$M109=""),"",MAX(0,$L109-$M109))</f>
        <v/>
      </c>
      <c r="O109" s="140">
        <f>IF($J109="","",IFERROR(VLOOKUP($J109,'基本設定'!$A$13:$K$19,3,FALSE),0))</f>
        <v/>
      </c>
      <c r="P109" s="140">
        <f>IF($N109="","",$N109*$O109)</f>
        <v/>
      </c>
      <c r="Q109" s="139" t="n"/>
      <c r="R109" s="139" t="n"/>
      <c r="S109" s="139" t="n"/>
      <c r="T109" s="139" t="n"/>
      <c r="U109" s="140">
        <f>IF($J109="","",IFERROR($N109*VLOOKUP($J109,'基本設定'!$A$13:$K$19,4,FALSE),0))</f>
        <v/>
      </c>
      <c r="V109" s="140">
        <f>IFERROR($N109/$S109,"")</f>
        <v/>
      </c>
      <c r="W109" s="140">
        <f>IFERROR($N109/$T109,"")</f>
        <v/>
      </c>
      <c r="X109" s="80" t="n"/>
      <c r="Y109" s="80" t="n"/>
    </row>
    <row r="110">
      <c r="A110" s="80" t="n"/>
      <c r="B110" s="138" t="n"/>
      <c r="C110" s="80" t="n"/>
      <c r="D110" s="80" t="n"/>
      <c r="E110" s="80" t="n"/>
      <c r="F110" s="80" t="n"/>
      <c r="G110" s="80" t="n"/>
      <c r="H110" s="80" t="n"/>
      <c r="I110" s="80" t="n"/>
      <c r="J110" s="80" t="n"/>
      <c r="K110" s="82">
        <f>IF($J110="","",IFERROR(VLOOKUP($J110,'基本設定'!$A$13:$K$19,2,FALSE),""))</f>
        <v/>
      </c>
      <c r="L110" s="139" t="n"/>
      <c r="M110" s="139" t="n"/>
      <c r="N110" s="140">
        <f>IF(OR($L110="",$M110=""),"",MAX(0,$L110-$M110))</f>
        <v/>
      </c>
      <c r="O110" s="140">
        <f>IF($J110="","",IFERROR(VLOOKUP($J110,'基本設定'!$A$13:$K$19,3,FALSE),0))</f>
        <v/>
      </c>
      <c r="P110" s="140">
        <f>IF($N110="","",$N110*$O110)</f>
        <v/>
      </c>
      <c r="Q110" s="139" t="n"/>
      <c r="R110" s="139" t="n"/>
      <c r="S110" s="139" t="n"/>
      <c r="T110" s="139" t="n"/>
      <c r="U110" s="140">
        <f>IF($J110="","",IFERROR($N110*VLOOKUP($J110,'基本設定'!$A$13:$K$19,4,FALSE),0))</f>
        <v/>
      </c>
      <c r="V110" s="140">
        <f>IFERROR($N110/$S110,"")</f>
        <v/>
      </c>
      <c r="W110" s="140">
        <f>IFERROR($N110/$T110,"")</f>
        <v/>
      </c>
      <c r="X110" s="80" t="n"/>
      <c r="Y110" s="80" t="n"/>
    </row>
    <row r="111">
      <c r="A111" s="80" t="n"/>
      <c r="B111" s="138" t="n"/>
      <c r="C111" s="80" t="n"/>
      <c r="D111" s="80" t="n"/>
      <c r="E111" s="80" t="n"/>
      <c r="F111" s="80" t="n"/>
      <c r="G111" s="80" t="n"/>
      <c r="H111" s="80" t="n"/>
      <c r="I111" s="80" t="n"/>
      <c r="J111" s="80" t="n"/>
      <c r="K111" s="82">
        <f>IF($J111="","",IFERROR(VLOOKUP($J111,'基本設定'!$A$13:$K$19,2,FALSE),""))</f>
        <v/>
      </c>
      <c r="L111" s="139" t="n"/>
      <c r="M111" s="139" t="n"/>
      <c r="N111" s="140">
        <f>IF(OR($L111="",$M111=""),"",MAX(0,$L111-$M111))</f>
        <v/>
      </c>
      <c r="O111" s="140">
        <f>IF($J111="","",IFERROR(VLOOKUP($J111,'基本設定'!$A$13:$K$19,3,FALSE),0))</f>
        <v/>
      </c>
      <c r="P111" s="140">
        <f>IF($N111="","",$N111*$O111)</f>
        <v/>
      </c>
      <c r="Q111" s="139" t="n"/>
      <c r="R111" s="139" t="n"/>
      <c r="S111" s="139" t="n"/>
      <c r="T111" s="139" t="n"/>
      <c r="U111" s="140">
        <f>IF($J111="","",IFERROR($N111*VLOOKUP($J111,'基本設定'!$A$13:$K$19,4,FALSE),0))</f>
        <v/>
      </c>
      <c r="V111" s="140">
        <f>IFERROR($N111/$S111,"")</f>
        <v/>
      </c>
      <c r="W111" s="140">
        <f>IFERROR($N111/$T111,"")</f>
        <v/>
      </c>
      <c r="X111" s="80" t="n"/>
      <c r="Y111" s="80" t="n"/>
    </row>
    <row r="112">
      <c r="A112" s="80" t="n"/>
      <c r="B112" s="138" t="n"/>
      <c r="C112" s="80" t="n"/>
      <c r="D112" s="80" t="n"/>
      <c r="E112" s="80" t="n"/>
      <c r="F112" s="80" t="n"/>
      <c r="G112" s="80" t="n"/>
      <c r="H112" s="80" t="n"/>
      <c r="I112" s="80" t="n"/>
      <c r="J112" s="80" t="n"/>
      <c r="K112" s="82">
        <f>IF($J112="","",IFERROR(VLOOKUP($J112,'基本設定'!$A$13:$K$19,2,FALSE),""))</f>
        <v/>
      </c>
      <c r="L112" s="139" t="n"/>
      <c r="M112" s="139" t="n"/>
      <c r="N112" s="140">
        <f>IF(OR($L112="",$M112=""),"",MAX(0,$L112-$M112))</f>
        <v/>
      </c>
      <c r="O112" s="140">
        <f>IF($J112="","",IFERROR(VLOOKUP($J112,'基本設定'!$A$13:$K$19,3,FALSE),0))</f>
        <v/>
      </c>
      <c r="P112" s="140">
        <f>IF($N112="","",$N112*$O112)</f>
        <v/>
      </c>
      <c r="Q112" s="139" t="n"/>
      <c r="R112" s="139" t="n"/>
      <c r="S112" s="139" t="n"/>
      <c r="T112" s="139" t="n"/>
      <c r="U112" s="140">
        <f>IF($J112="","",IFERROR($N112*VLOOKUP($J112,'基本設定'!$A$13:$K$19,4,FALSE),0))</f>
        <v/>
      </c>
      <c r="V112" s="140">
        <f>IFERROR($N112/$S112,"")</f>
        <v/>
      </c>
      <c r="W112" s="140">
        <f>IFERROR($N112/$T112,"")</f>
        <v/>
      </c>
      <c r="X112" s="80" t="n"/>
      <c r="Y112" s="80" t="n"/>
    </row>
    <row r="113">
      <c r="A113" s="80" t="n"/>
      <c r="B113" s="138" t="n"/>
      <c r="C113" s="80" t="n"/>
      <c r="D113" s="80" t="n"/>
      <c r="E113" s="80" t="n"/>
      <c r="F113" s="80" t="n"/>
      <c r="G113" s="80" t="n"/>
      <c r="H113" s="80" t="n"/>
      <c r="I113" s="80" t="n"/>
      <c r="J113" s="80" t="n"/>
      <c r="K113" s="82">
        <f>IF($J113="","",IFERROR(VLOOKUP($J113,'基本設定'!$A$13:$K$19,2,FALSE),""))</f>
        <v/>
      </c>
      <c r="L113" s="139" t="n"/>
      <c r="M113" s="139" t="n"/>
      <c r="N113" s="140">
        <f>IF(OR($L113="",$M113=""),"",MAX(0,$L113-$M113))</f>
        <v/>
      </c>
      <c r="O113" s="140">
        <f>IF($J113="","",IFERROR(VLOOKUP($J113,'基本設定'!$A$13:$K$19,3,FALSE),0))</f>
        <v/>
      </c>
      <c r="P113" s="140">
        <f>IF($N113="","",$N113*$O113)</f>
        <v/>
      </c>
      <c r="Q113" s="139" t="n"/>
      <c r="R113" s="139" t="n"/>
      <c r="S113" s="139" t="n"/>
      <c r="T113" s="139" t="n"/>
      <c r="U113" s="140">
        <f>IF($J113="","",IFERROR($N113*VLOOKUP($J113,'基本設定'!$A$13:$K$19,4,FALSE),0))</f>
        <v/>
      </c>
      <c r="V113" s="140">
        <f>IFERROR($N113/$S113,"")</f>
        <v/>
      </c>
      <c r="W113" s="140">
        <f>IFERROR($N113/$T113,"")</f>
        <v/>
      </c>
      <c r="X113" s="80" t="n"/>
      <c r="Y113" s="80" t="n"/>
    </row>
    <row r="114">
      <c r="A114" s="80" t="n"/>
      <c r="B114" s="138" t="n"/>
      <c r="C114" s="80" t="n"/>
      <c r="D114" s="80" t="n"/>
      <c r="E114" s="80" t="n"/>
      <c r="F114" s="80" t="n"/>
      <c r="G114" s="80" t="n"/>
      <c r="H114" s="80" t="n"/>
      <c r="I114" s="80" t="n"/>
      <c r="J114" s="80" t="n"/>
      <c r="K114" s="82">
        <f>IF($J114="","",IFERROR(VLOOKUP($J114,'基本設定'!$A$13:$K$19,2,FALSE),""))</f>
        <v/>
      </c>
      <c r="L114" s="139" t="n"/>
      <c r="M114" s="139" t="n"/>
      <c r="N114" s="140">
        <f>IF(OR($L114="",$M114=""),"",MAX(0,$L114-$M114))</f>
        <v/>
      </c>
      <c r="O114" s="140">
        <f>IF($J114="","",IFERROR(VLOOKUP($J114,'基本設定'!$A$13:$K$19,3,FALSE),0))</f>
        <v/>
      </c>
      <c r="P114" s="140">
        <f>IF($N114="","",$N114*$O114)</f>
        <v/>
      </c>
      <c r="Q114" s="139" t="n"/>
      <c r="R114" s="139" t="n"/>
      <c r="S114" s="139" t="n"/>
      <c r="T114" s="139" t="n"/>
      <c r="U114" s="140">
        <f>IF($J114="","",IFERROR($N114*VLOOKUP($J114,'基本設定'!$A$13:$K$19,4,FALSE),0))</f>
        <v/>
      </c>
      <c r="V114" s="140">
        <f>IFERROR($N114/$S114,"")</f>
        <v/>
      </c>
      <c r="W114" s="140">
        <f>IFERROR($N114/$T114,"")</f>
        <v/>
      </c>
      <c r="X114" s="80" t="n"/>
      <c r="Y114" s="80" t="n"/>
    </row>
    <row r="115">
      <c r="A115" s="80" t="n"/>
      <c r="B115" s="138" t="n"/>
      <c r="C115" s="80" t="n"/>
      <c r="D115" s="80" t="n"/>
      <c r="E115" s="80" t="n"/>
      <c r="F115" s="80" t="n"/>
      <c r="G115" s="80" t="n"/>
      <c r="H115" s="80" t="n"/>
      <c r="I115" s="80" t="n"/>
      <c r="J115" s="80" t="n"/>
      <c r="K115" s="82">
        <f>IF($J115="","",IFERROR(VLOOKUP($J115,'基本設定'!$A$13:$K$19,2,FALSE),""))</f>
        <v/>
      </c>
      <c r="L115" s="139" t="n"/>
      <c r="M115" s="139" t="n"/>
      <c r="N115" s="140">
        <f>IF(OR($L115="",$M115=""),"",MAX(0,$L115-$M115))</f>
        <v/>
      </c>
      <c r="O115" s="140">
        <f>IF($J115="","",IFERROR(VLOOKUP($J115,'基本設定'!$A$13:$K$19,3,FALSE),0))</f>
        <v/>
      </c>
      <c r="P115" s="140">
        <f>IF($N115="","",$N115*$O115)</f>
        <v/>
      </c>
      <c r="Q115" s="139" t="n"/>
      <c r="R115" s="139" t="n"/>
      <c r="S115" s="139" t="n"/>
      <c r="T115" s="139" t="n"/>
      <c r="U115" s="140">
        <f>IF($J115="","",IFERROR($N115*VLOOKUP($J115,'基本設定'!$A$13:$K$19,4,FALSE),0))</f>
        <v/>
      </c>
      <c r="V115" s="140">
        <f>IFERROR($N115/$S115,"")</f>
        <v/>
      </c>
      <c r="W115" s="140">
        <f>IFERROR($N115/$T115,"")</f>
        <v/>
      </c>
      <c r="X115" s="80" t="n"/>
      <c r="Y115" s="80" t="n"/>
    </row>
    <row r="116">
      <c r="A116" s="80" t="n"/>
      <c r="B116" s="138" t="n"/>
      <c r="C116" s="80" t="n"/>
      <c r="D116" s="80" t="n"/>
      <c r="E116" s="80" t="n"/>
      <c r="F116" s="80" t="n"/>
      <c r="G116" s="80" t="n"/>
      <c r="H116" s="80" t="n"/>
      <c r="I116" s="80" t="n"/>
      <c r="J116" s="80" t="n"/>
      <c r="K116" s="82">
        <f>IF($J116="","",IFERROR(VLOOKUP($J116,'基本設定'!$A$13:$K$19,2,FALSE),""))</f>
        <v/>
      </c>
      <c r="L116" s="139" t="n"/>
      <c r="M116" s="139" t="n"/>
      <c r="N116" s="140">
        <f>IF(OR($L116="",$M116=""),"",MAX(0,$L116-$M116))</f>
        <v/>
      </c>
      <c r="O116" s="140">
        <f>IF($J116="","",IFERROR(VLOOKUP($J116,'基本設定'!$A$13:$K$19,3,FALSE),0))</f>
        <v/>
      </c>
      <c r="P116" s="140">
        <f>IF($N116="","",$N116*$O116)</f>
        <v/>
      </c>
      <c r="Q116" s="139" t="n"/>
      <c r="R116" s="139" t="n"/>
      <c r="S116" s="139" t="n"/>
      <c r="T116" s="139" t="n"/>
      <c r="U116" s="140">
        <f>IF($J116="","",IFERROR($N116*VLOOKUP($J116,'基本設定'!$A$13:$K$19,4,FALSE),0))</f>
        <v/>
      </c>
      <c r="V116" s="140">
        <f>IFERROR($N116/$S116,"")</f>
        <v/>
      </c>
      <c r="W116" s="140">
        <f>IFERROR($N116/$T116,"")</f>
        <v/>
      </c>
      <c r="X116" s="80" t="n"/>
      <c r="Y116" s="80" t="n"/>
    </row>
    <row r="117">
      <c r="A117" s="80" t="n"/>
      <c r="B117" s="138" t="n"/>
      <c r="C117" s="80" t="n"/>
      <c r="D117" s="80" t="n"/>
      <c r="E117" s="80" t="n"/>
      <c r="F117" s="80" t="n"/>
      <c r="G117" s="80" t="n"/>
      <c r="H117" s="80" t="n"/>
      <c r="I117" s="80" t="n"/>
      <c r="J117" s="80" t="n"/>
      <c r="K117" s="82">
        <f>IF($J117="","",IFERROR(VLOOKUP($J117,'基本設定'!$A$13:$K$19,2,FALSE),""))</f>
        <v/>
      </c>
      <c r="L117" s="139" t="n"/>
      <c r="M117" s="139" t="n"/>
      <c r="N117" s="140">
        <f>IF(OR($L117="",$M117=""),"",MAX(0,$L117-$M117))</f>
        <v/>
      </c>
      <c r="O117" s="140">
        <f>IF($J117="","",IFERROR(VLOOKUP($J117,'基本設定'!$A$13:$K$19,3,FALSE),0))</f>
        <v/>
      </c>
      <c r="P117" s="140">
        <f>IF($N117="","",$N117*$O117)</f>
        <v/>
      </c>
      <c r="Q117" s="139" t="n"/>
      <c r="R117" s="139" t="n"/>
      <c r="S117" s="139" t="n"/>
      <c r="T117" s="139" t="n"/>
      <c r="U117" s="140">
        <f>IF($J117="","",IFERROR($N117*VLOOKUP($J117,'基本設定'!$A$13:$K$19,4,FALSE),0))</f>
        <v/>
      </c>
      <c r="V117" s="140">
        <f>IFERROR($N117/$S117,"")</f>
        <v/>
      </c>
      <c r="W117" s="140">
        <f>IFERROR($N117/$T117,"")</f>
        <v/>
      </c>
      <c r="X117" s="80" t="n"/>
      <c r="Y117" s="80" t="n"/>
    </row>
    <row r="118">
      <c r="A118" s="80" t="n"/>
      <c r="B118" s="138" t="n"/>
      <c r="C118" s="80" t="n"/>
      <c r="D118" s="80" t="n"/>
      <c r="E118" s="80" t="n"/>
      <c r="F118" s="80" t="n"/>
      <c r="G118" s="80" t="n"/>
      <c r="H118" s="80" t="n"/>
      <c r="I118" s="80" t="n"/>
      <c r="J118" s="80" t="n"/>
      <c r="K118" s="82">
        <f>IF($J118="","",IFERROR(VLOOKUP($J118,'基本設定'!$A$13:$K$19,2,FALSE),""))</f>
        <v/>
      </c>
      <c r="L118" s="139" t="n"/>
      <c r="M118" s="139" t="n"/>
      <c r="N118" s="140">
        <f>IF(OR($L118="",$M118=""),"",MAX(0,$L118-$M118))</f>
        <v/>
      </c>
      <c r="O118" s="140">
        <f>IF($J118="","",IFERROR(VLOOKUP($J118,'基本設定'!$A$13:$K$19,3,FALSE),0))</f>
        <v/>
      </c>
      <c r="P118" s="140">
        <f>IF($N118="","",$N118*$O118)</f>
        <v/>
      </c>
      <c r="Q118" s="139" t="n"/>
      <c r="R118" s="139" t="n"/>
      <c r="S118" s="139" t="n"/>
      <c r="T118" s="139" t="n"/>
      <c r="U118" s="140">
        <f>IF($J118="","",IFERROR($N118*VLOOKUP($J118,'基本設定'!$A$13:$K$19,4,FALSE),0))</f>
        <v/>
      </c>
      <c r="V118" s="140">
        <f>IFERROR($N118/$S118,"")</f>
        <v/>
      </c>
      <c r="W118" s="140">
        <f>IFERROR($N118/$T118,"")</f>
        <v/>
      </c>
      <c r="X118" s="80" t="n"/>
      <c r="Y118" s="80" t="n"/>
    </row>
    <row r="119">
      <c r="A119" s="80" t="n"/>
      <c r="B119" s="138" t="n"/>
      <c r="C119" s="80" t="n"/>
      <c r="D119" s="80" t="n"/>
      <c r="E119" s="80" t="n"/>
      <c r="F119" s="80" t="n"/>
      <c r="G119" s="80" t="n"/>
      <c r="H119" s="80" t="n"/>
      <c r="I119" s="80" t="n"/>
      <c r="J119" s="80" t="n"/>
      <c r="K119" s="82">
        <f>IF($J119="","",IFERROR(VLOOKUP($J119,'基本設定'!$A$13:$K$19,2,FALSE),""))</f>
        <v/>
      </c>
      <c r="L119" s="139" t="n"/>
      <c r="M119" s="139" t="n"/>
      <c r="N119" s="140">
        <f>IF(OR($L119="",$M119=""),"",MAX(0,$L119-$M119))</f>
        <v/>
      </c>
      <c r="O119" s="140">
        <f>IF($J119="","",IFERROR(VLOOKUP($J119,'基本設定'!$A$13:$K$19,3,FALSE),0))</f>
        <v/>
      </c>
      <c r="P119" s="140">
        <f>IF($N119="","",$N119*$O119)</f>
        <v/>
      </c>
      <c r="Q119" s="139" t="n"/>
      <c r="R119" s="139" t="n"/>
      <c r="S119" s="139" t="n"/>
      <c r="T119" s="139" t="n"/>
      <c r="U119" s="140">
        <f>IF($J119="","",IFERROR($N119*VLOOKUP($J119,'基本設定'!$A$13:$K$19,4,FALSE),0))</f>
        <v/>
      </c>
      <c r="V119" s="140">
        <f>IFERROR($N119/$S119,"")</f>
        <v/>
      </c>
      <c r="W119" s="140">
        <f>IFERROR($N119/$T119,"")</f>
        <v/>
      </c>
      <c r="X119" s="80" t="n"/>
      <c r="Y119" s="80" t="n"/>
    </row>
    <row r="120">
      <c r="A120" s="80" t="n"/>
      <c r="B120" s="138" t="n"/>
      <c r="C120" s="80" t="n"/>
      <c r="D120" s="80" t="n"/>
      <c r="E120" s="80" t="n"/>
      <c r="F120" s="80" t="n"/>
      <c r="G120" s="80" t="n"/>
      <c r="H120" s="80" t="n"/>
      <c r="I120" s="80" t="n"/>
      <c r="J120" s="80" t="n"/>
      <c r="K120" s="82">
        <f>IF($J120="","",IFERROR(VLOOKUP($J120,'基本設定'!$A$13:$K$19,2,FALSE),""))</f>
        <v/>
      </c>
      <c r="L120" s="139" t="n"/>
      <c r="M120" s="139" t="n"/>
      <c r="N120" s="140">
        <f>IF(OR($L120="",$M120=""),"",MAX(0,$L120-$M120))</f>
        <v/>
      </c>
      <c r="O120" s="140">
        <f>IF($J120="","",IFERROR(VLOOKUP($J120,'基本設定'!$A$13:$K$19,3,FALSE),0))</f>
        <v/>
      </c>
      <c r="P120" s="140">
        <f>IF($N120="","",$N120*$O120)</f>
        <v/>
      </c>
      <c r="Q120" s="139" t="n"/>
      <c r="R120" s="139" t="n"/>
      <c r="S120" s="139" t="n"/>
      <c r="T120" s="139" t="n"/>
      <c r="U120" s="140">
        <f>IF($J120="","",IFERROR($N120*VLOOKUP($J120,'基本設定'!$A$13:$K$19,4,FALSE),0))</f>
        <v/>
      </c>
      <c r="V120" s="140">
        <f>IFERROR($N120/$S120,"")</f>
        <v/>
      </c>
      <c r="W120" s="140">
        <f>IFERROR($N120/$T120,"")</f>
        <v/>
      </c>
      <c r="X120" s="80" t="n"/>
      <c r="Y120" s="80" t="n"/>
    </row>
    <row r="121">
      <c r="A121" s="80" t="n"/>
      <c r="B121" s="138" t="n"/>
      <c r="C121" s="80" t="n"/>
      <c r="D121" s="80" t="n"/>
      <c r="E121" s="80" t="n"/>
      <c r="F121" s="80" t="n"/>
      <c r="G121" s="80" t="n"/>
      <c r="H121" s="80" t="n"/>
      <c r="I121" s="80" t="n"/>
      <c r="J121" s="80" t="n"/>
      <c r="K121" s="82">
        <f>IF($J121="","",IFERROR(VLOOKUP($J121,'基本設定'!$A$13:$K$19,2,FALSE),""))</f>
        <v/>
      </c>
      <c r="L121" s="139" t="n"/>
      <c r="M121" s="139" t="n"/>
      <c r="N121" s="140">
        <f>IF(OR($L121="",$M121=""),"",MAX(0,$L121-$M121))</f>
        <v/>
      </c>
      <c r="O121" s="140">
        <f>IF($J121="","",IFERROR(VLOOKUP($J121,'基本設定'!$A$13:$K$19,3,FALSE),0))</f>
        <v/>
      </c>
      <c r="P121" s="140">
        <f>IF($N121="","",$N121*$O121)</f>
        <v/>
      </c>
      <c r="Q121" s="139" t="n"/>
      <c r="R121" s="139" t="n"/>
      <c r="S121" s="139" t="n"/>
      <c r="T121" s="139" t="n"/>
      <c r="U121" s="140">
        <f>IF($J121="","",IFERROR($N121*VLOOKUP($J121,'基本設定'!$A$13:$K$19,4,FALSE),0))</f>
        <v/>
      </c>
      <c r="V121" s="140">
        <f>IFERROR($N121/$S121,"")</f>
        <v/>
      </c>
      <c r="W121" s="140">
        <f>IFERROR($N121/$T121,"")</f>
        <v/>
      </c>
      <c r="X121" s="80" t="n"/>
      <c r="Y121" s="80" t="n"/>
    </row>
    <row r="122">
      <c r="A122" s="80" t="n"/>
      <c r="B122" s="138" t="n"/>
      <c r="C122" s="80" t="n"/>
      <c r="D122" s="80" t="n"/>
      <c r="E122" s="80" t="n"/>
      <c r="F122" s="80" t="n"/>
      <c r="G122" s="80" t="n"/>
      <c r="H122" s="80" t="n"/>
      <c r="I122" s="80" t="n"/>
      <c r="J122" s="80" t="n"/>
      <c r="K122" s="82">
        <f>IF($J122="","",IFERROR(VLOOKUP($J122,'基本設定'!$A$13:$K$19,2,FALSE),""))</f>
        <v/>
      </c>
      <c r="L122" s="139" t="n"/>
      <c r="M122" s="139" t="n"/>
      <c r="N122" s="140">
        <f>IF(OR($L122="",$M122=""),"",MAX(0,$L122-$M122))</f>
        <v/>
      </c>
      <c r="O122" s="140">
        <f>IF($J122="","",IFERROR(VLOOKUP($J122,'基本設定'!$A$13:$K$19,3,FALSE),0))</f>
        <v/>
      </c>
      <c r="P122" s="140">
        <f>IF($N122="","",$N122*$O122)</f>
        <v/>
      </c>
      <c r="Q122" s="139" t="n"/>
      <c r="R122" s="139" t="n"/>
      <c r="S122" s="139" t="n"/>
      <c r="T122" s="139" t="n"/>
      <c r="U122" s="140">
        <f>IF($J122="","",IFERROR($N122*VLOOKUP($J122,'基本設定'!$A$13:$K$19,4,FALSE),0))</f>
        <v/>
      </c>
      <c r="V122" s="140">
        <f>IFERROR($N122/$S122,"")</f>
        <v/>
      </c>
      <c r="W122" s="140">
        <f>IFERROR($N122/$T122,"")</f>
        <v/>
      </c>
      <c r="X122" s="80" t="n"/>
      <c r="Y122" s="80" t="n"/>
    </row>
    <row r="123">
      <c r="A123" s="80" t="n"/>
      <c r="B123" s="138" t="n"/>
      <c r="C123" s="80" t="n"/>
      <c r="D123" s="80" t="n"/>
      <c r="E123" s="80" t="n"/>
      <c r="F123" s="80" t="n"/>
      <c r="G123" s="80" t="n"/>
      <c r="H123" s="80" t="n"/>
      <c r="I123" s="80" t="n"/>
      <c r="J123" s="80" t="n"/>
      <c r="K123" s="82">
        <f>IF($J123="","",IFERROR(VLOOKUP($J123,'基本設定'!$A$13:$K$19,2,FALSE),""))</f>
        <v/>
      </c>
      <c r="L123" s="139" t="n"/>
      <c r="M123" s="139" t="n"/>
      <c r="N123" s="140">
        <f>IF(OR($L123="",$M123=""),"",MAX(0,$L123-$M123))</f>
        <v/>
      </c>
      <c r="O123" s="140">
        <f>IF($J123="","",IFERROR(VLOOKUP($J123,'基本設定'!$A$13:$K$19,3,FALSE),0))</f>
        <v/>
      </c>
      <c r="P123" s="140">
        <f>IF($N123="","",$N123*$O123)</f>
        <v/>
      </c>
      <c r="Q123" s="139" t="n"/>
      <c r="R123" s="139" t="n"/>
      <c r="S123" s="139" t="n"/>
      <c r="T123" s="139" t="n"/>
      <c r="U123" s="140">
        <f>IF($J123="","",IFERROR($N123*VLOOKUP($J123,'基本設定'!$A$13:$K$19,4,FALSE),0))</f>
        <v/>
      </c>
      <c r="V123" s="140">
        <f>IFERROR($N123/$S123,"")</f>
        <v/>
      </c>
      <c r="W123" s="140">
        <f>IFERROR($N123/$T123,"")</f>
        <v/>
      </c>
      <c r="X123" s="80" t="n"/>
      <c r="Y123" s="80" t="n"/>
    </row>
    <row r="124">
      <c r="A124" s="80" t="n"/>
      <c r="B124" s="138" t="n"/>
      <c r="C124" s="80" t="n"/>
      <c r="D124" s="80" t="n"/>
      <c r="E124" s="80" t="n"/>
      <c r="F124" s="80" t="n"/>
      <c r="G124" s="80" t="n"/>
      <c r="H124" s="80" t="n"/>
      <c r="I124" s="80" t="n"/>
      <c r="J124" s="80" t="n"/>
      <c r="K124" s="82">
        <f>IF($J124="","",IFERROR(VLOOKUP($J124,'基本設定'!$A$13:$K$19,2,FALSE),""))</f>
        <v/>
      </c>
      <c r="L124" s="139" t="n"/>
      <c r="M124" s="139" t="n"/>
      <c r="N124" s="140">
        <f>IF(OR($L124="",$M124=""),"",MAX(0,$L124-$M124))</f>
        <v/>
      </c>
      <c r="O124" s="140">
        <f>IF($J124="","",IFERROR(VLOOKUP($J124,'基本設定'!$A$13:$K$19,3,FALSE),0))</f>
        <v/>
      </c>
      <c r="P124" s="140">
        <f>IF($N124="","",$N124*$O124)</f>
        <v/>
      </c>
      <c r="Q124" s="139" t="n"/>
      <c r="R124" s="139" t="n"/>
      <c r="S124" s="139" t="n"/>
      <c r="T124" s="139" t="n"/>
      <c r="U124" s="140">
        <f>IF($J124="","",IFERROR($N124*VLOOKUP($J124,'基本設定'!$A$13:$K$19,4,FALSE),0))</f>
        <v/>
      </c>
      <c r="V124" s="140">
        <f>IFERROR($N124/$S124,"")</f>
        <v/>
      </c>
      <c r="W124" s="140">
        <f>IFERROR($N124/$T124,"")</f>
        <v/>
      </c>
      <c r="X124" s="80" t="n"/>
      <c r="Y124" s="80" t="n"/>
    </row>
    <row r="125">
      <c r="A125" s="80" t="n"/>
      <c r="B125" s="138" t="n"/>
      <c r="C125" s="80" t="n"/>
      <c r="D125" s="80" t="n"/>
      <c r="E125" s="80" t="n"/>
      <c r="F125" s="80" t="n"/>
      <c r="G125" s="80" t="n"/>
      <c r="H125" s="80" t="n"/>
      <c r="I125" s="80" t="n"/>
      <c r="J125" s="80" t="n"/>
      <c r="K125" s="82">
        <f>IF($J125="","",IFERROR(VLOOKUP($J125,'基本設定'!$A$13:$K$19,2,FALSE),""))</f>
        <v/>
      </c>
      <c r="L125" s="139" t="n"/>
      <c r="M125" s="139" t="n"/>
      <c r="N125" s="140">
        <f>IF(OR($L125="",$M125=""),"",MAX(0,$L125-$M125))</f>
        <v/>
      </c>
      <c r="O125" s="140">
        <f>IF($J125="","",IFERROR(VLOOKUP($J125,'基本設定'!$A$13:$K$19,3,FALSE),0))</f>
        <v/>
      </c>
      <c r="P125" s="140">
        <f>IF($N125="","",$N125*$O125)</f>
        <v/>
      </c>
      <c r="Q125" s="139" t="n"/>
      <c r="R125" s="139" t="n"/>
      <c r="S125" s="139" t="n"/>
      <c r="T125" s="139" t="n"/>
      <c r="U125" s="140">
        <f>IF($J125="","",IFERROR($N125*VLOOKUP($J125,'基本設定'!$A$13:$K$19,4,FALSE),0))</f>
        <v/>
      </c>
      <c r="V125" s="140">
        <f>IFERROR($N125/$S125,"")</f>
        <v/>
      </c>
      <c r="W125" s="140">
        <f>IFERROR($N125/$T125,"")</f>
        <v/>
      </c>
      <c r="X125" s="80" t="n"/>
      <c r="Y125" s="80" t="n"/>
    </row>
    <row r="126">
      <c r="A126" s="80" t="n"/>
      <c r="B126" s="138" t="n"/>
      <c r="C126" s="80" t="n"/>
      <c r="D126" s="80" t="n"/>
      <c r="E126" s="80" t="n"/>
      <c r="F126" s="80" t="n"/>
      <c r="G126" s="80" t="n"/>
      <c r="H126" s="80" t="n"/>
      <c r="I126" s="80" t="n"/>
      <c r="J126" s="80" t="n"/>
      <c r="K126" s="82">
        <f>IF($J126="","",IFERROR(VLOOKUP($J126,'基本設定'!$A$13:$K$19,2,FALSE),""))</f>
        <v/>
      </c>
      <c r="L126" s="139" t="n"/>
      <c r="M126" s="139" t="n"/>
      <c r="N126" s="140">
        <f>IF(OR($L126="",$M126=""),"",MAX(0,$L126-$M126))</f>
        <v/>
      </c>
      <c r="O126" s="140">
        <f>IF($J126="","",IFERROR(VLOOKUP($J126,'基本設定'!$A$13:$K$19,3,FALSE),0))</f>
        <v/>
      </c>
      <c r="P126" s="140">
        <f>IF($N126="","",$N126*$O126)</f>
        <v/>
      </c>
      <c r="Q126" s="139" t="n"/>
      <c r="R126" s="139" t="n"/>
      <c r="S126" s="139" t="n"/>
      <c r="T126" s="139" t="n"/>
      <c r="U126" s="140">
        <f>IF($J126="","",IFERROR($N126*VLOOKUP($J126,'基本設定'!$A$13:$K$19,4,FALSE),0))</f>
        <v/>
      </c>
      <c r="V126" s="140">
        <f>IFERROR($N126/$S126,"")</f>
        <v/>
      </c>
      <c r="W126" s="140">
        <f>IFERROR($N126/$T126,"")</f>
        <v/>
      </c>
      <c r="X126" s="80" t="n"/>
      <c r="Y126" s="80" t="n"/>
    </row>
    <row r="127">
      <c r="A127" s="80" t="n"/>
      <c r="B127" s="138" t="n"/>
      <c r="C127" s="80" t="n"/>
      <c r="D127" s="80" t="n"/>
      <c r="E127" s="80" t="n"/>
      <c r="F127" s="80" t="n"/>
      <c r="G127" s="80" t="n"/>
      <c r="H127" s="80" t="n"/>
      <c r="I127" s="80" t="n"/>
      <c r="J127" s="80" t="n"/>
      <c r="K127" s="82">
        <f>IF($J127="","",IFERROR(VLOOKUP($J127,'基本設定'!$A$13:$K$19,2,FALSE),""))</f>
        <v/>
      </c>
      <c r="L127" s="139" t="n"/>
      <c r="M127" s="139" t="n"/>
      <c r="N127" s="140">
        <f>IF(OR($L127="",$M127=""),"",MAX(0,$L127-$M127))</f>
        <v/>
      </c>
      <c r="O127" s="140">
        <f>IF($J127="","",IFERROR(VLOOKUP($J127,'基本設定'!$A$13:$K$19,3,FALSE),0))</f>
        <v/>
      </c>
      <c r="P127" s="140">
        <f>IF($N127="","",$N127*$O127)</f>
        <v/>
      </c>
      <c r="Q127" s="139" t="n"/>
      <c r="R127" s="139" t="n"/>
      <c r="S127" s="139" t="n"/>
      <c r="T127" s="139" t="n"/>
      <c r="U127" s="140">
        <f>IF($J127="","",IFERROR($N127*VLOOKUP($J127,'基本設定'!$A$13:$K$19,4,FALSE),0))</f>
        <v/>
      </c>
      <c r="V127" s="140">
        <f>IFERROR($N127/$S127,"")</f>
        <v/>
      </c>
      <c r="W127" s="140">
        <f>IFERROR($N127/$T127,"")</f>
        <v/>
      </c>
      <c r="X127" s="80" t="n"/>
      <c r="Y127" s="80" t="n"/>
    </row>
    <row r="128">
      <c r="A128" s="80" t="n"/>
      <c r="B128" s="138" t="n"/>
      <c r="C128" s="80" t="n"/>
      <c r="D128" s="80" t="n"/>
      <c r="E128" s="80" t="n"/>
      <c r="F128" s="80" t="n"/>
      <c r="G128" s="80" t="n"/>
      <c r="H128" s="80" t="n"/>
      <c r="I128" s="80" t="n"/>
      <c r="J128" s="80" t="n"/>
      <c r="K128" s="82">
        <f>IF($J128="","",IFERROR(VLOOKUP($J128,'基本設定'!$A$13:$K$19,2,FALSE),""))</f>
        <v/>
      </c>
      <c r="L128" s="139" t="n"/>
      <c r="M128" s="139" t="n"/>
      <c r="N128" s="140">
        <f>IF(OR($L128="",$M128=""),"",MAX(0,$L128-$M128))</f>
        <v/>
      </c>
      <c r="O128" s="140">
        <f>IF($J128="","",IFERROR(VLOOKUP($J128,'基本設定'!$A$13:$K$19,3,FALSE),0))</f>
        <v/>
      </c>
      <c r="P128" s="140">
        <f>IF($N128="","",$N128*$O128)</f>
        <v/>
      </c>
      <c r="Q128" s="139" t="n"/>
      <c r="R128" s="139" t="n"/>
      <c r="S128" s="139" t="n"/>
      <c r="T128" s="139" t="n"/>
      <c r="U128" s="140">
        <f>IF($J128="","",IFERROR($N128*VLOOKUP($J128,'基本設定'!$A$13:$K$19,4,FALSE),0))</f>
        <v/>
      </c>
      <c r="V128" s="140">
        <f>IFERROR($N128/$S128,"")</f>
        <v/>
      </c>
      <c r="W128" s="140">
        <f>IFERROR($N128/$T128,"")</f>
        <v/>
      </c>
      <c r="X128" s="80" t="n"/>
      <c r="Y128" s="80" t="n"/>
    </row>
    <row r="129">
      <c r="A129" s="80" t="n"/>
      <c r="B129" s="138" t="n"/>
      <c r="C129" s="80" t="n"/>
      <c r="D129" s="80" t="n"/>
      <c r="E129" s="80" t="n"/>
      <c r="F129" s="80" t="n"/>
      <c r="G129" s="80" t="n"/>
      <c r="H129" s="80" t="n"/>
      <c r="I129" s="80" t="n"/>
      <c r="J129" s="80" t="n"/>
      <c r="K129" s="82">
        <f>IF($J129="","",IFERROR(VLOOKUP($J129,'基本設定'!$A$13:$K$19,2,FALSE),""))</f>
        <v/>
      </c>
      <c r="L129" s="139" t="n"/>
      <c r="M129" s="139" t="n"/>
      <c r="N129" s="140">
        <f>IF(OR($L129="",$M129=""),"",MAX(0,$L129-$M129))</f>
        <v/>
      </c>
      <c r="O129" s="140">
        <f>IF($J129="","",IFERROR(VLOOKUP($J129,'基本設定'!$A$13:$K$19,3,FALSE),0))</f>
        <v/>
      </c>
      <c r="P129" s="140">
        <f>IF($N129="","",$N129*$O129)</f>
        <v/>
      </c>
      <c r="Q129" s="139" t="n"/>
      <c r="R129" s="139" t="n"/>
      <c r="S129" s="139" t="n"/>
      <c r="T129" s="139" t="n"/>
      <c r="U129" s="140">
        <f>IF($J129="","",IFERROR($N129*VLOOKUP($J129,'基本設定'!$A$13:$K$19,4,FALSE),0))</f>
        <v/>
      </c>
      <c r="V129" s="140">
        <f>IFERROR($N129/$S129,"")</f>
        <v/>
      </c>
      <c r="W129" s="140">
        <f>IFERROR($N129/$T129,"")</f>
        <v/>
      </c>
      <c r="X129" s="80" t="n"/>
      <c r="Y129" s="80" t="n"/>
    </row>
    <row r="130">
      <c r="A130" s="80" t="n"/>
      <c r="B130" s="138" t="n"/>
      <c r="C130" s="80" t="n"/>
      <c r="D130" s="80" t="n"/>
      <c r="E130" s="80" t="n"/>
      <c r="F130" s="80" t="n"/>
      <c r="G130" s="80" t="n"/>
      <c r="H130" s="80" t="n"/>
      <c r="I130" s="80" t="n"/>
      <c r="J130" s="80" t="n"/>
      <c r="K130" s="82">
        <f>IF($J130="","",IFERROR(VLOOKUP($J130,'基本設定'!$A$13:$K$19,2,FALSE),""))</f>
        <v/>
      </c>
      <c r="L130" s="139" t="n"/>
      <c r="M130" s="139" t="n"/>
      <c r="N130" s="140">
        <f>IF(OR($L130="",$M130=""),"",MAX(0,$L130-$M130))</f>
        <v/>
      </c>
      <c r="O130" s="140">
        <f>IF($J130="","",IFERROR(VLOOKUP($J130,'基本設定'!$A$13:$K$19,3,FALSE),0))</f>
        <v/>
      </c>
      <c r="P130" s="140">
        <f>IF($N130="","",$N130*$O130)</f>
        <v/>
      </c>
      <c r="Q130" s="139" t="n"/>
      <c r="R130" s="139" t="n"/>
      <c r="S130" s="139" t="n"/>
      <c r="T130" s="139" t="n"/>
      <c r="U130" s="140">
        <f>IF($J130="","",IFERROR($N130*VLOOKUP($J130,'基本設定'!$A$13:$K$19,4,FALSE),0))</f>
        <v/>
      </c>
      <c r="V130" s="140">
        <f>IFERROR($N130/$S130,"")</f>
        <v/>
      </c>
      <c r="W130" s="140">
        <f>IFERROR($N130/$T130,"")</f>
        <v/>
      </c>
      <c r="X130" s="80" t="n"/>
      <c r="Y130" s="80" t="n"/>
    </row>
    <row r="131">
      <c r="A131" s="80" t="n"/>
      <c r="B131" s="138" t="n"/>
      <c r="C131" s="80" t="n"/>
      <c r="D131" s="80" t="n"/>
      <c r="E131" s="80" t="n"/>
      <c r="F131" s="80" t="n"/>
      <c r="G131" s="80" t="n"/>
      <c r="H131" s="80" t="n"/>
      <c r="I131" s="80" t="n"/>
      <c r="J131" s="80" t="n"/>
      <c r="K131" s="82">
        <f>IF($J131="","",IFERROR(VLOOKUP($J131,'基本設定'!$A$13:$K$19,2,FALSE),""))</f>
        <v/>
      </c>
      <c r="L131" s="139" t="n"/>
      <c r="M131" s="139" t="n"/>
      <c r="N131" s="140">
        <f>IF(OR($L131="",$M131=""),"",MAX(0,$L131-$M131))</f>
        <v/>
      </c>
      <c r="O131" s="140">
        <f>IF($J131="","",IFERROR(VLOOKUP($J131,'基本設定'!$A$13:$K$19,3,FALSE),0))</f>
        <v/>
      </c>
      <c r="P131" s="140">
        <f>IF($N131="","",$N131*$O131)</f>
        <v/>
      </c>
      <c r="Q131" s="139" t="n"/>
      <c r="R131" s="139" t="n"/>
      <c r="S131" s="139" t="n"/>
      <c r="T131" s="139" t="n"/>
      <c r="U131" s="140">
        <f>IF($J131="","",IFERROR($N131*VLOOKUP($J131,'基本設定'!$A$13:$K$19,4,FALSE),0))</f>
        <v/>
      </c>
      <c r="V131" s="140">
        <f>IFERROR($N131/$S131,"")</f>
        <v/>
      </c>
      <c r="W131" s="140">
        <f>IFERROR($N131/$T131,"")</f>
        <v/>
      </c>
      <c r="X131" s="80" t="n"/>
      <c r="Y131" s="80" t="n"/>
    </row>
    <row r="132">
      <c r="A132" s="80" t="n"/>
      <c r="B132" s="138" t="n"/>
      <c r="C132" s="80" t="n"/>
      <c r="D132" s="80" t="n"/>
      <c r="E132" s="80" t="n"/>
      <c r="F132" s="80" t="n"/>
      <c r="G132" s="80" t="n"/>
      <c r="H132" s="80" t="n"/>
      <c r="I132" s="80" t="n"/>
      <c r="J132" s="80" t="n"/>
      <c r="K132" s="82">
        <f>IF($J132="","",IFERROR(VLOOKUP($J132,'基本設定'!$A$13:$K$19,2,FALSE),""))</f>
        <v/>
      </c>
      <c r="L132" s="139" t="n"/>
      <c r="M132" s="139" t="n"/>
      <c r="N132" s="140">
        <f>IF(OR($L132="",$M132=""),"",MAX(0,$L132-$M132))</f>
        <v/>
      </c>
      <c r="O132" s="140">
        <f>IF($J132="","",IFERROR(VLOOKUP($J132,'基本設定'!$A$13:$K$19,3,FALSE),0))</f>
        <v/>
      </c>
      <c r="P132" s="140">
        <f>IF($N132="","",$N132*$O132)</f>
        <v/>
      </c>
      <c r="Q132" s="139" t="n"/>
      <c r="R132" s="139" t="n"/>
      <c r="S132" s="139" t="n"/>
      <c r="T132" s="139" t="n"/>
      <c r="U132" s="140">
        <f>IF($J132="","",IFERROR($N132*VLOOKUP($J132,'基本設定'!$A$13:$K$19,4,FALSE),0))</f>
        <v/>
      </c>
      <c r="V132" s="140">
        <f>IFERROR($N132/$S132,"")</f>
        <v/>
      </c>
      <c r="W132" s="140">
        <f>IFERROR($N132/$T132,"")</f>
        <v/>
      </c>
      <c r="X132" s="80" t="n"/>
      <c r="Y132" s="80" t="n"/>
    </row>
    <row r="133">
      <c r="A133" s="80" t="n"/>
      <c r="B133" s="138" t="n"/>
      <c r="C133" s="80" t="n"/>
      <c r="D133" s="80" t="n"/>
      <c r="E133" s="80" t="n"/>
      <c r="F133" s="80" t="n"/>
      <c r="G133" s="80" t="n"/>
      <c r="H133" s="80" t="n"/>
      <c r="I133" s="80" t="n"/>
      <c r="J133" s="80" t="n"/>
      <c r="K133" s="82">
        <f>IF($J133="","",IFERROR(VLOOKUP($J133,'基本設定'!$A$13:$K$19,2,FALSE),""))</f>
        <v/>
      </c>
      <c r="L133" s="139" t="n"/>
      <c r="M133" s="139" t="n"/>
      <c r="N133" s="140">
        <f>IF(OR($L133="",$M133=""),"",MAX(0,$L133-$M133))</f>
        <v/>
      </c>
      <c r="O133" s="140">
        <f>IF($J133="","",IFERROR(VLOOKUP($J133,'基本設定'!$A$13:$K$19,3,FALSE),0))</f>
        <v/>
      </c>
      <c r="P133" s="140">
        <f>IF($N133="","",$N133*$O133)</f>
        <v/>
      </c>
      <c r="Q133" s="139" t="n"/>
      <c r="R133" s="139" t="n"/>
      <c r="S133" s="139" t="n"/>
      <c r="T133" s="139" t="n"/>
      <c r="U133" s="140">
        <f>IF($J133="","",IFERROR($N133*VLOOKUP($J133,'基本設定'!$A$13:$K$19,4,FALSE),0))</f>
        <v/>
      </c>
      <c r="V133" s="140">
        <f>IFERROR($N133/$S133,"")</f>
        <v/>
      </c>
      <c r="W133" s="140">
        <f>IFERROR($N133/$T133,"")</f>
        <v/>
      </c>
      <c r="X133" s="80" t="n"/>
      <c r="Y133" s="80" t="n"/>
    </row>
    <row r="134">
      <c r="A134" s="80" t="n"/>
      <c r="B134" s="138" t="n"/>
      <c r="C134" s="80" t="n"/>
      <c r="D134" s="80" t="n"/>
      <c r="E134" s="80" t="n"/>
      <c r="F134" s="80" t="n"/>
      <c r="G134" s="80" t="n"/>
      <c r="H134" s="80" t="n"/>
      <c r="I134" s="80" t="n"/>
      <c r="J134" s="80" t="n"/>
      <c r="K134" s="82">
        <f>IF($J134="","",IFERROR(VLOOKUP($J134,'基本設定'!$A$13:$K$19,2,FALSE),""))</f>
        <v/>
      </c>
      <c r="L134" s="139" t="n"/>
      <c r="M134" s="139" t="n"/>
      <c r="N134" s="140">
        <f>IF(OR($L134="",$M134=""),"",MAX(0,$L134-$M134))</f>
        <v/>
      </c>
      <c r="O134" s="140">
        <f>IF($J134="","",IFERROR(VLOOKUP($J134,'基本設定'!$A$13:$K$19,3,FALSE),0))</f>
        <v/>
      </c>
      <c r="P134" s="140">
        <f>IF($N134="","",$N134*$O134)</f>
        <v/>
      </c>
      <c r="Q134" s="139" t="n"/>
      <c r="R134" s="139" t="n"/>
      <c r="S134" s="139" t="n"/>
      <c r="T134" s="139" t="n"/>
      <c r="U134" s="140">
        <f>IF($J134="","",IFERROR($N134*VLOOKUP($J134,'基本設定'!$A$13:$K$19,4,FALSE),0))</f>
        <v/>
      </c>
      <c r="V134" s="140">
        <f>IFERROR($N134/$S134,"")</f>
        <v/>
      </c>
      <c r="W134" s="140">
        <f>IFERROR($N134/$T134,"")</f>
        <v/>
      </c>
      <c r="X134" s="80" t="n"/>
      <c r="Y134" s="80" t="n"/>
    </row>
    <row r="135">
      <c r="A135" s="80" t="n"/>
      <c r="B135" s="138" t="n"/>
      <c r="C135" s="80" t="n"/>
      <c r="D135" s="80" t="n"/>
      <c r="E135" s="80" t="n"/>
      <c r="F135" s="80" t="n"/>
      <c r="G135" s="80" t="n"/>
      <c r="H135" s="80" t="n"/>
      <c r="I135" s="80" t="n"/>
      <c r="J135" s="80" t="n"/>
      <c r="K135" s="82">
        <f>IF($J135="","",IFERROR(VLOOKUP($J135,'基本設定'!$A$13:$K$19,2,FALSE),""))</f>
        <v/>
      </c>
      <c r="L135" s="139" t="n"/>
      <c r="M135" s="139" t="n"/>
      <c r="N135" s="140">
        <f>IF(OR($L135="",$M135=""),"",MAX(0,$L135-$M135))</f>
        <v/>
      </c>
      <c r="O135" s="140">
        <f>IF($J135="","",IFERROR(VLOOKUP($J135,'基本設定'!$A$13:$K$19,3,FALSE),0))</f>
        <v/>
      </c>
      <c r="P135" s="140">
        <f>IF($N135="","",$N135*$O135)</f>
        <v/>
      </c>
      <c r="Q135" s="139" t="n"/>
      <c r="R135" s="139" t="n"/>
      <c r="S135" s="139" t="n"/>
      <c r="T135" s="139" t="n"/>
      <c r="U135" s="140">
        <f>IF($J135="","",IFERROR($N135*VLOOKUP($J135,'基本設定'!$A$13:$K$19,4,FALSE),0))</f>
        <v/>
      </c>
      <c r="V135" s="140">
        <f>IFERROR($N135/$S135,"")</f>
        <v/>
      </c>
      <c r="W135" s="140">
        <f>IFERROR($N135/$T135,"")</f>
        <v/>
      </c>
      <c r="X135" s="80" t="n"/>
      <c r="Y135" s="80" t="n"/>
    </row>
    <row r="136">
      <c r="A136" s="80" t="n"/>
      <c r="B136" s="138" t="n"/>
      <c r="C136" s="80" t="n"/>
      <c r="D136" s="80" t="n"/>
      <c r="E136" s="80" t="n"/>
      <c r="F136" s="80" t="n"/>
      <c r="G136" s="80" t="n"/>
      <c r="H136" s="80" t="n"/>
      <c r="I136" s="80" t="n"/>
      <c r="J136" s="80" t="n"/>
      <c r="K136" s="82">
        <f>IF($J136="","",IFERROR(VLOOKUP($J136,'基本設定'!$A$13:$K$19,2,FALSE),""))</f>
        <v/>
      </c>
      <c r="L136" s="139" t="n"/>
      <c r="M136" s="139" t="n"/>
      <c r="N136" s="140">
        <f>IF(OR($L136="",$M136=""),"",MAX(0,$L136-$M136))</f>
        <v/>
      </c>
      <c r="O136" s="140">
        <f>IF($J136="","",IFERROR(VLOOKUP($J136,'基本設定'!$A$13:$K$19,3,FALSE),0))</f>
        <v/>
      </c>
      <c r="P136" s="140">
        <f>IF($N136="","",$N136*$O136)</f>
        <v/>
      </c>
      <c r="Q136" s="139" t="n"/>
      <c r="R136" s="139" t="n"/>
      <c r="S136" s="139" t="n"/>
      <c r="T136" s="139" t="n"/>
      <c r="U136" s="140">
        <f>IF($J136="","",IFERROR($N136*VLOOKUP($J136,'基本設定'!$A$13:$K$19,4,FALSE),0))</f>
        <v/>
      </c>
      <c r="V136" s="140">
        <f>IFERROR($N136/$S136,"")</f>
        <v/>
      </c>
      <c r="W136" s="140">
        <f>IFERROR($N136/$T136,"")</f>
        <v/>
      </c>
      <c r="X136" s="80" t="n"/>
      <c r="Y136" s="80" t="n"/>
    </row>
    <row r="137">
      <c r="A137" s="80" t="n"/>
      <c r="B137" s="138" t="n"/>
      <c r="C137" s="80" t="n"/>
      <c r="D137" s="80" t="n"/>
      <c r="E137" s="80" t="n"/>
      <c r="F137" s="80" t="n"/>
      <c r="G137" s="80" t="n"/>
      <c r="H137" s="80" t="n"/>
      <c r="I137" s="80" t="n"/>
      <c r="J137" s="80" t="n"/>
      <c r="K137" s="82">
        <f>IF($J137="","",IFERROR(VLOOKUP($J137,'基本設定'!$A$13:$K$19,2,FALSE),""))</f>
        <v/>
      </c>
      <c r="L137" s="139" t="n"/>
      <c r="M137" s="139" t="n"/>
      <c r="N137" s="140">
        <f>IF(OR($L137="",$M137=""),"",MAX(0,$L137-$M137))</f>
        <v/>
      </c>
      <c r="O137" s="140">
        <f>IF($J137="","",IFERROR(VLOOKUP($J137,'基本設定'!$A$13:$K$19,3,FALSE),0))</f>
        <v/>
      </c>
      <c r="P137" s="140">
        <f>IF($N137="","",$N137*$O137)</f>
        <v/>
      </c>
      <c r="Q137" s="139" t="n"/>
      <c r="R137" s="139" t="n"/>
      <c r="S137" s="139" t="n"/>
      <c r="T137" s="139" t="n"/>
      <c r="U137" s="140">
        <f>IF($J137="","",IFERROR($N137*VLOOKUP($J137,'基本設定'!$A$13:$K$19,4,FALSE),0))</f>
        <v/>
      </c>
      <c r="V137" s="140">
        <f>IFERROR($N137/$S137,"")</f>
        <v/>
      </c>
      <c r="W137" s="140">
        <f>IFERROR($N137/$T137,"")</f>
        <v/>
      </c>
      <c r="X137" s="80" t="n"/>
      <c r="Y137" s="80" t="n"/>
    </row>
    <row r="138">
      <c r="A138" s="80" t="n"/>
      <c r="B138" s="138" t="n"/>
      <c r="C138" s="80" t="n"/>
      <c r="D138" s="80" t="n"/>
      <c r="E138" s="80" t="n"/>
      <c r="F138" s="80" t="n"/>
      <c r="G138" s="80" t="n"/>
      <c r="H138" s="80" t="n"/>
      <c r="I138" s="80" t="n"/>
      <c r="J138" s="80" t="n"/>
      <c r="K138" s="82">
        <f>IF($J138="","",IFERROR(VLOOKUP($J138,'基本設定'!$A$13:$K$19,2,FALSE),""))</f>
        <v/>
      </c>
      <c r="L138" s="139" t="n"/>
      <c r="M138" s="139" t="n"/>
      <c r="N138" s="140">
        <f>IF(OR($L138="",$M138=""),"",MAX(0,$L138-$M138))</f>
        <v/>
      </c>
      <c r="O138" s="140">
        <f>IF($J138="","",IFERROR(VLOOKUP($J138,'基本設定'!$A$13:$K$19,3,FALSE),0))</f>
        <v/>
      </c>
      <c r="P138" s="140">
        <f>IF($N138="","",$N138*$O138)</f>
        <v/>
      </c>
      <c r="Q138" s="139" t="n"/>
      <c r="R138" s="139" t="n"/>
      <c r="S138" s="139" t="n"/>
      <c r="T138" s="139" t="n"/>
      <c r="U138" s="140">
        <f>IF($J138="","",IFERROR($N138*VLOOKUP($J138,'基本設定'!$A$13:$K$19,4,FALSE),0))</f>
        <v/>
      </c>
      <c r="V138" s="140">
        <f>IFERROR($N138/$S138,"")</f>
        <v/>
      </c>
      <c r="W138" s="140">
        <f>IFERROR($N138/$T138,"")</f>
        <v/>
      </c>
      <c r="X138" s="80" t="n"/>
      <c r="Y138" s="80" t="n"/>
    </row>
    <row r="139">
      <c r="A139" s="80" t="n"/>
      <c r="B139" s="138" t="n"/>
      <c r="C139" s="80" t="n"/>
      <c r="D139" s="80" t="n"/>
      <c r="E139" s="80" t="n"/>
      <c r="F139" s="80" t="n"/>
      <c r="G139" s="80" t="n"/>
      <c r="H139" s="80" t="n"/>
      <c r="I139" s="80" t="n"/>
      <c r="J139" s="80" t="n"/>
      <c r="K139" s="82">
        <f>IF($J139="","",IFERROR(VLOOKUP($J139,'基本設定'!$A$13:$K$19,2,FALSE),""))</f>
        <v/>
      </c>
      <c r="L139" s="139" t="n"/>
      <c r="M139" s="139" t="n"/>
      <c r="N139" s="140">
        <f>IF(OR($L139="",$M139=""),"",MAX(0,$L139-$M139))</f>
        <v/>
      </c>
      <c r="O139" s="140">
        <f>IF($J139="","",IFERROR(VLOOKUP($J139,'基本設定'!$A$13:$K$19,3,FALSE),0))</f>
        <v/>
      </c>
      <c r="P139" s="140">
        <f>IF($N139="","",$N139*$O139)</f>
        <v/>
      </c>
      <c r="Q139" s="139" t="n"/>
      <c r="R139" s="139" t="n"/>
      <c r="S139" s="139" t="n"/>
      <c r="T139" s="139" t="n"/>
      <c r="U139" s="140">
        <f>IF($J139="","",IFERROR($N139*VLOOKUP($J139,'基本設定'!$A$13:$K$19,4,FALSE),0))</f>
        <v/>
      </c>
      <c r="V139" s="140">
        <f>IFERROR($N139/$S139,"")</f>
        <v/>
      </c>
      <c r="W139" s="140">
        <f>IFERROR($N139/$T139,"")</f>
        <v/>
      </c>
      <c r="X139" s="80" t="n"/>
      <c r="Y139" s="80" t="n"/>
    </row>
    <row r="140">
      <c r="A140" s="80" t="n"/>
      <c r="B140" s="138" t="n"/>
      <c r="C140" s="80" t="n"/>
      <c r="D140" s="80" t="n"/>
      <c r="E140" s="80" t="n"/>
      <c r="F140" s="80" t="n"/>
      <c r="G140" s="80" t="n"/>
      <c r="H140" s="80" t="n"/>
      <c r="I140" s="80" t="n"/>
      <c r="J140" s="80" t="n"/>
      <c r="K140" s="82">
        <f>IF($J140="","",IFERROR(VLOOKUP($J140,'基本設定'!$A$13:$K$19,2,FALSE),""))</f>
        <v/>
      </c>
      <c r="L140" s="139" t="n"/>
      <c r="M140" s="139" t="n"/>
      <c r="N140" s="140">
        <f>IF(OR($L140="",$M140=""),"",MAX(0,$L140-$M140))</f>
        <v/>
      </c>
      <c r="O140" s="140">
        <f>IF($J140="","",IFERROR(VLOOKUP($J140,'基本設定'!$A$13:$K$19,3,FALSE),0))</f>
        <v/>
      </c>
      <c r="P140" s="140">
        <f>IF($N140="","",$N140*$O140)</f>
        <v/>
      </c>
      <c r="Q140" s="139" t="n"/>
      <c r="R140" s="139" t="n"/>
      <c r="S140" s="139" t="n"/>
      <c r="T140" s="139" t="n"/>
      <c r="U140" s="140">
        <f>IF($J140="","",IFERROR($N140*VLOOKUP($J140,'基本設定'!$A$13:$K$19,4,FALSE),0))</f>
        <v/>
      </c>
      <c r="V140" s="140">
        <f>IFERROR($N140/$S140,"")</f>
        <v/>
      </c>
      <c r="W140" s="140">
        <f>IFERROR($N140/$T140,"")</f>
        <v/>
      </c>
      <c r="X140" s="80" t="n"/>
      <c r="Y140" s="80" t="n"/>
    </row>
    <row r="141">
      <c r="A141" s="80" t="n"/>
      <c r="B141" s="138" t="n"/>
      <c r="C141" s="80" t="n"/>
      <c r="D141" s="80" t="n"/>
      <c r="E141" s="80" t="n"/>
      <c r="F141" s="80" t="n"/>
      <c r="G141" s="80" t="n"/>
      <c r="H141" s="80" t="n"/>
      <c r="I141" s="80" t="n"/>
      <c r="J141" s="80" t="n"/>
      <c r="K141" s="82">
        <f>IF($J141="","",IFERROR(VLOOKUP($J141,'基本設定'!$A$13:$K$19,2,FALSE),""))</f>
        <v/>
      </c>
      <c r="L141" s="139" t="n"/>
      <c r="M141" s="139" t="n"/>
      <c r="N141" s="140">
        <f>IF(OR($L141="",$M141=""),"",MAX(0,$L141-$M141))</f>
        <v/>
      </c>
      <c r="O141" s="140">
        <f>IF($J141="","",IFERROR(VLOOKUP($J141,'基本設定'!$A$13:$K$19,3,FALSE),0))</f>
        <v/>
      </c>
      <c r="P141" s="140">
        <f>IF($N141="","",$N141*$O141)</f>
        <v/>
      </c>
      <c r="Q141" s="139" t="n"/>
      <c r="R141" s="139" t="n"/>
      <c r="S141" s="139" t="n"/>
      <c r="T141" s="139" t="n"/>
      <c r="U141" s="140">
        <f>IF($J141="","",IFERROR($N141*VLOOKUP($J141,'基本設定'!$A$13:$K$19,4,FALSE),0))</f>
        <v/>
      </c>
      <c r="V141" s="140">
        <f>IFERROR($N141/$S141,"")</f>
        <v/>
      </c>
      <c r="W141" s="140">
        <f>IFERROR($N141/$T141,"")</f>
        <v/>
      </c>
      <c r="X141" s="80" t="n"/>
      <c r="Y141" s="80" t="n"/>
    </row>
    <row r="142">
      <c r="A142" s="80" t="n"/>
      <c r="B142" s="138" t="n"/>
      <c r="C142" s="80" t="n"/>
      <c r="D142" s="80" t="n"/>
      <c r="E142" s="80" t="n"/>
      <c r="F142" s="80" t="n"/>
      <c r="G142" s="80" t="n"/>
      <c r="H142" s="80" t="n"/>
      <c r="I142" s="80" t="n"/>
      <c r="J142" s="80" t="n"/>
      <c r="K142" s="82">
        <f>IF($J142="","",IFERROR(VLOOKUP($J142,'基本設定'!$A$13:$K$19,2,FALSE),""))</f>
        <v/>
      </c>
      <c r="L142" s="139" t="n"/>
      <c r="M142" s="139" t="n"/>
      <c r="N142" s="140">
        <f>IF(OR($L142="",$M142=""),"",MAX(0,$L142-$M142))</f>
        <v/>
      </c>
      <c r="O142" s="140">
        <f>IF($J142="","",IFERROR(VLOOKUP($J142,'基本設定'!$A$13:$K$19,3,FALSE),0))</f>
        <v/>
      </c>
      <c r="P142" s="140">
        <f>IF($N142="","",$N142*$O142)</f>
        <v/>
      </c>
      <c r="Q142" s="139" t="n"/>
      <c r="R142" s="139" t="n"/>
      <c r="S142" s="139" t="n"/>
      <c r="T142" s="139" t="n"/>
      <c r="U142" s="140">
        <f>IF($J142="","",IFERROR($N142*VLOOKUP($J142,'基本設定'!$A$13:$K$19,4,FALSE),0))</f>
        <v/>
      </c>
      <c r="V142" s="140">
        <f>IFERROR($N142/$S142,"")</f>
        <v/>
      </c>
      <c r="W142" s="140">
        <f>IFERROR($N142/$T142,"")</f>
        <v/>
      </c>
      <c r="X142" s="80" t="n"/>
      <c r="Y142" s="80" t="n"/>
    </row>
    <row r="143">
      <c r="A143" s="80" t="n"/>
      <c r="B143" s="138" t="n"/>
      <c r="C143" s="80" t="n"/>
      <c r="D143" s="80" t="n"/>
      <c r="E143" s="80" t="n"/>
      <c r="F143" s="80" t="n"/>
      <c r="G143" s="80" t="n"/>
      <c r="H143" s="80" t="n"/>
      <c r="I143" s="80" t="n"/>
      <c r="J143" s="80" t="n"/>
      <c r="K143" s="82">
        <f>IF($J143="","",IFERROR(VLOOKUP($J143,'基本設定'!$A$13:$K$19,2,FALSE),""))</f>
        <v/>
      </c>
      <c r="L143" s="139" t="n"/>
      <c r="M143" s="139" t="n"/>
      <c r="N143" s="140">
        <f>IF(OR($L143="",$M143=""),"",MAX(0,$L143-$M143))</f>
        <v/>
      </c>
      <c r="O143" s="140">
        <f>IF($J143="","",IFERROR(VLOOKUP($J143,'基本設定'!$A$13:$K$19,3,FALSE),0))</f>
        <v/>
      </c>
      <c r="P143" s="140">
        <f>IF($N143="","",$N143*$O143)</f>
        <v/>
      </c>
      <c r="Q143" s="139" t="n"/>
      <c r="R143" s="139" t="n"/>
      <c r="S143" s="139" t="n"/>
      <c r="T143" s="139" t="n"/>
      <c r="U143" s="140">
        <f>IF($J143="","",IFERROR($N143*VLOOKUP($J143,'基本設定'!$A$13:$K$19,4,FALSE),0))</f>
        <v/>
      </c>
      <c r="V143" s="140">
        <f>IFERROR($N143/$S143,"")</f>
        <v/>
      </c>
      <c r="W143" s="140">
        <f>IFERROR($N143/$T143,"")</f>
        <v/>
      </c>
      <c r="X143" s="80" t="n"/>
      <c r="Y143" s="80" t="n"/>
    </row>
    <row r="144">
      <c r="A144" s="80" t="n"/>
      <c r="B144" s="138" t="n"/>
      <c r="C144" s="80" t="n"/>
      <c r="D144" s="80" t="n"/>
      <c r="E144" s="80" t="n"/>
      <c r="F144" s="80" t="n"/>
      <c r="G144" s="80" t="n"/>
      <c r="H144" s="80" t="n"/>
      <c r="I144" s="80" t="n"/>
      <c r="J144" s="80" t="n"/>
      <c r="K144" s="82">
        <f>IF($J144="","",IFERROR(VLOOKUP($J144,'基本設定'!$A$13:$K$19,2,FALSE),""))</f>
        <v/>
      </c>
      <c r="L144" s="139" t="n"/>
      <c r="M144" s="139" t="n"/>
      <c r="N144" s="140">
        <f>IF(OR($L144="",$M144=""),"",MAX(0,$L144-$M144))</f>
        <v/>
      </c>
      <c r="O144" s="140">
        <f>IF($J144="","",IFERROR(VLOOKUP($J144,'基本設定'!$A$13:$K$19,3,FALSE),0))</f>
        <v/>
      </c>
      <c r="P144" s="140">
        <f>IF($N144="","",$N144*$O144)</f>
        <v/>
      </c>
      <c r="Q144" s="139" t="n"/>
      <c r="R144" s="139" t="n"/>
      <c r="S144" s="139" t="n"/>
      <c r="T144" s="139" t="n"/>
      <c r="U144" s="140">
        <f>IF($J144="","",IFERROR($N144*VLOOKUP($J144,'基本設定'!$A$13:$K$19,4,FALSE),0))</f>
        <v/>
      </c>
      <c r="V144" s="140">
        <f>IFERROR($N144/$S144,"")</f>
        <v/>
      </c>
      <c r="W144" s="140">
        <f>IFERROR($N144/$T144,"")</f>
        <v/>
      </c>
      <c r="X144" s="80" t="n"/>
      <c r="Y144" s="80" t="n"/>
    </row>
    <row r="145">
      <c r="A145" s="80" t="n"/>
      <c r="B145" s="138" t="n"/>
      <c r="C145" s="80" t="n"/>
      <c r="D145" s="80" t="n"/>
      <c r="E145" s="80" t="n"/>
      <c r="F145" s="80" t="n"/>
      <c r="G145" s="80" t="n"/>
      <c r="H145" s="80" t="n"/>
      <c r="I145" s="80" t="n"/>
      <c r="J145" s="80" t="n"/>
      <c r="K145" s="82">
        <f>IF($J145="","",IFERROR(VLOOKUP($J145,'基本設定'!$A$13:$K$19,2,FALSE),""))</f>
        <v/>
      </c>
      <c r="L145" s="139" t="n"/>
      <c r="M145" s="139" t="n"/>
      <c r="N145" s="140">
        <f>IF(OR($L145="",$M145=""),"",MAX(0,$L145-$M145))</f>
        <v/>
      </c>
      <c r="O145" s="140">
        <f>IF($J145="","",IFERROR(VLOOKUP($J145,'基本設定'!$A$13:$K$19,3,FALSE),0))</f>
        <v/>
      </c>
      <c r="P145" s="140">
        <f>IF($N145="","",$N145*$O145)</f>
        <v/>
      </c>
      <c r="Q145" s="139" t="n"/>
      <c r="R145" s="139" t="n"/>
      <c r="S145" s="139" t="n"/>
      <c r="T145" s="139" t="n"/>
      <c r="U145" s="140">
        <f>IF($J145="","",IFERROR($N145*VLOOKUP($J145,'基本設定'!$A$13:$K$19,4,FALSE),0))</f>
        <v/>
      </c>
      <c r="V145" s="140">
        <f>IFERROR($N145/$S145,"")</f>
        <v/>
      </c>
      <c r="W145" s="140">
        <f>IFERROR($N145/$T145,"")</f>
        <v/>
      </c>
      <c r="X145" s="80" t="n"/>
      <c r="Y145" s="80" t="n"/>
    </row>
    <row r="146">
      <c r="A146" s="80" t="n"/>
      <c r="B146" s="138" t="n"/>
      <c r="C146" s="80" t="n"/>
      <c r="D146" s="80" t="n"/>
      <c r="E146" s="80" t="n"/>
      <c r="F146" s="80" t="n"/>
      <c r="G146" s="80" t="n"/>
      <c r="H146" s="80" t="n"/>
      <c r="I146" s="80" t="n"/>
      <c r="J146" s="80" t="n"/>
      <c r="K146" s="82">
        <f>IF($J146="","",IFERROR(VLOOKUP($J146,'基本設定'!$A$13:$K$19,2,FALSE),""))</f>
        <v/>
      </c>
      <c r="L146" s="139" t="n"/>
      <c r="M146" s="139" t="n"/>
      <c r="N146" s="140">
        <f>IF(OR($L146="",$M146=""),"",MAX(0,$L146-$M146))</f>
        <v/>
      </c>
      <c r="O146" s="140">
        <f>IF($J146="","",IFERROR(VLOOKUP($J146,'基本設定'!$A$13:$K$19,3,FALSE),0))</f>
        <v/>
      </c>
      <c r="P146" s="140">
        <f>IF($N146="","",$N146*$O146)</f>
        <v/>
      </c>
      <c r="Q146" s="139" t="n"/>
      <c r="R146" s="139" t="n"/>
      <c r="S146" s="139" t="n"/>
      <c r="T146" s="139" t="n"/>
      <c r="U146" s="140">
        <f>IF($J146="","",IFERROR($N146*VLOOKUP($J146,'基本設定'!$A$13:$K$19,4,FALSE),0))</f>
        <v/>
      </c>
      <c r="V146" s="140">
        <f>IFERROR($N146/$S146,"")</f>
        <v/>
      </c>
      <c r="W146" s="140">
        <f>IFERROR($N146/$T146,"")</f>
        <v/>
      </c>
      <c r="X146" s="80" t="n"/>
      <c r="Y146" s="80" t="n"/>
    </row>
    <row r="147">
      <c r="A147" s="80" t="n"/>
      <c r="B147" s="138" t="n"/>
      <c r="C147" s="80" t="n"/>
      <c r="D147" s="80" t="n"/>
      <c r="E147" s="80" t="n"/>
      <c r="F147" s="80" t="n"/>
      <c r="G147" s="80" t="n"/>
      <c r="H147" s="80" t="n"/>
      <c r="I147" s="80" t="n"/>
      <c r="J147" s="80" t="n"/>
      <c r="K147" s="82">
        <f>IF($J147="","",IFERROR(VLOOKUP($J147,'基本設定'!$A$13:$K$19,2,FALSE),""))</f>
        <v/>
      </c>
      <c r="L147" s="139" t="n"/>
      <c r="M147" s="139" t="n"/>
      <c r="N147" s="140">
        <f>IF(OR($L147="",$M147=""),"",MAX(0,$L147-$M147))</f>
        <v/>
      </c>
      <c r="O147" s="140">
        <f>IF($J147="","",IFERROR(VLOOKUP($J147,'基本設定'!$A$13:$K$19,3,FALSE),0))</f>
        <v/>
      </c>
      <c r="P147" s="140">
        <f>IF($N147="","",$N147*$O147)</f>
        <v/>
      </c>
      <c r="Q147" s="139" t="n"/>
      <c r="R147" s="139" t="n"/>
      <c r="S147" s="139" t="n"/>
      <c r="T147" s="139" t="n"/>
      <c r="U147" s="140">
        <f>IF($J147="","",IFERROR($N147*VLOOKUP($J147,'基本設定'!$A$13:$K$19,4,FALSE),0))</f>
        <v/>
      </c>
      <c r="V147" s="140">
        <f>IFERROR($N147/$S147,"")</f>
        <v/>
      </c>
      <c r="W147" s="140">
        <f>IFERROR($N147/$T147,"")</f>
        <v/>
      </c>
      <c r="X147" s="80" t="n"/>
      <c r="Y147" s="80" t="n"/>
    </row>
    <row r="148">
      <c r="A148" s="80" t="n"/>
      <c r="B148" s="138" t="n"/>
      <c r="C148" s="80" t="n"/>
      <c r="D148" s="80" t="n"/>
      <c r="E148" s="80" t="n"/>
      <c r="F148" s="80" t="n"/>
      <c r="G148" s="80" t="n"/>
      <c r="H148" s="80" t="n"/>
      <c r="I148" s="80" t="n"/>
      <c r="J148" s="80" t="n"/>
      <c r="K148" s="82">
        <f>IF($J148="","",IFERROR(VLOOKUP($J148,'基本設定'!$A$13:$K$19,2,FALSE),""))</f>
        <v/>
      </c>
      <c r="L148" s="139" t="n"/>
      <c r="M148" s="139" t="n"/>
      <c r="N148" s="140">
        <f>IF(OR($L148="",$M148=""),"",MAX(0,$L148-$M148))</f>
        <v/>
      </c>
      <c r="O148" s="140">
        <f>IF($J148="","",IFERROR(VLOOKUP($J148,'基本設定'!$A$13:$K$19,3,FALSE),0))</f>
        <v/>
      </c>
      <c r="P148" s="140">
        <f>IF($N148="","",$N148*$O148)</f>
        <v/>
      </c>
      <c r="Q148" s="139" t="n"/>
      <c r="R148" s="139" t="n"/>
      <c r="S148" s="139" t="n"/>
      <c r="T148" s="139" t="n"/>
      <c r="U148" s="140">
        <f>IF($J148="","",IFERROR($N148*VLOOKUP($J148,'基本設定'!$A$13:$K$19,4,FALSE),0))</f>
        <v/>
      </c>
      <c r="V148" s="140">
        <f>IFERROR($N148/$S148,"")</f>
        <v/>
      </c>
      <c r="W148" s="140">
        <f>IFERROR($N148/$T148,"")</f>
        <v/>
      </c>
      <c r="X148" s="80" t="n"/>
      <c r="Y148" s="80" t="n"/>
    </row>
    <row r="149">
      <c r="A149" s="80" t="n"/>
      <c r="B149" s="138" t="n"/>
      <c r="C149" s="80" t="n"/>
      <c r="D149" s="80" t="n"/>
      <c r="E149" s="80" t="n"/>
      <c r="F149" s="80" t="n"/>
      <c r="G149" s="80" t="n"/>
      <c r="H149" s="80" t="n"/>
      <c r="I149" s="80" t="n"/>
      <c r="J149" s="80" t="n"/>
      <c r="K149" s="82">
        <f>IF($J149="","",IFERROR(VLOOKUP($J149,'基本設定'!$A$13:$K$19,2,FALSE),""))</f>
        <v/>
      </c>
      <c r="L149" s="139" t="n"/>
      <c r="M149" s="139" t="n"/>
      <c r="N149" s="140">
        <f>IF(OR($L149="",$M149=""),"",MAX(0,$L149-$M149))</f>
        <v/>
      </c>
      <c r="O149" s="140">
        <f>IF($J149="","",IFERROR(VLOOKUP($J149,'基本設定'!$A$13:$K$19,3,FALSE),0))</f>
        <v/>
      </c>
      <c r="P149" s="140">
        <f>IF($N149="","",$N149*$O149)</f>
        <v/>
      </c>
      <c r="Q149" s="139" t="n"/>
      <c r="R149" s="139" t="n"/>
      <c r="S149" s="139" t="n"/>
      <c r="T149" s="139" t="n"/>
      <c r="U149" s="140">
        <f>IF($J149="","",IFERROR($N149*VLOOKUP($J149,'基本設定'!$A$13:$K$19,4,FALSE),0))</f>
        <v/>
      </c>
      <c r="V149" s="140">
        <f>IFERROR($N149/$S149,"")</f>
        <v/>
      </c>
      <c r="W149" s="140">
        <f>IFERROR($N149/$T149,"")</f>
        <v/>
      </c>
      <c r="X149" s="80" t="n"/>
      <c r="Y149" s="80" t="n"/>
    </row>
    <row r="150">
      <c r="A150" s="80" t="n"/>
      <c r="B150" s="138" t="n"/>
      <c r="C150" s="80" t="n"/>
      <c r="D150" s="80" t="n"/>
      <c r="E150" s="80" t="n"/>
      <c r="F150" s="80" t="n"/>
      <c r="G150" s="80" t="n"/>
      <c r="H150" s="80" t="n"/>
      <c r="I150" s="80" t="n"/>
      <c r="J150" s="80" t="n"/>
      <c r="K150" s="82">
        <f>IF($J150="","",IFERROR(VLOOKUP($J150,'基本設定'!$A$13:$K$19,2,FALSE),""))</f>
        <v/>
      </c>
      <c r="L150" s="139" t="n"/>
      <c r="M150" s="139" t="n"/>
      <c r="N150" s="140">
        <f>IF(OR($L150="",$M150=""),"",MAX(0,$L150-$M150))</f>
        <v/>
      </c>
      <c r="O150" s="140">
        <f>IF($J150="","",IFERROR(VLOOKUP($J150,'基本設定'!$A$13:$K$19,3,FALSE),0))</f>
        <v/>
      </c>
      <c r="P150" s="140">
        <f>IF($N150="","",$N150*$O150)</f>
        <v/>
      </c>
      <c r="Q150" s="139" t="n"/>
      <c r="R150" s="139" t="n"/>
      <c r="S150" s="139" t="n"/>
      <c r="T150" s="139" t="n"/>
      <c r="U150" s="140">
        <f>IF($J150="","",IFERROR($N150*VLOOKUP($J150,'基本設定'!$A$13:$K$19,4,FALSE),0))</f>
        <v/>
      </c>
      <c r="V150" s="140">
        <f>IFERROR($N150/$S150,"")</f>
        <v/>
      </c>
      <c r="W150" s="140">
        <f>IFERROR($N150/$T150,"")</f>
        <v/>
      </c>
      <c r="X150" s="80" t="n"/>
      <c r="Y150" s="80" t="n"/>
    </row>
    <row r="151">
      <c r="A151" s="80" t="n"/>
      <c r="B151" s="138" t="n"/>
      <c r="C151" s="80" t="n"/>
      <c r="D151" s="80" t="n"/>
      <c r="E151" s="80" t="n"/>
      <c r="F151" s="80" t="n"/>
      <c r="G151" s="80" t="n"/>
      <c r="H151" s="80" t="n"/>
      <c r="I151" s="80" t="n"/>
      <c r="J151" s="80" t="n"/>
      <c r="K151" s="82">
        <f>IF($J151="","",IFERROR(VLOOKUP($J151,'基本設定'!$A$13:$K$19,2,FALSE),""))</f>
        <v/>
      </c>
      <c r="L151" s="139" t="n"/>
      <c r="M151" s="139" t="n"/>
      <c r="N151" s="140">
        <f>IF(OR($L151="",$M151=""),"",MAX(0,$L151-$M151))</f>
        <v/>
      </c>
      <c r="O151" s="140">
        <f>IF($J151="","",IFERROR(VLOOKUP($J151,'基本設定'!$A$13:$K$19,3,FALSE),0))</f>
        <v/>
      </c>
      <c r="P151" s="140">
        <f>IF($N151="","",$N151*$O151)</f>
        <v/>
      </c>
      <c r="Q151" s="139" t="n"/>
      <c r="R151" s="139" t="n"/>
      <c r="S151" s="139" t="n"/>
      <c r="T151" s="139" t="n"/>
      <c r="U151" s="140">
        <f>IF($J151="","",IFERROR($N151*VLOOKUP($J151,'基本設定'!$A$13:$K$19,4,FALSE),0))</f>
        <v/>
      </c>
      <c r="V151" s="140">
        <f>IFERROR($N151/$S151,"")</f>
        <v/>
      </c>
      <c r="W151" s="140">
        <f>IFERROR($N151/$T151,"")</f>
        <v/>
      </c>
      <c r="X151" s="80" t="n"/>
      <c r="Y151" s="80" t="n"/>
    </row>
    <row r="152">
      <c r="A152" s="80" t="n"/>
      <c r="B152" s="138" t="n"/>
      <c r="C152" s="80" t="n"/>
      <c r="D152" s="80" t="n"/>
      <c r="E152" s="80" t="n"/>
      <c r="F152" s="80" t="n"/>
      <c r="G152" s="80" t="n"/>
      <c r="H152" s="80" t="n"/>
      <c r="I152" s="80" t="n"/>
      <c r="J152" s="80" t="n"/>
      <c r="K152" s="82">
        <f>IF($J152="","",IFERROR(VLOOKUP($J152,'基本設定'!$A$13:$K$19,2,FALSE),""))</f>
        <v/>
      </c>
      <c r="L152" s="139" t="n"/>
      <c r="M152" s="139" t="n"/>
      <c r="N152" s="140">
        <f>IF(OR($L152="",$M152=""),"",MAX(0,$L152-$M152))</f>
        <v/>
      </c>
      <c r="O152" s="140">
        <f>IF($J152="","",IFERROR(VLOOKUP($J152,'基本設定'!$A$13:$K$19,3,FALSE),0))</f>
        <v/>
      </c>
      <c r="P152" s="140">
        <f>IF($N152="","",$N152*$O152)</f>
        <v/>
      </c>
      <c r="Q152" s="139" t="n"/>
      <c r="R152" s="139" t="n"/>
      <c r="S152" s="139" t="n"/>
      <c r="T152" s="139" t="n"/>
      <c r="U152" s="140">
        <f>IF($J152="","",IFERROR($N152*VLOOKUP($J152,'基本設定'!$A$13:$K$19,4,FALSE),0))</f>
        <v/>
      </c>
      <c r="V152" s="140">
        <f>IFERROR($N152/$S152,"")</f>
        <v/>
      </c>
      <c r="W152" s="140">
        <f>IFERROR($N152/$T152,"")</f>
        <v/>
      </c>
      <c r="X152" s="80" t="n"/>
      <c r="Y152" s="80" t="n"/>
    </row>
    <row r="153">
      <c r="A153" s="80" t="n"/>
      <c r="B153" s="138" t="n"/>
      <c r="C153" s="80" t="n"/>
      <c r="D153" s="80" t="n"/>
      <c r="E153" s="80" t="n"/>
      <c r="F153" s="80" t="n"/>
      <c r="G153" s="80" t="n"/>
      <c r="H153" s="80" t="n"/>
      <c r="I153" s="80" t="n"/>
      <c r="J153" s="80" t="n"/>
      <c r="K153" s="82">
        <f>IF($J153="","",IFERROR(VLOOKUP($J153,'基本設定'!$A$13:$K$19,2,FALSE),""))</f>
        <v/>
      </c>
      <c r="L153" s="139" t="n"/>
      <c r="M153" s="139" t="n"/>
      <c r="N153" s="140">
        <f>IF(OR($L153="",$M153=""),"",MAX(0,$L153-$M153))</f>
        <v/>
      </c>
      <c r="O153" s="140">
        <f>IF($J153="","",IFERROR(VLOOKUP($J153,'基本設定'!$A$13:$K$19,3,FALSE),0))</f>
        <v/>
      </c>
      <c r="P153" s="140">
        <f>IF($N153="","",$N153*$O153)</f>
        <v/>
      </c>
      <c r="Q153" s="139" t="n"/>
      <c r="R153" s="139" t="n"/>
      <c r="S153" s="139" t="n"/>
      <c r="T153" s="139" t="n"/>
      <c r="U153" s="140">
        <f>IF($J153="","",IFERROR($N153*VLOOKUP($J153,'基本設定'!$A$13:$K$19,4,FALSE),0))</f>
        <v/>
      </c>
      <c r="V153" s="140">
        <f>IFERROR($N153/$S153,"")</f>
        <v/>
      </c>
      <c r="W153" s="140">
        <f>IFERROR($N153/$T153,"")</f>
        <v/>
      </c>
      <c r="X153" s="80" t="n"/>
      <c r="Y153" s="80" t="n"/>
    </row>
    <row r="154">
      <c r="A154" s="80" t="n"/>
      <c r="B154" s="138" t="n"/>
      <c r="C154" s="80" t="n"/>
      <c r="D154" s="80" t="n"/>
      <c r="E154" s="80" t="n"/>
      <c r="F154" s="80" t="n"/>
      <c r="G154" s="80" t="n"/>
      <c r="H154" s="80" t="n"/>
      <c r="I154" s="80" t="n"/>
      <c r="J154" s="80" t="n"/>
      <c r="K154" s="82">
        <f>IF($J154="","",IFERROR(VLOOKUP($J154,'基本設定'!$A$13:$K$19,2,FALSE),""))</f>
        <v/>
      </c>
      <c r="L154" s="139" t="n"/>
      <c r="M154" s="139" t="n"/>
      <c r="N154" s="140">
        <f>IF(OR($L154="",$M154=""),"",MAX(0,$L154-$M154))</f>
        <v/>
      </c>
      <c r="O154" s="140">
        <f>IF($J154="","",IFERROR(VLOOKUP($J154,'基本設定'!$A$13:$K$19,3,FALSE),0))</f>
        <v/>
      </c>
      <c r="P154" s="140">
        <f>IF($N154="","",$N154*$O154)</f>
        <v/>
      </c>
      <c r="Q154" s="139" t="n"/>
      <c r="R154" s="139" t="n"/>
      <c r="S154" s="139" t="n"/>
      <c r="T154" s="139" t="n"/>
      <c r="U154" s="140">
        <f>IF($J154="","",IFERROR($N154*VLOOKUP($J154,'基本設定'!$A$13:$K$19,4,FALSE),0))</f>
        <v/>
      </c>
      <c r="V154" s="140">
        <f>IFERROR($N154/$S154,"")</f>
        <v/>
      </c>
      <c r="W154" s="140">
        <f>IFERROR($N154/$T154,"")</f>
        <v/>
      </c>
      <c r="X154" s="80" t="n"/>
      <c r="Y154" s="80" t="n"/>
    </row>
    <row r="155">
      <c r="A155" s="80" t="n"/>
      <c r="B155" s="138" t="n"/>
      <c r="C155" s="80" t="n"/>
      <c r="D155" s="80" t="n"/>
      <c r="E155" s="80" t="n"/>
      <c r="F155" s="80" t="n"/>
      <c r="G155" s="80" t="n"/>
      <c r="H155" s="80" t="n"/>
      <c r="I155" s="80" t="n"/>
      <c r="J155" s="80" t="n"/>
      <c r="K155" s="82">
        <f>IF($J155="","",IFERROR(VLOOKUP($J155,'基本設定'!$A$13:$K$19,2,FALSE),""))</f>
        <v/>
      </c>
      <c r="L155" s="139" t="n"/>
      <c r="M155" s="139" t="n"/>
      <c r="N155" s="140">
        <f>IF(OR($L155="",$M155=""),"",MAX(0,$L155-$M155))</f>
        <v/>
      </c>
      <c r="O155" s="140">
        <f>IF($J155="","",IFERROR(VLOOKUP($J155,'基本設定'!$A$13:$K$19,3,FALSE),0))</f>
        <v/>
      </c>
      <c r="P155" s="140">
        <f>IF($N155="","",$N155*$O155)</f>
        <v/>
      </c>
      <c r="Q155" s="139" t="n"/>
      <c r="R155" s="139" t="n"/>
      <c r="S155" s="139" t="n"/>
      <c r="T155" s="139" t="n"/>
      <c r="U155" s="140">
        <f>IF($J155="","",IFERROR($N155*VLOOKUP($J155,'基本設定'!$A$13:$K$19,4,FALSE),0))</f>
        <v/>
      </c>
      <c r="V155" s="140">
        <f>IFERROR($N155/$S155,"")</f>
        <v/>
      </c>
      <c r="W155" s="140">
        <f>IFERROR($N155/$T155,"")</f>
        <v/>
      </c>
      <c r="X155" s="80" t="n"/>
      <c r="Y155" s="80" t="n"/>
    </row>
    <row r="156">
      <c r="A156" s="80" t="n"/>
      <c r="B156" s="138" t="n"/>
      <c r="C156" s="80" t="n"/>
      <c r="D156" s="80" t="n"/>
      <c r="E156" s="80" t="n"/>
      <c r="F156" s="80" t="n"/>
      <c r="G156" s="80" t="n"/>
      <c r="H156" s="80" t="n"/>
      <c r="I156" s="80" t="n"/>
      <c r="J156" s="80" t="n"/>
      <c r="K156" s="82">
        <f>IF($J156="","",IFERROR(VLOOKUP($J156,'基本設定'!$A$13:$K$19,2,FALSE),""))</f>
        <v/>
      </c>
      <c r="L156" s="139" t="n"/>
      <c r="M156" s="139" t="n"/>
      <c r="N156" s="140">
        <f>IF(OR($L156="",$M156=""),"",MAX(0,$L156-$M156))</f>
        <v/>
      </c>
      <c r="O156" s="140">
        <f>IF($J156="","",IFERROR(VLOOKUP($J156,'基本設定'!$A$13:$K$19,3,FALSE),0))</f>
        <v/>
      </c>
      <c r="P156" s="140">
        <f>IF($N156="","",$N156*$O156)</f>
        <v/>
      </c>
      <c r="Q156" s="139" t="n"/>
      <c r="R156" s="139" t="n"/>
      <c r="S156" s="139" t="n"/>
      <c r="T156" s="139" t="n"/>
      <c r="U156" s="140">
        <f>IF($J156="","",IFERROR($N156*VLOOKUP($J156,'基本設定'!$A$13:$K$19,4,FALSE),0))</f>
        <v/>
      </c>
      <c r="V156" s="140">
        <f>IFERROR($N156/$S156,"")</f>
        <v/>
      </c>
      <c r="W156" s="140">
        <f>IFERROR($N156/$T156,"")</f>
        <v/>
      </c>
      <c r="X156" s="80" t="n"/>
      <c r="Y156" s="80" t="n"/>
    </row>
    <row r="157">
      <c r="A157" s="80" t="n"/>
      <c r="B157" s="138" t="n"/>
      <c r="C157" s="80" t="n"/>
      <c r="D157" s="80" t="n"/>
      <c r="E157" s="80" t="n"/>
      <c r="F157" s="80" t="n"/>
      <c r="G157" s="80" t="n"/>
      <c r="H157" s="80" t="n"/>
      <c r="I157" s="80" t="n"/>
      <c r="J157" s="80" t="n"/>
      <c r="K157" s="82">
        <f>IF($J157="","",IFERROR(VLOOKUP($J157,'基本設定'!$A$13:$K$19,2,FALSE),""))</f>
        <v/>
      </c>
      <c r="L157" s="139" t="n"/>
      <c r="M157" s="139" t="n"/>
      <c r="N157" s="140">
        <f>IF(OR($L157="",$M157=""),"",MAX(0,$L157-$M157))</f>
        <v/>
      </c>
      <c r="O157" s="140">
        <f>IF($J157="","",IFERROR(VLOOKUP($J157,'基本設定'!$A$13:$K$19,3,FALSE),0))</f>
        <v/>
      </c>
      <c r="P157" s="140">
        <f>IF($N157="","",$N157*$O157)</f>
        <v/>
      </c>
      <c r="Q157" s="139" t="n"/>
      <c r="R157" s="139" t="n"/>
      <c r="S157" s="139" t="n"/>
      <c r="T157" s="139" t="n"/>
      <c r="U157" s="140">
        <f>IF($J157="","",IFERROR($N157*VLOOKUP($J157,'基本設定'!$A$13:$K$19,4,FALSE),0))</f>
        <v/>
      </c>
      <c r="V157" s="140">
        <f>IFERROR($N157/$S157,"")</f>
        <v/>
      </c>
      <c r="W157" s="140">
        <f>IFERROR($N157/$T157,"")</f>
        <v/>
      </c>
      <c r="X157" s="80" t="n"/>
      <c r="Y157" s="80" t="n"/>
    </row>
    <row r="158">
      <c r="A158" s="80" t="n"/>
      <c r="B158" s="138" t="n"/>
      <c r="C158" s="80" t="n"/>
      <c r="D158" s="80" t="n"/>
      <c r="E158" s="80" t="n"/>
      <c r="F158" s="80" t="n"/>
      <c r="G158" s="80" t="n"/>
      <c r="H158" s="80" t="n"/>
      <c r="I158" s="80" t="n"/>
      <c r="J158" s="80" t="n"/>
      <c r="K158" s="82">
        <f>IF($J158="","",IFERROR(VLOOKUP($J158,'基本設定'!$A$13:$K$19,2,FALSE),""))</f>
        <v/>
      </c>
      <c r="L158" s="139" t="n"/>
      <c r="M158" s="139" t="n"/>
      <c r="N158" s="140">
        <f>IF(OR($L158="",$M158=""),"",MAX(0,$L158-$M158))</f>
        <v/>
      </c>
      <c r="O158" s="140">
        <f>IF($J158="","",IFERROR(VLOOKUP($J158,'基本設定'!$A$13:$K$19,3,FALSE),0))</f>
        <v/>
      </c>
      <c r="P158" s="140">
        <f>IF($N158="","",$N158*$O158)</f>
        <v/>
      </c>
      <c r="Q158" s="139" t="n"/>
      <c r="R158" s="139" t="n"/>
      <c r="S158" s="139" t="n"/>
      <c r="T158" s="139" t="n"/>
      <c r="U158" s="140">
        <f>IF($J158="","",IFERROR($N158*VLOOKUP($J158,'基本設定'!$A$13:$K$19,4,FALSE),0))</f>
        <v/>
      </c>
      <c r="V158" s="140">
        <f>IFERROR($N158/$S158,"")</f>
        <v/>
      </c>
      <c r="W158" s="140">
        <f>IFERROR($N158/$T158,"")</f>
        <v/>
      </c>
      <c r="X158" s="80" t="n"/>
      <c r="Y158" s="80" t="n"/>
    </row>
    <row r="159">
      <c r="A159" s="80" t="n"/>
      <c r="B159" s="138" t="n"/>
      <c r="C159" s="80" t="n"/>
      <c r="D159" s="80" t="n"/>
      <c r="E159" s="80" t="n"/>
      <c r="F159" s="80" t="n"/>
      <c r="G159" s="80" t="n"/>
      <c r="H159" s="80" t="n"/>
      <c r="I159" s="80" t="n"/>
      <c r="J159" s="80" t="n"/>
      <c r="K159" s="82">
        <f>IF($J159="","",IFERROR(VLOOKUP($J159,'基本設定'!$A$13:$K$19,2,FALSE),""))</f>
        <v/>
      </c>
      <c r="L159" s="139" t="n"/>
      <c r="M159" s="139" t="n"/>
      <c r="N159" s="140">
        <f>IF(OR($L159="",$M159=""),"",MAX(0,$L159-$M159))</f>
        <v/>
      </c>
      <c r="O159" s="140">
        <f>IF($J159="","",IFERROR(VLOOKUP($J159,'基本設定'!$A$13:$K$19,3,FALSE),0))</f>
        <v/>
      </c>
      <c r="P159" s="140">
        <f>IF($N159="","",$N159*$O159)</f>
        <v/>
      </c>
      <c r="Q159" s="139" t="n"/>
      <c r="R159" s="139" t="n"/>
      <c r="S159" s="139" t="n"/>
      <c r="T159" s="139" t="n"/>
      <c r="U159" s="140">
        <f>IF($J159="","",IFERROR($N159*VLOOKUP($J159,'基本設定'!$A$13:$K$19,4,FALSE),0))</f>
        <v/>
      </c>
      <c r="V159" s="140">
        <f>IFERROR($N159/$S159,"")</f>
        <v/>
      </c>
      <c r="W159" s="140">
        <f>IFERROR($N159/$T159,"")</f>
        <v/>
      </c>
      <c r="X159" s="80" t="n"/>
      <c r="Y159" s="80" t="n"/>
    </row>
    <row r="160">
      <c r="A160" s="80" t="n"/>
      <c r="B160" s="138" t="n"/>
      <c r="C160" s="80" t="n"/>
      <c r="D160" s="80" t="n"/>
      <c r="E160" s="80" t="n"/>
      <c r="F160" s="80" t="n"/>
      <c r="G160" s="80" t="n"/>
      <c r="H160" s="80" t="n"/>
      <c r="I160" s="80" t="n"/>
      <c r="J160" s="80" t="n"/>
      <c r="K160" s="82">
        <f>IF($J160="","",IFERROR(VLOOKUP($J160,'基本設定'!$A$13:$K$19,2,FALSE),""))</f>
        <v/>
      </c>
      <c r="L160" s="139" t="n"/>
      <c r="M160" s="139" t="n"/>
      <c r="N160" s="140">
        <f>IF(OR($L160="",$M160=""),"",MAX(0,$L160-$M160))</f>
        <v/>
      </c>
      <c r="O160" s="140">
        <f>IF($J160="","",IFERROR(VLOOKUP($J160,'基本設定'!$A$13:$K$19,3,FALSE),0))</f>
        <v/>
      </c>
      <c r="P160" s="140">
        <f>IF($N160="","",$N160*$O160)</f>
        <v/>
      </c>
      <c r="Q160" s="139" t="n"/>
      <c r="R160" s="139" t="n"/>
      <c r="S160" s="139" t="n"/>
      <c r="T160" s="139" t="n"/>
      <c r="U160" s="140">
        <f>IF($J160="","",IFERROR($N160*VLOOKUP($J160,'基本設定'!$A$13:$K$19,4,FALSE),0))</f>
        <v/>
      </c>
      <c r="V160" s="140">
        <f>IFERROR($N160/$S160,"")</f>
        <v/>
      </c>
      <c r="W160" s="140">
        <f>IFERROR($N160/$T160,"")</f>
        <v/>
      </c>
      <c r="X160" s="80" t="n"/>
      <c r="Y160" s="80" t="n"/>
    </row>
    <row r="161">
      <c r="A161" s="80" t="n"/>
      <c r="B161" s="138" t="n"/>
      <c r="C161" s="80" t="n"/>
      <c r="D161" s="80" t="n"/>
      <c r="E161" s="80" t="n"/>
      <c r="F161" s="80" t="n"/>
      <c r="G161" s="80" t="n"/>
      <c r="H161" s="80" t="n"/>
      <c r="I161" s="80" t="n"/>
      <c r="J161" s="80" t="n"/>
      <c r="K161" s="82">
        <f>IF($J161="","",IFERROR(VLOOKUP($J161,'基本設定'!$A$13:$K$19,2,FALSE),""))</f>
        <v/>
      </c>
      <c r="L161" s="139" t="n"/>
      <c r="M161" s="139" t="n"/>
      <c r="N161" s="140">
        <f>IF(OR($L161="",$M161=""),"",MAX(0,$L161-$M161))</f>
        <v/>
      </c>
      <c r="O161" s="140">
        <f>IF($J161="","",IFERROR(VLOOKUP($J161,'基本設定'!$A$13:$K$19,3,FALSE),0))</f>
        <v/>
      </c>
      <c r="P161" s="140">
        <f>IF($N161="","",$N161*$O161)</f>
        <v/>
      </c>
      <c r="Q161" s="139" t="n"/>
      <c r="R161" s="139" t="n"/>
      <c r="S161" s="139" t="n"/>
      <c r="T161" s="139" t="n"/>
      <c r="U161" s="140">
        <f>IF($J161="","",IFERROR($N161*VLOOKUP($J161,'基本設定'!$A$13:$K$19,4,FALSE),0))</f>
        <v/>
      </c>
      <c r="V161" s="140">
        <f>IFERROR($N161/$S161,"")</f>
        <v/>
      </c>
      <c r="W161" s="140">
        <f>IFERROR($N161/$T161,"")</f>
        <v/>
      </c>
      <c r="X161" s="80" t="n"/>
      <c r="Y161" s="80" t="n"/>
    </row>
    <row r="162">
      <c r="A162" s="80" t="n"/>
      <c r="B162" s="138" t="n"/>
      <c r="C162" s="80" t="n"/>
      <c r="D162" s="80" t="n"/>
      <c r="E162" s="80" t="n"/>
      <c r="F162" s="80" t="n"/>
      <c r="G162" s="80" t="n"/>
      <c r="H162" s="80" t="n"/>
      <c r="I162" s="80" t="n"/>
      <c r="J162" s="80" t="n"/>
      <c r="K162" s="82">
        <f>IF($J162="","",IFERROR(VLOOKUP($J162,'基本設定'!$A$13:$K$19,2,FALSE),""))</f>
        <v/>
      </c>
      <c r="L162" s="139" t="n"/>
      <c r="M162" s="139" t="n"/>
      <c r="N162" s="140">
        <f>IF(OR($L162="",$M162=""),"",MAX(0,$L162-$M162))</f>
        <v/>
      </c>
      <c r="O162" s="140">
        <f>IF($J162="","",IFERROR(VLOOKUP($J162,'基本設定'!$A$13:$K$19,3,FALSE),0))</f>
        <v/>
      </c>
      <c r="P162" s="140">
        <f>IF($N162="","",$N162*$O162)</f>
        <v/>
      </c>
      <c r="Q162" s="139" t="n"/>
      <c r="R162" s="139" t="n"/>
      <c r="S162" s="139" t="n"/>
      <c r="T162" s="139" t="n"/>
      <c r="U162" s="140">
        <f>IF($J162="","",IFERROR($N162*VLOOKUP($J162,'基本設定'!$A$13:$K$19,4,FALSE),0))</f>
        <v/>
      </c>
      <c r="V162" s="140">
        <f>IFERROR($N162/$S162,"")</f>
        <v/>
      </c>
      <c r="W162" s="140">
        <f>IFERROR($N162/$T162,"")</f>
        <v/>
      </c>
      <c r="X162" s="80" t="n"/>
      <c r="Y162" s="80" t="n"/>
    </row>
    <row r="163">
      <c r="A163" s="80" t="n"/>
      <c r="B163" s="138" t="n"/>
      <c r="C163" s="80" t="n"/>
      <c r="D163" s="80" t="n"/>
      <c r="E163" s="80" t="n"/>
      <c r="F163" s="80" t="n"/>
      <c r="G163" s="80" t="n"/>
      <c r="H163" s="80" t="n"/>
      <c r="I163" s="80" t="n"/>
      <c r="J163" s="80" t="n"/>
      <c r="K163" s="82">
        <f>IF($J163="","",IFERROR(VLOOKUP($J163,'基本設定'!$A$13:$K$19,2,FALSE),""))</f>
        <v/>
      </c>
      <c r="L163" s="139" t="n"/>
      <c r="M163" s="139" t="n"/>
      <c r="N163" s="140">
        <f>IF(OR($L163="",$M163=""),"",MAX(0,$L163-$M163))</f>
        <v/>
      </c>
      <c r="O163" s="140">
        <f>IF($J163="","",IFERROR(VLOOKUP($J163,'基本設定'!$A$13:$K$19,3,FALSE),0))</f>
        <v/>
      </c>
      <c r="P163" s="140">
        <f>IF($N163="","",$N163*$O163)</f>
        <v/>
      </c>
      <c r="Q163" s="139" t="n"/>
      <c r="R163" s="139" t="n"/>
      <c r="S163" s="139" t="n"/>
      <c r="T163" s="139" t="n"/>
      <c r="U163" s="140">
        <f>IF($J163="","",IFERROR($N163*VLOOKUP($J163,'基本設定'!$A$13:$K$19,4,FALSE),0))</f>
        <v/>
      </c>
      <c r="V163" s="140">
        <f>IFERROR($N163/$S163,"")</f>
        <v/>
      </c>
      <c r="W163" s="140">
        <f>IFERROR($N163/$T163,"")</f>
        <v/>
      </c>
      <c r="X163" s="80" t="n"/>
      <c r="Y163" s="80" t="n"/>
    </row>
    <row r="164">
      <c r="A164" s="80" t="n"/>
      <c r="B164" s="138" t="n"/>
      <c r="C164" s="80" t="n"/>
      <c r="D164" s="80" t="n"/>
      <c r="E164" s="80" t="n"/>
      <c r="F164" s="80" t="n"/>
      <c r="G164" s="80" t="n"/>
      <c r="H164" s="80" t="n"/>
      <c r="I164" s="80" t="n"/>
      <c r="J164" s="80" t="n"/>
      <c r="K164" s="82">
        <f>IF($J164="","",IFERROR(VLOOKUP($J164,'基本設定'!$A$13:$K$19,2,FALSE),""))</f>
        <v/>
      </c>
      <c r="L164" s="139" t="n"/>
      <c r="M164" s="139" t="n"/>
      <c r="N164" s="140">
        <f>IF(OR($L164="",$M164=""),"",MAX(0,$L164-$M164))</f>
        <v/>
      </c>
      <c r="O164" s="140">
        <f>IF($J164="","",IFERROR(VLOOKUP($J164,'基本設定'!$A$13:$K$19,3,FALSE),0))</f>
        <v/>
      </c>
      <c r="P164" s="140">
        <f>IF($N164="","",$N164*$O164)</f>
        <v/>
      </c>
      <c r="Q164" s="139" t="n"/>
      <c r="R164" s="139" t="n"/>
      <c r="S164" s="139" t="n"/>
      <c r="T164" s="139" t="n"/>
      <c r="U164" s="140">
        <f>IF($J164="","",IFERROR($N164*VLOOKUP($J164,'基本設定'!$A$13:$K$19,4,FALSE),0))</f>
        <v/>
      </c>
      <c r="V164" s="140">
        <f>IFERROR($N164/$S164,"")</f>
        <v/>
      </c>
      <c r="W164" s="140">
        <f>IFERROR($N164/$T164,"")</f>
        <v/>
      </c>
      <c r="X164" s="80" t="n"/>
      <c r="Y164" s="80" t="n"/>
    </row>
    <row r="165">
      <c r="A165" s="80" t="n"/>
      <c r="B165" s="138" t="n"/>
      <c r="C165" s="80" t="n"/>
      <c r="D165" s="80" t="n"/>
      <c r="E165" s="80" t="n"/>
      <c r="F165" s="80" t="n"/>
      <c r="G165" s="80" t="n"/>
      <c r="H165" s="80" t="n"/>
      <c r="I165" s="80" t="n"/>
      <c r="J165" s="80" t="n"/>
      <c r="K165" s="82">
        <f>IF($J165="","",IFERROR(VLOOKUP($J165,'基本設定'!$A$13:$K$19,2,FALSE),""))</f>
        <v/>
      </c>
      <c r="L165" s="139" t="n"/>
      <c r="M165" s="139" t="n"/>
      <c r="N165" s="140">
        <f>IF(OR($L165="",$M165=""),"",MAX(0,$L165-$M165))</f>
        <v/>
      </c>
      <c r="O165" s="140">
        <f>IF($J165="","",IFERROR(VLOOKUP($J165,'基本設定'!$A$13:$K$19,3,FALSE),0))</f>
        <v/>
      </c>
      <c r="P165" s="140">
        <f>IF($N165="","",$N165*$O165)</f>
        <v/>
      </c>
      <c r="Q165" s="139" t="n"/>
      <c r="R165" s="139" t="n"/>
      <c r="S165" s="139" t="n"/>
      <c r="T165" s="139" t="n"/>
      <c r="U165" s="140">
        <f>IF($J165="","",IFERROR($N165*VLOOKUP($J165,'基本設定'!$A$13:$K$19,4,FALSE),0))</f>
        <v/>
      </c>
      <c r="V165" s="140">
        <f>IFERROR($N165/$S165,"")</f>
        <v/>
      </c>
      <c r="W165" s="140">
        <f>IFERROR($N165/$T165,"")</f>
        <v/>
      </c>
      <c r="X165" s="80" t="n"/>
      <c r="Y165" s="80" t="n"/>
    </row>
    <row r="166">
      <c r="A166" s="80" t="n"/>
      <c r="B166" s="138" t="n"/>
      <c r="C166" s="80" t="n"/>
      <c r="D166" s="80" t="n"/>
      <c r="E166" s="80" t="n"/>
      <c r="F166" s="80" t="n"/>
      <c r="G166" s="80" t="n"/>
      <c r="H166" s="80" t="n"/>
      <c r="I166" s="80" t="n"/>
      <c r="J166" s="80" t="n"/>
      <c r="K166" s="82">
        <f>IF($J166="","",IFERROR(VLOOKUP($J166,'基本設定'!$A$13:$K$19,2,FALSE),""))</f>
        <v/>
      </c>
      <c r="L166" s="139" t="n"/>
      <c r="M166" s="139" t="n"/>
      <c r="N166" s="140">
        <f>IF(OR($L166="",$M166=""),"",MAX(0,$L166-$M166))</f>
        <v/>
      </c>
      <c r="O166" s="140">
        <f>IF($J166="","",IFERROR(VLOOKUP($J166,'基本設定'!$A$13:$K$19,3,FALSE),0))</f>
        <v/>
      </c>
      <c r="P166" s="140">
        <f>IF($N166="","",$N166*$O166)</f>
        <v/>
      </c>
      <c r="Q166" s="139" t="n"/>
      <c r="R166" s="139" t="n"/>
      <c r="S166" s="139" t="n"/>
      <c r="T166" s="139" t="n"/>
      <c r="U166" s="140">
        <f>IF($J166="","",IFERROR($N166*VLOOKUP($J166,'基本設定'!$A$13:$K$19,4,FALSE),0))</f>
        <v/>
      </c>
      <c r="V166" s="140">
        <f>IFERROR($N166/$S166,"")</f>
        <v/>
      </c>
      <c r="W166" s="140">
        <f>IFERROR($N166/$T166,"")</f>
        <v/>
      </c>
      <c r="X166" s="80" t="n"/>
      <c r="Y166" s="80" t="n"/>
    </row>
    <row r="167">
      <c r="A167" s="80" t="n"/>
      <c r="B167" s="138" t="n"/>
      <c r="C167" s="80" t="n"/>
      <c r="D167" s="80" t="n"/>
      <c r="E167" s="80" t="n"/>
      <c r="F167" s="80" t="n"/>
      <c r="G167" s="80" t="n"/>
      <c r="H167" s="80" t="n"/>
      <c r="I167" s="80" t="n"/>
      <c r="J167" s="80" t="n"/>
      <c r="K167" s="82">
        <f>IF($J167="","",IFERROR(VLOOKUP($J167,'基本設定'!$A$13:$K$19,2,FALSE),""))</f>
        <v/>
      </c>
      <c r="L167" s="139" t="n"/>
      <c r="M167" s="139" t="n"/>
      <c r="N167" s="140">
        <f>IF(OR($L167="",$M167=""),"",MAX(0,$L167-$M167))</f>
        <v/>
      </c>
      <c r="O167" s="140">
        <f>IF($J167="","",IFERROR(VLOOKUP($J167,'基本設定'!$A$13:$K$19,3,FALSE),0))</f>
        <v/>
      </c>
      <c r="P167" s="140">
        <f>IF($N167="","",$N167*$O167)</f>
        <v/>
      </c>
      <c r="Q167" s="139" t="n"/>
      <c r="R167" s="139" t="n"/>
      <c r="S167" s="139" t="n"/>
      <c r="T167" s="139" t="n"/>
      <c r="U167" s="140">
        <f>IF($J167="","",IFERROR($N167*VLOOKUP($J167,'基本設定'!$A$13:$K$19,4,FALSE),0))</f>
        <v/>
      </c>
      <c r="V167" s="140">
        <f>IFERROR($N167/$S167,"")</f>
        <v/>
      </c>
      <c r="W167" s="140">
        <f>IFERROR($N167/$T167,"")</f>
        <v/>
      </c>
      <c r="X167" s="80" t="n"/>
      <c r="Y167" s="80" t="n"/>
    </row>
    <row r="168">
      <c r="A168" s="80" t="n"/>
      <c r="B168" s="138" t="n"/>
      <c r="C168" s="80" t="n"/>
      <c r="D168" s="80" t="n"/>
      <c r="E168" s="80" t="n"/>
      <c r="F168" s="80" t="n"/>
      <c r="G168" s="80" t="n"/>
      <c r="H168" s="80" t="n"/>
      <c r="I168" s="80" t="n"/>
      <c r="J168" s="80" t="n"/>
      <c r="K168" s="82">
        <f>IF($J168="","",IFERROR(VLOOKUP($J168,'基本設定'!$A$13:$K$19,2,FALSE),""))</f>
        <v/>
      </c>
      <c r="L168" s="139" t="n"/>
      <c r="M168" s="139" t="n"/>
      <c r="N168" s="140">
        <f>IF(OR($L168="",$M168=""),"",MAX(0,$L168-$M168))</f>
        <v/>
      </c>
      <c r="O168" s="140">
        <f>IF($J168="","",IFERROR(VLOOKUP($J168,'基本設定'!$A$13:$K$19,3,FALSE),0))</f>
        <v/>
      </c>
      <c r="P168" s="140">
        <f>IF($N168="","",$N168*$O168)</f>
        <v/>
      </c>
      <c r="Q168" s="139" t="n"/>
      <c r="R168" s="139" t="n"/>
      <c r="S168" s="139" t="n"/>
      <c r="T168" s="139" t="n"/>
      <c r="U168" s="140">
        <f>IF($J168="","",IFERROR($N168*VLOOKUP($J168,'基本設定'!$A$13:$K$19,4,FALSE),0))</f>
        <v/>
      </c>
      <c r="V168" s="140">
        <f>IFERROR($N168/$S168,"")</f>
        <v/>
      </c>
      <c r="W168" s="140">
        <f>IFERROR($N168/$T168,"")</f>
        <v/>
      </c>
      <c r="X168" s="80" t="n"/>
      <c r="Y168" s="80" t="n"/>
    </row>
    <row r="169">
      <c r="A169" s="80" t="n"/>
      <c r="B169" s="138" t="n"/>
      <c r="C169" s="80" t="n"/>
      <c r="D169" s="80" t="n"/>
      <c r="E169" s="80" t="n"/>
      <c r="F169" s="80" t="n"/>
      <c r="G169" s="80" t="n"/>
      <c r="H169" s="80" t="n"/>
      <c r="I169" s="80" t="n"/>
      <c r="J169" s="80" t="n"/>
      <c r="K169" s="82">
        <f>IF($J169="","",IFERROR(VLOOKUP($J169,'基本設定'!$A$13:$K$19,2,FALSE),""))</f>
        <v/>
      </c>
      <c r="L169" s="139" t="n"/>
      <c r="M169" s="139" t="n"/>
      <c r="N169" s="140">
        <f>IF(OR($L169="",$M169=""),"",MAX(0,$L169-$M169))</f>
        <v/>
      </c>
      <c r="O169" s="140">
        <f>IF($J169="","",IFERROR(VLOOKUP($J169,'基本設定'!$A$13:$K$19,3,FALSE),0))</f>
        <v/>
      </c>
      <c r="P169" s="140">
        <f>IF($N169="","",$N169*$O169)</f>
        <v/>
      </c>
      <c r="Q169" s="139" t="n"/>
      <c r="R169" s="139" t="n"/>
      <c r="S169" s="139" t="n"/>
      <c r="T169" s="139" t="n"/>
      <c r="U169" s="140">
        <f>IF($J169="","",IFERROR($N169*VLOOKUP($J169,'基本設定'!$A$13:$K$19,4,FALSE),0))</f>
        <v/>
      </c>
      <c r="V169" s="140">
        <f>IFERROR($N169/$S169,"")</f>
        <v/>
      </c>
      <c r="W169" s="140">
        <f>IFERROR($N169/$T169,"")</f>
        <v/>
      </c>
      <c r="X169" s="80" t="n"/>
      <c r="Y169" s="80" t="n"/>
    </row>
    <row r="170">
      <c r="A170" s="80" t="n"/>
      <c r="B170" s="138" t="n"/>
      <c r="C170" s="80" t="n"/>
      <c r="D170" s="80" t="n"/>
      <c r="E170" s="80" t="n"/>
      <c r="F170" s="80" t="n"/>
      <c r="G170" s="80" t="n"/>
      <c r="H170" s="80" t="n"/>
      <c r="I170" s="80" t="n"/>
      <c r="J170" s="80" t="n"/>
      <c r="K170" s="82">
        <f>IF($J170="","",IFERROR(VLOOKUP($J170,'基本設定'!$A$13:$K$19,2,FALSE),""))</f>
        <v/>
      </c>
      <c r="L170" s="139" t="n"/>
      <c r="M170" s="139" t="n"/>
      <c r="N170" s="140">
        <f>IF(OR($L170="",$M170=""),"",MAX(0,$L170-$M170))</f>
        <v/>
      </c>
      <c r="O170" s="140">
        <f>IF($J170="","",IFERROR(VLOOKUP($J170,'基本設定'!$A$13:$K$19,3,FALSE),0))</f>
        <v/>
      </c>
      <c r="P170" s="140">
        <f>IF($N170="","",$N170*$O170)</f>
        <v/>
      </c>
      <c r="Q170" s="139" t="n"/>
      <c r="R170" s="139" t="n"/>
      <c r="S170" s="139" t="n"/>
      <c r="T170" s="139" t="n"/>
      <c r="U170" s="140">
        <f>IF($J170="","",IFERROR($N170*VLOOKUP($J170,'基本設定'!$A$13:$K$19,4,FALSE),0))</f>
        <v/>
      </c>
      <c r="V170" s="140">
        <f>IFERROR($N170/$S170,"")</f>
        <v/>
      </c>
      <c r="W170" s="140">
        <f>IFERROR($N170/$T170,"")</f>
        <v/>
      </c>
      <c r="X170" s="80" t="n"/>
      <c r="Y170" s="80" t="n"/>
    </row>
    <row r="171">
      <c r="A171" s="80" t="n"/>
      <c r="B171" s="138" t="n"/>
      <c r="C171" s="80" t="n"/>
      <c r="D171" s="80" t="n"/>
      <c r="E171" s="80" t="n"/>
      <c r="F171" s="80" t="n"/>
      <c r="G171" s="80" t="n"/>
      <c r="H171" s="80" t="n"/>
      <c r="I171" s="80" t="n"/>
      <c r="J171" s="80" t="n"/>
      <c r="K171" s="82">
        <f>IF($J171="","",IFERROR(VLOOKUP($J171,'基本設定'!$A$13:$K$19,2,FALSE),""))</f>
        <v/>
      </c>
      <c r="L171" s="139" t="n"/>
      <c r="M171" s="139" t="n"/>
      <c r="N171" s="140">
        <f>IF(OR($L171="",$M171=""),"",MAX(0,$L171-$M171))</f>
        <v/>
      </c>
      <c r="O171" s="140">
        <f>IF($J171="","",IFERROR(VLOOKUP($J171,'基本設定'!$A$13:$K$19,3,FALSE),0))</f>
        <v/>
      </c>
      <c r="P171" s="140">
        <f>IF($N171="","",$N171*$O171)</f>
        <v/>
      </c>
      <c r="Q171" s="139" t="n"/>
      <c r="R171" s="139" t="n"/>
      <c r="S171" s="139" t="n"/>
      <c r="T171" s="139" t="n"/>
      <c r="U171" s="140">
        <f>IF($J171="","",IFERROR($N171*VLOOKUP($J171,'基本設定'!$A$13:$K$19,4,FALSE),0))</f>
        <v/>
      </c>
      <c r="V171" s="140">
        <f>IFERROR($N171/$S171,"")</f>
        <v/>
      </c>
      <c r="W171" s="140">
        <f>IFERROR($N171/$T171,"")</f>
        <v/>
      </c>
      <c r="X171" s="80" t="n"/>
      <c r="Y171" s="80" t="n"/>
    </row>
    <row r="172">
      <c r="A172" s="80" t="n"/>
      <c r="B172" s="138" t="n"/>
      <c r="C172" s="80" t="n"/>
      <c r="D172" s="80" t="n"/>
      <c r="E172" s="80" t="n"/>
      <c r="F172" s="80" t="n"/>
      <c r="G172" s="80" t="n"/>
      <c r="H172" s="80" t="n"/>
      <c r="I172" s="80" t="n"/>
      <c r="J172" s="80" t="n"/>
      <c r="K172" s="82">
        <f>IF($J172="","",IFERROR(VLOOKUP($J172,'基本設定'!$A$13:$K$19,2,FALSE),""))</f>
        <v/>
      </c>
      <c r="L172" s="139" t="n"/>
      <c r="M172" s="139" t="n"/>
      <c r="N172" s="140">
        <f>IF(OR($L172="",$M172=""),"",MAX(0,$L172-$M172))</f>
        <v/>
      </c>
      <c r="O172" s="140">
        <f>IF($J172="","",IFERROR(VLOOKUP($J172,'基本設定'!$A$13:$K$19,3,FALSE),0))</f>
        <v/>
      </c>
      <c r="P172" s="140">
        <f>IF($N172="","",$N172*$O172)</f>
        <v/>
      </c>
      <c r="Q172" s="139" t="n"/>
      <c r="R172" s="139" t="n"/>
      <c r="S172" s="139" t="n"/>
      <c r="T172" s="139" t="n"/>
      <c r="U172" s="140">
        <f>IF($J172="","",IFERROR($N172*VLOOKUP($J172,'基本設定'!$A$13:$K$19,4,FALSE),0))</f>
        <v/>
      </c>
      <c r="V172" s="140">
        <f>IFERROR($N172/$S172,"")</f>
        <v/>
      </c>
      <c r="W172" s="140">
        <f>IFERROR($N172/$T172,"")</f>
        <v/>
      </c>
      <c r="X172" s="80" t="n"/>
      <c r="Y172" s="80" t="n"/>
    </row>
    <row r="173">
      <c r="A173" s="80" t="n"/>
      <c r="B173" s="138" t="n"/>
      <c r="C173" s="80" t="n"/>
      <c r="D173" s="80" t="n"/>
      <c r="E173" s="80" t="n"/>
      <c r="F173" s="80" t="n"/>
      <c r="G173" s="80" t="n"/>
      <c r="H173" s="80" t="n"/>
      <c r="I173" s="80" t="n"/>
      <c r="J173" s="80" t="n"/>
      <c r="K173" s="82">
        <f>IF($J173="","",IFERROR(VLOOKUP($J173,'基本設定'!$A$13:$K$19,2,FALSE),""))</f>
        <v/>
      </c>
      <c r="L173" s="139" t="n"/>
      <c r="M173" s="139" t="n"/>
      <c r="N173" s="140">
        <f>IF(OR($L173="",$M173=""),"",MAX(0,$L173-$M173))</f>
        <v/>
      </c>
      <c r="O173" s="140">
        <f>IF($J173="","",IFERROR(VLOOKUP($J173,'基本設定'!$A$13:$K$19,3,FALSE),0))</f>
        <v/>
      </c>
      <c r="P173" s="140">
        <f>IF($N173="","",$N173*$O173)</f>
        <v/>
      </c>
      <c r="Q173" s="139" t="n"/>
      <c r="R173" s="139" t="n"/>
      <c r="S173" s="139" t="n"/>
      <c r="T173" s="139" t="n"/>
      <c r="U173" s="140">
        <f>IF($J173="","",IFERROR($N173*VLOOKUP($J173,'基本設定'!$A$13:$K$19,4,FALSE),0))</f>
        <v/>
      </c>
      <c r="V173" s="140">
        <f>IFERROR($N173/$S173,"")</f>
        <v/>
      </c>
      <c r="W173" s="140">
        <f>IFERROR($N173/$T173,"")</f>
        <v/>
      </c>
      <c r="X173" s="80" t="n"/>
      <c r="Y173" s="80" t="n"/>
    </row>
    <row r="174">
      <c r="A174" s="80" t="n"/>
      <c r="B174" s="138" t="n"/>
      <c r="C174" s="80" t="n"/>
      <c r="D174" s="80" t="n"/>
      <c r="E174" s="80" t="n"/>
      <c r="F174" s="80" t="n"/>
      <c r="G174" s="80" t="n"/>
      <c r="H174" s="80" t="n"/>
      <c r="I174" s="80" t="n"/>
      <c r="J174" s="80" t="n"/>
      <c r="K174" s="82">
        <f>IF($J174="","",IFERROR(VLOOKUP($J174,'基本設定'!$A$13:$K$19,2,FALSE),""))</f>
        <v/>
      </c>
      <c r="L174" s="139" t="n"/>
      <c r="M174" s="139" t="n"/>
      <c r="N174" s="140">
        <f>IF(OR($L174="",$M174=""),"",MAX(0,$L174-$M174))</f>
        <v/>
      </c>
      <c r="O174" s="140">
        <f>IF($J174="","",IFERROR(VLOOKUP($J174,'基本設定'!$A$13:$K$19,3,FALSE),0))</f>
        <v/>
      </c>
      <c r="P174" s="140">
        <f>IF($N174="","",$N174*$O174)</f>
        <v/>
      </c>
      <c r="Q174" s="139" t="n"/>
      <c r="R174" s="139" t="n"/>
      <c r="S174" s="139" t="n"/>
      <c r="T174" s="139" t="n"/>
      <c r="U174" s="140">
        <f>IF($J174="","",IFERROR($N174*VLOOKUP($J174,'基本設定'!$A$13:$K$19,4,FALSE),0))</f>
        <v/>
      </c>
      <c r="V174" s="140">
        <f>IFERROR($N174/$S174,"")</f>
        <v/>
      </c>
      <c r="W174" s="140">
        <f>IFERROR($N174/$T174,"")</f>
        <v/>
      </c>
      <c r="X174" s="80" t="n"/>
      <c r="Y174" s="80" t="n"/>
    </row>
    <row r="175">
      <c r="A175" s="80" t="n"/>
      <c r="B175" s="138" t="n"/>
      <c r="C175" s="80" t="n"/>
      <c r="D175" s="80" t="n"/>
      <c r="E175" s="80" t="n"/>
      <c r="F175" s="80" t="n"/>
      <c r="G175" s="80" t="n"/>
      <c r="H175" s="80" t="n"/>
      <c r="I175" s="80" t="n"/>
      <c r="J175" s="80" t="n"/>
      <c r="K175" s="82">
        <f>IF($J175="","",IFERROR(VLOOKUP($J175,'基本設定'!$A$13:$K$19,2,FALSE),""))</f>
        <v/>
      </c>
      <c r="L175" s="139" t="n"/>
      <c r="M175" s="139" t="n"/>
      <c r="N175" s="140">
        <f>IF(OR($L175="",$M175=""),"",MAX(0,$L175-$M175))</f>
        <v/>
      </c>
      <c r="O175" s="140">
        <f>IF($J175="","",IFERROR(VLOOKUP($J175,'基本設定'!$A$13:$K$19,3,FALSE),0))</f>
        <v/>
      </c>
      <c r="P175" s="140">
        <f>IF($N175="","",$N175*$O175)</f>
        <v/>
      </c>
      <c r="Q175" s="139" t="n"/>
      <c r="R175" s="139" t="n"/>
      <c r="S175" s="139" t="n"/>
      <c r="T175" s="139" t="n"/>
      <c r="U175" s="140">
        <f>IF($J175="","",IFERROR($N175*VLOOKUP($J175,'基本設定'!$A$13:$K$19,4,FALSE),0))</f>
        <v/>
      </c>
      <c r="V175" s="140">
        <f>IFERROR($N175/$S175,"")</f>
        <v/>
      </c>
      <c r="W175" s="140">
        <f>IFERROR($N175/$T175,"")</f>
        <v/>
      </c>
      <c r="X175" s="80" t="n"/>
      <c r="Y175" s="80" t="n"/>
    </row>
    <row r="176">
      <c r="A176" s="80" t="n"/>
      <c r="B176" s="138" t="n"/>
      <c r="C176" s="80" t="n"/>
      <c r="D176" s="80" t="n"/>
      <c r="E176" s="80" t="n"/>
      <c r="F176" s="80" t="n"/>
      <c r="G176" s="80" t="n"/>
      <c r="H176" s="80" t="n"/>
      <c r="I176" s="80" t="n"/>
      <c r="J176" s="80" t="n"/>
      <c r="K176" s="82">
        <f>IF($J176="","",IFERROR(VLOOKUP($J176,'基本設定'!$A$13:$K$19,2,FALSE),""))</f>
        <v/>
      </c>
      <c r="L176" s="139" t="n"/>
      <c r="M176" s="139" t="n"/>
      <c r="N176" s="140">
        <f>IF(OR($L176="",$M176=""),"",MAX(0,$L176-$M176))</f>
        <v/>
      </c>
      <c r="O176" s="140">
        <f>IF($J176="","",IFERROR(VLOOKUP($J176,'基本設定'!$A$13:$K$19,3,FALSE),0))</f>
        <v/>
      </c>
      <c r="P176" s="140">
        <f>IF($N176="","",$N176*$O176)</f>
        <v/>
      </c>
      <c r="Q176" s="139" t="n"/>
      <c r="R176" s="139" t="n"/>
      <c r="S176" s="139" t="n"/>
      <c r="T176" s="139" t="n"/>
      <c r="U176" s="140">
        <f>IF($J176="","",IFERROR($N176*VLOOKUP($J176,'基本設定'!$A$13:$K$19,4,FALSE),0))</f>
        <v/>
      </c>
      <c r="V176" s="140">
        <f>IFERROR($N176/$S176,"")</f>
        <v/>
      </c>
      <c r="W176" s="140">
        <f>IFERROR($N176/$T176,"")</f>
        <v/>
      </c>
      <c r="X176" s="80" t="n"/>
      <c r="Y176" s="80" t="n"/>
    </row>
    <row r="177">
      <c r="A177" s="80" t="n"/>
      <c r="B177" s="138" t="n"/>
      <c r="C177" s="80" t="n"/>
      <c r="D177" s="80" t="n"/>
      <c r="E177" s="80" t="n"/>
      <c r="F177" s="80" t="n"/>
      <c r="G177" s="80" t="n"/>
      <c r="H177" s="80" t="n"/>
      <c r="I177" s="80" t="n"/>
      <c r="J177" s="80" t="n"/>
      <c r="K177" s="82">
        <f>IF($J177="","",IFERROR(VLOOKUP($J177,'基本設定'!$A$13:$K$19,2,FALSE),""))</f>
        <v/>
      </c>
      <c r="L177" s="139" t="n"/>
      <c r="M177" s="139" t="n"/>
      <c r="N177" s="140">
        <f>IF(OR($L177="",$M177=""),"",MAX(0,$L177-$M177))</f>
        <v/>
      </c>
      <c r="O177" s="140">
        <f>IF($J177="","",IFERROR(VLOOKUP($J177,'基本設定'!$A$13:$K$19,3,FALSE),0))</f>
        <v/>
      </c>
      <c r="P177" s="140">
        <f>IF($N177="","",$N177*$O177)</f>
        <v/>
      </c>
      <c r="Q177" s="139" t="n"/>
      <c r="R177" s="139" t="n"/>
      <c r="S177" s="139" t="n"/>
      <c r="T177" s="139" t="n"/>
      <c r="U177" s="140">
        <f>IF($J177="","",IFERROR($N177*VLOOKUP($J177,'基本設定'!$A$13:$K$19,4,FALSE),0))</f>
        <v/>
      </c>
      <c r="V177" s="140">
        <f>IFERROR($N177/$S177,"")</f>
        <v/>
      </c>
      <c r="W177" s="140">
        <f>IFERROR($N177/$T177,"")</f>
        <v/>
      </c>
      <c r="X177" s="80" t="n"/>
      <c r="Y177" s="80" t="n"/>
    </row>
    <row r="178">
      <c r="A178" s="80" t="n"/>
      <c r="B178" s="138" t="n"/>
      <c r="C178" s="80" t="n"/>
      <c r="D178" s="80" t="n"/>
      <c r="E178" s="80" t="n"/>
      <c r="F178" s="80" t="n"/>
      <c r="G178" s="80" t="n"/>
      <c r="H178" s="80" t="n"/>
      <c r="I178" s="80" t="n"/>
      <c r="J178" s="80" t="n"/>
      <c r="K178" s="82">
        <f>IF($J178="","",IFERROR(VLOOKUP($J178,'基本設定'!$A$13:$K$19,2,FALSE),""))</f>
        <v/>
      </c>
      <c r="L178" s="139" t="n"/>
      <c r="M178" s="139" t="n"/>
      <c r="N178" s="140">
        <f>IF(OR($L178="",$M178=""),"",MAX(0,$L178-$M178))</f>
        <v/>
      </c>
      <c r="O178" s="140">
        <f>IF($J178="","",IFERROR(VLOOKUP($J178,'基本設定'!$A$13:$K$19,3,FALSE),0))</f>
        <v/>
      </c>
      <c r="P178" s="140">
        <f>IF($N178="","",$N178*$O178)</f>
        <v/>
      </c>
      <c r="Q178" s="139" t="n"/>
      <c r="R178" s="139" t="n"/>
      <c r="S178" s="139" t="n"/>
      <c r="T178" s="139" t="n"/>
      <c r="U178" s="140">
        <f>IF($J178="","",IFERROR($N178*VLOOKUP($J178,'基本設定'!$A$13:$K$19,4,FALSE),0))</f>
        <v/>
      </c>
      <c r="V178" s="140">
        <f>IFERROR($N178/$S178,"")</f>
        <v/>
      </c>
      <c r="W178" s="140">
        <f>IFERROR($N178/$T178,"")</f>
        <v/>
      </c>
      <c r="X178" s="80" t="n"/>
      <c r="Y178" s="80" t="n"/>
    </row>
    <row r="179">
      <c r="A179" s="80" t="n"/>
      <c r="B179" s="138" t="n"/>
      <c r="C179" s="80" t="n"/>
      <c r="D179" s="80" t="n"/>
      <c r="E179" s="80" t="n"/>
      <c r="F179" s="80" t="n"/>
      <c r="G179" s="80" t="n"/>
      <c r="H179" s="80" t="n"/>
      <c r="I179" s="80" t="n"/>
      <c r="J179" s="80" t="n"/>
      <c r="K179" s="82">
        <f>IF($J179="","",IFERROR(VLOOKUP($J179,'基本設定'!$A$13:$K$19,2,FALSE),""))</f>
        <v/>
      </c>
      <c r="L179" s="139" t="n"/>
      <c r="M179" s="139" t="n"/>
      <c r="N179" s="140">
        <f>IF(OR($L179="",$M179=""),"",MAX(0,$L179-$M179))</f>
        <v/>
      </c>
      <c r="O179" s="140">
        <f>IF($J179="","",IFERROR(VLOOKUP($J179,'基本設定'!$A$13:$K$19,3,FALSE),0))</f>
        <v/>
      </c>
      <c r="P179" s="140">
        <f>IF($N179="","",$N179*$O179)</f>
        <v/>
      </c>
      <c r="Q179" s="139" t="n"/>
      <c r="R179" s="139" t="n"/>
      <c r="S179" s="139" t="n"/>
      <c r="T179" s="139" t="n"/>
      <c r="U179" s="140">
        <f>IF($J179="","",IFERROR($N179*VLOOKUP($J179,'基本設定'!$A$13:$K$19,4,FALSE),0))</f>
        <v/>
      </c>
      <c r="V179" s="140">
        <f>IFERROR($N179/$S179,"")</f>
        <v/>
      </c>
      <c r="W179" s="140">
        <f>IFERROR($N179/$T179,"")</f>
        <v/>
      </c>
      <c r="X179" s="80" t="n"/>
      <c r="Y179" s="80" t="n"/>
    </row>
    <row r="180">
      <c r="A180" s="80" t="n"/>
      <c r="B180" s="138" t="n"/>
      <c r="C180" s="80" t="n"/>
      <c r="D180" s="80" t="n"/>
      <c r="E180" s="80" t="n"/>
      <c r="F180" s="80" t="n"/>
      <c r="G180" s="80" t="n"/>
      <c r="H180" s="80" t="n"/>
      <c r="I180" s="80" t="n"/>
      <c r="J180" s="80" t="n"/>
      <c r="K180" s="82">
        <f>IF($J180="","",IFERROR(VLOOKUP($J180,'基本設定'!$A$13:$K$19,2,FALSE),""))</f>
        <v/>
      </c>
      <c r="L180" s="139" t="n"/>
      <c r="M180" s="139" t="n"/>
      <c r="N180" s="140">
        <f>IF(OR($L180="",$M180=""),"",MAX(0,$L180-$M180))</f>
        <v/>
      </c>
      <c r="O180" s="140">
        <f>IF($J180="","",IFERROR(VLOOKUP($J180,'基本設定'!$A$13:$K$19,3,FALSE),0))</f>
        <v/>
      </c>
      <c r="P180" s="140">
        <f>IF($N180="","",$N180*$O180)</f>
        <v/>
      </c>
      <c r="Q180" s="139" t="n"/>
      <c r="R180" s="139" t="n"/>
      <c r="S180" s="139" t="n"/>
      <c r="T180" s="139" t="n"/>
      <c r="U180" s="140">
        <f>IF($J180="","",IFERROR($N180*VLOOKUP($J180,'基本設定'!$A$13:$K$19,4,FALSE),0))</f>
        <v/>
      </c>
      <c r="V180" s="140">
        <f>IFERROR($N180/$S180,"")</f>
        <v/>
      </c>
      <c r="W180" s="140">
        <f>IFERROR($N180/$T180,"")</f>
        <v/>
      </c>
      <c r="X180" s="80" t="n"/>
      <c r="Y180" s="80" t="n"/>
    </row>
    <row r="181">
      <c r="A181" s="80" t="n"/>
      <c r="B181" s="138" t="n"/>
      <c r="C181" s="80" t="n"/>
      <c r="D181" s="80" t="n"/>
      <c r="E181" s="80" t="n"/>
      <c r="F181" s="80" t="n"/>
      <c r="G181" s="80" t="n"/>
      <c r="H181" s="80" t="n"/>
      <c r="I181" s="80" t="n"/>
      <c r="J181" s="80" t="n"/>
      <c r="K181" s="82">
        <f>IF($J181="","",IFERROR(VLOOKUP($J181,'基本設定'!$A$13:$K$19,2,FALSE),""))</f>
        <v/>
      </c>
      <c r="L181" s="139" t="n"/>
      <c r="M181" s="139" t="n"/>
      <c r="N181" s="140">
        <f>IF(OR($L181="",$M181=""),"",MAX(0,$L181-$M181))</f>
        <v/>
      </c>
      <c r="O181" s="140">
        <f>IF($J181="","",IFERROR(VLOOKUP($J181,'基本設定'!$A$13:$K$19,3,FALSE),0))</f>
        <v/>
      </c>
      <c r="P181" s="140">
        <f>IF($N181="","",$N181*$O181)</f>
        <v/>
      </c>
      <c r="Q181" s="139" t="n"/>
      <c r="R181" s="139" t="n"/>
      <c r="S181" s="139" t="n"/>
      <c r="T181" s="139" t="n"/>
      <c r="U181" s="140">
        <f>IF($J181="","",IFERROR($N181*VLOOKUP($J181,'基本設定'!$A$13:$K$19,4,FALSE),0))</f>
        <v/>
      </c>
      <c r="V181" s="140">
        <f>IFERROR($N181/$S181,"")</f>
        <v/>
      </c>
      <c r="W181" s="140">
        <f>IFERROR($N181/$T181,"")</f>
        <v/>
      </c>
      <c r="X181" s="80" t="n"/>
      <c r="Y181" s="80" t="n"/>
    </row>
    <row r="182">
      <c r="A182" s="80" t="n"/>
      <c r="B182" s="138" t="n"/>
      <c r="C182" s="80" t="n"/>
      <c r="D182" s="80" t="n"/>
      <c r="E182" s="80" t="n"/>
      <c r="F182" s="80" t="n"/>
      <c r="G182" s="80" t="n"/>
      <c r="H182" s="80" t="n"/>
      <c r="I182" s="80" t="n"/>
      <c r="J182" s="80" t="n"/>
      <c r="K182" s="82">
        <f>IF($J182="","",IFERROR(VLOOKUP($J182,'基本設定'!$A$13:$K$19,2,FALSE),""))</f>
        <v/>
      </c>
      <c r="L182" s="139" t="n"/>
      <c r="M182" s="139" t="n"/>
      <c r="N182" s="140">
        <f>IF(OR($L182="",$M182=""),"",MAX(0,$L182-$M182))</f>
        <v/>
      </c>
      <c r="O182" s="140">
        <f>IF($J182="","",IFERROR(VLOOKUP($J182,'基本設定'!$A$13:$K$19,3,FALSE),0))</f>
        <v/>
      </c>
      <c r="P182" s="140">
        <f>IF($N182="","",$N182*$O182)</f>
        <v/>
      </c>
      <c r="Q182" s="139" t="n"/>
      <c r="R182" s="139" t="n"/>
      <c r="S182" s="139" t="n"/>
      <c r="T182" s="139" t="n"/>
      <c r="U182" s="140">
        <f>IF($J182="","",IFERROR($N182*VLOOKUP($J182,'基本設定'!$A$13:$K$19,4,FALSE),0))</f>
        <v/>
      </c>
      <c r="V182" s="140">
        <f>IFERROR($N182/$S182,"")</f>
        <v/>
      </c>
      <c r="W182" s="140">
        <f>IFERROR($N182/$T182,"")</f>
        <v/>
      </c>
      <c r="X182" s="80" t="n"/>
      <c r="Y182" s="80" t="n"/>
    </row>
    <row r="183">
      <c r="A183" s="80" t="n"/>
      <c r="B183" s="138" t="n"/>
      <c r="C183" s="80" t="n"/>
      <c r="D183" s="80" t="n"/>
      <c r="E183" s="80" t="n"/>
      <c r="F183" s="80" t="n"/>
      <c r="G183" s="80" t="n"/>
      <c r="H183" s="80" t="n"/>
      <c r="I183" s="80" t="n"/>
      <c r="J183" s="80" t="n"/>
      <c r="K183" s="82">
        <f>IF($J183="","",IFERROR(VLOOKUP($J183,'基本設定'!$A$13:$K$19,2,FALSE),""))</f>
        <v/>
      </c>
      <c r="L183" s="139" t="n"/>
      <c r="M183" s="139" t="n"/>
      <c r="N183" s="140">
        <f>IF(OR($L183="",$M183=""),"",MAX(0,$L183-$M183))</f>
        <v/>
      </c>
      <c r="O183" s="140">
        <f>IF($J183="","",IFERROR(VLOOKUP($J183,'基本設定'!$A$13:$K$19,3,FALSE),0))</f>
        <v/>
      </c>
      <c r="P183" s="140">
        <f>IF($N183="","",$N183*$O183)</f>
        <v/>
      </c>
      <c r="Q183" s="139" t="n"/>
      <c r="R183" s="139" t="n"/>
      <c r="S183" s="139" t="n"/>
      <c r="T183" s="139" t="n"/>
      <c r="U183" s="140">
        <f>IF($J183="","",IFERROR($N183*VLOOKUP($J183,'基本設定'!$A$13:$K$19,4,FALSE),0))</f>
        <v/>
      </c>
      <c r="V183" s="140">
        <f>IFERROR($N183/$S183,"")</f>
        <v/>
      </c>
      <c r="W183" s="140">
        <f>IFERROR($N183/$T183,"")</f>
        <v/>
      </c>
      <c r="X183" s="80" t="n"/>
      <c r="Y183" s="80" t="n"/>
    </row>
    <row r="184">
      <c r="A184" s="80" t="n"/>
      <c r="B184" s="138" t="n"/>
      <c r="C184" s="80" t="n"/>
      <c r="D184" s="80" t="n"/>
      <c r="E184" s="80" t="n"/>
      <c r="F184" s="80" t="n"/>
      <c r="G184" s="80" t="n"/>
      <c r="H184" s="80" t="n"/>
      <c r="I184" s="80" t="n"/>
      <c r="J184" s="80" t="n"/>
      <c r="K184" s="82">
        <f>IF($J184="","",IFERROR(VLOOKUP($J184,'基本設定'!$A$13:$K$19,2,FALSE),""))</f>
        <v/>
      </c>
      <c r="L184" s="139" t="n"/>
      <c r="M184" s="139" t="n"/>
      <c r="N184" s="140">
        <f>IF(OR($L184="",$M184=""),"",MAX(0,$L184-$M184))</f>
        <v/>
      </c>
      <c r="O184" s="140">
        <f>IF($J184="","",IFERROR(VLOOKUP($J184,'基本設定'!$A$13:$K$19,3,FALSE),0))</f>
        <v/>
      </c>
      <c r="P184" s="140">
        <f>IF($N184="","",$N184*$O184)</f>
        <v/>
      </c>
      <c r="Q184" s="139" t="n"/>
      <c r="R184" s="139" t="n"/>
      <c r="S184" s="139" t="n"/>
      <c r="T184" s="139" t="n"/>
      <c r="U184" s="140">
        <f>IF($J184="","",IFERROR($N184*VLOOKUP($J184,'基本設定'!$A$13:$K$19,4,FALSE),0))</f>
        <v/>
      </c>
      <c r="V184" s="140">
        <f>IFERROR($N184/$S184,"")</f>
        <v/>
      </c>
      <c r="W184" s="140">
        <f>IFERROR($N184/$T184,"")</f>
        <v/>
      </c>
      <c r="X184" s="80" t="n"/>
      <c r="Y184" s="80" t="n"/>
    </row>
    <row r="185">
      <c r="A185" s="80" t="n"/>
      <c r="B185" s="138" t="n"/>
      <c r="C185" s="80" t="n"/>
      <c r="D185" s="80" t="n"/>
      <c r="E185" s="80" t="n"/>
      <c r="F185" s="80" t="n"/>
      <c r="G185" s="80" t="n"/>
      <c r="H185" s="80" t="n"/>
      <c r="I185" s="80" t="n"/>
      <c r="J185" s="80" t="n"/>
      <c r="K185" s="82">
        <f>IF($J185="","",IFERROR(VLOOKUP($J185,'基本設定'!$A$13:$K$19,2,FALSE),""))</f>
        <v/>
      </c>
      <c r="L185" s="139" t="n"/>
      <c r="M185" s="139" t="n"/>
      <c r="N185" s="140">
        <f>IF(OR($L185="",$M185=""),"",MAX(0,$L185-$M185))</f>
        <v/>
      </c>
      <c r="O185" s="140">
        <f>IF($J185="","",IFERROR(VLOOKUP($J185,'基本設定'!$A$13:$K$19,3,FALSE),0))</f>
        <v/>
      </c>
      <c r="P185" s="140">
        <f>IF($N185="","",$N185*$O185)</f>
        <v/>
      </c>
      <c r="Q185" s="139" t="n"/>
      <c r="R185" s="139" t="n"/>
      <c r="S185" s="139" t="n"/>
      <c r="T185" s="139" t="n"/>
      <c r="U185" s="140">
        <f>IF($J185="","",IFERROR($N185*VLOOKUP($J185,'基本設定'!$A$13:$K$19,4,FALSE),0))</f>
        <v/>
      </c>
      <c r="V185" s="140">
        <f>IFERROR($N185/$S185,"")</f>
        <v/>
      </c>
      <c r="W185" s="140">
        <f>IFERROR($N185/$T185,"")</f>
        <v/>
      </c>
      <c r="X185" s="80" t="n"/>
      <c r="Y185" s="80" t="n"/>
    </row>
    <row r="186">
      <c r="A186" s="80" t="n"/>
      <c r="B186" s="138" t="n"/>
      <c r="C186" s="80" t="n"/>
      <c r="D186" s="80" t="n"/>
      <c r="E186" s="80" t="n"/>
      <c r="F186" s="80" t="n"/>
      <c r="G186" s="80" t="n"/>
      <c r="H186" s="80" t="n"/>
      <c r="I186" s="80" t="n"/>
      <c r="J186" s="80" t="n"/>
      <c r="K186" s="82">
        <f>IF($J186="","",IFERROR(VLOOKUP($J186,'基本設定'!$A$13:$K$19,2,FALSE),""))</f>
        <v/>
      </c>
      <c r="L186" s="139" t="n"/>
      <c r="M186" s="139" t="n"/>
      <c r="N186" s="140">
        <f>IF(OR($L186="",$M186=""),"",MAX(0,$L186-$M186))</f>
        <v/>
      </c>
      <c r="O186" s="140">
        <f>IF($J186="","",IFERROR(VLOOKUP($J186,'基本設定'!$A$13:$K$19,3,FALSE),0))</f>
        <v/>
      </c>
      <c r="P186" s="140">
        <f>IF($N186="","",$N186*$O186)</f>
        <v/>
      </c>
      <c r="Q186" s="139" t="n"/>
      <c r="R186" s="139" t="n"/>
      <c r="S186" s="139" t="n"/>
      <c r="T186" s="139" t="n"/>
      <c r="U186" s="140">
        <f>IF($J186="","",IFERROR($N186*VLOOKUP($J186,'基本設定'!$A$13:$K$19,4,FALSE),0))</f>
        <v/>
      </c>
      <c r="V186" s="140">
        <f>IFERROR($N186/$S186,"")</f>
        <v/>
      </c>
      <c r="W186" s="140">
        <f>IFERROR($N186/$T186,"")</f>
        <v/>
      </c>
      <c r="X186" s="80" t="n"/>
      <c r="Y186" s="80" t="n"/>
    </row>
    <row r="187">
      <c r="A187" s="80" t="n"/>
      <c r="B187" s="138" t="n"/>
      <c r="C187" s="80" t="n"/>
      <c r="D187" s="80" t="n"/>
      <c r="E187" s="80" t="n"/>
      <c r="F187" s="80" t="n"/>
      <c r="G187" s="80" t="n"/>
      <c r="H187" s="80" t="n"/>
      <c r="I187" s="80" t="n"/>
      <c r="J187" s="80" t="n"/>
      <c r="K187" s="82">
        <f>IF($J187="","",IFERROR(VLOOKUP($J187,'基本設定'!$A$13:$K$19,2,FALSE),""))</f>
        <v/>
      </c>
      <c r="L187" s="139" t="n"/>
      <c r="M187" s="139" t="n"/>
      <c r="N187" s="140">
        <f>IF(OR($L187="",$M187=""),"",MAX(0,$L187-$M187))</f>
        <v/>
      </c>
      <c r="O187" s="140">
        <f>IF($J187="","",IFERROR(VLOOKUP($J187,'基本設定'!$A$13:$K$19,3,FALSE),0))</f>
        <v/>
      </c>
      <c r="P187" s="140">
        <f>IF($N187="","",$N187*$O187)</f>
        <v/>
      </c>
      <c r="Q187" s="139" t="n"/>
      <c r="R187" s="139" t="n"/>
      <c r="S187" s="139" t="n"/>
      <c r="T187" s="139" t="n"/>
      <c r="U187" s="140">
        <f>IF($J187="","",IFERROR($N187*VLOOKUP($J187,'基本設定'!$A$13:$K$19,4,FALSE),0))</f>
        <v/>
      </c>
      <c r="V187" s="140">
        <f>IFERROR($N187/$S187,"")</f>
        <v/>
      </c>
      <c r="W187" s="140">
        <f>IFERROR($N187/$T187,"")</f>
        <v/>
      </c>
      <c r="X187" s="80" t="n"/>
      <c r="Y187" s="80" t="n"/>
    </row>
    <row r="188">
      <c r="A188" s="80" t="n"/>
      <c r="B188" s="138" t="n"/>
      <c r="C188" s="80" t="n"/>
      <c r="D188" s="80" t="n"/>
      <c r="E188" s="80" t="n"/>
      <c r="F188" s="80" t="n"/>
      <c r="G188" s="80" t="n"/>
      <c r="H188" s="80" t="n"/>
      <c r="I188" s="80" t="n"/>
      <c r="J188" s="80" t="n"/>
      <c r="K188" s="82">
        <f>IF($J188="","",IFERROR(VLOOKUP($J188,'基本設定'!$A$13:$K$19,2,FALSE),""))</f>
        <v/>
      </c>
      <c r="L188" s="139" t="n"/>
      <c r="M188" s="139" t="n"/>
      <c r="N188" s="140">
        <f>IF(OR($L188="",$M188=""),"",MAX(0,$L188-$M188))</f>
        <v/>
      </c>
      <c r="O188" s="140">
        <f>IF($J188="","",IFERROR(VLOOKUP($J188,'基本設定'!$A$13:$K$19,3,FALSE),0))</f>
        <v/>
      </c>
      <c r="P188" s="140">
        <f>IF($N188="","",$N188*$O188)</f>
        <v/>
      </c>
      <c r="Q188" s="139" t="n"/>
      <c r="R188" s="139" t="n"/>
      <c r="S188" s="139" t="n"/>
      <c r="T188" s="139" t="n"/>
      <c r="U188" s="140">
        <f>IF($J188="","",IFERROR($N188*VLOOKUP($J188,'基本設定'!$A$13:$K$19,4,FALSE),0))</f>
        <v/>
      </c>
      <c r="V188" s="140">
        <f>IFERROR($N188/$S188,"")</f>
        <v/>
      </c>
      <c r="W188" s="140">
        <f>IFERROR($N188/$T188,"")</f>
        <v/>
      </c>
      <c r="X188" s="80" t="n"/>
      <c r="Y188" s="80" t="n"/>
    </row>
    <row r="189">
      <c r="A189" s="80" t="n"/>
      <c r="B189" s="138" t="n"/>
      <c r="C189" s="80" t="n"/>
      <c r="D189" s="80" t="n"/>
      <c r="E189" s="80" t="n"/>
      <c r="F189" s="80" t="n"/>
      <c r="G189" s="80" t="n"/>
      <c r="H189" s="80" t="n"/>
      <c r="I189" s="80" t="n"/>
      <c r="J189" s="80" t="n"/>
      <c r="K189" s="82">
        <f>IF($J189="","",IFERROR(VLOOKUP($J189,'基本設定'!$A$13:$K$19,2,FALSE),""))</f>
        <v/>
      </c>
      <c r="L189" s="139" t="n"/>
      <c r="M189" s="139" t="n"/>
      <c r="N189" s="140">
        <f>IF(OR($L189="",$M189=""),"",MAX(0,$L189-$M189))</f>
        <v/>
      </c>
      <c r="O189" s="140">
        <f>IF($J189="","",IFERROR(VLOOKUP($J189,'基本設定'!$A$13:$K$19,3,FALSE),0))</f>
        <v/>
      </c>
      <c r="P189" s="140">
        <f>IF($N189="","",$N189*$O189)</f>
        <v/>
      </c>
      <c r="Q189" s="139" t="n"/>
      <c r="R189" s="139" t="n"/>
      <c r="S189" s="139" t="n"/>
      <c r="T189" s="139" t="n"/>
      <c r="U189" s="140">
        <f>IF($J189="","",IFERROR($N189*VLOOKUP($J189,'基本設定'!$A$13:$K$19,4,FALSE),0))</f>
        <v/>
      </c>
      <c r="V189" s="140">
        <f>IFERROR($N189/$S189,"")</f>
        <v/>
      </c>
      <c r="W189" s="140">
        <f>IFERROR($N189/$T189,"")</f>
        <v/>
      </c>
      <c r="X189" s="80" t="n"/>
      <c r="Y189" s="80" t="n"/>
    </row>
    <row r="190">
      <c r="A190" s="80" t="n"/>
      <c r="B190" s="138" t="n"/>
      <c r="C190" s="80" t="n"/>
      <c r="D190" s="80" t="n"/>
      <c r="E190" s="80" t="n"/>
      <c r="F190" s="80" t="n"/>
      <c r="G190" s="80" t="n"/>
      <c r="H190" s="80" t="n"/>
      <c r="I190" s="80" t="n"/>
      <c r="J190" s="80" t="n"/>
      <c r="K190" s="82">
        <f>IF($J190="","",IFERROR(VLOOKUP($J190,'基本設定'!$A$13:$K$19,2,FALSE),""))</f>
        <v/>
      </c>
      <c r="L190" s="139" t="n"/>
      <c r="M190" s="139" t="n"/>
      <c r="N190" s="140">
        <f>IF(OR($L190="",$M190=""),"",MAX(0,$L190-$M190))</f>
        <v/>
      </c>
      <c r="O190" s="140">
        <f>IF($J190="","",IFERROR(VLOOKUP($J190,'基本設定'!$A$13:$K$19,3,FALSE),0))</f>
        <v/>
      </c>
      <c r="P190" s="140">
        <f>IF($N190="","",$N190*$O190)</f>
        <v/>
      </c>
      <c r="Q190" s="139" t="n"/>
      <c r="R190" s="139" t="n"/>
      <c r="S190" s="139" t="n"/>
      <c r="T190" s="139" t="n"/>
      <c r="U190" s="140">
        <f>IF($J190="","",IFERROR($N190*VLOOKUP($J190,'基本設定'!$A$13:$K$19,4,FALSE),0))</f>
        <v/>
      </c>
      <c r="V190" s="140">
        <f>IFERROR($N190/$S190,"")</f>
        <v/>
      </c>
      <c r="W190" s="140">
        <f>IFERROR($N190/$T190,"")</f>
        <v/>
      </c>
      <c r="X190" s="80" t="n"/>
      <c r="Y190" s="80" t="n"/>
    </row>
    <row r="191">
      <c r="A191" s="80" t="n"/>
      <c r="B191" s="138" t="n"/>
      <c r="C191" s="80" t="n"/>
      <c r="D191" s="80" t="n"/>
      <c r="E191" s="80" t="n"/>
      <c r="F191" s="80" t="n"/>
      <c r="G191" s="80" t="n"/>
      <c r="H191" s="80" t="n"/>
      <c r="I191" s="80" t="n"/>
      <c r="J191" s="80" t="n"/>
      <c r="K191" s="82">
        <f>IF($J191="","",IFERROR(VLOOKUP($J191,'基本設定'!$A$13:$K$19,2,FALSE),""))</f>
        <v/>
      </c>
      <c r="L191" s="139" t="n"/>
      <c r="M191" s="139" t="n"/>
      <c r="N191" s="140">
        <f>IF(OR($L191="",$M191=""),"",MAX(0,$L191-$M191))</f>
        <v/>
      </c>
      <c r="O191" s="140">
        <f>IF($J191="","",IFERROR(VLOOKUP($J191,'基本設定'!$A$13:$K$19,3,FALSE),0))</f>
        <v/>
      </c>
      <c r="P191" s="140">
        <f>IF($N191="","",$N191*$O191)</f>
        <v/>
      </c>
      <c r="Q191" s="139" t="n"/>
      <c r="R191" s="139" t="n"/>
      <c r="S191" s="139" t="n"/>
      <c r="T191" s="139" t="n"/>
      <c r="U191" s="140">
        <f>IF($J191="","",IFERROR($N191*VLOOKUP($J191,'基本設定'!$A$13:$K$19,4,FALSE),0))</f>
        <v/>
      </c>
      <c r="V191" s="140">
        <f>IFERROR($N191/$S191,"")</f>
        <v/>
      </c>
      <c r="W191" s="140">
        <f>IFERROR($N191/$T191,"")</f>
        <v/>
      </c>
      <c r="X191" s="80" t="n"/>
      <c r="Y191" s="80" t="n"/>
    </row>
    <row r="192">
      <c r="A192" s="80" t="n"/>
      <c r="B192" s="138" t="n"/>
      <c r="C192" s="80" t="n"/>
      <c r="D192" s="80" t="n"/>
      <c r="E192" s="80" t="n"/>
      <c r="F192" s="80" t="n"/>
      <c r="G192" s="80" t="n"/>
      <c r="H192" s="80" t="n"/>
      <c r="I192" s="80" t="n"/>
      <c r="J192" s="80" t="n"/>
      <c r="K192" s="82">
        <f>IF($J192="","",IFERROR(VLOOKUP($J192,'基本設定'!$A$13:$K$19,2,FALSE),""))</f>
        <v/>
      </c>
      <c r="L192" s="139" t="n"/>
      <c r="M192" s="139" t="n"/>
      <c r="N192" s="140">
        <f>IF(OR($L192="",$M192=""),"",MAX(0,$L192-$M192))</f>
        <v/>
      </c>
      <c r="O192" s="140">
        <f>IF($J192="","",IFERROR(VLOOKUP($J192,'基本設定'!$A$13:$K$19,3,FALSE),0))</f>
        <v/>
      </c>
      <c r="P192" s="140">
        <f>IF($N192="","",$N192*$O192)</f>
        <v/>
      </c>
      <c r="Q192" s="139" t="n"/>
      <c r="R192" s="139" t="n"/>
      <c r="S192" s="139" t="n"/>
      <c r="T192" s="139" t="n"/>
      <c r="U192" s="140">
        <f>IF($J192="","",IFERROR($N192*VLOOKUP($J192,'基本設定'!$A$13:$K$19,4,FALSE),0))</f>
        <v/>
      </c>
      <c r="V192" s="140">
        <f>IFERROR($N192/$S192,"")</f>
        <v/>
      </c>
      <c r="W192" s="140">
        <f>IFERROR($N192/$T192,"")</f>
        <v/>
      </c>
      <c r="X192" s="80" t="n"/>
      <c r="Y192" s="80" t="n"/>
    </row>
    <row r="193">
      <c r="A193" s="80" t="n"/>
      <c r="B193" s="138" t="n"/>
      <c r="C193" s="80" t="n"/>
      <c r="D193" s="80" t="n"/>
      <c r="E193" s="80" t="n"/>
      <c r="F193" s="80" t="n"/>
      <c r="G193" s="80" t="n"/>
      <c r="H193" s="80" t="n"/>
      <c r="I193" s="80" t="n"/>
      <c r="J193" s="80" t="n"/>
      <c r="K193" s="82">
        <f>IF($J193="","",IFERROR(VLOOKUP($J193,'基本設定'!$A$13:$K$19,2,FALSE),""))</f>
        <v/>
      </c>
      <c r="L193" s="139" t="n"/>
      <c r="M193" s="139" t="n"/>
      <c r="N193" s="140">
        <f>IF(OR($L193="",$M193=""),"",MAX(0,$L193-$M193))</f>
        <v/>
      </c>
      <c r="O193" s="140">
        <f>IF($J193="","",IFERROR(VLOOKUP($J193,'基本設定'!$A$13:$K$19,3,FALSE),0))</f>
        <v/>
      </c>
      <c r="P193" s="140">
        <f>IF($N193="","",$N193*$O193)</f>
        <v/>
      </c>
      <c r="Q193" s="139" t="n"/>
      <c r="R193" s="139" t="n"/>
      <c r="S193" s="139" t="n"/>
      <c r="T193" s="139" t="n"/>
      <c r="U193" s="140">
        <f>IF($J193="","",IFERROR($N193*VLOOKUP($J193,'基本設定'!$A$13:$K$19,4,FALSE),0))</f>
        <v/>
      </c>
      <c r="V193" s="140">
        <f>IFERROR($N193/$S193,"")</f>
        <v/>
      </c>
      <c r="W193" s="140">
        <f>IFERROR($N193/$T193,"")</f>
        <v/>
      </c>
      <c r="X193" s="80" t="n"/>
      <c r="Y193" s="80" t="n"/>
    </row>
    <row r="194">
      <c r="A194" s="80" t="n"/>
      <c r="B194" s="138" t="n"/>
      <c r="C194" s="80" t="n"/>
      <c r="D194" s="80" t="n"/>
      <c r="E194" s="80" t="n"/>
      <c r="F194" s="80" t="n"/>
      <c r="G194" s="80" t="n"/>
      <c r="H194" s="80" t="n"/>
      <c r="I194" s="80" t="n"/>
      <c r="J194" s="80" t="n"/>
      <c r="K194" s="82">
        <f>IF($J194="","",IFERROR(VLOOKUP($J194,'基本設定'!$A$13:$K$19,2,FALSE),""))</f>
        <v/>
      </c>
      <c r="L194" s="139" t="n"/>
      <c r="M194" s="139" t="n"/>
      <c r="N194" s="140">
        <f>IF(OR($L194="",$M194=""),"",MAX(0,$L194-$M194))</f>
        <v/>
      </c>
      <c r="O194" s="140">
        <f>IF($J194="","",IFERROR(VLOOKUP($J194,'基本設定'!$A$13:$K$19,3,FALSE),0))</f>
        <v/>
      </c>
      <c r="P194" s="140">
        <f>IF($N194="","",$N194*$O194)</f>
        <v/>
      </c>
      <c r="Q194" s="139" t="n"/>
      <c r="R194" s="139" t="n"/>
      <c r="S194" s="139" t="n"/>
      <c r="T194" s="139" t="n"/>
      <c r="U194" s="140">
        <f>IF($J194="","",IFERROR($N194*VLOOKUP($J194,'基本設定'!$A$13:$K$19,4,FALSE),0))</f>
        <v/>
      </c>
      <c r="V194" s="140">
        <f>IFERROR($N194/$S194,"")</f>
        <v/>
      </c>
      <c r="W194" s="140">
        <f>IFERROR($N194/$T194,"")</f>
        <v/>
      </c>
      <c r="X194" s="80" t="n"/>
      <c r="Y194" s="80" t="n"/>
    </row>
    <row r="195">
      <c r="A195" s="80" t="n"/>
      <c r="B195" s="138" t="n"/>
      <c r="C195" s="80" t="n"/>
      <c r="D195" s="80" t="n"/>
      <c r="E195" s="80" t="n"/>
      <c r="F195" s="80" t="n"/>
      <c r="G195" s="80" t="n"/>
      <c r="H195" s="80" t="n"/>
      <c r="I195" s="80" t="n"/>
      <c r="J195" s="80" t="n"/>
      <c r="K195" s="82">
        <f>IF($J195="","",IFERROR(VLOOKUP($J195,'基本設定'!$A$13:$K$19,2,FALSE),""))</f>
        <v/>
      </c>
      <c r="L195" s="139" t="n"/>
      <c r="M195" s="139" t="n"/>
      <c r="N195" s="140">
        <f>IF(OR($L195="",$M195=""),"",MAX(0,$L195-$M195))</f>
        <v/>
      </c>
      <c r="O195" s="140">
        <f>IF($J195="","",IFERROR(VLOOKUP($J195,'基本設定'!$A$13:$K$19,3,FALSE),0))</f>
        <v/>
      </c>
      <c r="P195" s="140">
        <f>IF($N195="","",$N195*$O195)</f>
        <v/>
      </c>
      <c r="Q195" s="139" t="n"/>
      <c r="R195" s="139" t="n"/>
      <c r="S195" s="139" t="n"/>
      <c r="T195" s="139" t="n"/>
      <c r="U195" s="140">
        <f>IF($J195="","",IFERROR($N195*VLOOKUP($J195,'基本設定'!$A$13:$K$19,4,FALSE),0))</f>
        <v/>
      </c>
      <c r="V195" s="140">
        <f>IFERROR($N195/$S195,"")</f>
        <v/>
      </c>
      <c r="W195" s="140">
        <f>IFERROR($N195/$T195,"")</f>
        <v/>
      </c>
      <c r="X195" s="80" t="n"/>
      <c r="Y195" s="80" t="n"/>
    </row>
    <row r="196">
      <c r="A196" s="80" t="n"/>
      <c r="B196" s="138" t="n"/>
      <c r="C196" s="80" t="n"/>
      <c r="D196" s="80" t="n"/>
      <c r="E196" s="80" t="n"/>
      <c r="F196" s="80" t="n"/>
      <c r="G196" s="80" t="n"/>
      <c r="H196" s="80" t="n"/>
      <c r="I196" s="80" t="n"/>
      <c r="J196" s="80" t="n"/>
      <c r="K196" s="82">
        <f>IF($J196="","",IFERROR(VLOOKUP($J196,'基本設定'!$A$13:$K$19,2,FALSE),""))</f>
        <v/>
      </c>
      <c r="L196" s="139" t="n"/>
      <c r="M196" s="139" t="n"/>
      <c r="N196" s="140">
        <f>IF(OR($L196="",$M196=""),"",MAX(0,$L196-$M196))</f>
        <v/>
      </c>
      <c r="O196" s="140">
        <f>IF($J196="","",IFERROR(VLOOKUP($J196,'基本設定'!$A$13:$K$19,3,FALSE),0))</f>
        <v/>
      </c>
      <c r="P196" s="140">
        <f>IF($N196="","",$N196*$O196)</f>
        <v/>
      </c>
      <c r="Q196" s="139" t="n"/>
      <c r="R196" s="139" t="n"/>
      <c r="S196" s="139" t="n"/>
      <c r="T196" s="139" t="n"/>
      <c r="U196" s="140">
        <f>IF($J196="","",IFERROR($N196*VLOOKUP($J196,'基本設定'!$A$13:$K$19,4,FALSE),0))</f>
        <v/>
      </c>
      <c r="V196" s="140">
        <f>IFERROR($N196/$S196,"")</f>
        <v/>
      </c>
      <c r="W196" s="140">
        <f>IFERROR($N196/$T196,"")</f>
        <v/>
      </c>
      <c r="X196" s="80" t="n"/>
      <c r="Y196" s="80" t="n"/>
    </row>
    <row r="197">
      <c r="A197" s="80" t="n"/>
      <c r="B197" s="138" t="n"/>
      <c r="C197" s="80" t="n"/>
      <c r="D197" s="80" t="n"/>
      <c r="E197" s="80" t="n"/>
      <c r="F197" s="80" t="n"/>
      <c r="G197" s="80" t="n"/>
      <c r="H197" s="80" t="n"/>
      <c r="I197" s="80" t="n"/>
      <c r="J197" s="80" t="n"/>
      <c r="K197" s="82">
        <f>IF($J197="","",IFERROR(VLOOKUP($J197,'基本設定'!$A$13:$K$19,2,FALSE),""))</f>
        <v/>
      </c>
      <c r="L197" s="139" t="n"/>
      <c r="M197" s="139" t="n"/>
      <c r="N197" s="140">
        <f>IF(OR($L197="",$M197=""),"",MAX(0,$L197-$M197))</f>
        <v/>
      </c>
      <c r="O197" s="140">
        <f>IF($J197="","",IFERROR(VLOOKUP($J197,'基本設定'!$A$13:$K$19,3,FALSE),0))</f>
        <v/>
      </c>
      <c r="P197" s="140">
        <f>IF($N197="","",$N197*$O197)</f>
        <v/>
      </c>
      <c r="Q197" s="139" t="n"/>
      <c r="R197" s="139" t="n"/>
      <c r="S197" s="139" t="n"/>
      <c r="T197" s="139" t="n"/>
      <c r="U197" s="140">
        <f>IF($J197="","",IFERROR($N197*VLOOKUP($J197,'基本設定'!$A$13:$K$19,4,FALSE),0))</f>
        <v/>
      </c>
      <c r="V197" s="140">
        <f>IFERROR($N197/$S197,"")</f>
        <v/>
      </c>
      <c r="W197" s="140">
        <f>IFERROR($N197/$T197,"")</f>
        <v/>
      </c>
      <c r="X197" s="80" t="n"/>
      <c r="Y197" s="80" t="n"/>
    </row>
    <row r="198">
      <c r="A198" s="80" t="n"/>
      <c r="B198" s="138" t="n"/>
      <c r="C198" s="80" t="n"/>
      <c r="D198" s="80" t="n"/>
      <c r="E198" s="80" t="n"/>
      <c r="F198" s="80" t="n"/>
      <c r="G198" s="80" t="n"/>
      <c r="H198" s="80" t="n"/>
      <c r="I198" s="80" t="n"/>
      <c r="J198" s="80" t="n"/>
      <c r="K198" s="82">
        <f>IF($J198="","",IFERROR(VLOOKUP($J198,'基本設定'!$A$13:$K$19,2,FALSE),""))</f>
        <v/>
      </c>
      <c r="L198" s="139" t="n"/>
      <c r="M198" s="139" t="n"/>
      <c r="N198" s="140">
        <f>IF(OR($L198="",$M198=""),"",MAX(0,$L198-$M198))</f>
        <v/>
      </c>
      <c r="O198" s="140">
        <f>IF($J198="","",IFERROR(VLOOKUP($J198,'基本設定'!$A$13:$K$19,3,FALSE),0))</f>
        <v/>
      </c>
      <c r="P198" s="140">
        <f>IF($N198="","",$N198*$O198)</f>
        <v/>
      </c>
      <c r="Q198" s="139" t="n"/>
      <c r="R198" s="139" t="n"/>
      <c r="S198" s="139" t="n"/>
      <c r="T198" s="139" t="n"/>
      <c r="U198" s="140">
        <f>IF($J198="","",IFERROR($N198*VLOOKUP($J198,'基本設定'!$A$13:$K$19,4,FALSE),0))</f>
        <v/>
      </c>
      <c r="V198" s="140">
        <f>IFERROR($N198/$S198,"")</f>
        <v/>
      </c>
      <c r="W198" s="140">
        <f>IFERROR($N198/$T198,"")</f>
        <v/>
      </c>
      <c r="X198" s="80" t="n"/>
      <c r="Y198" s="80" t="n"/>
    </row>
    <row r="199">
      <c r="A199" s="80" t="n"/>
      <c r="B199" s="138" t="n"/>
      <c r="C199" s="80" t="n"/>
      <c r="D199" s="80" t="n"/>
      <c r="E199" s="80" t="n"/>
      <c r="F199" s="80" t="n"/>
      <c r="G199" s="80" t="n"/>
      <c r="H199" s="80" t="n"/>
      <c r="I199" s="80" t="n"/>
      <c r="J199" s="80" t="n"/>
      <c r="K199" s="82">
        <f>IF($J199="","",IFERROR(VLOOKUP($J199,'基本設定'!$A$13:$K$19,2,FALSE),""))</f>
        <v/>
      </c>
      <c r="L199" s="139" t="n"/>
      <c r="M199" s="139" t="n"/>
      <c r="N199" s="140">
        <f>IF(OR($L199="",$M199=""),"",MAX(0,$L199-$M199))</f>
        <v/>
      </c>
      <c r="O199" s="140">
        <f>IF($J199="","",IFERROR(VLOOKUP($J199,'基本設定'!$A$13:$K$19,3,FALSE),0))</f>
        <v/>
      </c>
      <c r="P199" s="140">
        <f>IF($N199="","",$N199*$O199)</f>
        <v/>
      </c>
      <c r="Q199" s="139" t="n"/>
      <c r="R199" s="139" t="n"/>
      <c r="S199" s="139" t="n"/>
      <c r="T199" s="139" t="n"/>
      <c r="U199" s="140">
        <f>IF($J199="","",IFERROR($N199*VLOOKUP($J199,'基本設定'!$A$13:$K$19,4,FALSE),0))</f>
        <v/>
      </c>
      <c r="V199" s="140">
        <f>IFERROR($N199/$S199,"")</f>
        <v/>
      </c>
      <c r="W199" s="140">
        <f>IFERROR($N199/$T199,"")</f>
        <v/>
      </c>
      <c r="X199" s="80" t="n"/>
      <c r="Y199" s="80" t="n"/>
    </row>
    <row r="200">
      <c r="A200" s="80" t="n"/>
      <c r="B200" s="138" t="n"/>
      <c r="C200" s="80" t="n"/>
      <c r="D200" s="80" t="n"/>
      <c r="E200" s="80" t="n"/>
      <c r="F200" s="80" t="n"/>
      <c r="G200" s="80" t="n"/>
      <c r="H200" s="80" t="n"/>
      <c r="I200" s="80" t="n"/>
      <c r="J200" s="80" t="n"/>
      <c r="K200" s="82">
        <f>IF($J200="","",IFERROR(VLOOKUP($J200,'基本設定'!$A$13:$K$19,2,FALSE),""))</f>
        <v/>
      </c>
      <c r="L200" s="139" t="n"/>
      <c r="M200" s="139" t="n"/>
      <c r="N200" s="140">
        <f>IF(OR($L200="",$M200=""),"",MAX(0,$L200-$M200))</f>
        <v/>
      </c>
      <c r="O200" s="140">
        <f>IF($J200="","",IFERROR(VLOOKUP($J200,'基本設定'!$A$13:$K$19,3,FALSE),0))</f>
        <v/>
      </c>
      <c r="P200" s="140">
        <f>IF($N200="","",$N200*$O200)</f>
        <v/>
      </c>
      <c r="Q200" s="139" t="n"/>
      <c r="R200" s="139" t="n"/>
      <c r="S200" s="139" t="n"/>
      <c r="T200" s="139" t="n"/>
      <c r="U200" s="140">
        <f>IF($J200="","",IFERROR($N200*VLOOKUP($J200,'基本設定'!$A$13:$K$19,4,FALSE),0))</f>
        <v/>
      </c>
      <c r="V200" s="140">
        <f>IFERROR($N200/$S200,"")</f>
        <v/>
      </c>
      <c r="W200" s="140">
        <f>IFERROR($N200/$T200,"")</f>
        <v/>
      </c>
      <c r="X200" s="80" t="n"/>
      <c r="Y200" s="80" t="n"/>
    </row>
    <row r="201">
      <c r="A201" s="80" t="n"/>
      <c r="B201" s="138" t="n"/>
      <c r="C201" s="80" t="n"/>
      <c r="D201" s="80" t="n"/>
      <c r="E201" s="80" t="n"/>
      <c r="F201" s="80" t="n"/>
      <c r="G201" s="80" t="n"/>
      <c r="H201" s="80" t="n"/>
      <c r="I201" s="80" t="n"/>
      <c r="J201" s="80" t="n"/>
      <c r="K201" s="82">
        <f>IF($J201="","",IFERROR(VLOOKUP($J201,'基本設定'!$A$13:$K$19,2,FALSE),""))</f>
        <v/>
      </c>
      <c r="L201" s="139" t="n"/>
      <c r="M201" s="139" t="n"/>
      <c r="N201" s="140">
        <f>IF(OR($L201="",$M201=""),"",MAX(0,$L201-$M201))</f>
        <v/>
      </c>
      <c r="O201" s="140">
        <f>IF($J201="","",IFERROR(VLOOKUP($J201,'基本設定'!$A$13:$K$19,3,FALSE),0))</f>
        <v/>
      </c>
      <c r="P201" s="140">
        <f>IF($N201="","",$N201*$O201)</f>
        <v/>
      </c>
      <c r="Q201" s="139" t="n"/>
      <c r="R201" s="139" t="n"/>
      <c r="S201" s="139" t="n"/>
      <c r="T201" s="139" t="n"/>
      <c r="U201" s="140">
        <f>IF($J201="","",IFERROR($N201*VLOOKUP($J201,'基本設定'!$A$13:$K$19,4,FALSE),0))</f>
        <v/>
      </c>
      <c r="V201" s="140">
        <f>IFERROR($N201/$S201,"")</f>
        <v/>
      </c>
      <c r="W201" s="140">
        <f>IFERROR($N201/$T201,"")</f>
        <v/>
      </c>
      <c r="X201" s="80" t="n"/>
      <c r="Y201" s="80" t="n"/>
    </row>
    <row r="202">
      <c r="A202" s="80" t="n"/>
      <c r="B202" s="138" t="n"/>
      <c r="C202" s="80" t="n"/>
      <c r="D202" s="80" t="n"/>
      <c r="E202" s="80" t="n"/>
      <c r="F202" s="80" t="n"/>
      <c r="G202" s="80" t="n"/>
      <c r="H202" s="80" t="n"/>
      <c r="I202" s="80" t="n"/>
      <c r="J202" s="80" t="n"/>
      <c r="K202" s="82">
        <f>IF($J202="","",IFERROR(VLOOKUP($J202,'基本設定'!$A$13:$K$19,2,FALSE),""))</f>
        <v/>
      </c>
      <c r="L202" s="139" t="n"/>
      <c r="M202" s="139" t="n"/>
      <c r="N202" s="140">
        <f>IF(OR($L202="",$M202=""),"",MAX(0,$L202-$M202))</f>
        <v/>
      </c>
      <c r="O202" s="140">
        <f>IF($J202="","",IFERROR(VLOOKUP($J202,'基本設定'!$A$13:$K$19,3,FALSE),0))</f>
        <v/>
      </c>
      <c r="P202" s="140">
        <f>IF($N202="","",$N202*$O202)</f>
        <v/>
      </c>
      <c r="Q202" s="139" t="n"/>
      <c r="R202" s="139" t="n"/>
      <c r="S202" s="139" t="n"/>
      <c r="T202" s="139" t="n"/>
      <c r="U202" s="140">
        <f>IF($J202="","",IFERROR($N202*VLOOKUP($J202,'基本設定'!$A$13:$K$19,4,FALSE),0))</f>
        <v/>
      </c>
      <c r="V202" s="140">
        <f>IFERROR($N202/$S202,"")</f>
        <v/>
      </c>
      <c r="W202" s="140">
        <f>IFERROR($N202/$T202,"")</f>
        <v/>
      </c>
      <c r="X202" s="80" t="n"/>
      <c r="Y202" s="80" t="n"/>
    </row>
    <row r="203">
      <c r="A203" s="80" t="n"/>
      <c r="B203" s="138" t="n"/>
      <c r="C203" s="80" t="n"/>
      <c r="D203" s="80" t="n"/>
      <c r="E203" s="80" t="n"/>
      <c r="F203" s="80" t="n"/>
      <c r="G203" s="80" t="n"/>
      <c r="H203" s="80" t="n"/>
      <c r="I203" s="80" t="n"/>
      <c r="J203" s="80" t="n"/>
      <c r="K203" s="82">
        <f>IF($J203="","",IFERROR(VLOOKUP($J203,'基本設定'!$A$13:$K$19,2,FALSE),""))</f>
        <v/>
      </c>
      <c r="L203" s="139" t="n"/>
      <c r="M203" s="139" t="n"/>
      <c r="N203" s="140">
        <f>IF(OR($L203="",$M203=""),"",MAX(0,$L203-$M203))</f>
        <v/>
      </c>
      <c r="O203" s="140">
        <f>IF($J203="","",IFERROR(VLOOKUP($J203,'基本設定'!$A$13:$K$19,3,FALSE),0))</f>
        <v/>
      </c>
      <c r="P203" s="140">
        <f>IF($N203="","",$N203*$O203)</f>
        <v/>
      </c>
      <c r="Q203" s="139" t="n"/>
      <c r="R203" s="139" t="n"/>
      <c r="S203" s="139" t="n"/>
      <c r="T203" s="139" t="n"/>
      <c r="U203" s="140">
        <f>IF($J203="","",IFERROR($N203*VLOOKUP($J203,'基本設定'!$A$13:$K$19,4,FALSE),0))</f>
        <v/>
      </c>
      <c r="V203" s="140">
        <f>IFERROR($N203/$S203,"")</f>
        <v/>
      </c>
      <c r="W203" s="140">
        <f>IFERROR($N203/$T203,"")</f>
        <v/>
      </c>
      <c r="X203" s="80" t="n"/>
      <c r="Y203" s="80" t="n"/>
    </row>
    <row r="204">
      <c r="A204" s="80" t="n"/>
      <c r="B204" s="138" t="n"/>
      <c r="C204" s="80" t="n"/>
      <c r="D204" s="80" t="n"/>
      <c r="E204" s="80" t="n"/>
      <c r="F204" s="80" t="n"/>
      <c r="G204" s="80" t="n"/>
      <c r="H204" s="80" t="n"/>
      <c r="I204" s="80" t="n"/>
      <c r="J204" s="80" t="n"/>
      <c r="K204" s="82">
        <f>IF($J204="","",IFERROR(VLOOKUP($J204,'基本設定'!$A$13:$K$19,2,FALSE),""))</f>
        <v/>
      </c>
      <c r="L204" s="139" t="n"/>
      <c r="M204" s="139" t="n"/>
      <c r="N204" s="140">
        <f>IF(OR($L204="",$M204=""),"",MAX(0,$L204-$M204))</f>
        <v/>
      </c>
      <c r="O204" s="140">
        <f>IF($J204="","",IFERROR(VLOOKUP($J204,'基本設定'!$A$13:$K$19,3,FALSE),0))</f>
        <v/>
      </c>
      <c r="P204" s="140">
        <f>IF($N204="","",$N204*$O204)</f>
        <v/>
      </c>
      <c r="Q204" s="139" t="n"/>
      <c r="R204" s="139" t="n"/>
      <c r="S204" s="139" t="n"/>
      <c r="T204" s="139" t="n"/>
      <c r="U204" s="140">
        <f>IF($J204="","",IFERROR($N204*VLOOKUP($J204,'基本設定'!$A$13:$K$19,4,FALSE),0))</f>
        <v/>
      </c>
      <c r="V204" s="140">
        <f>IFERROR($N204/$S204,"")</f>
        <v/>
      </c>
      <c r="W204" s="140">
        <f>IFERROR($N204/$T204,"")</f>
        <v/>
      </c>
      <c r="X204" s="80" t="n"/>
      <c r="Y204" s="80" t="n"/>
    </row>
    <row r="205">
      <c r="A205" s="80" t="n"/>
      <c r="B205" s="138" t="n"/>
      <c r="C205" s="80" t="n"/>
      <c r="D205" s="80" t="n"/>
      <c r="E205" s="80" t="n"/>
      <c r="F205" s="80" t="n"/>
      <c r="G205" s="80" t="n"/>
      <c r="H205" s="80" t="n"/>
      <c r="I205" s="80" t="n"/>
      <c r="J205" s="80" t="n"/>
      <c r="K205" s="82">
        <f>IF($J205="","",IFERROR(VLOOKUP($J205,'基本設定'!$A$13:$K$19,2,FALSE),""))</f>
        <v/>
      </c>
      <c r="L205" s="139" t="n"/>
      <c r="M205" s="139" t="n"/>
      <c r="N205" s="140">
        <f>IF(OR($L205="",$M205=""),"",MAX(0,$L205-$M205))</f>
        <v/>
      </c>
      <c r="O205" s="140">
        <f>IF($J205="","",IFERROR(VLOOKUP($J205,'基本設定'!$A$13:$K$19,3,FALSE),0))</f>
        <v/>
      </c>
      <c r="P205" s="140">
        <f>IF($N205="","",$N205*$O205)</f>
        <v/>
      </c>
      <c r="Q205" s="139" t="n"/>
      <c r="R205" s="139" t="n"/>
      <c r="S205" s="139" t="n"/>
      <c r="T205" s="139" t="n"/>
      <c r="U205" s="140">
        <f>IF($J205="","",IFERROR($N205*VLOOKUP($J205,'基本設定'!$A$13:$K$19,4,FALSE),0))</f>
        <v/>
      </c>
      <c r="V205" s="140">
        <f>IFERROR($N205/$S205,"")</f>
        <v/>
      </c>
      <c r="W205" s="140">
        <f>IFERROR($N205/$T205,"")</f>
        <v/>
      </c>
      <c r="X205" s="80" t="n"/>
      <c r="Y205" s="80" t="n"/>
    </row>
  </sheetData>
  <mergeCells count="1">
    <mergeCell ref="A1:Y1"/>
  </mergeCells>
  <dataValidations count="4">
    <dataValidation sqref="D6:D205" showDropDown="0" showInputMessage="0" showErrorMessage="0" allowBlank="0" type="list">
      <formula1>基本設定!$M$14:$M$21</formula1>
    </dataValidation>
    <dataValidation sqref="J6:J205" showDropDown="0" showInputMessage="0" showErrorMessage="0" allowBlank="0" type="list">
      <formula1>基本設定!$S$13:$S$19</formula1>
    </dataValidation>
    <dataValidation sqref="Q6:Q205" showDropDown="0" showInputMessage="0" showErrorMessage="0" allowBlank="0" type="list">
      <formula1>基本設定!$P$13:$P$20</formula1>
    </dataValidation>
    <dataValidation sqref="X6:X205" showDropDown="0" showInputMessage="0" showErrorMessage="0" allowBlank="0" type="list">
      <formula1>基本設定!$O$13:$O$18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20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20" customWidth="1" min="4" max="4"/>
    <col width="18" customWidth="1" min="5" max="5"/>
    <col width="22" customWidth="1" min="6" max="6"/>
    <col width="22" customWidth="1" min="7" max="7"/>
    <col width="10" customWidth="1" min="8" max="8"/>
    <col width="12" customWidth="1" min="9" max="9"/>
    <col width="12" customWidth="1" min="10" max="10"/>
    <col width="10" customWidth="1" min="11" max="11"/>
    <col width="14" customWidth="1" min="12" max="12"/>
    <col width="10" customWidth="1" min="13" max="13"/>
    <col width="18" customWidth="1" min="14" max="14"/>
    <col width="10" customWidth="1" min="15" max="15"/>
    <col width="14" customWidth="1" min="16" max="16"/>
    <col width="45" customWidth="1" min="17" max="17"/>
    <col width="18" customWidth="1" min="18" max="18"/>
    <col width="12" customWidth="1" min="19" max="19"/>
    <col width="12" customWidth="1" min="20" max="20"/>
    <col width="10" customWidth="1" min="21" max="21"/>
    <col width="14" customWidth="1" min="22" max="22"/>
    <col width="12" customWidth="1" min="23" max="23"/>
    <col width="28" customWidth="1" min="24" max="24"/>
  </cols>
  <sheetData>
    <row r="1" ht="34" customHeight="1">
      <c r="A1" s="9" t="inlineStr">
        <is>
          <t>Anomaly Detection for Spikes, Drops, Stalled Readings, and Intensity Overruns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</row>
    <row r="2" ht="24" customHeight="1">
      <c r="A2" s="13" t="inlineStr">
        <is>
          <t>Description</t>
        </is>
      </c>
      <c r="B2" s="13" t="inlineStr">
        <is>
          <t>Baseline is the previous 7-day average for the same metering point. Deviation, financial impact, risk level, and recommended action are automatic.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  <c r="T2" s="13" t="n"/>
      <c r="U2" s="13" t="n"/>
      <c r="V2" s="13" t="n"/>
      <c r="W2" s="13" t="n"/>
      <c r="X2" s="13" t="n"/>
    </row>
    <row r="3" ht="24" customHeight="1">
      <c r="A3" s="13" t="inlineStr">
        <is>
          <t>使用</t>
        </is>
      </c>
      <c r="B3" s="13" t="inlineStr">
        <is>
          <t>Status, work order number, and close date can be maintained manually. Copy anomalies to Closed-loop Actions to create work orders.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  <c r="T3" s="13" t="n"/>
      <c r="U3" s="13" t="n"/>
      <c r="V3" s="13" t="n"/>
      <c r="W3" s="13" t="n"/>
      <c r="X3" s="13" t="n"/>
    </row>
    <row r="4"/>
    <row r="5">
      <c r="A5" s="94" t="inlineStr">
        <is>
          <t>Anomaly ID</t>
        </is>
      </c>
      <c r="B5" s="94" t="inlineStr">
        <is>
          <t>Detection date</t>
        </is>
      </c>
      <c r="C5" s="94" t="inlineStr">
        <is>
          <t>Company</t>
        </is>
      </c>
      <c r="D5" s="94" t="inlineStr">
        <is>
          <t>Business scenario</t>
        </is>
      </c>
      <c r="E5" s="94" t="inlineStr">
        <is>
          <t>Area / site</t>
        </is>
      </c>
      <c r="F5" s="94" t="inlineStr">
        <is>
          <t>Department / object</t>
        </is>
      </c>
      <c r="G5" s="94" t="inlineStr">
        <is>
          <t>Equipment / metering point</t>
        </is>
      </c>
      <c r="H5" s="94" t="inlineStr">
        <is>
          <t>Energy type</t>
        </is>
      </c>
      <c r="I5" s="94" t="inlineStr">
        <is>
          <t>Current usage</t>
        </is>
      </c>
      <c r="J5" s="94" t="inlineStr">
        <is>
          <t>7-day baseline</t>
        </is>
      </c>
      <c r="K5" s="94" t="inlineStr">
        <is>
          <t>Deviation rate</t>
        </is>
      </c>
      <c r="L5" s="94" t="inlineStr">
        <is>
          <t>Energy per area</t>
        </is>
      </c>
      <c r="M5" s="94" t="inlineStr">
        <is>
          <t>Alert threshold</t>
        </is>
      </c>
      <c r="N5" s="94" t="inlineStr">
        <is>
          <t>Anomaly category</t>
        </is>
      </c>
      <c r="O5" s="94" t="inlineStr">
        <is>
          <t>Risk level</t>
        </is>
      </c>
      <c r="P5" s="94" t="inlineStr">
        <is>
          <t>Financial impact</t>
        </is>
      </c>
      <c r="Q5" s="94" t="inlineStr">
        <is>
          <t>Recommended action</t>
        </is>
      </c>
      <c r="R5" s="94" t="inlineStr">
        <is>
          <t>Responsible role</t>
        </is>
      </c>
      <c r="S5" s="94" t="inlineStr">
        <is>
          <t>Status</t>
        </is>
      </c>
      <c r="T5" s="94" t="inlineStr">
        <is>
          <t>Planned completion date</t>
        </is>
      </c>
      <c r="U5" s="94" t="inlineStr">
        <is>
          <t>Overdue?</t>
        </is>
      </c>
      <c r="V5" s="94" t="inlineStr">
        <is>
          <t>Work order No.</t>
        </is>
      </c>
      <c r="W5" s="94" t="inlineStr">
        <is>
          <t>Close date</t>
        </is>
      </c>
      <c r="X5" s="94" t="inlineStr">
        <is>
          <t>Notes</t>
        </is>
      </c>
    </row>
    <row r="6">
      <c r="A6" s="102">
        <f>IF('エネルギーデータ入力'!$A6="","","AL-"&amp;TEXT(ROW()-5,"0000"))</f>
        <v/>
      </c>
      <c r="B6" s="141">
        <f>IF('エネルギーデータ入力'!$B6="","",'エネルギーデータ入力'!$B6)</f>
        <v/>
      </c>
      <c r="C6" s="102">
        <f>IF('エネルギーデータ入力'!$C6="","",'エネルギーデータ入力'!$C6)</f>
        <v/>
      </c>
      <c r="D6" s="102">
        <f>IF('エネルギーデータ入力'!$D6="","",'エネルギーデータ入力'!$D6)</f>
        <v/>
      </c>
      <c r="E6" s="102">
        <f>IF('エネルギーデータ入力'!$E6="","",'エネルギーデータ入力'!$E6)</f>
        <v/>
      </c>
      <c r="F6" s="102">
        <f>IF('エネルギーデータ入力'!$G6="","",'エネルギーデータ入力'!$G6)</f>
        <v/>
      </c>
      <c r="G6" s="102">
        <f>IF('エネルギーデータ入力'!$H6="","",'エネルギーデータ入力'!$H6)</f>
        <v/>
      </c>
      <c r="H6" s="102">
        <f>IF('エネルギーデータ入力'!$J6="","",'エネルギーデータ入力'!$J6)</f>
        <v/>
      </c>
      <c r="I6" s="142">
        <f>IF('エネルギーデータ入力'!$N6="","",'エネルギーデータ入力'!$N6)</f>
        <v/>
      </c>
      <c r="J6" s="142">
        <f>IF($B6="","",IFERROR(AVERAGEIFS('エネルギーデータ入力'!$N$6:$N$205,'エネルギーデータ入力'!$B$6:$B$205,"&gt;="&amp;$B6-7,'エネルギーデータ入力'!$B$6:$B$205,"&lt;"&amp;$B6,'エネルギーデータ入力'!$H$6:$H$205,$G6,'エネルギーデータ入力'!$J$6:$J$205,$H6),$I6))</f>
        <v/>
      </c>
      <c r="K6" s="143">
        <f>IFERROR(($I6-$J6)/$J6,"")</f>
        <v/>
      </c>
      <c r="L6" s="102">
        <f>IF('エネルギーデータ入力'!$V6="","",'エネルギーデータ入力'!$V6)</f>
        <v/>
      </c>
      <c r="M6" s="102">
        <f>IF($H6="","",IFERROR(VLOOKUP($H6,'基本設定'!$A$13:$K$19,5,FALSE),0.2))</f>
        <v/>
      </c>
      <c r="N6" s="102">
        <f>IF($B6="","",IF('エネルギーデータ入力'!$L6="","Missing reading",IF($I6=0,"Stalled reading / possibly offline",IF($K6&gt;=IFERROR(VLOOKUP($H6,'基本設定'!$A$13:$K$19,6,FALSE),0.5),"Severe spike",IF($K6&gt;=$M6,"Usage spike",IF($K6&lt;=-IFERROR(VLOOKUP($H6,'基本設定'!$A$13:$K$19,7,FALSE),0.3),"Usage drop",IF($L6&gt;IFERROR(VLOOKUP($H6,'基本設定'!$A$13:$K$19,8,FALSE),999999),"Area intensity overrun","正常")))))))</f>
        <v/>
      </c>
      <c r="O6" s="102">
        <f>IF($N6="","",IF($N6="正常","正常",IF(OR($N6="Severe spike",$K6&gt;=IFERROR(VLOOKUP($H6,'基本設定'!$A$13:$K$19,6,FALSE),0.5)),"重大",IF(OR($N6="Usage spike",$N6="Usage drop"),"高","中"))))</f>
        <v/>
      </c>
      <c r="P6" s="144">
        <f>IF(OR($N6="",$N6="正常"),0,ABS($I6-$J6)*'エネルギーデータ入力'!$O6)</f>
        <v/>
      </c>
      <c r="Q6" s="102">
        <f>IF($N6="正常","",IF($N6="Stalled reading / possibly offline","核查表计通信/電気池/网关/阀门Status",IF(AND($H6="水道",$N6&lt;&gt;"正常"),"检查管网、阀门、卫生间、冷却塔及夜间最小流量",IF(AND($H6="電気",$N6&lt;&gt;"正常"),"检查空调、照明、生产设备、PeakOff-peak时段与待机功耗",IF(AND($H6="ガス",$N6&lt;&gt;"正常"),"检查燃ガス阀门、锅炉/厨房设备与泄漏风险","核查设备工况、排班、产量与计量数据")))))</f>
        <v/>
      </c>
      <c r="R6" s="102">
        <f>IF($H6="","",IFERROR(VLOOKUP($H6,'基本設定'!$A$13:$K$19,11,FALSE),"Energy management owner"))</f>
        <v/>
      </c>
      <c r="S6" s="102">
        <f>IF($N6="","",IF($N6="正常","対応不要","未対応"))</f>
        <v/>
      </c>
      <c r="T6" s="141">
        <f>IF(OR($B6="",$N6="正常"),"",WORKDAY($B6,IF($O6="重大",1,IF($O6="高",2,3))))</f>
        <v/>
      </c>
      <c r="U6" s="102">
        <f>IF($T6="","",IF(AND($S6&lt;&gt;"完了",TODAY()&gt;$T6),"期限超過","期限内"))</f>
        <v/>
      </c>
      <c r="V6" s="102" t="n"/>
      <c r="W6" s="141" t="n"/>
      <c r="X6" s="102" t="n"/>
    </row>
    <row r="7">
      <c r="A7" s="102">
        <f>IF('エネルギーデータ入力'!$A7="","","AL-"&amp;TEXT(ROW()-5,"0000"))</f>
        <v/>
      </c>
      <c r="B7" s="141">
        <f>IF('エネルギーデータ入力'!$B7="","",'エネルギーデータ入力'!$B7)</f>
        <v/>
      </c>
      <c r="C7" s="102">
        <f>IF('エネルギーデータ入力'!$C7="","",'エネルギーデータ入力'!$C7)</f>
        <v/>
      </c>
      <c r="D7" s="102">
        <f>IF('エネルギーデータ入力'!$D7="","",'エネルギーデータ入力'!$D7)</f>
        <v/>
      </c>
      <c r="E7" s="102">
        <f>IF('エネルギーデータ入力'!$E7="","",'エネルギーデータ入力'!$E7)</f>
        <v/>
      </c>
      <c r="F7" s="102">
        <f>IF('エネルギーデータ入力'!$G7="","",'エネルギーデータ入力'!$G7)</f>
        <v/>
      </c>
      <c r="G7" s="102">
        <f>IF('エネルギーデータ入力'!$H7="","",'エネルギーデータ入力'!$H7)</f>
        <v/>
      </c>
      <c r="H7" s="102">
        <f>IF('エネルギーデータ入力'!$J7="","",'エネルギーデータ入力'!$J7)</f>
        <v/>
      </c>
      <c r="I7" s="142">
        <f>IF('エネルギーデータ入力'!$N7="","",'エネルギーデータ入力'!$N7)</f>
        <v/>
      </c>
      <c r="J7" s="142">
        <f>IF($B7="","",IFERROR(AVERAGEIFS('エネルギーデータ入力'!$N$6:$N$205,'エネルギーデータ入力'!$B$6:$B$205,"&gt;="&amp;$B7-7,'エネルギーデータ入力'!$B$6:$B$205,"&lt;"&amp;$B7,'エネルギーデータ入力'!$H$6:$H$205,$G7,'エネルギーデータ入力'!$J$6:$J$205,$H7),$I7))</f>
        <v/>
      </c>
      <c r="K7" s="143">
        <f>IFERROR(($I7-$J7)/$J7,"")</f>
        <v/>
      </c>
      <c r="L7" s="102">
        <f>IF('エネルギーデータ入力'!$V7="","",'エネルギーデータ入力'!$V7)</f>
        <v/>
      </c>
      <c r="M7" s="102">
        <f>IF($H7="","",IFERROR(VLOOKUP($H7,'基本設定'!$A$13:$K$19,5,FALSE),0.2))</f>
        <v/>
      </c>
      <c r="N7" s="102">
        <f>IF($B7="","",IF('エネルギーデータ入力'!$L7="","Missing reading",IF($I7=0,"Stalled reading / possibly offline",IF($K7&gt;=IFERROR(VLOOKUP($H7,'基本設定'!$A$13:$K$19,6,FALSE),0.5),"Severe spike",IF($K7&gt;=$M7,"Usage spike",IF($K7&lt;=-IFERROR(VLOOKUP($H7,'基本設定'!$A$13:$K$19,7,FALSE),0.3),"Usage drop",IF($L7&gt;IFERROR(VLOOKUP($H7,'基本設定'!$A$13:$K$19,8,FALSE),999999),"Area intensity overrun","正常")))))))</f>
        <v/>
      </c>
      <c r="O7" s="102">
        <f>IF($N7="","",IF($N7="正常","正常",IF(OR($N7="Severe spike",$K7&gt;=IFERROR(VLOOKUP($H7,'基本設定'!$A$13:$K$19,6,FALSE),0.5)),"重大",IF(OR($N7="Usage spike",$N7="Usage drop"),"高","中"))))</f>
        <v/>
      </c>
      <c r="P7" s="144">
        <f>IF(OR($N7="",$N7="正常"),0,ABS($I7-$J7)*'エネルギーデータ入力'!$O7)</f>
        <v/>
      </c>
      <c r="Q7" s="102">
        <f>IF($N7="正常","",IF($N7="Stalled reading / possibly offline","核查表计通信/電気池/网关/阀门Status",IF(AND($H7="水道",$N7&lt;&gt;"正常"),"检查管网、阀门、卫生间、冷却塔及夜间最小流量",IF(AND($H7="電気",$N7&lt;&gt;"正常"),"检查空调、照明、生产设备、PeakOff-peak时段与待机功耗",IF(AND($H7="ガス",$N7&lt;&gt;"正常"),"检查燃ガス阀门、锅炉/厨房设备与泄漏风险","核查设备工况、排班、产量与计量数据")))))</f>
        <v/>
      </c>
      <c r="R7" s="102">
        <f>IF($H7="","",IFERROR(VLOOKUP($H7,'基本設定'!$A$13:$K$19,11,FALSE),"Energy management owner"))</f>
        <v/>
      </c>
      <c r="S7" s="102">
        <f>IF($N7="","",IF($N7="正常","対応不要","未対応"))</f>
        <v/>
      </c>
      <c r="T7" s="141">
        <f>IF(OR($B7="",$N7="正常"),"",WORKDAY($B7,IF($O7="重大",1,IF($O7="高",2,3))))</f>
        <v/>
      </c>
      <c r="U7" s="102">
        <f>IF($T7="","",IF(AND($S7&lt;&gt;"完了",TODAY()&gt;$T7),"期限超過","期限内"))</f>
        <v/>
      </c>
      <c r="V7" s="102" t="n"/>
      <c r="W7" s="141" t="n"/>
      <c r="X7" s="102" t="n"/>
    </row>
    <row r="8">
      <c r="A8" s="102">
        <f>IF('エネルギーデータ入力'!$A8="","","AL-"&amp;TEXT(ROW()-5,"0000"))</f>
        <v/>
      </c>
      <c r="B8" s="141">
        <f>IF('エネルギーデータ入力'!$B8="","",'エネルギーデータ入力'!$B8)</f>
        <v/>
      </c>
      <c r="C8" s="102">
        <f>IF('エネルギーデータ入力'!$C8="","",'エネルギーデータ入力'!$C8)</f>
        <v/>
      </c>
      <c r="D8" s="102">
        <f>IF('エネルギーデータ入力'!$D8="","",'エネルギーデータ入力'!$D8)</f>
        <v/>
      </c>
      <c r="E8" s="102">
        <f>IF('エネルギーデータ入力'!$E8="","",'エネルギーデータ入力'!$E8)</f>
        <v/>
      </c>
      <c r="F8" s="102">
        <f>IF('エネルギーデータ入力'!$G8="","",'エネルギーデータ入力'!$G8)</f>
        <v/>
      </c>
      <c r="G8" s="102">
        <f>IF('エネルギーデータ入力'!$H8="","",'エネルギーデータ入力'!$H8)</f>
        <v/>
      </c>
      <c r="H8" s="102">
        <f>IF('エネルギーデータ入力'!$J8="","",'エネルギーデータ入力'!$J8)</f>
        <v/>
      </c>
      <c r="I8" s="142">
        <f>IF('エネルギーデータ入力'!$N8="","",'エネルギーデータ入力'!$N8)</f>
        <v/>
      </c>
      <c r="J8" s="142">
        <f>IF($B8="","",IFERROR(AVERAGEIFS('エネルギーデータ入力'!$N$6:$N$205,'エネルギーデータ入力'!$B$6:$B$205,"&gt;="&amp;$B8-7,'エネルギーデータ入力'!$B$6:$B$205,"&lt;"&amp;$B8,'エネルギーデータ入力'!$H$6:$H$205,$G8,'エネルギーデータ入力'!$J$6:$J$205,$H8),$I8))</f>
        <v/>
      </c>
      <c r="K8" s="143">
        <f>IFERROR(($I8-$J8)/$J8,"")</f>
        <v/>
      </c>
      <c r="L8" s="102">
        <f>IF('エネルギーデータ入力'!$V8="","",'エネルギーデータ入力'!$V8)</f>
        <v/>
      </c>
      <c r="M8" s="102">
        <f>IF($H8="","",IFERROR(VLOOKUP($H8,'基本設定'!$A$13:$K$19,5,FALSE),0.2))</f>
        <v/>
      </c>
      <c r="N8" s="102">
        <f>IF($B8="","",IF('エネルギーデータ入力'!$L8="","Missing reading",IF($I8=0,"Stalled reading / possibly offline",IF($K8&gt;=IFERROR(VLOOKUP($H8,'基本設定'!$A$13:$K$19,6,FALSE),0.5),"Severe spike",IF($K8&gt;=$M8,"Usage spike",IF($K8&lt;=-IFERROR(VLOOKUP($H8,'基本設定'!$A$13:$K$19,7,FALSE),0.3),"Usage drop",IF($L8&gt;IFERROR(VLOOKUP($H8,'基本設定'!$A$13:$K$19,8,FALSE),999999),"Area intensity overrun","正常")))))))</f>
        <v/>
      </c>
      <c r="O8" s="102">
        <f>IF($N8="","",IF($N8="正常","正常",IF(OR($N8="Severe spike",$K8&gt;=IFERROR(VLOOKUP($H8,'基本設定'!$A$13:$K$19,6,FALSE),0.5)),"重大",IF(OR($N8="Usage spike",$N8="Usage drop"),"高","中"))))</f>
        <v/>
      </c>
      <c r="P8" s="144">
        <f>IF(OR($N8="",$N8="正常"),0,ABS($I8-$J8)*'エネルギーデータ入力'!$O8)</f>
        <v/>
      </c>
      <c r="Q8" s="102">
        <f>IF($N8="正常","",IF($N8="Stalled reading / possibly offline","核查表计通信/電気池/网关/阀门Status",IF(AND($H8="水道",$N8&lt;&gt;"正常"),"检查管网、阀门、卫生间、冷却塔及夜间最小流量",IF(AND($H8="電気",$N8&lt;&gt;"正常"),"检查空调、照明、生产设备、PeakOff-peak时段与待机功耗",IF(AND($H8="ガス",$N8&lt;&gt;"正常"),"检查燃ガス阀门、锅炉/厨房设备与泄漏风险","核查设备工况、排班、产量与计量数据")))))</f>
        <v/>
      </c>
      <c r="R8" s="102">
        <f>IF($H8="","",IFERROR(VLOOKUP($H8,'基本設定'!$A$13:$K$19,11,FALSE),"Energy management owner"))</f>
        <v/>
      </c>
      <c r="S8" s="102">
        <f>IF($N8="","",IF($N8="正常","対応不要","未対応"))</f>
        <v/>
      </c>
      <c r="T8" s="141">
        <f>IF(OR($B8="",$N8="正常"),"",WORKDAY($B8,IF($O8="重大",1,IF($O8="高",2,3))))</f>
        <v/>
      </c>
      <c r="U8" s="102">
        <f>IF($T8="","",IF(AND($S8&lt;&gt;"完了",TODAY()&gt;$T8),"期限超過","期限内"))</f>
        <v/>
      </c>
      <c r="V8" s="102" t="n"/>
      <c r="W8" s="141" t="n"/>
      <c r="X8" s="102" t="n"/>
    </row>
    <row r="9">
      <c r="A9" s="102">
        <f>IF('エネルギーデータ入力'!$A9="","","AL-"&amp;TEXT(ROW()-5,"0000"))</f>
        <v/>
      </c>
      <c r="B9" s="141">
        <f>IF('エネルギーデータ入力'!$B9="","",'エネルギーデータ入力'!$B9)</f>
        <v/>
      </c>
      <c r="C9" s="102">
        <f>IF('エネルギーデータ入力'!$C9="","",'エネルギーデータ入力'!$C9)</f>
        <v/>
      </c>
      <c r="D9" s="102">
        <f>IF('エネルギーデータ入力'!$D9="","",'エネルギーデータ入力'!$D9)</f>
        <v/>
      </c>
      <c r="E9" s="102">
        <f>IF('エネルギーデータ入力'!$E9="","",'エネルギーデータ入力'!$E9)</f>
        <v/>
      </c>
      <c r="F9" s="102">
        <f>IF('エネルギーデータ入力'!$G9="","",'エネルギーデータ入力'!$G9)</f>
        <v/>
      </c>
      <c r="G9" s="102">
        <f>IF('エネルギーデータ入力'!$H9="","",'エネルギーデータ入力'!$H9)</f>
        <v/>
      </c>
      <c r="H9" s="102">
        <f>IF('エネルギーデータ入力'!$J9="","",'エネルギーデータ入力'!$J9)</f>
        <v/>
      </c>
      <c r="I9" s="142">
        <f>IF('エネルギーデータ入力'!$N9="","",'エネルギーデータ入力'!$N9)</f>
        <v/>
      </c>
      <c r="J9" s="142">
        <f>IF($B9="","",IFERROR(AVERAGEIFS('エネルギーデータ入力'!$N$6:$N$205,'エネルギーデータ入力'!$B$6:$B$205,"&gt;="&amp;$B9-7,'エネルギーデータ入力'!$B$6:$B$205,"&lt;"&amp;$B9,'エネルギーデータ入力'!$H$6:$H$205,$G9,'エネルギーデータ入力'!$J$6:$J$205,$H9),$I9))</f>
        <v/>
      </c>
      <c r="K9" s="143">
        <f>IFERROR(($I9-$J9)/$J9,"")</f>
        <v/>
      </c>
      <c r="L9" s="102">
        <f>IF('エネルギーデータ入力'!$V9="","",'エネルギーデータ入力'!$V9)</f>
        <v/>
      </c>
      <c r="M9" s="102">
        <f>IF($H9="","",IFERROR(VLOOKUP($H9,'基本設定'!$A$13:$K$19,5,FALSE),0.2))</f>
        <v/>
      </c>
      <c r="N9" s="102">
        <f>IF($B9="","",IF('エネルギーデータ入力'!$L9="","Missing reading",IF($I9=0,"Stalled reading / possibly offline",IF($K9&gt;=IFERROR(VLOOKUP($H9,'基本設定'!$A$13:$K$19,6,FALSE),0.5),"Severe spike",IF($K9&gt;=$M9,"Usage spike",IF($K9&lt;=-IFERROR(VLOOKUP($H9,'基本設定'!$A$13:$K$19,7,FALSE),0.3),"Usage drop",IF($L9&gt;IFERROR(VLOOKUP($H9,'基本設定'!$A$13:$K$19,8,FALSE),999999),"Area intensity overrun","正常")))))))</f>
        <v/>
      </c>
      <c r="O9" s="102">
        <f>IF($N9="","",IF($N9="正常","正常",IF(OR($N9="Severe spike",$K9&gt;=IFERROR(VLOOKUP($H9,'基本設定'!$A$13:$K$19,6,FALSE),0.5)),"重大",IF(OR($N9="Usage spike",$N9="Usage drop"),"高","中"))))</f>
        <v/>
      </c>
      <c r="P9" s="144">
        <f>IF(OR($N9="",$N9="正常"),0,ABS($I9-$J9)*'エネルギーデータ入力'!$O9)</f>
        <v/>
      </c>
      <c r="Q9" s="102">
        <f>IF($N9="正常","",IF($N9="Stalled reading / possibly offline","核查表计通信/電気池/网关/阀门Status",IF(AND($H9="水道",$N9&lt;&gt;"正常"),"检查管网、阀门、卫生间、冷却塔及夜间最小流量",IF(AND($H9="電気",$N9&lt;&gt;"正常"),"检查空调、照明、生产设备、PeakOff-peak时段与待机功耗",IF(AND($H9="ガス",$N9&lt;&gt;"正常"),"检查燃ガス阀门、锅炉/厨房设备与泄漏风险","核查设备工况、排班、产量与计量数据")))))</f>
        <v/>
      </c>
      <c r="R9" s="102">
        <f>IF($H9="","",IFERROR(VLOOKUP($H9,'基本設定'!$A$13:$K$19,11,FALSE),"Energy management owner"))</f>
        <v/>
      </c>
      <c r="S9" s="102">
        <f>IF($N9="","",IF($N9="正常","対応不要","未対応"))</f>
        <v/>
      </c>
      <c r="T9" s="141">
        <f>IF(OR($B9="",$N9="正常"),"",WORKDAY($B9,IF($O9="重大",1,IF($O9="高",2,3))))</f>
        <v/>
      </c>
      <c r="U9" s="102">
        <f>IF($T9="","",IF(AND($S9&lt;&gt;"完了",TODAY()&gt;$T9),"期限超過","期限内"))</f>
        <v/>
      </c>
      <c r="V9" s="102" t="n"/>
      <c r="W9" s="141" t="n"/>
      <c r="X9" s="102" t="n"/>
    </row>
    <row r="10">
      <c r="A10" s="102">
        <f>IF('エネルギーデータ入力'!$A10="","","AL-"&amp;TEXT(ROW()-5,"0000"))</f>
        <v/>
      </c>
      <c r="B10" s="141">
        <f>IF('エネルギーデータ入力'!$B10="","",'エネルギーデータ入力'!$B10)</f>
        <v/>
      </c>
      <c r="C10" s="102">
        <f>IF('エネルギーデータ入力'!$C10="","",'エネルギーデータ入力'!$C10)</f>
        <v/>
      </c>
      <c r="D10" s="102">
        <f>IF('エネルギーデータ入力'!$D10="","",'エネルギーデータ入力'!$D10)</f>
        <v/>
      </c>
      <c r="E10" s="102">
        <f>IF('エネルギーデータ入力'!$E10="","",'エネルギーデータ入力'!$E10)</f>
        <v/>
      </c>
      <c r="F10" s="102">
        <f>IF('エネルギーデータ入力'!$G10="","",'エネルギーデータ入力'!$G10)</f>
        <v/>
      </c>
      <c r="G10" s="102">
        <f>IF('エネルギーデータ入力'!$H10="","",'エネルギーデータ入力'!$H10)</f>
        <v/>
      </c>
      <c r="H10" s="102">
        <f>IF('エネルギーデータ入力'!$J10="","",'エネルギーデータ入力'!$J10)</f>
        <v/>
      </c>
      <c r="I10" s="142">
        <f>IF('エネルギーデータ入力'!$N10="","",'エネルギーデータ入力'!$N10)</f>
        <v/>
      </c>
      <c r="J10" s="142">
        <f>IF($B10="","",IFERROR(AVERAGEIFS('エネルギーデータ入力'!$N$6:$N$205,'エネルギーデータ入力'!$B$6:$B$205,"&gt;="&amp;$B10-7,'エネルギーデータ入力'!$B$6:$B$205,"&lt;"&amp;$B10,'エネルギーデータ入力'!$H$6:$H$205,$G10,'エネルギーデータ入力'!$J$6:$J$205,$H10),$I10))</f>
        <v/>
      </c>
      <c r="K10" s="143">
        <f>IFERROR(($I10-$J10)/$J10,"")</f>
        <v/>
      </c>
      <c r="L10" s="102">
        <f>IF('エネルギーデータ入力'!$V10="","",'エネルギーデータ入力'!$V10)</f>
        <v/>
      </c>
      <c r="M10" s="102">
        <f>IF($H10="","",IFERROR(VLOOKUP($H10,'基本設定'!$A$13:$K$19,5,FALSE),0.2))</f>
        <v/>
      </c>
      <c r="N10" s="102">
        <f>IF($B10="","",IF('エネルギーデータ入力'!$L10="","Missing reading",IF($I10=0,"Stalled reading / possibly offline",IF($K10&gt;=IFERROR(VLOOKUP($H10,'基本設定'!$A$13:$K$19,6,FALSE),0.5),"Severe spike",IF($K10&gt;=$M10,"Usage spike",IF($K10&lt;=-IFERROR(VLOOKUP($H10,'基本設定'!$A$13:$K$19,7,FALSE),0.3),"Usage drop",IF($L10&gt;IFERROR(VLOOKUP($H10,'基本設定'!$A$13:$K$19,8,FALSE),999999),"Area intensity overrun","正常")))))))</f>
        <v/>
      </c>
      <c r="O10" s="102">
        <f>IF($N10="","",IF($N10="正常","正常",IF(OR($N10="Severe spike",$K10&gt;=IFERROR(VLOOKUP($H10,'基本設定'!$A$13:$K$19,6,FALSE),0.5)),"重大",IF(OR($N10="Usage spike",$N10="Usage drop"),"高","中"))))</f>
        <v/>
      </c>
      <c r="P10" s="144">
        <f>IF(OR($N10="",$N10="正常"),0,ABS($I10-$J10)*'エネルギーデータ入力'!$O10)</f>
        <v/>
      </c>
      <c r="Q10" s="102">
        <f>IF($N10="正常","",IF($N10="Stalled reading / possibly offline","核查表计通信/電気池/网关/阀门Status",IF(AND($H10="水道",$N10&lt;&gt;"正常"),"检查管网、阀门、卫生间、冷却塔及夜间最小流量",IF(AND($H10="電気",$N10&lt;&gt;"正常"),"检查空调、照明、生产设备、PeakOff-peak时段与待机功耗",IF(AND($H10="ガス",$N10&lt;&gt;"正常"),"检查燃ガス阀门、锅炉/厨房设备与泄漏风险","核查设备工况、排班、产量与计量数据")))))</f>
        <v/>
      </c>
      <c r="R10" s="102">
        <f>IF($H10="","",IFERROR(VLOOKUP($H10,'基本設定'!$A$13:$K$19,11,FALSE),"Energy management owner"))</f>
        <v/>
      </c>
      <c r="S10" s="102">
        <f>IF($N10="","",IF($N10="正常","対応不要","未対応"))</f>
        <v/>
      </c>
      <c r="T10" s="141">
        <f>IF(OR($B10="",$N10="正常"),"",WORKDAY($B10,IF($O10="重大",1,IF($O10="高",2,3))))</f>
        <v/>
      </c>
      <c r="U10" s="102">
        <f>IF($T10="","",IF(AND($S10&lt;&gt;"完了",TODAY()&gt;$T10),"期限超過","期限内"))</f>
        <v/>
      </c>
      <c r="V10" s="102" t="n"/>
      <c r="W10" s="141" t="n"/>
      <c r="X10" s="102" t="n"/>
    </row>
    <row r="11">
      <c r="A11" s="102">
        <f>IF('エネルギーデータ入力'!$A11="","","AL-"&amp;TEXT(ROW()-5,"0000"))</f>
        <v/>
      </c>
      <c r="B11" s="141">
        <f>IF('エネルギーデータ入力'!$B11="","",'エネルギーデータ入力'!$B11)</f>
        <v/>
      </c>
      <c r="C11" s="102">
        <f>IF('エネルギーデータ入力'!$C11="","",'エネルギーデータ入力'!$C11)</f>
        <v/>
      </c>
      <c r="D11" s="102">
        <f>IF('エネルギーデータ入力'!$D11="","",'エネルギーデータ入力'!$D11)</f>
        <v/>
      </c>
      <c r="E11" s="102">
        <f>IF('エネルギーデータ入力'!$E11="","",'エネルギーデータ入力'!$E11)</f>
        <v/>
      </c>
      <c r="F11" s="102">
        <f>IF('エネルギーデータ入力'!$G11="","",'エネルギーデータ入力'!$G11)</f>
        <v/>
      </c>
      <c r="G11" s="102">
        <f>IF('エネルギーデータ入力'!$H11="","",'エネルギーデータ入力'!$H11)</f>
        <v/>
      </c>
      <c r="H11" s="102">
        <f>IF('エネルギーデータ入力'!$J11="","",'エネルギーデータ入力'!$J11)</f>
        <v/>
      </c>
      <c r="I11" s="142">
        <f>IF('エネルギーデータ入力'!$N11="","",'エネルギーデータ入力'!$N11)</f>
        <v/>
      </c>
      <c r="J11" s="142">
        <f>IF($B11="","",IFERROR(AVERAGEIFS('エネルギーデータ入力'!$N$6:$N$205,'エネルギーデータ入力'!$B$6:$B$205,"&gt;="&amp;$B11-7,'エネルギーデータ入力'!$B$6:$B$205,"&lt;"&amp;$B11,'エネルギーデータ入力'!$H$6:$H$205,$G11,'エネルギーデータ入力'!$J$6:$J$205,$H11),$I11))</f>
        <v/>
      </c>
      <c r="K11" s="143">
        <f>IFERROR(($I11-$J11)/$J11,"")</f>
        <v/>
      </c>
      <c r="L11" s="102">
        <f>IF('エネルギーデータ入力'!$V11="","",'エネルギーデータ入力'!$V11)</f>
        <v/>
      </c>
      <c r="M11" s="102">
        <f>IF($H11="","",IFERROR(VLOOKUP($H11,'基本設定'!$A$13:$K$19,5,FALSE),0.2))</f>
        <v/>
      </c>
      <c r="N11" s="102">
        <f>IF($B11="","",IF('エネルギーデータ入力'!$L11="","Missing reading",IF($I11=0,"Stalled reading / possibly offline",IF($K11&gt;=IFERROR(VLOOKUP($H11,'基本設定'!$A$13:$K$19,6,FALSE),0.5),"Severe spike",IF($K11&gt;=$M11,"Usage spike",IF($K11&lt;=-IFERROR(VLOOKUP($H11,'基本設定'!$A$13:$K$19,7,FALSE),0.3),"Usage drop",IF($L11&gt;IFERROR(VLOOKUP($H11,'基本設定'!$A$13:$K$19,8,FALSE),999999),"Area intensity overrun","正常")))))))</f>
        <v/>
      </c>
      <c r="O11" s="102">
        <f>IF($N11="","",IF($N11="正常","正常",IF(OR($N11="Severe spike",$K11&gt;=IFERROR(VLOOKUP($H11,'基本設定'!$A$13:$K$19,6,FALSE),0.5)),"重大",IF(OR($N11="Usage spike",$N11="Usage drop"),"高","中"))))</f>
        <v/>
      </c>
      <c r="P11" s="144">
        <f>IF(OR($N11="",$N11="正常"),0,ABS($I11-$J11)*'エネルギーデータ入力'!$O11)</f>
        <v/>
      </c>
      <c r="Q11" s="102">
        <f>IF($N11="正常","",IF($N11="Stalled reading / possibly offline","核查表计通信/電気池/网关/阀门Status",IF(AND($H11="水道",$N11&lt;&gt;"正常"),"检查管网、阀门、卫生间、冷却塔及夜间最小流量",IF(AND($H11="電気",$N11&lt;&gt;"正常"),"检查空调、照明、生产设备、PeakOff-peak时段与待机功耗",IF(AND($H11="ガス",$N11&lt;&gt;"正常"),"检查燃ガス阀门、锅炉/厨房设备与泄漏风险","核查设备工况、排班、产量与计量数据")))))</f>
        <v/>
      </c>
      <c r="R11" s="102">
        <f>IF($H11="","",IFERROR(VLOOKUP($H11,'基本設定'!$A$13:$K$19,11,FALSE),"Energy management owner"))</f>
        <v/>
      </c>
      <c r="S11" s="102">
        <f>IF($N11="","",IF($N11="正常","対応不要","未対応"))</f>
        <v/>
      </c>
      <c r="T11" s="141">
        <f>IF(OR($B11="",$N11="正常"),"",WORKDAY($B11,IF($O11="重大",1,IF($O11="高",2,3))))</f>
        <v/>
      </c>
      <c r="U11" s="102">
        <f>IF($T11="","",IF(AND($S11&lt;&gt;"完了",TODAY()&gt;$T11),"期限超過","期限内"))</f>
        <v/>
      </c>
      <c r="V11" s="102" t="n"/>
      <c r="W11" s="141" t="n"/>
      <c r="X11" s="102" t="n"/>
    </row>
    <row r="12">
      <c r="A12" s="102">
        <f>IF('エネルギーデータ入力'!$A12="","","AL-"&amp;TEXT(ROW()-5,"0000"))</f>
        <v/>
      </c>
      <c r="B12" s="141">
        <f>IF('エネルギーデータ入力'!$B12="","",'エネルギーデータ入力'!$B12)</f>
        <v/>
      </c>
      <c r="C12" s="102">
        <f>IF('エネルギーデータ入力'!$C12="","",'エネルギーデータ入力'!$C12)</f>
        <v/>
      </c>
      <c r="D12" s="102">
        <f>IF('エネルギーデータ入力'!$D12="","",'エネルギーデータ入力'!$D12)</f>
        <v/>
      </c>
      <c r="E12" s="102">
        <f>IF('エネルギーデータ入力'!$E12="","",'エネルギーデータ入力'!$E12)</f>
        <v/>
      </c>
      <c r="F12" s="102">
        <f>IF('エネルギーデータ入力'!$G12="","",'エネルギーデータ入力'!$G12)</f>
        <v/>
      </c>
      <c r="G12" s="102">
        <f>IF('エネルギーデータ入力'!$H12="","",'エネルギーデータ入力'!$H12)</f>
        <v/>
      </c>
      <c r="H12" s="102">
        <f>IF('エネルギーデータ入力'!$J12="","",'エネルギーデータ入力'!$J12)</f>
        <v/>
      </c>
      <c r="I12" s="142">
        <f>IF('エネルギーデータ入力'!$N12="","",'エネルギーデータ入力'!$N12)</f>
        <v/>
      </c>
      <c r="J12" s="142">
        <f>IF($B12="","",IFERROR(AVERAGEIFS('エネルギーデータ入力'!$N$6:$N$205,'エネルギーデータ入力'!$B$6:$B$205,"&gt;="&amp;$B12-7,'エネルギーデータ入力'!$B$6:$B$205,"&lt;"&amp;$B12,'エネルギーデータ入力'!$H$6:$H$205,$G12,'エネルギーデータ入力'!$J$6:$J$205,$H12),$I12))</f>
        <v/>
      </c>
      <c r="K12" s="143">
        <f>IFERROR(($I12-$J12)/$J12,"")</f>
        <v/>
      </c>
      <c r="L12" s="102">
        <f>IF('エネルギーデータ入力'!$V12="","",'エネルギーデータ入力'!$V12)</f>
        <v/>
      </c>
      <c r="M12" s="102">
        <f>IF($H12="","",IFERROR(VLOOKUP($H12,'基本設定'!$A$13:$K$19,5,FALSE),0.2))</f>
        <v/>
      </c>
      <c r="N12" s="102">
        <f>IF($B12="","",IF('エネルギーデータ入力'!$L12="","Missing reading",IF($I12=0,"Stalled reading / possibly offline",IF($K12&gt;=IFERROR(VLOOKUP($H12,'基本設定'!$A$13:$K$19,6,FALSE),0.5),"Severe spike",IF($K12&gt;=$M12,"Usage spike",IF($K12&lt;=-IFERROR(VLOOKUP($H12,'基本設定'!$A$13:$K$19,7,FALSE),0.3),"Usage drop",IF($L12&gt;IFERROR(VLOOKUP($H12,'基本設定'!$A$13:$K$19,8,FALSE),999999),"Area intensity overrun","正常")))))))</f>
        <v/>
      </c>
      <c r="O12" s="102">
        <f>IF($N12="","",IF($N12="正常","正常",IF(OR($N12="Severe spike",$K12&gt;=IFERROR(VLOOKUP($H12,'基本設定'!$A$13:$K$19,6,FALSE),0.5)),"重大",IF(OR($N12="Usage spike",$N12="Usage drop"),"高","中"))))</f>
        <v/>
      </c>
      <c r="P12" s="144">
        <f>IF(OR($N12="",$N12="正常"),0,ABS($I12-$J12)*'エネルギーデータ入力'!$O12)</f>
        <v/>
      </c>
      <c r="Q12" s="102">
        <f>IF($N12="正常","",IF($N12="Stalled reading / possibly offline","核查表计通信/電気池/网关/阀门Status",IF(AND($H12="水道",$N12&lt;&gt;"正常"),"检查管网、阀门、卫生间、冷却塔及夜间最小流量",IF(AND($H12="電気",$N12&lt;&gt;"正常"),"检查空调、照明、生产设备、PeakOff-peak时段与待机功耗",IF(AND($H12="ガス",$N12&lt;&gt;"正常"),"检查燃ガス阀门、锅炉/厨房设备与泄漏风险","核查设备工况、排班、产量与计量数据")))))</f>
        <v/>
      </c>
      <c r="R12" s="102">
        <f>IF($H12="","",IFERROR(VLOOKUP($H12,'基本設定'!$A$13:$K$19,11,FALSE),"Energy management owner"))</f>
        <v/>
      </c>
      <c r="S12" s="102">
        <f>IF($N12="","",IF($N12="正常","対応不要","未対応"))</f>
        <v/>
      </c>
      <c r="T12" s="141">
        <f>IF(OR($B12="",$N12="正常"),"",WORKDAY($B12,IF($O12="重大",1,IF($O12="高",2,3))))</f>
        <v/>
      </c>
      <c r="U12" s="102">
        <f>IF($T12="","",IF(AND($S12&lt;&gt;"完了",TODAY()&gt;$T12),"期限超過","期限内"))</f>
        <v/>
      </c>
      <c r="V12" s="102" t="n"/>
      <c r="W12" s="141" t="n"/>
      <c r="X12" s="102" t="n"/>
    </row>
    <row r="13">
      <c r="A13" s="102">
        <f>IF('エネルギーデータ入力'!$A13="","","AL-"&amp;TEXT(ROW()-5,"0000"))</f>
        <v/>
      </c>
      <c r="B13" s="141">
        <f>IF('エネルギーデータ入力'!$B13="","",'エネルギーデータ入力'!$B13)</f>
        <v/>
      </c>
      <c r="C13" s="102">
        <f>IF('エネルギーデータ入力'!$C13="","",'エネルギーデータ入力'!$C13)</f>
        <v/>
      </c>
      <c r="D13" s="102">
        <f>IF('エネルギーデータ入力'!$D13="","",'エネルギーデータ入力'!$D13)</f>
        <v/>
      </c>
      <c r="E13" s="102">
        <f>IF('エネルギーデータ入力'!$E13="","",'エネルギーデータ入力'!$E13)</f>
        <v/>
      </c>
      <c r="F13" s="102">
        <f>IF('エネルギーデータ入力'!$G13="","",'エネルギーデータ入力'!$G13)</f>
        <v/>
      </c>
      <c r="G13" s="102">
        <f>IF('エネルギーデータ入力'!$H13="","",'エネルギーデータ入力'!$H13)</f>
        <v/>
      </c>
      <c r="H13" s="102">
        <f>IF('エネルギーデータ入力'!$J13="","",'エネルギーデータ入力'!$J13)</f>
        <v/>
      </c>
      <c r="I13" s="142">
        <f>IF('エネルギーデータ入力'!$N13="","",'エネルギーデータ入力'!$N13)</f>
        <v/>
      </c>
      <c r="J13" s="142">
        <f>IF($B13="","",IFERROR(AVERAGEIFS('エネルギーデータ入力'!$N$6:$N$205,'エネルギーデータ入力'!$B$6:$B$205,"&gt;="&amp;$B13-7,'エネルギーデータ入力'!$B$6:$B$205,"&lt;"&amp;$B13,'エネルギーデータ入力'!$H$6:$H$205,$G13,'エネルギーデータ入力'!$J$6:$J$205,$H13),$I13))</f>
        <v/>
      </c>
      <c r="K13" s="143">
        <f>IFERROR(($I13-$J13)/$J13,"")</f>
        <v/>
      </c>
      <c r="L13" s="102">
        <f>IF('エネルギーデータ入力'!$V13="","",'エネルギーデータ入力'!$V13)</f>
        <v/>
      </c>
      <c r="M13" s="102">
        <f>IF($H13="","",IFERROR(VLOOKUP($H13,'基本設定'!$A$13:$K$19,5,FALSE),0.2))</f>
        <v/>
      </c>
      <c r="N13" s="102">
        <f>IF($B13="","",IF('エネルギーデータ入力'!$L13="","Missing reading",IF($I13=0,"Stalled reading / possibly offline",IF($K13&gt;=IFERROR(VLOOKUP($H13,'基本設定'!$A$13:$K$19,6,FALSE),0.5),"Severe spike",IF($K13&gt;=$M13,"Usage spike",IF($K13&lt;=-IFERROR(VLOOKUP($H13,'基本設定'!$A$13:$K$19,7,FALSE),0.3),"Usage drop",IF($L13&gt;IFERROR(VLOOKUP($H13,'基本設定'!$A$13:$K$19,8,FALSE),999999),"Area intensity overrun","正常")))))))</f>
        <v/>
      </c>
      <c r="O13" s="102">
        <f>IF($N13="","",IF($N13="正常","正常",IF(OR($N13="Severe spike",$K13&gt;=IFERROR(VLOOKUP($H13,'基本設定'!$A$13:$K$19,6,FALSE),0.5)),"重大",IF(OR($N13="Usage spike",$N13="Usage drop"),"高","中"))))</f>
        <v/>
      </c>
      <c r="P13" s="144">
        <f>IF(OR($N13="",$N13="正常"),0,ABS($I13-$J13)*'エネルギーデータ入力'!$O13)</f>
        <v/>
      </c>
      <c r="Q13" s="102">
        <f>IF($N13="正常","",IF($N13="Stalled reading / possibly offline","核查表计通信/電気池/网关/阀门Status",IF(AND($H13="水道",$N13&lt;&gt;"正常"),"检查管网、阀门、卫生间、冷却塔及夜间最小流量",IF(AND($H13="電気",$N13&lt;&gt;"正常"),"检查空调、照明、生产设备、PeakOff-peak时段与待机功耗",IF(AND($H13="ガス",$N13&lt;&gt;"正常"),"检查燃ガス阀门、锅炉/厨房设备与泄漏风险","核查设备工况、排班、产量与计量数据")))))</f>
        <v/>
      </c>
      <c r="R13" s="102">
        <f>IF($H13="","",IFERROR(VLOOKUP($H13,'基本設定'!$A$13:$K$19,11,FALSE),"Energy management owner"))</f>
        <v/>
      </c>
      <c r="S13" s="102">
        <f>IF($N13="","",IF($N13="正常","対応不要","未対応"))</f>
        <v/>
      </c>
      <c r="T13" s="141">
        <f>IF(OR($B13="",$N13="正常"),"",WORKDAY($B13,IF($O13="重大",1,IF($O13="高",2,3))))</f>
        <v/>
      </c>
      <c r="U13" s="102">
        <f>IF($T13="","",IF(AND($S13&lt;&gt;"完了",TODAY()&gt;$T13),"期限超過","期限内"))</f>
        <v/>
      </c>
      <c r="V13" s="102" t="n"/>
      <c r="W13" s="141" t="n"/>
      <c r="X13" s="102" t="n"/>
    </row>
    <row r="14">
      <c r="A14" s="102">
        <f>IF('エネルギーデータ入力'!$A14="","","AL-"&amp;TEXT(ROW()-5,"0000"))</f>
        <v/>
      </c>
      <c r="B14" s="141">
        <f>IF('エネルギーデータ入力'!$B14="","",'エネルギーデータ入力'!$B14)</f>
        <v/>
      </c>
      <c r="C14" s="102">
        <f>IF('エネルギーデータ入力'!$C14="","",'エネルギーデータ入力'!$C14)</f>
        <v/>
      </c>
      <c r="D14" s="102">
        <f>IF('エネルギーデータ入力'!$D14="","",'エネルギーデータ入力'!$D14)</f>
        <v/>
      </c>
      <c r="E14" s="102">
        <f>IF('エネルギーデータ入力'!$E14="","",'エネルギーデータ入力'!$E14)</f>
        <v/>
      </c>
      <c r="F14" s="102">
        <f>IF('エネルギーデータ入力'!$G14="","",'エネルギーデータ入力'!$G14)</f>
        <v/>
      </c>
      <c r="G14" s="102">
        <f>IF('エネルギーデータ入力'!$H14="","",'エネルギーデータ入力'!$H14)</f>
        <v/>
      </c>
      <c r="H14" s="102">
        <f>IF('エネルギーデータ入力'!$J14="","",'エネルギーデータ入力'!$J14)</f>
        <v/>
      </c>
      <c r="I14" s="142">
        <f>IF('エネルギーデータ入力'!$N14="","",'エネルギーデータ入力'!$N14)</f>
        <v/>
      </c>
      <c r="J14" s="142">
        <f>IF($B14="","",IFERROR(AVERAGEIFS('エネルギーデータ入力'!$N$6:$N$205,'エネルギーデータ入力'!$B$6:$B$205,"&gt;="&amp;$B14-7,'エネルギーデータ入力'!$B$6:$B$205,"&lt;"&amp;$B14,'エネルギーデータ入力'!$H$6:$H$205,$G14,'エネルギーデータ入力'!$J$6:$J$205,$H14),$I14))</f>
        <v/>
      </c>
      <c r="K14" s="143">
        <f>IFERROR(($I14-$J14)/$J14,"")</f>
        <v/>
      </c>
      <c r="L14" s="102">
        <f>IF('エネルギーデータ入力'!$V14="","",'エネルギーデータ入力'!$V14)</f>
        <v/>
      </c>
      <c r="M14" s="102">
        <f>IF($H14="","",IFERROR(VLOOKUP($H14,'基本設定'!$A$13:$K$19,5,FALSE),0.2))</f>
        <v/>
      </c>
      <c r="N14" s="102">
        <f>IF($B14="","",IF('エネルギーデータ入力'!$L14="","Missing reading",IF($I14=0,"Stalled reading / possibly offline",IF($K14&gt;=IFERROR(VLOOKUP($H14,'基本設定'!$A$13:$K$19,6,FALSE),0.5),"Severe spike",IF($K14&gt;=$M14,"Usage spike",IF($K14&lt;=-IFERROR(VLOOKUP($H14,'基本設定'!$A$13:$K$19,7,FALSE),0.3),"Usage drop",IF($L14&gt;IFERROR(VLOOKUP($H14,'基本設定'!$A$13:$K$19,8,FALSE),999999),"Area intensity overrun","正常")))))))</f>
        <v/>
      </c>
      <c r="O14" s="102">
        <f>IF($N14="","",IF($N14="正常","正常",IF(OR($N14="Severe spike",$K14&gt;=IFERROR(VLOOKUP($H14,'基本設定'!$A$13:$K$19,6,FALSE),0.5)),"重大",IF(OR($N14="Usage spike",$N14="Usage drop"),"高","中"))))</f>
        <v/>
      </c>
      <c r="P14" s="144">
        <f>IF(OR($N14="",$N14="正常"),0,ABS($I14-$J14)*'エネルギーデータ入力'!$O14)</f>
        <v/>
      </c>
      <c r="Q14" s="102">
        <f>IF($N14="正常","",IF($N14="Stalled reading / possibly offline","核查表计通信/電気池/网关/阀门Status",IF(AND($H14="水道",$N14&lt;&gt;"正常"),"检查管网、阀门、卫生间、冷却塔及夜间最小流量",IF(AND($H14="電気",$N14&lt;&gt;"正常"),"检查空调、照明、生产设备、PeakOff-peak时段与待机功耗",IF(AND($H14="ガス",$N14&lt;&gt;"正常"),"检查燃ガス阀门、锅炉/厨房设备与泄漏风险","核查设备工况、排班、产量与计量数据")))))</f>
        <v/>
      </c>
      <c r="R14" s="102">
        <f>IF($H14="","",IFERROR(VLOOKUP($H14,'基本設定'!$A$13:$K$19,11,FALSE),"Energy management owner"))</f>
        <v/>
      </c>
      <c r="S14" s="102">
        <f>IF($N14="","",IF($N14="正常","対応不要","未対応"))</f>
        <v/>
      </c>
      <c r="T14" s="141">
        <f>IF(OR($B14="",$N14="正常"),"",WORKDAY($B14,IF($O14="重大",1,IF($O14="高",2,3))))</f>
        <v/>
      </c>
      <c r="U14" s="102">
        <f>IF($T14="","",IF(AND($S14&lt;&gt;"完了",TODAY()&gt;$T14),"期限超過","期限内"))</f>
        <v/>
      </c>
      <c r="V14" s="102" t="n"/>
      <c r="W14" s="141" t="n"/>
      <c r="X14" s="102" t="n"/>
    </row>
    <row r="15">
      <c r="A15" s="102">
        <f>IF('エネルギーデータ入力'!$A15="","","AL-"&amp;TEXT(ROW()-5,"0000"))</f>
        <v/>
      </c>
      <c r="B15" s="141">
        <f>IF('エネルギーデータ入力'!$B15="","",'エネルギーデータ入力'!$B15)</f>
        <v/>
      </c>
      <c r="C15" s="102">
        <f>IF('エネルギーデータ入力'!$C15="","",'エネルギーデータ入力'!$C15)</f>
        <v/>
      </c>
      <c r="D15" s="102">
        <f>IF('エネルギーデータ入力'!$D15="","",'エネルギーデータ入力'!$D15)</f>
        <v/>
      </c>
      <c r="E15" s="102">
        <f>IF('エネルギーデータ入力'!$E15="","",'エネルギーデータ入力'!$E15)</f>
        <v/>
      </c>
      <c r="F15" s="102">
        <f>IF('エネルギーデータ入力'!$G15="","",'エネルギーデータ入力'!$G15)</f>
        <v/>
      </c>
      <c r="G15" s="102">
        <f>IF('エネルギーデータ入力'!$H15="","",'エネルギーデータ入力'!$H15)</f>
        <v/>
      </c>
      <c r="H15" s="102">
        <f>IF('エネルギーデータ入力'!$J15="","",'エネルギーデータ入力'!$J15)</f>
        <v/>
      </c>
      <c r="I15" s="142">
        <f>IF('エネルギーデータ入力'!$N15="","",'エネルギーデータ入力'!$N15)</f>
        <v/>
      </c>
      <c r="J15" s="142">
        <f>IF($B15="","",IFERROR(AVERAGEIFS('エネルギーデータ入力'!$N$6:$N$205,'エネルギーデータ入力'!$B$6:$B$205,"&gt;="&amp;$B15-7,'エネルギーデータ入力'!$B$6:$B$205,"&lt;"&amp;$B15,'エネルギーデータ入力'!$H$6:$H$205,$G15,'エネルギーデータ入力'!$J$6:$J$205,$H15),$I15))</f>
        <v/>
      </c>
      <c r="K15" s="143">
        <f>IFERROR(($I15-$J15)/$J15,"")</f>
        <v/>
      </c>
      <c r="L15" s="102">
        <f>IF('エネルギーデータ入力'!$V15="","",'エネルギーデータ入力'!$V15)</f>
        <v/>
      </c>
      <c r="M15" s="102">
        <f>IF($H15="","",IFERROR(VLOOKUP($H15,'基本設定'!$A$13:$K$19,5,FALSE),0.2))</f>
        <v/>
      </c>
      <c r="N15" s="102">
        <f>IF($B15="","",IF('エネルギーデータ入力'!$L15="","Missing reading",IF($I15=0,"Stalled reading / possibly offline",IF($K15&gt;=IFERROR(VLOOKUP($H15,'基本設定'!$A$13:$K$19,6,FALSE),0.5),"Severe spike",IF($K15&gt;=$M15,"Usage spike",IF($K15&lt;=-IFERROR(VLOOKUP($H15,'基本設定'!$A$13:$K$19,7,FALSE),0.3),"Usage drop",IF($L15&gt;IFERROR(VLOOKUP($H15,'基本設定'!$A$13:$K$19,8,FALSE),999999),"Area intensity overrun","正常")))))))</f>
        <v/>
      </c>
      <c r="O15" s="102">
        <f>IF($N15="","",IF($N15="正常","正常",IF(OR($N15="Severe spike",$K15&gt;=IFERROR(VLOOKUP($H15,'基本設定'!$A$13:$K$19,6,FALSE),0.5)),"重大",IF(OR($N15="Usage spike",$N15="Usage drop"),"高","中"))))</f>
        <v/>
      </c>
      <c r="P15" s="144">
        <f>IF(OR($N15="",$N15="正常"),0,ABS($I15-$J15)*'エネルギーデータ入力'!$O15)</f>
        <v/>
      </c>
      <c r="Q15" s="102">
        <f>IF($N15="正常","",IF($N15="Stalled reading / possibly offline","核查表计通信/電気池/网关/阀门Status",IF(AND($H15="水道",$N15&lt;&gt;"正常"),"检查管网、阀门、卫生间、冷却塔及夜间最小流量",IF(AND($H15="電気",$N15&lt;&gt;"正常"),"检查空调、照明、生产设备、PeakOff-peak时段与待机功耗",IF(AND($H15="ガス",$N15&lt;&gt;"正常"),"检查燃ガス阀门、锅炉/厨房设备与泄漏风险","核查设备工况、排班、产量与计量数据")))))</f>
        <v/>
      </c>
      <c r="R15" s="102">
        <f>IF($H15="","",IFERROR(VLOOKUP($H15,'基本設定'!$A$13:$K$19,11,FALSE),"Energy management owner"))</f>
        <v/>
      </c>
      <c r="S15" s="102">
        <f>IF($N15="","",IF($N15="正常","対応不要","未対応"))</f>
        <v/>
      </c>
      <c r="T15" s="141">
        <f>IF(OR($B15="",$N15="正常"),"",WORKDAY($B15,IF($O15="重大",1,IF($O15="高",2,3))))</f>
        <v/>
      </c>
      <c r="U15" s="102">
        <f>IF($T15="","",IF(AND($S15&lt;&gt;"完了",TODAY()&gt;$T15),"期限超過","期限内"))</f>
        <v/>
      </c>
      <c r="V15" s="102" t="n"/>
      <c r="W15" s="141" t="n"/>
      <c r="X15" s="102" t="n"/>
    </row>
    <row r="16">
      <c r="A16" s="102">
        <f>IF('エネルギーデータ入力'!$A16="","","AL-"&amp;TEXT(ROW()-5,"0000"))</f>
        <v/>
      </c>
      <c r="B16" s="141">
        <f>IF('エネルギーデータ入力'!$B16="","",'エネルギーデータ入力'!$B16)</f>
        <v/>
      </c>
      <c r="C16" s="102">
        <f>IF('エネルギーデータ入力'!$C16="","",'エネルギーデータ入力'!$C16)</f>
        <v/>
      </c>
      <c r="D16" s="102">
        <f>IF('エネルギーデータ入力'!$D16="","",'エネルギーデータ入力'!$D16)</f>
        <v/>
      </c>
      <c r="E16" s="102">
        <f>IF('エネルギーデータ入力'!$E16="","",'エネルギーデータ入力'!$E16)</f>
        <v/>
      </c>
      <c r="F16" s="102">
        <f>IF('エネルギーデータ入力'!$G16="","",'エネルギーデータ入力'!$G16)</f>
        <v/>
      </c>
      <c r="G16" s="102">
        <f>IF('エネルギーデータ入力'!$H16="","",'エネルギーデータ入力'!$H16)</f>
        <v/>
      </c>
      <c r="H16" s="102">
        <f>IF('エネルギーデータ入力'!$J16="","",'エネルギーデータ入力'!$J16)</f>
        <v/>
      </c>
      <c r="I16" s="142">
        <f>IF('エネルギーデータ入力'!$N16="","",'エネルギーデータ入力'!$N16)</f>
        <v/>
      </c>
      <c r="J16" s="142">
        <f>IF($B16="","",IFERROR(AVERAGEIFS('エネルギーデータ入力'!$N$6:$N$205,'エネルギーデータ入力'!$B$6:$B$205,"&gt;="&amp;$B16-7,'エネルギーデータ入力'!$B$6:$B$205,"&lt;"&amp;$B16,'エネルギーデータ入力'!$H$6:$H$205,$G16,'エネルギーデータ入力'!$J$6:$J$205,$H16),$I16))</f>
        <v/>
      </c>
      <c r="K16" s="143">
        <f>IFERROR(($I16-$J16)/$J16,"")</f>
        <v/>
      </c>
      <c r="L16" s="102">
        <f>IF('エネルギーデータ入力'!$V16="","",'エネルギーデータ入力'!$V16)</f>
        <v/>
      </c>
      <c r="M16" s="102">
        <f>IF($H16="","",IFERROR(VLOOKUP($H16,'基本設定'!$A$13:$K$19,5,FALSE),0.2))</f>
        <v/>
      </c>
      <c r="N16" s="102">
        <f>IF($B16="","",IF('エネルギーデータ入力'!$L16="","Missing reading",IF($I16=0,"Stalled reading / possibly offline",IF($K16&gt;=IFERROR(VLOOKUP($H16,'基本設定'!$A$13:$K$19,6,FALSE),0.5),"Severe spike",IF($K16&gt;=$M16,"Usage spike",IF($K16&lt;=-IFERROR(VLOOKUP($H16,'基本設定'!$A$13:$K$19,7,FALSE),0.3),"Usage drop",IF($L16&gt;IFERROR(VLOOKUP($H16,'基本設定'!$A$13:$K$19,8,FALSE),999999),"Area intensity overrun","正常")))))))</f>
        <v/>
      </c>
      <c r="O16" s="102">
        <f>IF($N16="","",IF($N16="正常","正常",IF(OR($N16="Severe spike",$K16&gt;=IFERROR(VLOOKUP($H16,'基本設定'!$A$13:$K$19,6,FALSE),0.5)),"重大",IF(OR($N16="Usage spike",$N16="Usage drop"),"高","中"))))</f>
        <v/>
      </c>
      <c r="P16" s="144">
        <f>IF(OR($N16="",$N16="正常"),0,ABS($I16-$J16)*'エネルギーデータ入力'!$O16)</f>
        <v/>
      </c>
      <c r="Q16" s="102">
        <f>IF($N16="正常","",IF($N16="Stalled reading / possibly offline","核查表计通信/電気池/网关/阀门Status",IF(AND($H16="水道",$N16&lt;&gt;"正常"),"检查管网、阀门、卫生间、冷却塔及夜间最小流量",IF(AND($H16="電気",$N16&lt;&gt;"正常"),"检查空调、照明、生产设备、PeakOff-peak时段与待机功耗",IF(AND($H16="ガス",$N16&lt;&gt;"正常"),"检查燃ガス阀门、锅炉/厨房设备与泄漏风险","核查设备工况、排班、产量与计量数据")))))</f>
        <v/>
      </c>
      <c r="R16" s="102">
        <f>IF($H16="","",IFERROR(VLOOKUP($H16,'基本設定'!$A$13:$K$19,11,FALSE),"Energy management owner"))</f>
        <v/>
      </c>
      <c r="S16" s="102">
        <f>IF($N16="","",IF($N16="正常","対応不要","未対応"))</f>
        <v/>
      </c>
      <c r="T16" s="141">
        <f>IF(OR($B16="",$N16="正常"),"",WORKDAY($B16,IF($O16="重大",1,IF($O16="高",2,3))))</f>
        <v/>
      </c>
      <c r="U16" s="102">
        <f>IF($T16="","",IF(AND($S16&lt;&gt;"完了",TODAY()&gt;$T16),"期限超過","期限内"))</f>
        <v/>
      </c>
      <c r="V16" s="102" t="n"/>
      <c r="W16" s="141" t="n"/>
      <c r="X16" s="102" t="n"/>
    </row>
    <row r="17">
      <c r="A17" s="102">
        <f>IF('エネルギーデータ入力'!$A17="","","AL-"&amp;TEXT(ROW()-5,"0000"))</f>
        <v/>
      </c>
      <c r="B17" s="141">
        <f>IF('エネルギーデータ入力'!$B17="","",'エネルギーデータ入力'!$B17)</f>
        <v/>
      </c>
      <c r="C17" s="102">
        <f>IF('エネルギーデータ入力'!$C17="","",'エネルギーデータ入力'!$C17)</f>
        <v/>
      </c>
      <c r="D17" s="102">
        <f>IF('エネルギーデータ入力'!$D17="","",'エネルギーデータ入力'!$D17)</f>
        <v/>
      </c>
      <c r="E17" s="102">
        <f>IF('エネルギーデータ入力'!$E17="","",'エネルギーデータ入力'!$E17)</f>
        <v/>
      </c>
      <c r="F17" s="102">
        <f>IF('エネルギーデータ入力'!$G17="","",'エネルギーデータ入力'!$G17)</f>
        <v/>
      </c>
      <c r="G17" s="102">
        <f>IF('エネルギーデータ入力'!$H17="","",'エネルギーデータ入力'!$H17)</f>
        <v/>
      </c>
      <c r="H17" s="102">
        <f>IF('エネルギーデータ入力'!$J17="","",'エネルギーデータ入力'!$J17)</f>
        <v/>
      </c>
      <c r="I17" s="142">
        <f>IF('エネルギーデータ入力'!$N17="","",'エネルギーデータ入力'!$N17)</f>
        <v/>
      </c>
      <c r="J17" s="142">
        <f>IF($B17="","",IFERROR(AVERAGEIFS('エネルギーデータ入力'!$N$6:$N$205,'エネルギーデータ入力'!$B$6:$B$205,"&gt;="&amp;$B17-7,'エネルギーデータ入力'!$B$6:$B$205,"&lt;"&amp;$B17,'エネルギーデータ入力'!$H$6:$H$205,$G17,'エネルギーデータ入力'!$J$6:$J$205,$H17),$I17))</f>
        <v/>
      </c>
      <c r="K17" s="143">
        <f>IFERROR(($I17-$J17)/$J17,"")</f>
        <v/>
      </c>
      <c r="L17" s="102">
        <f>IF('エネルギーデータ入力'!$V17="","",'エネルギーデータ入力'!$V17)</f>
        <v/>
      </c>
      <c r="M17" s="102">
        <f>IF($H17="","",IFERROR(VLOOKUP($H17,'基本設定'!$A$13:$K$19,5,FALSE),0.2))</f>
        <v/>
      </c>
      <c r="N17" s="102">
        <f>IF($B17="","",IF('エネルギーデータ入力'!$L17="","Missing reading",IF($I17=0,"Stalled reading / possibly offline",IF($K17&gt;=IFERROR(VLOOKUP($H17,'基本設定'!$A$13:$K$19,6,FALSE),0.5),"Severe spike",IF($K17&gt;=$M17,"Usage spike",IF($K17&lt;=-IFERROR(VLOOKUP($H17,'基本設定'!$A$13:$K$19,7,FALSE),0.3),"Usage drop",IF($L17&gt;IFERROR(VLOOKUP($H17,'基本設定'!$A$13:$K$19,8,FALSE),999999),"Area intensity overrun","正常")))))))</f>
        <v/>
      </c>
      <c r="O17" s="102">
        <f>IF($N17="","",IF($N17="正常","正常",IF(OR($N17="Severe spike",$K17&gt;=IFERROR(VLOOKUP($H17,'基本設定'!$A$13:$K$19,6,FALSE),0.5)),"重大",IF(OR($N17="Usage spike",$N17="Usage drop"),"高","中"))))</f>
        <v/>
      </c>
      <c r="P17" s="144">
        <f>IF(OR($N17="",$N17="正常"),0,ABS($I17-$J17)*'エネルギーデータ入力'!$O17)</f>
        <v/>
      </c>
      <c r="Q17" s="102">
        <f>IF($N17="正常","",IF($N17="Stalled reading / possibly offline","核查表计通信/電気池/网关/阀门Status",IF(AND($H17="水道",$N17&lt;&gt;"正常"),"检查管网、阀门、卫生间、冷却塔及夜间最小流量",IF(AND($H17="電気",$N17&lt;&gt;"正常"),"检查空调、照明、生产设备、PeakOff-peak时段与待机功耗",IF(AND($H17="ガス",$N17&lt;&gt;"正常"),"检查燃ガス阀门、锅炉/厨房设备与泄漏风险","核查设备工况、排班、产量与计量数据")))))</f>
        <v/>
      </c>
      <c r="R17" s="102">
        <f>IF($H17="","",IFERROR(VLOOKUP($H17,'基本設定'!$A$13:$K$19,11,FALSE),"Energy management owner"))</f>
        <v/>
      </c>
      <c r="S17" s="102">
        <f>IF($N17="","",IF($N17="正常","対応不要","未対応"))</f>
        <v/>
      </c>
      <c r="T17" s="141">
        <f>IF(OR($B17="",$N17="正常"),"",WORKDAY($B17,IF($O17="重大",1,IF($O17="高",2,3))))</f>
        <v/>
      </c>
      <c r="U17" s="102">
        <f>IF($T17="","",IF(AND($S17&lt;&gt;"完了",TODAY()&gt;$T17),"期限超過","期限内"))</f>
        <v/>
      </c>
      <c r="V17" s="102" t="n"/>
      <c r="W17" s="141" t="n"/>
      <c r="X17" s="102" t="n"/>
    </row>
    <row r="18">
      <c r="A18" s="102">
        <f>IF('エネルギーデータ入力'!$A18="","","AL-"&amp;TEXT(ROW()-5,"0000"))</f>
        <v/>
      </c>
      <c r="B18" s="141">
        <f>IF('エネルギーデータ入力'!$B18="","",'エネルギーデータ入力'!$B18)</f>
        <v/>
      </c>
      <c r="C18" s="102">
        <f>IF('エネルギーデータ入力'!$C18="","",'エネルギーデータ入力'!$C18)</f>
        <v/>
      </c>
      <c r="D18" s="102">
        <f>IF('エネルギーデータ入力'!$D18="","",'エネルギーデータ入力'!$D18)</f>
        <v/>
      </c>
      <c r="E18" s="102">
        <f>IF('エネルギーデータ入力'!$E18="","",'エネルギーデータ入力'!$E18)</f>
        <v/>
      </c>
      <c r="F18" s="102">
        <f>IF('エネルギーデータ入力'!$G18="","",'エネルギーデータ入力'!$G18)</f>
        <v/>
      </c>
      <c r="G18" s="102">
        <f>IF('エネルギーデータ入力'!$H18="","",'エネルギーデータ入力'!$H18)</f>
        <v/>
      </c>
      <c r="H18" s="102">
        <f>IF('エネルギーデータ入力'!$J18="","",'エネルギーデータ入力'!$J18)</f>
        <v/>
      </c>
      <c r="I18" s="142">
        <f>IF('エネルギーデータ入力'!$N18="","",'エネルギーデータ入力'!$N18)</f>
        <v/>
      </c>
      <c r="J18" s="142">
        <f>IF($B18="","",IFERROR(AVERAGEIFS('エネルギーデータ入力'!$N$6:$N$205,'エネルギーデータ入力'!$B$6:$B$205,"&gt;="&amp;$B18-7,'エネルギーデータ入力'!$B$6:$B$205,"&lt;"&amp;$B18,'エネルギーデータ入力'!$H$6:$H$205,$G18,'エネルギーデータ入力'!$J$6:$J$205,$H18),$I18))</f>
        <v/>
      </c>
      <c r="K18" s="143">
        <f>IFERROR(($I18-$J18)/$J18,"")</f>
        <v/>
      </c>
      <c r="L18" s="102">
        <f>IF('エネルギーデータ入力'!$V18="","",'エネルギーデータ入力'!$V18)</f>
        <v/>
      </c>
      <c r="M18" s="102">
        <f>IF($H18="","",IFERROR(VLOOKUP($H18,'基本設定'!$A$13:$K$19,5,FALSE),0.2))</f>
        <v/>
      </c>
      <c r="N18" s="102">
        <f>IF($B18="","",IF('エネルギーデータ入力'!$L18="","Missing reading",IF($I18=0,"Stalled reading / possibly offline",IF($K18&gt;=IFERROR(VLOOKUP($H18,'基本設定'!$A$13:$K$19,6,FALSE),0.5),"Severe spike",IF($K18&gt;=$M18,"Usage spike",IF($K18&lt;=-IFERROR(VLOOKUP($H18,'基本設定'!$A$13:$K$19,7,FALSE),0.3),"Usage drop",IF($L18&gt;IFERROR(VLOOKUP($H18,'基本設定'!$A$13:$K$19,8,FALSE),999999),"Area intensity overrun","正常")))))))</f>
        <v/>
      </c>
      <c r="O18" s="102">
        <f>IF($N18="","",IF($N18="正常","正常",IF(OR($N18="Severe spike",$K18&gt;=IFERROR(VLOOKUP($H18,'基本設定'!$A$13:$K$19,6,FALSE),0.5)),"重大",IF(OR($N18="Usage spike",$N18="Usage drop"),"高","中"))))</f>
        <v/>
      </c>
      <c r="P18" s="144">
        <f>IF(OR($N18="",$N18="正常"),0,ABS($I18-$J18)*'エネルギーデータ入力'!$O18)</f>
        <v/>
      </c>
      <c r="Q18" s="102">
        <f>IF($N18="正常","",IF($N18="Stalled reading / possibly offline","核查表计通信/電気池/网关/阀门Status",IF(AND($H18="水道",$N18&lt;&gt;"正常"),"检查管网、阀门、卫生间、冷却塔及夜间最小流量",IF(AND($H18="電気",$N18&lt;&gt;"正常"),"检查空调、照明、生产设备、PeakOff-peak时段与待机功耗",IF(AND($H18="ガス",$N18&lt;&gt;"正常"),"检查燃ガス阀门、锅炉/厨房设备与泄漏风险","核查设备工况、排班、产量与计量数据")))))</f>
        <v/>
      </c>
      <c r="R18" s="102">
        <f>IF($H18="","",IFERROR(VLOOKUP($H18,'基本設定'!$A$13:$K$19,11,FALSE),"Energy management owner"))</f>
        <v/>
      </c>
      <c r="S18" s="102">
        <f>IF($N18="","",IF($N18="正常","対応不要","未対応"))</f>
        <v/>
      </c>
      <c r="T18" s="141">
        <f>IF(OR($B18="",$N18="正常"),"",WORKDAY($B18,IF($O18="重大",1,IF($O18="高",2,3))))</f>
        <v/>
      </c>
      <c r="U18" s="102">
        <f>IF($T18="","",IF(AND($S18&lt;&gt;"完了",TODAY()&gt;$T18),"期限超過","期限内"))</f>
        <v/>
      </c>
      <c r="V18" s="102" t="n"/>
      <c r="W18" s="141" t="n"/>
      <c r="X18" s="102" t="n"/>
    </row>
    <row r="19">
      <c r="A19" s="102">
        <f>IF('エネルギーデータ入力'!$A19="","","AL-"&amp;TEXT(ROW()-5,"0000"))</f>
        <v/>
      </c>
      <c r="B19" s="141">
        <f>IF('エネルギーデータ入力'!$B19="","",'エネルギーデータ入力'!$B19)</f>
        <v/>
      </c>
      <c r="C19" s="102">
        <f>IF('エネルギーデータ入力'!$C19="","",'エネルギーデータ入力'!$C19)</f>
        <v/>
      </c>
      <c r="D19" s="102">
        <f>IF('エネルギーデータ入力'!$D19="","",'エネルギーデータ入力'!$D19)</f>
        <v/>
      </c>
      <c r="E19" s="102">
        <f>IF('エネルギーデータ入力'!$E19="","",'エネルギーデータ入力'!$E19)</f>
        <v/>
      </c>
      <c r="F19" s="102">
        <f>IF('エネルギーデータ入力'!$G19="","",'エネルギーデータ入力'!$G19)</f>
        <v/>
      </c>
      <c r="G19" s="102">
        <f>IF('エネルギーデータ入力'!$H19="","",'エネルギーデータ入力'!$H19)</f>
        <v/>
      </c>
      <c r="H19" s="102">
        <f>IF('エネルギーデータ入力'!$J19="","",'エネルギーデータ入力'!$J19)</f>
        <v/>
      </c>
      <c r="I19" s="142">
        <f>IF('エネルギーデータ入力'!$N19="","",'エネルギーデータ入力'!$N19)</f>
        <v/>
      </c>
      <c r="J19" s="142">
        <f>IF($B19="","",IFERROR(AVERAGEIFS('エネルギーデータ入力'!$N$6:$N$205,'エネルギーデータ入力'!$B$6:$B$205,"&gt;="&amp;$B19-7,'エネルギーデータ入力'!$B$6:$B$205,"&lt;"&amp;$B19,'エネルギーデータ入力'!$H$6:$H$205,$G19,'エネルギーデータ入力'!$J$6:$J$205,$H19),$I19))</f>
        <v/>
      </c>
      <c r="K19" s="143">
        <f>IFERROR(($I19-$J19)/$J19,"")</f>
        <v/>
      </c>
      <c r="L19" s="102">
        <f>IF('エネルギーデータ入力'!$V19="","",'エネルギーデータ入力'!$V19)</f>
        <v/>
      </c>
      <c r="M19" s="102">
        <f>IF($H19="","",IFERROR(VLOOKUP($H19,'基本設定'!$A$13:$K$19,5,FALSE),0.2))</f>
        <v/>
      </c>
      <c r="N19" s="102">
        <f>IF($B19="","",IF('エネルギーデータ入力'!$L19="","Missing reading",IF($I19=0,"Stalled reading / possibly offline",IF($K19&gt;=IFERROR(VLOOKUP($H19,'基本設定'!$A$13:$K$19,6,FALSE),0.5),"Severe spike",IF($K19&gt;=$M19,"Usage spike",IF($K19&lt;=-IFERROR(VLOOKUP($H19,'基本設定'!$A$13:$K$19,7,FALSE),0.3),"Usage drop",IF($L19&gt;IFERROR(VLOOKUP($H19,'基本設定'!$A$13:$K$19,8,FALSE),999999),"Area intensity overrun","正常")))))))</f>
        <v/>
      </c>
      <c r="O19" s="102">
        <f>IF($N19="","",IF($N19="正常","正常",IF(OR($N19="Severe spike",$K19&gt;=IFERROR(VLOOKUP($H19,'基本設定'!$A$13:$K$19,6,FALSE),0.5)),"重大",IF(OR($N19="Usage spike",$N19="Usage drop"),"高","中"))))</f>
        <v/>
      </c>
      <c r="P19" s="144">
        <f>IF(OR($N19="",$N19="正常"),0,ABS($I19-$J19)*'エネルギーデータ入力'!$O19)</f>
        <v/>
      </c>
      <c r="Q19" s="102">
        <f>IF($N19="正常","",IF($N19="Stalled reading / possibly offline","核查表计通信/電気池/网关/阀门Status",IF(AND($H19="水道",$N19&lt;&gt;"正常"),"检查管网、阀门、卫生间、冷却塔及夜间最小流量",IF(AND($H19="電気",$N19&lt;&gt;"正常"),"检查空调、照明、生产设备、PeakOff-peak时段与待机功耗",IF(AND($H19="ガス",$N19&lt;&gt;"正常"),"检查燃ガス阀门、锅炉/厨房设备与泄漏风险","核查设备工况、排班、产量与计量数据")))))</f>
        <v/>
      </c>
      <c r="R19" s="102">
        <f>IF($H19="","",IFERROR(VLOOKUP($H19,'基本設定'!$A$13:$K$19,11,FALSE),"Energy management owner"))</f>
        <v/>
      </c>
      <c r="S19" s="102">
        <f>IF($N19="","",IF($N19="正常","対応不要","未対応"))</f>
        <v/>
      </c>
      <c r="T19" s="141">
        <f>IF(OR($B19="",$N19="正常"),"",WORKDAY($B19,IF($O19="重大",1,IF($O19="高",2,3))))</f>
        <v/>
      </c>
      <c r="U19" s="102">
        <f>IF($T19="","",IF(AND($S19&lt;&gt;"完了",TODAY()&gt;$T19),"期限超過","期限内"))</f>
        <v/>
      </c>
      <c r="V19" s="102" t="n"/>
      <c r="W19" s="141" t="n"/>
      <c r="X19" s="102" t="n"/>
    </row>
    <row r="20">
      <c r="A20" s="102">
        <f>IF('エネルギーデータ入力'!$A20="","","AL-"&amp;TEXT(ROW()-5,"0000"))</f>
        <v/>
      </c>
      <c r="B20" s="141">
        <f>IF('エネルギーデータ入力'!$B20="","",'エネルギーデータ入力'!$B20)</f>
        <v/>
      </c>
      <c r="C20" s="102">
        <f>IF('エネルギーデータ入力'!$C20="","",'エネルギーデータ入力'!$C20)</f>
        <v/>
      </c>
      <c r="D20" s="102">
        <f>IF('エネルギーデータ入力'!$D20="","",'エネルギーデータ入力'!$D20)</f>
        <v/>
      </c>
      <c r="E20" s="102">
        <f>IF('エネルギーデータ入力'!$E20="","",'エネルギーデータ入力'!$E20)</f>
        <v/>
      </c>
      <c r="F20" s="102">
        <f>IF('エネルギーデータ入力'!$G20="","",'エネルギーデータ入力'!$G20)</f>
        <v/>
      </c>
      <c r="G20" s="102">
        <f>IF('エネルギーデータ入力'!$H20="","",'エネルギーデータ入力'!$H20)</f>
        <v/>
      </c>
      <c r="H20" s="102">
        <f>IF('エネルギーデータ入力'!$J20="","",'エネルギーデータ入力'!$J20)</f>
        <v/>
      </c>
      <c r="I20" s="142">
        <f>IF('エネルギーデータ入力'!$N20="","",'エネルギーデータ入力'!$N20)</f>
        <v/>
      </c>
      <c r="J20" s="142">
        <f>IF($B20="","",IFERROR(AVERAGEIFS('エネルギーデータ入力'!$N$6:$N$205,'エネルギーデータ入力'!$B$6:$B$205,"&gt;="&amp;$B20-7,'エネルギーデータ入力'!$B$6:$B$205,"&lt;"&amp;$B20,'エネルギーデータ入力'!$H$6:$H$205,$G20,'エネルギーデータ入力'!$J$6:$J$205,$H20),$I20))</f>
        <v/>
      </c>
      <c r="K20" s="143">
        <f>IFERROR(($I20-$J20)/$J20,"")</f>
        <v/>
      </c>
      <c r="L20" s="102">
        <f>IF('エネルギーデータ入力'!$V20="","",'エネルギーデータ入力'!$V20)</f>
        <v/>
      </c>
      <c r="M20" s="102">
        <f>IF($H20="","",IFERROR(VLOOKUP($H20,'基本設定'!$A$13:$K$19,5,FALSE),0.2))</f>
        <v/>
      </c>
      <c r="N20" s="102">
        <f>IF($B20="","",IF('エネルギーデータ入力'!$L20="","Missing reading",IF($I20=0,"Stalled reading / possibly offline",IF($K20&gt;=IFERROR(VLOOKUP($H20,'基本設定'!$A$13:$K$19,6,FALSE),0.5),"Severe spike",IF($K20&gt;=$M20,"Usage spike",IF($K20&lt;=-IFERROR(VLOOKUP($H20,'基本設定'!$A$13:$K$19,7,FALSE),0.3),"Usage drop",IF($L20&gt;IFERROR(VLOOKUP($H20,'基本設定'!$A$13:$K$19,8,FALSE),999999),"Area intensity overrun","正常")))))))</f>
        <v/>
      </c>
      <c r="O20" s="102">
        <f>IF($N20="","",IF($N20="正常","正常",IF(OR($N20="Severe spike",$K20&gt;=IFERROR(VLOOKUP($H20,'基本設定'!$A$13:$K$19,6,FALSE),0.5)),"重大",IF(OR($N20="Usage spike",$N20="Usage drop"),"高","中"))))</f>
        <v/>
      </c>
      <c r="P20" s="144">
        <f>IF(OR($N20="",$N20="正常"),0,ABS($I20-$J20)*'エネルギーデータ入力'!$O20)</f>
        <v/>
      </c>
      <c r="Q20" s="102">
        <f>IF($N20="正常","",IF($N20="Stalled reading / possibly offline","核查表计通信/電気池/网关/阀门Status",IF(AND($H20="水道",$N20&lt;&gt;"正常"),"检查管网、阀门、卫生间、冷却塔及夜间最小流量",IF(AND($H20="電気",$N20&lt;&gt;"正常"),"检查空调、照明、生产设备、PeakOff-peak时段与待机功耗",IF(AND($H20="ガス",$N20&lt;&gt;"正常"),"检查燃ガス阀门、锅炉/厨房设备与泄漏风险","核查设备工况、排班、产量与计量数据")))))</f>
        <v/>
      </c>
      <c r="R20" s="102">
        <f>IF($H20="","",IFERROR(VLOOKUP($H20,'基本設定'!$A$13:$K$19,11,FALSE),"Energy management owner"))</f>
        <v/>
      </c>
      <c r="S20" s="102">
        <f>IF($N20="","",IF($N20="正常","対応不要","未対応"))</f>
        <v/>
      </c>
      <c r="T20" s="141">
        <f>IF(OR($B20="",$N20="正常"),"",WORKDAY($B20,IF($O20="重大",1,IF($O20="高",2,3))))</f>
        <v/>
      </c>
      <c r="U20" s="102">
        <f>IF($T20="","",IF(AND($S20&lt;&gt;"完了",TODAY()&gt;$T20),"期限超過","期限内"))</f>
        <v/>
      </c>
      <c r="V20" s="102" t="n"/>
      <c r="W20" s="141" t="n"/>
      <c r="X20" s="102" t="n"/>
    </row>
    <row r="21">
      <c r="A21" s="102">
        <f>IF('エネルギーデータ入力'!$A21="","","AL-"&amp;TEXT(ROW()-5,"0000"))</f>
        <v/>
      </c>
      <c r="B21" s="141">
        <f>IF('エネルギーデータ入力'!$B21="","",'エネルギーデータ入力'!$B21)</f>
        <v/>
      </c>
      <c r="C21" s="102">
        <f>IF('エネルギーデータ入力'!$C21="","",'エネルギーデータ入力'!$C21)</f>
        <v/>
      </c>
      <c r="D21" s="102">
        <f>IF('エネルギーデータ入力'!$D21="","",'エネルギーデータ入力'!$D21)</f>
        <v/>
      </c>
      <c r="E21" s="102">
        <f>IF('エネルギーデータ入力'!$E21="","",'エネルギーデータ入力'!$E21)</f>
        <v/>
      </c>
      <c r="F21" s="102">
        <f>IF('エネルギーデータ入力'!$G21="","",'エネルギーデータ入力'!$G21)</f>
        <v/>
      </c>
      <c r="G21" s="102">
        <f>IF('エネルギーデータ入力'!$H21="","",'エネルギーデータ入力'!$H21)</f>
        <v/>
      </c>
      <c r="H21" s="102">
        <f>IF('エネルギーデータ入力'!$J21="","",'エネルギーデータ入力'!$J21)</f>
        <v/>
      </c>
      <c r="I21" s="142">
        <f>IF('エネルギーデータ入力'!$N21="","",'エネルギーデータ入力'!$N21)</f>
        <v/>
      </c>
      <c r="J21" s="142">
        <f>IF($B21="","",IFERROR(AVERAGEIFS('エネルギーデータ入力'!$N$6:$N$205,'エネルギーデータ入力'!$B$6:$B$205,"&gt;="&amp;$B21-7,'エネルギーデータ入力'!$B$6:$B$205,"&lt;"&amp;$B21,'エネルギーデータ入力'!$H$6:$H$205,$G21,'エネルギーデータ入力'!$J$6:$J$205,$H21),$I21))</f>
        <v/>
      </c>
      <c r="K21" s="143">
        <f>IFERROR(($I21-$J21)/$J21,"")</f>
        <v/>
      </c>
      <c r="L21" s="102">
        <f>IF('エネルギーデータ入力'!$V21="","",'エネルギーデータ入力'!$V21)</f>
        <v/>
      </c>
      <c r="M21" s="102">
        <f>IF($H21="","",IFERROR(VLOOKUP($H21,'基本設定'!$A$13:$K$19,5,FALSE),0.2))</f>
        <v/>
      </c>
      <c r="N21" s="102">
        <f>IF($B21="","",IF('エネルギーデータ入力'!$L21="","Missing reading",IF($I21=0,"Stalled reading / possibly offline",IF($K21&gt;=IFERROR(VLOOKUP($H21,'基本設定'!$A$13:$K$19,6,FALSE),0.5),"Severe spike",IF($K21&gt;=$M21,"Usage spike",IF($K21&lt;=-IFERROR(VLOOKUP($H21,'基本設定'!$A$13:$K$19,7,FALSE),0.3),"Usage drop",IF($L21&gt;IFERROR(VLOOKUP($H21,'基本設定'!$A$13:$K$19,8,FALSE),999999),"Area intensity overrun","正常")))))))</f>
        <v/>
      </c>
      <c r="O21" s="102">
        <f>IF($N21="","",IF($N21="正常","正常",IF(OR($N21="Severe spike",$K21&gt;=IFERROR(VLOOKUP($H21,'基本設定'!$A$13:$K$19,6,FALSE),0.5)),"重大",IF(OR($N21="Usage spike",$N21="Usage drop"),"高","中"))))</f>
        <v/>
      </c>
      <c r="P21" s="144">
        <f>IF(OR($N21="",$N21="正常"),0,ABS($I21-$J21)*'エネルギーデータ入力'!$O21)</f>
        <v/>
      </c>
      <c r="Q21" s="102">
        <f>IF($N21="正常","",IF($N21="Stalled reading / possibly offline","核查表计通信/電気池/网关/阀门Status",IF(AND($H21="水道",$N21&lt;&gt;"正常"),"检查管网、阀门、卫生间、冷却塔及夜间最小流量",IF(AND($H21="電気",$N21&lt;&gt;"正常"),"检查空调、照明、生产设备、PeakOff-peak时段与待机功耗",IF(AND($H21="ガス",$N21&lt;&gt;"正常"),"检查燃ガス阀门、锅炉/厨房设备与泄漏风险","核查设备工况、排班、产量与计量数据")))))</f>
        <v/>
      </c>
      <c r="R21" s="102">
        <f>IF($H21="","",IFERROR(VLOOKUP($H21,'基本設定'!$A$13:$K$19,11,FALSE),"Energy management owner"))</f>
        <v/>
      </c>
      <c r="S21" s="102">
        <f>IF($N21="","",IF($N21="正常","対応不要","未対応"))</f>
        <v/>
      </c>
      <c r="T21" s="141">
        <f>IF(OR($B21="",$N21="正常"),"",WORKDAY($B21,IF($O21="重大",1,IF($O21="高",2,3))))</f>
        <v/>
      </c>
      <c r="U21" s="102">
        <f>IF($T21="","",IF(AND($S21&lt;&gt;"完了",TODAY()&gt;$T21),"期限超過","期限内"))</f>
        <v/>
      </c>
      <c r="V21" s="102" t="n"/>
      <c r="W21" s="141" t="n"/>
      <c r="X21" s="102" t="n"/>
    </row>
    <row r="22">
      <c r="A22" s="102">
        <f>IF('エネルギーデータ入力'!$A22="","","AL-"&amp;TEXT(ROW()-5,"0000"))</f>
        <v/>
      </c>
      <c r="B22" s="141">
        <f>IF('エネルギーデータ入力'!$B22="","",'エネルギーデータ入力'!$B22)</f>
        <v/>
      </c>
      <c r="C22" s="102">
        <f>IF('エネルギーデータ入力'!$C22="","",'エネルギーデータ入力'!$C22)</f>
        <v/>
      </c>
      <c r="D22" s="102">
        <f>IF('エネルギーデータ入力'!$D22="","",'エネルギーデータ入力'!$D22)</f>
        <v/>
      </c>
      <c r="E22" s="102">
        <f>IF('エネルギーデータ入力'!$E22="","",'エネルギーデータ入力'!$E22)</f>
        <v/>
      </c>
      <c r="F22" s="102">
        <f>IF('エネルギーデータ入力'!$G22="","",'エネルギーデータ入力'!$G22)</f>
        <v/>
      </c>
      <c r="G22" s="102">
        <f>IF('エネルギーデータ入力'!$H22="","",'エネルギーデータ入力'!$H22)</f>
        <v/>
      </c>
      <c r="H22" s="102">
        <f>IF('エネルギーデータ入力'!$J22="","",'エネルギーデータ入力'!$J22)</f>
        <v/>
      </c>
      <c r="I22" s="142">
        <f>IF('エネルギーデータ入力'!$N22="","",'エネルギーデータ入力'!$N22)</f>
        <v/>
      </c>
      <c r="J22" s="142">
        <f>IF($B22="","",IFERROR(AVERAGEIFS('エネルギーデータ入力'!$N$6:$N$205,'エネルギーデータ入力'!$B$6:$B$205,"&gt;="&amp;$B22-7,'エネルギーデータ入力'!$B$6:$B$205,"&lt;"&amp;$B22,'エネルギーデータ入力'!$H$6:$H$205,$G22,'エネルギーデータ入力'!$J$6:$J$205,$H22),$I22))</f>
        <v/>
      </c>
      <c r="K22" s="143">
        <f>IFERROR(($I22-$J22)/$J22,"")</f>
        <v/>
      </c>
      <c r="L22" s="102">
        <f>IF('エネルギーデータ入力'!$V22="","",'エネルギーデータ入力'!$V22)</f>
        <v/>
      </c>
      <c r="M22" s="102">
        <f>IF($H22="","",IFERROR(VLOOKUP($H22,'基本設定'!$A$13:$K$19,5,FALSE),0.2))</f>
        <v/>
      </c>
      <c r="N22" s="102">
        <f>IF($B22="","",IF('エネルギーデータ入力'!$L22="","Missing reading",IF($I22=0,"Stalled reading / possibly offline",IF($K22&gt;=IFERROR(VLOOKUP($H22,'基本設定'!$A$13:$K$19,6,FALSE),0.5),"Severe spike",IF($K22&gt;=$M22,"Usage spike",IF($K22&lt;=-IFERROR(VLOOKUP($H22,'基本設定'!$A$13:$K$19,7,FALSE),0.3),"Usage drop",IF($L22&gt;IFERROR(VLOOKUP($H22,'基本設定'!$A$13:$K$19,8,FALSE),999999),"Area intensity overrun","正常")))))))</f>
        <v/>
      </c>
      <c r="O22" s="102">
        <f>IF($N22="","",IF($N22="正常","正常",IF(OR($N22="Severe spike",$K22&gt;=IFERROR(VLOOKUP($H22,'基本設定'!$A$13:$K$19,6,FALSE),0.5)),"重大",IF(OR($N22="Usage spike",$N22="Usage drop"),"高","中"))))</f>
        <v/>
      </c>
      <c r="P22" s="144">
        <f>IF(OR($N22="",$N22="正常"),0,ABS($I22-$J22)*'エネルギーデータ入力'!$O22)</f>
        <v/>
      </c>
      <c r="Q22" s="102">
        <f>IF($N22="正常","",IF($N22="Stalled reading / possibly offline","核查表计通信/電気池/网关/阀门Status",IF(AND($H22="水道",$N22&lt;&gt;"正常"),"检查管网、阀门、卫生间、冷却塔及夜间最小流量",IF(AND($H22="電気",$N22&lt;&gt;"正常"),"检查空调、照明、生产设备、PeakOff-peak时段与待机功耗",IF(AND($H22="ガス",$N22&lt;&gt;"正常"),"检查燃ガス阀门、锅炉/厨房设备与泄漏风险","核查设备工况、排班、产量与计量数据")))))</f>
        <v/>
      </c>
      <c r="R22" s="102">
        <f>IF($H22="","",IFERROR(VLOOKUP($H22,'基本設定'!$A$13:$K$19,11,FALSE),"Energy management owner"))</f>
        <v/>
      </c>
      <c r="S22" s="102">
        <f>IF($N22="","",IF($N22="正常","対応不要","未対応"))</f>
        <v/>
      </c>
      <c r="T22" s="141">
        <f>IF(OR($B22="",$N22="正常"),"",WORKDAY($B22,IF($O22="重大",1,IF($O22="高",2,3))))</f>
        <v/>
      </c>
      <c r="U22" s="102">
        <f>IF($T22="","",IF(AND($S22&lt;&gt;"完了",TODAY()&gt;$T22),"期限超過","期限内"))</f>
        <v/>
      </c>
      <c r="V22" s="102" t="n"/>
      <c r="W22" s="141" t="n"/>
      <c r="X22" s="102" t="n"/>
    </row>
    <row r="23">
      <c r="A23" s="102">
        <f>IF('エネルギーデータ入力'!$A23="","","AL-"&amp;TEXT(ROW()-5,"0000"))</f>
        <v/>
      </c>
      <c r="B23" s="141">
        <f>IF('エネルギーデータ入力'!$B23="","",'エネルギーデータ入力'!$B23)</f>
        <v/>
      </c>
      <c r="C23" s="102">
        <f>IF('エネルギーデータ入力'!$C23="","",'エネルギーデータ入力'!$C23)</f>
        <v/>
      </c>
      <c r="D23" s="102">
        <f>IF('エネルギーデータ入力'!$D23="","",'エネルギーデータ入力'!$D23)</f>
        <v/>
      </c>
      <c r="E23" s="102">
        <f>IF('エネルギーデータ入力'!$E23="","",'エネルギーデータ入力'!$E23)</f>
        <v/>
      </c>
      <c r="F23" s="102">
        <f>IF('エネルギーデータ入力'!$G23="","",'エネルギーデータ入力'!$G23)</f>
        <v/>
      </c>
      <c r="G23" s="102">
        <f>IF('エネルギーデータ入力'!$H23="","",'エネルギーデータ入力'!$H23)</f>
        <v/>
      </c>
      <c r="H23" s="102">
        <f>IF('エネルギーデータ入力'!$J23="","",'エネルギーデータ入力'!$J23)</f>
        <v/>
      </c>
      <c r="I23" s="142">
        <f>IF('エネルギーデータ入力'!$N23="","",'エネルギーデータ入力'!$N23)</f>
        <v/>
      </c>
      <c r="J23" s="142">
        <f>IF($B23="","",IFERROR(AVERAGEIFS('エネルギーデータ入力'!$N$6:$N$205,'エネルギーデータ入力'!$B$6:$B$205,"&gt;="&amp;$B23-7,'エネルギーデータ入力'!$B$6:$B$205,"&lt;"&amp;$B23,'エネルギーデータ入力'!$H$6:$H$205,$G23,'エネルギーデータ入力'!$J$6:$J$205,$H23),$I23))</f>
        <v/>
      </c>
      <c r="K23" s="143">
        <f>IFERROR(($I23-$J23)/$J23,"")</f>
        <v/>
      </c>
      <c r="L23" s="102">
        <f>IF('エネルギーデータ入力'!$V23="","",'エネルギーデータ入力'!$V23)</f>
        <v/>
      </c>
      <c r="M23" s="102">
        <f>IF($H23="","",IFERROR(VLOOKUP($H23,'基本設定'!$A$13:$K$19,5,FALSE),0.2))</f>
        <v/>
      </c>
      <c r="N23" s="102">
        <f>IF($B23="","",IF('エネルギーデータ入力'!$L23="","Missing reading",IF($I23=0,"Stalled reading / possibly offline",IF($K23&gt;=IFERROR(VLOOKUP($H23,'基本設定'!$A$13:$K$19,6,FALSE),0.5),"Severe spike",IF($K23&gt;=$M23,"Usage spike",IF($K23&lt;=-IFERROR(VLOOKUP($H23,'基本設定'!$A$13:$K$19,7,FALSE),0.3),"Usage drop",IF($L23&gt;IFERROR(VLOOKUP($H23,'基本設定'!$A$13:$K$19,8,FALSE),999999),"Area intensity overrun","正常")))))))</f>
        <v/>
      </c>
      <c r="O23" s="102">
        <f>IF($N23="","",IF($N23="正常","正常",IF(OR($N23="Severe spike",$K23&gt;=IFERROR(VLOOKUP($H23,'基本設定'!$A$13:$K$19,6,FALSE),0.5)),"重大",IF(OR($N23="Usage spike",$N23="Usage drop"),"高","中"))))</f>
        <v/>
      </c>
      <c r="P23" s="144">
        <f>IF(OR($N23="",$N23="正常"),0,ABS($I23-$J23)*'エネルギーデータ入力'!$O23)</f>
        <v/>
      </c>
      <c r="Q23" s="102">
        <f>IF($N23="正常","",IF($N23="Stalled reading / possibly offline","核查表计通信/電気池/网关/阀门Status",IF(AND($H23="水道",$N23&lt;&gt;"正常"),"检查管网、阀门、卫生间、冷却塔及夜间最小流量",IF(AND($H23="電気",$N23&lt;&gt;"正常"),"检查空调、照明、生产设备、PeakOff-peak时段与待机功耗",IF(AND($H23="ガス",$N23&lt;&gt;"正常"),"检查燃ガス阀门、锅炉/厨房设备与泄漏风险","核查设备工况、排班、产量与计量数据")))))</f>
        <v/>
      </c>
      <c r="R23" s="102">
        <f>IF($H23="","",IFERROR(VLOOKUP($H23,'基本設定'!$A$13:$K$19,11,FALSE),"Energy management owner"))</f>
        <v/>
      </c>
      <c r="S23" s="102">
        <f>IF($N23="","",IF($N23="正常","対応不要","未対応"))</f>
        <v/>
      </c>
      <c r="T23" s="141">
        <f>IF(OR($B23="",$N23="正常"),"",WORKDAY($B23,IF($O23="重大",1,IF($O23="高",2,3))))</f>
        <v/>
      </c>
      <c r="U23" s="102">
        <f>IF($T23="","",IF(AND($S23&lt;&gt;"完了",TODAY()&gt;$T23),"期限超過","期限内"))</f>
        <v/>
      </c>
      <c r="V23" s="102" t="n"/>
      <c r="W23" s="141" t="n"/>
      <c r="X23" s="102" t="n"/>
    </row>
    <row r="24">
      <c r="A24" s="102">
        <f>IF('エネルギーデータ入力'!$A24="","","AL-"&amp;TEXT(ROW()-5,"0000"))</f>
        <v/>
      </c>
      <c r="B24" s="141">
        <f>IF('エネルギーデータ入力'!$B24="","",'エネルギーデータ入力'!$B24)</f>
        <v/>
      </c>
      <c r="C24" s="102">
        <f>IF('エネルギーデータ入力'!$C24="","",'エネルギーデータ入力'!$C24)</f>
        <v/>
      </c>
      <c r="D24" s="102">
        <f>IF('エネルギーデータ入力'!$D24="","",'エネルギーデータ入力'!$D24)</f>
        <v/>
      </c>
      <c r="E24" s="102">
        <f>IF('エネルギーデータ入力'!$E24="","",'エネルギーデータ入力'!$E24)</f>
        <v/>
      </c>
      <c r="F24" s="102">
        <f>IF('エネルギーデータ入力'!$G24="","",'エネルギーデータ入力'!$G24)</f>
        <v/>
      </c>
      <c r="G24" s="102">
        <f>IF('エネルギーデータ入力'!$H24="","",'エネルギーデータ入力'!$H24)</f>
        <v/>
      </c>
      <c r="H24" s="102">
        <f>IF('エネルギーデータ入力'!$J24="","",'エネルギーデータ入力'!$J24)</f>
        <v/>
      </c>
      <c r="I24" s="142">
        <f>IF('エネルギーデータ入力'!$N24="","",'エネルギーデータ入力'!$N24)</f>
        <v/>
      </c>
      <c r="J24" s="142">
        <f>IF($B24="","",IFERROR(AVERAGEIFS('エネルギーデータ入力'!$N$6:$N$205,'エネルギーデータ入力'!$B$6:$B$205,"&gt;="&amp;$B24-7,'エネルギーデータ入力'!$B$6:$B$205,"&lt;"&amp;$B24,'エネルギーデータ入力'!$H$6:$H$205,$G24,'エネルギーデータ入力'!$J$6:$J$205,$H24),$I24))</f>
        <v/>
      </c>
      <c r="K24" s="143">
        <f>IFERROR(($I24-$J24)/$J24,"")</f>
        <v/>
      </c>
      <c r="L24" s="102">
        <f>IF('エネルギーデータ入力'!$V24="","",'エネルギーデータ入力'!$V24)</f>
        <v/>
      </c>
      <c r="M24" s="102">
        <f>IF($H24="","",IFERROR(VLOOKUP($H24,'基本設定'!$A$13:$K$19,5,FALSE),0.2))</f>
        <v/>
      </c>
      <c r="N24" s="102">
        <f>IF($B24="","",IF('エネルギーデータ入力'!$L24="","Missing reading",IF($I24=0,"Stalled reading / possibly offline",IF($K24&gt;=IFERROR(VLOOKUP($H24,'基本設定'!$A$13:$K$19,6,FALSE),0.5),"Severe spike",IF($K24&gt;=$M24,"Usage spike",IF($K24&lt;=-IFERROR(VLOOKUP($H24,'基本設定'!$A$13:$K$19,7,FALSE),0.3),"Usage drop",IF($L24&gt;IFERROR(VLOOKUP($H24,'基本設定'!$A$13:$K$19,8,FALSE),999999),"Area intensity overrun","正常")))))))</f>
        <v/>
      </c>
      <c r="O24" s="102">
        <f>IF($N24="","",IF($N24="正常","正常",IF(OR($N24="Severe spike",$K24&gt;=IFERROR(VLOOKUP($H24,'基本設定'!$A$13:$K$19,6,FALSE),0.5)),"重大",IF(OR($N24="Usage spike",$N24="Usage drop"),"高","中"))))</f>
        <v/>
      </c>
      <c r="P24" s="144">
        <f>IF(OR($N24="",$N24="正常"),0,ABS($I24-$J24)*'エネルギーデータ入力'!$O24)</f>
        <v/>
      </c>
      <c r="Q24" s="102">
        <f>IF($N24="正常","",IF($N24="Stalled reading / possibly offline","核查表计通信/電気池/网关/阀门Status",IF(AND($H24="水道",$N24&lt;&gt;"正常"),"检查管网、阀门、卫生间、冷却塔及夜间最小流量",IF(AND($H24="電気",$N24&lt;&gt;"正常"),"检查空调、照明、生产设备、PeakOff-peak时段与待机功耗",IF(AND($H24="ガス",$N24&lt;&gt;"正常"),"检查燃ガス阀门、锅炉/厨房设备与泄漏风险","核查设备工况、排班、产量与计量数据")))))</f>
        <v/>
      </c>
      <c r="R24" s="102">
        <f>IF($H24="","",IFERROR(VLOOKUP($H24,'基本設定'!$A$13:$K$19,11,FALSE),"Energy management owner"))</f>
        <v/>
      </c>
      <c r="S24" s="102">
        <f>IF($N24="","",IF($N24="正常","対応不要","未対応"))</f>
        <v/>
      </c>
      <c r="T24" s="141">
        <f>IF(OR($B24="",$N24="正常"),"",WORKDAY($B24,IF($O24="重大",1,IF($O24="高",2,3))))</f>
        <v/>
      </c>
      <c r="U24" s="102">
        <f>IF($T24="","",IF(AND($S24&lt;&gt;"完了",TODAY()&gt;$T24),"期限超過","期限内"))</f>
        <v/>
      </c>
      <c r="V24" s="102" t="n"/>
      <c r="W24" s="141" t="n"/>
      <c r="X24" s="102" t="n"/>
    </row>
    <row r="25">
      <c r="A25" s="102">
        <f>IF('エネルギーデータ入力'!$A25="","","AL-"&amp;TEXT(ROW()-5,"0000"))</f>
        <v/>
      </c>
      <c r="B25" s="141">
        <f>IF('エネルギーデータ入力'!$B25="","",'エネルギーデータ入力'!$B25)</f>
        <v/>
      </c>
      <c r="C25" s="102">
        <f>IF('エネルギーデータ入力'!$C25="","",'エネルギーデータ入力'!$C25)</f>
        <v/>
      </c>
      <c r="D25" s="102">
        <f>IF('エネルギーデータ入力'!$D25="","",'エネルギーデータ入力'!$D25)</f>
        <v/>
      </c>
      <c r="E25" s="102">
        <f>IF('エネルギーデータ入力'!$E25="","",'エネルギーデータ入力'!$E25)</f>
        <v/>
      </c>
      <c r="F25" s="102">
        <f>IF('エネルギーデータ入力'!$G25="","",'エネルギーデータ入力'!$G25)</f>
        <v/>
      </c>
      <c r="G25" s="102">
        <f>IF('エネルギーデータ入力'!$H25="","",'エネルギーデータ入力'!$H25)</f>
        <v/>
      </c>
      <c r="H25" s="102">
        <f>IF('エネルギーデータ入力'!$J25="","",'エネルギーデータ入力'!$J25)</f>
        <v/>
      </c>
      <c r="I25" s="142">
        <f>IF('エネルギーデータ入力'!$N25="","",'エネルギーデータ入力'!$N25)</f>
        <v/>
      </c>
      <c r="J25" s="142">
        <f>IF($B25="","",IFERROR(AVERAGEIFS('エネルギーデータ入力'!$N$6:$N$205,'エネルギーデータ入力'!$B$6:$B$205,"&gt;="&amp;$B25-7,'エネルギーデータ入力'!$B$6:$B$205,"&lt;"&amp;$B25,'エネルギーデータ入力'!$H$6:$H$205,$G25,'エネルギーデータ入力'!$J$6:$J$205,$H25),$I25))</f>
        <v/>
      </c>
      <c r="K25" s="143">
        <f>IFERROR(($I25-$J25)/$J25,"")</f>
        <v/>
      </c>
      <c r="L25" s="102">
        <f>IF('エネルギーデータ入力'!$V25="","",'エネルギーデータ入力'!$V25)</f>
        <v/>
      </c>
      <c r="M25" s="102">
        <f>IF($H25="","",IFERROR(VLOOKUP($H25,'基本設定'!$A$13:$K$19,5,FALSE),0.2))</f>
        <v/>
      </c>
      <c r="N25" s="102">
        <f>IF($B25="","",IF('エネルギーデータ入力'!$L25="","Missing reading",IF($I25=0,"Stalled reading / possibly offline",IF($K25&gt;=IFERROR(VLOOKUP($H25,'基本設定'!$A$13:$K$19,6,FALSE),0.5),"Severe spike",IF($K25&gt;=$M25,"Usage spike",IF($K25&lt;=-IFERROR(VLOOKUP($H25,'基本設定'!$A$13:$K$19,7,FALSE),0.3),"Usage drop",IF($L25&gt;IFERROR(VLOOKUP($H25,'基本設定'!$A$13:$K$19,8,FALSE),999999),"Area intensity overrun","正常")))))))</f>
        <v/>
      </c>
      <c r="O25" s="102">
        <f>IF($N25="","",IF($N25="正常","正常",IF(OR($N25="Severe spike",$K25&gt;=IFERROR(VLOOKUP($H25,'基本設定'!$A$13:$K$19,6,FALSE),0.5)),"重大",IF(OR($N25="Usage spike",$N25="Usage drop"),"高","中"))))</f>
        <v/>
      </c>
      <c r="P25" s="144">
        <f>IF(OR($N25="",$N25="正常"),0,ABS($I25-$J25)*'エネルギーデータ入力'!$O25)</f>
        <v/>
      </c>
      <c r="Q25" s="102">
        <f>IF($N25="正常","",IF($N25="Stalled reading / possibly offline","核查表计通信/電気池/网关/阀门Status",IF(AND($H25="水道",$N25&lt;&gt;"正常"),"检查管网、阀门、卫生间、冷却塔及夜间最小流量",IF(AND($H25="電気",$N25&lt;&gt;"正常"),"检查空调、照明、生产设备、PeakOff-peak时段与待机功耗",IF(AND($H25="ガス",$N25&lt;&gt;"正常"),"检查燃ガス阀门、锅炉/厨房设备与泄漏风险","核查设备工况、排班、产量与计量数据")))))</f>
        <v/>
      </c>
      <c r="R25" s="102">
        <f>IF($H25="","",IFERROR(VLOOKUP($H25,'基本設定'!$A$13:$K$19,11,FALSE),"Energy management owner"))</f>
        <v/>
      </c>
      <c r="S25" s="102">
        <f>IF($N25="","",IF($N25="正常","対応不要","未対応"))</f>
        <v/>
      </c>
      <c r="T25" s="141">
        <f>IF(OR($B25="",$N25="正常"),"",WORKDAY($B25,IF($O25="重大",1,IF($O25="高",2,3))))</f>
        <v/>
      </c>
      <c r="U25" s="102">
        <f>IF($T25="","",IF(AND($S25&lt;&gt;"完了",TODAY()&gt;$T25),"期限超過","期限内"))</f>
        <v/>
      </c>
      <c r="V25" s="102" t="n"/>
      <c r="W25" s="141" t="n"/>
      <c r="X25" s="102" t="n"/>
    </row>
    <row r="26">
      <c r="A26" s="102">
        <f>IF('エネルギーデータ入力'!$A26="","","AL-"&amp;TEXT(ROW()-5,"0000"))</f>
        <v/>
      </c>
      <c r="B26" s="141">
        <f>IF('エネルギーデータ入力'!$B26="","",'エネルギーデータ入力'!$B26)</f>
        <v/>
      </c>
      <c r="C26" s="102">
        <f>IF('エネルギーデータ入力'!$C26="","",'エネルギーデータ入力'!$C26)</f>
        <v/>
      </c>
      <c r="D26" s="102">
        <f>IF('エネルギーデータ入力'!$D26="","",'エネルギーデータ入力'!$D26)</f>
        <v/>
      </c>
      <c r="E26" s="102">
        <f>IF('エネルギーデータ入力'!$E26="","",'エネルギーデータ入力'!$E26)</f>
        <v/>
      </c>
      <c r="F26" s="102">
        <f>IF('エネルギーデータ入力'!$G26="","",'エネルギーデータ入力'!$G26)</f>
        <v/>
      </c>
      <c r="G26" s="102">
        <f>IF('エネルギーデータ入力'!$H26="","",'エネルギーデータ入力'!$H26)</f>
        <v/>
      </c>
      <c r="H26" s="102">
        <f>IF('エネルギーデータ入力'!$J26="","",'エネルギーデータ入力'!$J26)</f>
        <v/>
      </c>
      <c r="I26" s="142">
        <f>IF('エネルギーデータ入力'!$N26="","",'エネルギーデータ入力'!$N26)</f>
        <v/>
      </c>
      <c r="J26" s="142">
        <f>IF($B26="","",IFERROR(AVERAGEIFS('エネルギーデータ入力'!$N$6:$N$205,'エネルギーデータ入力'!$B$6:$B$205,"&gt;="&amp;$B26-7,'エネルギーデータ入力'!$B$6:$B$205,"&lt;"&amp;$B26,'エネルギーデータ入力'!$H$6:$H$205,$G26,'エネルギーデータ入力'!$J$6:$J$205,$H26),$I26))</f>
        <v/>
      </c>
      <c r="K26" s="143">
        <f>IFERROR(($I26-$J26)/$J26,"")</f>
        <v/>
      </c>
      <c r="L26" s="102">
        <f>IF('エネルギーデータ入力'!$V26="","",'エネルギーデータ入力'!$V26)</f>
        <v/>
      </c>
      <c r="M26" s="102">
        <f>IF($H26="","",IFERROR(VLOOKUP($H26,'基本設定'!$A$13:$K$19,5,FALSE),0.2))</f>
        <v/>
      </c>
      <c r="N26" s="102">
        <f>IF($B26="","",IF('エネルギーデータ入力'!$L26="","Missing reading",IF($I26=0,"Stalled reading / possibly offline",IF($K26&gt;=IFERROR(VLOOKUP($H26,'基本設定'!$A$13:$K$19,6,FALSE),0.5),"Severe spike",IF($K26&gt;=$M26,"Usage spike",IF($K26&lt;=-IFERROR(VLOOKUP($H26,'基本設定'!$A$13:$K$19,7,FALSE),0.3),"Usage drop",IF($L26&gt;IFERROR(VLOOKUP($H26,'基本設定'!$A$13:$K$19,8,FALSE),999999),"Area intensity overrun","正常")))))))</f>
        <v/>
      </c>
      <c r="O26" s="102">
        <f>IF($N26="","",IF($N26="正常","正常",IF(OR($N26="Severe spike",$K26&gt;=IFERROR(VLOOKUP($H26,'基本設定'!$A$13:$K$19,6,FALSE),0.5)),"重大",IF(OR($N26="Usage spike",$N26="Usage drop"),"高","中"))))</f>
        <v/>
      </c>
      <c r="P26" s="144">
        <f>IF(OR($N26="",$N26="正常"),0,ABS($I26-$J26)*'エネルギーデータ入力'!$O26)</f>
        <v/>
      </c>
      <c r="Q26" s="102">
        <f>IF($N26="正常","",IF($N26="Stalled reading / possibly offline","核查表计通信/電気池/网关/阀门Status",IF(AND($H26="水道",$N26&lt;&gt;"正常"),"检查管网、阀门、卫生间、冷却塔及夜间最小流量",IF(AND($H26="電気",$N26&lt;&gt;"正常"),"检查空调、照明、生产设备、PeakOff-peak时段与待机功耗",IF(AND($H26="ガス",$N26&lt;&gt;"正常"),"检查燃ガス阀门、锅炉/厨房设备与泄漏风险","核查设备工况、排班、产量与计量数据")))))</f>
        <v/>
      </c>
      <c r="R26" s="102">
        <f>IF($H26="","",IFERROR(VLOOKUP($H26,'基本設定'!$A$13:$K$19,11,FALSE),"Energy management owner"))</f>
        <v/>
      </c>
      <c r="S26" s="102">
        <f>IF($N26="","",IF($N26="正常","対応不要","未対応"))</f>
        <v/>
      </c>
      <c r="T26" s="141">
        <f>IF(OR($B26="",$N26="正常"),"",WORKDAY($B26,IF($O26="重大",1,IF($O26="高",2,3))))</f>
        <v/>
      </c>
      <c r="U26" s="102">
        <f>IF($T26="","",IF(AND($S26&lt;&gt;"完了",TODAY()&gt;$T26),"期限超過","期限内"))</f>
        <v/>
      </c>
      <c r="V26" s="102" t="n"/>
      <c r="W26" s="141" t="n"/>
      <c r="X26" s="102" t="n"/>
    </row>
    <row r="27">
      <c r="A27" s="102">
        <f>IF('エネルギーデータ入力'!$A27="","","AL-"&amp;TEXT(ROW()-5,"0000"))</f>
        <v/>
      </c>
      <c r="B27" s="141">
        <f>IF('エネルギーデータ入力'!$B27="","",'エネルギーデータ入力'!$B27)</f>
        <v/>
      </c>
      <c r="C27" s="102">
        <f>IF('エネルギーデータ入力'!$C27="","",'エネルギーデータ入力'!$C27)</f>
        <v/>
      </c>
      <c r="D27" s="102">
        <f>IF('エネルギーデータ入力'!$D27="","",'エネルギーデータ入力'!$D27)</f>
        <v/>
      </c>
      <c r="E27" s="102">
        <f>IF('エネルギーデータ入力'!$E27="","",'エネルギーデータ入力'!$E27)</f>
        <v/>
      </c>
      <c r="F27" s="102">
        <f>IF('エネルギーデータ入力'!$G27="","",'エネルギーデータ入力'!$G27)</f>
        <v/>
      </c>
      <c r="G27" s="102">
        <f>IF('エネルギーデータ入力'!$H27="","",'エネルギーデータ入力'!$H27)</f>
        <v/>
      </c>
      <c r="H27" s="102">
        <f>IF('エネルギーデータ入力'!$J27="","",'エネルギーデータ入力'!$J27)</f>
        <v/>
      </c>
      <c r="I27" s="142">
        <f>IF('エネルギーデータ入力'!$N27="","",'エネルギーデータ入力'!$N27)</f>
        <v/>
      </c>
      <c r="J27" s="142">
        <f>IF($B27="","",IFERROR(AVERAGEIFS('エネルギーデータ入力'!$N$6:$N$205,'エネルギーデータ入力'!$B$6:$B$205,"&gt;="&amp;$B27-7,'エネルギーデータ入力'!$B$6:$B$205,"&lt;"&amp;$B27,'エネルギーデータ入力'!$H$6:$H$205,$G27,'エネルギーデータ入力'!$J$6:$J$205,$H27),$I27))</f>
        <v/>
      </c>
      <c r="K27" s="143">
        <f>IFERROR(($I27-$J27)/$J27,"")</f>
        <v/>
      </c>
      <c r="L27" s="102">
        <f>IF('エネルギーデータ入力'!$V27="","",'エネルギーデータ入力'!$V27)</f>
        <v/>
      </c>
      <c r="M27" s="102">
        <f>IF($H27="","",IFERROR(VLOOKUP($H27,'基本設定'!$A$13:$K$19,5,FALSE),0.2))</f>
        <v/>
      </c>
      <c r="N27" s="102">
        <f>IF($B27="","",IF('エネルギーデータ入力'!$L27="","Missing reading",IF($I27=0,"Stalled reading / possibly offline",IF($K27&gt;=IFERROR(VLOOKUP($H27,'基本設定'!$A$13:$K$19,6,FALSE),0.5),"Severe spike",IF($K27&gt;=$M27,"Usage spike",IF($K27&lt;=-IFERROR(VLOOKUP($H27,'基本設定'!$A$13:$K$19,7,FALSE),0.3),"Usage drop",IF($L27&gt;IFERROR(VLOOKUP($H27,'基本設定'!$A$13:$K$19,8,FALSE),999999),"Area intensity overrun","正常")))))))</f>
        <v/>
      </c>
      <c r="O27" s="102">
        <f>IF($N27="","",IF($N27="正常","正常",IF(OR($N27="Severe spike",$K27&gt;=IFERROR(VLOOKUP($H27,'基本設定'!$A$13:$K$19,6,FALSE),0.5)),"重大",IF(OR($N27="Usage spike",$N27="Usage drop"),"高","中"))))</f>
        <v/>
      </c>
      <c r="P27" s="144">
        <f>IF(OR($N27="",$N27="正常"),0,ABS($I27-$J27)*'エネルギーデータ入力'!$O27)</f>
        <v/>
      </c>
      <c r="Q27" s="102">
        <f>IF($N27="正常","",IF($N27="Stalled reading / possibly offline","核查表计通信/電気池/网关/阀门Status",IF(AND($H27="水道",$N27&lt;&gt;"正常"),"检查管网、阀门、卫生间、冷却塔及夜间最小流量",IF(AND($H27="電気",$N27&lt;&gt;"正常"),"检查空调、照明、生产设备、PeakOff-peak时段与待机功耗",IF(AND($H27="ガス",$N27&lt;&gt;"正常"),"检查燃ガス阀门、锅炉/厨房设备与泄漏风险","核查设备工况、排班、产量与计量数据")))))</f>
        <v/>
      </c>
      <c r="R27" s="102">
        <f>IF($H27="","",IFERROR(VLOOKUP($H27,'基本設定'!$A$13:$K$19,11,FALSE),"Energy management owner"))</f>
        <v/>
      </c>
      <c r="S27" s="102">
        <f>IF($N27="","",IF($N27="正常","対応不要","未対応"))</f>
        <v/>
      </c>
      <c r="T27" s="141">
        <f>IF(OR($B27="",$N27="正常"),"",WORKDAY($B27,IF($O27="重大",1,IF($O27="高",2,3))))</f>
        <v/>
      </c>
      <c r="U27" s="102">
        <f>IF($T27="","",IF(AND($S27&lt;&gt;"完了",TODAY()&gt;$T27),"期限超過","期限内"))</f>
        <v/>
      </c>
      <c r="V27" s="102" t="n"/>
      <c r="W27" s="141" t="n"/>
      <c r="X27" s="102" t="n"/>
    </row>
    <row r="28">
      <c r="A28" s="102">
        <f>IF('エネルギーデータ入力'!$A28="","","AL-"&amp;TEXT(ROW()-5,"0000"))</f>
        <v/>
      </c>
      <c r="B28" s="141">
        <f>IF('エネルギーデータ入力'!$B28="","",'エネルギーデータ入力'!$B28)</f>
        <v/>
      </c>
      <c r="C28" s="102">
        <f>IF('エネルギーデータ入力'!$C28="","",'エネルギーデータ入力'!$C28)</f>
        <v/>
      </c>
      <c r="D28" s="102">
        <f>IF('エネルギーデータ入力'!$D28="","",'エネルギーデータ入力'!$D28)</f>
        <v/>
      </c>
      <c r="E28" s="102">
        <f>IF('エネルギーデータ入力'!$E28="","",'エネルギーデータ入力'!$E28)</f>
        <v/>
      </c>
      <c r="F28" s="102">
        <f>IF('エネルギーデータ入力'!$G28="","",'エネルギーデータ入力'!$G28)</f>
        <v/>
      </c>
      <c r="G28" s="102">
        <f>IF('エネルギーデータ入力'!$H28="","",'エネルギーデータ入力'!$H28)</f>
        <v/>
      </c>
      <c r="H28" s="102">
        <f>IF('エネルギーデータ入力'!$J28="","",'エネルギーデータ入力'!$J28)</f>
        <v/>
      </c>
      <c r="I28" s="142">
        <f>IF('エネルギーデータ入力'!$N28="","",'エネルギーデータ入力'!$N28)</f>
        <v/>
      </c>
      <c r="J28" s="142">
        <f>IF($B28="","",IFERROR(AVERAGEIFS('エネルギーデータ入力'!$N$6:$N$205,'エネルギーデータ入力'!$B$6:$B$205,"&gt;="&amp;$B28-7,'エネルギーデータ入力'!$B$6:$B$205,"&lt;"&amp;$B28,'エネルギーデータ入力'!$H$6:$H$205,$G28,'エネルギーデータ入力'!$J$6:$J$205,$H28),$I28))</f>
        <v/>
      </c>
      <c r="K28" s="143">
        <f>IFERROR(($I28-$J28)/$J28,"")</f>
        <v/>
      </c>
      <c r="L28" s="102">
        <f>IF('エネルギーデータ入力'!$V28="","",'エネルギーデータ入力'!$V28)</f>
        <v/>
      </c>
      <c r="M28" s="102">
        <f>IF($H28="","",IFERROR(VLOOKUP($H28,'基本設定'!$A$13:$K$19,5,FALSE),0.2))</f>
        <v/>
      </c>
      <c r="N28" s="102">
        <f>IF($B28="","",IF('エネルギーデータ入力'!$L28="","Missing reading",IF($I28=0,"Stalled reading / possibly offline",IF($K28&gt;=IFERROR(VLOOKUP($H28,'基本設定'!$A$13:$K$19,6,FALSE),0.5),"Severe spike",IF($K28&gt;=$M28,"Usage spike",IF($K28&lt;=-IFERROR(VLOOKUP($H28,'基本設定'!$A$13:$K$19,7,FALSE),0.3),"Usage drop",IF($L28&gt;IFERROR(VLOOKUP($H28,'基本設定'!$A$13:$K$19,8,FALSE),999999),"Area intensity overrun","正常")))))))</f>
        <v/>
      </c>
      <c r="O28" s="102">
        <f>IF($N28="","",IF($N28="正常","正常",IF(OR($N28="Severe spike",$K28&gt;=IFERROR(VLOOKUP($H28,'基本設定'!$A$13:$K$19,6,FALSE),0.5)),"重大",IF(OR($N28="Usage spike",$N28="Usage drop"),"高","中"))))</f>
        <v/>
      </c>
      <c r="P28" s="144">
        <f>IF(OR($N28="",$N28="正常"),0,ABS($I28-$J28)*'エネルギーデータ入力'!$O28)</f>
        <v/>
      </c>
      <c r="Q28" s="102">
        <f>IF($N28="正常","",IF($N28="Stalled reading / possibly offline","核查表计通信/電気池/网关/阀门Status",IF(AND($H28="水道",$N28&lt;&gt;"正常"),"检查管网、阀门、卫生间、冷却塔及夜间最小流量",IF(AND($H28="電気",$N28&lt;&gt;"正常"),"检查空调、照明、生产设备、PeakOff-peak时段与待机功耗",IF(AND($H28="ガス",$N28&lt;&gt;"正常"),"检查燃ガス阀门、锅炉/厨房设备与泄漏风险","核查设备工况、排班、产量与计量数据")))))</f>
        <v/>
      </c>
      <c r="R28" s="102">
        <f>IF($H28="","",IFERROR(VLOOKUP($H28,'基本設定'!$A$13:$K$19,11,FALSE),"Energy management owner"))</f>
        <v/>
      </c>
      <c r="S28" s="102">
        <f>IF($N28="","",IF($N28="正常","対応不要","未対応"))</f>
        <v/>
      </c>
      <c r="T28" s="141">
        <f>IF(OR($B28="",$N28="正常"),"",WORKDAY($B28,IF($O28="重大",1,IF($O28="高",2,3))))</f>
        <v/>
      </c>
      <c r="U28" s="102">
        <f>IF($T28="","",IF(AND($S28&lt;&gt;"完了",TODAY()&gt;$T28),"期限超過","期限内"))</f>
        <v/>
      </c>
      <c r="V28" s="102" t="n"/>
      <c r="W28" s="141" t="n"/>
      <c r="X28" s="102" t="n"/>
    </row>
    <row r="29">
      <c r="A29" s="102">
        <f>IF('エネルギーデータ入力'!$A29="","","AL-"&amp;TEXT(ROW()-5,"0000"))</f>
        <v/>
      </c>
      <c r="B29" s="141">
        <f>IF('エネルギーデータ入力'!$B29="","",'エネルギーデータ入力'!$B29)</f>
        <v/>
      </c>
      <c r="C29" s="102">
        <f>IF('エネルギーデータ入力'!$C29="","",'エネルギーデータ入力'!$C29)</f>
        <v/>
      </c>
      <c r="D29" s="102">
        <f>IF('エネルギーデータ入力'!$D29="","",'エネルギーデータ入力'!$D29)</f>
        <v/>
      </c>
      <c r="E29" s="102">
        <f>IF('エネルギーデータ入力'!$E29="","",'エネルギーデータ入力'!$E29)</f>
        <v/>
      </c>
      <c r="F29" s="102">
        <f>IF('エネルギーデータ入力'!$G29="","",'エネルギーデータ入力'!$G29)</f>
        <v/>
      </c>
      <c r="G29" s="102">
        <f>IF('エネルギーデータ入力'!$H29="","",'エネルギーデータ入力'!$H29)</f>
        <v/>
      </c>
      <c r="H29" s="102">
        <f>IF('エネルギーデータ入力'!$J29="","",'エネルギーデータ入力'!$J29)</f>
        <v/>
      </c>
      <c r="I29" s="142">
        <f>IF('エネルギーデータ入力'!$N29="","",'エネルギーデータ入力'!$N29)</f>
        <v/>
      </c>
      <c r="J29" s="142">
        <f>IF($B29="","",IFERROR(AVERAGEIFS('エネルギーデータ入力'!$N$6:$N$205,'エネルギーデータ入力'!$B$6:$B$205,"&gt;="&amp;$B29-7,'エネルギーデータ入力'!$B$6:$B$205,"&lt;"&amp;$B29,'エネルギーデータ入力'!$H$6:$H$205,$G29,'エネルギーデータ入力'!$J$6:$J$205,$H29),$I29))</f>
        <v/>
      </c>
      <c r="K29" s="143">
        <f>IFERROR(($I29-$J29)/$J29,"")</f>
        <v/>
      </c>
      <c r="L29" s="102">
        <f>IF('エネルギーデータ入力'!$V29="","",'エネルギーデータ入力'!$V29)</f>
        <v/>
      </c>
      <c r="M29" s="102">
        <f>IF($H29="","",IFERROR(VLOOKUP($H29,'基本設定'!$A$13:$K$19,5,FALSE),0.2))</f>
        <v/>
      </c>
      <c r="N29" s="102">
        <f>IF($B29="","",IF('エネルギーデータ入力'!$L29="","Missing reading",IF($I29=0,"Stalled reading / possibly offline",IF($K29&gt;=IFERROR(VLOOKUP($H29,'基本設定'!$A$13:$K$19,6,FALSE),0.5),"Severe spike",IF($K29&gt;=$M29,"Usage spike",IF($K29&lt;=-IFERROR(VLOOKUP($H29,'基本設定'!$A$13:$K$19,7,FALSE),0.3),"Usage drop",IF($L29&gt;IFERROR(VLOOKUP($H29,'基本設定'!$A$13:$K$19,8,FALSE),999999),"Area intensity overrun","正常")))))))</f>
        <v/>
      </c>
      <c r="O29" s="102">
        <f>IF($N29="","",IF($N29="正常","正常",IF(OR($N29="Severe spike",$K29&gt;=IFERROR(VLOOKUP($H29,'基本設定'!$A$13:$K$19,6,FALSE),0.5)),"重大",IF(OR($N29="Usage spike",$N29="Usage drop"),"高","中"))))</f>
        <v/>
      </c>
      <c r="P29" s="144">
        <f>IF(OR($N29="",$N29="正常"),0,ABS($I29-$J29)*'エネルギーデータ入力'!$O29)</f>
        <v/>
      </c>
      <c r="Q29" s="102">
        <f>IF($N29="正常","",IF($N29="Stalled reading / possibly offline","核查表计通信/電気池/网关/阀门Status",IF(AND($H29="水道",$N29&lt;&gt;"正常"),"检查管网、阀门、卫生间、冷却塔及夜间最小流量",IF(AND($H29="電気",$N29&lt;&gt;"正常"),"检查空调、照明、生产设备、PeakOff-peak时段与待机功耗",IF(AND($H29="ガス",$N29&lt;&gt;"正常"),"检查燃ガス阀门、锅炉/厨房设备与泄漏风险","核查设备工况、排班、产量与计量数据")))))</f>
        <v/>
      </c>
      <c r="R29" s="102">
        <f>IF($H29="","",IFERROR(VLOOKUP($H29,'基本設定'!$A$13:$K$19,11,FALSE),"Energy management owner"))</f>
        <v/>
      </c>
      <c r="S29" s="102">
        <f>IF($N29="","",IF($N29="正常","対応不要","未対応"))</f>
        <v/>
      </c>
      <c r="T29" s="141">
        <f>IF(OR($B29="",$N29="正常"),"",WORKDAY($B29,IF($O29="重大",1,IF($O29="高",2,3))))</f>
        <v/>
      </c>
      <c r="U29" s="102">
        <f>IF($T29="","",IF(AND($S29&lt;&gt;"完了",TODAY()&gt;$T29),"期限超過","期限内"))</f>
        <v/>
      </c>
      <c r="V29" s="102" t="n"/>
      <c r="W29" s="141" t="n"/>
      <c r="X29" s="102" t="n"/>
    </row>
    <row r="30">
      <c r="A30" s="102">
        <f>IF('エネルギーデータ入力'!$A30="","","AL-"&amp;TEXT(ROW()-5,"0000"))</f>
        <v/>
      </c>
      <c r="B30" s="141">
        <f>IF('エネルギーデータ入力'!$B30="","",'エネルギーデータ入力'!$B30)</f>
        <v/>
      </c>
      <c r="C30" s="102">
        <f>IF('エネルギーデータ入力'!$C30="","",'エネルギーデータ入力'!$C30)</f>
        <v/>
      </c>
      <c r="D30" s="102">
        <f>IF('エネルギーデータ入力'!$D30="","",'エネルギーデータ入力'!$D30)</f>
        <v/>
      </c>
      <c r="E30" s="102">
        <f>IF('エネルギーデータ入力'!$E30="","",'エネルギーデータ入力'!$E30)</f>
        <v/>
      </c>
      <c r="F30" s="102">
        <f>IF('エネルギーデータ入力'!$G30="","",'エネルギーデータ入力'!$G30)</f>
        <v/>
      </c>
      <c r="G30" s="102">
        <f>IF('エネルギーデータ入力'!$H30="","",'エネルギーデータ入力'!$H30)</f>
        <v/>
      </c>
      <c r="H30" s="102">
        <f>IF('エネルギーデータ入力'!$J30="","",'エネルギーデータ入力'!$J30)</f>
        <v/>
      </c>
      <c r="I30" s="142">
        <f>IF('エネルギーデータ入力'!$N30="","",'エネルギーデータ入力'!$N30)</f>
        <v/>
      </c>
      <c r="J30" s="142">
        <f>IF($B30="","",IFERROR(AVERAGEIFS('エネルギーデータ入力'!$N$6:$N$205,'エネルギーデータ入力'!$B$6:$B$205,"&gt;="&amp;$B30-7,'エネルギーデータ入力'!$B$6:$B$205,"&lt;"&amp;$B30,'エネルギーデータ入力'!$H$6:$H$205,$G30,'エネルギーデータ入力'!$J$6:$J$205,$H30),$I30))</f>
        <v/>
      </c>
      <c r="K30" s="143">
        <f>IFERROR(($I30-$J30)/$J30,"")</f>
        <v/>
      </c>
      <c r="L30" s="102">
        <f>IF('エネルギーデータ入力'!$V30="","",'エネルギーデータ入力'!$V30)</f>
        <v/>
      </c>
      <c r="M30" s="102">
        <f>IF($H30="","",IFERROR(VLOOKUP($H30,'基本設定'!$A$13:$K$19,5,FALSE),0.2))</f>
        <v/>
      </c>
      <c r="N30" s="102">
        <f>IF($B30="","",IF('エネルギーデータ入力'!$L30="","Missing reading",IF($I30=0,"Stalled reading / possibly offline",IF($K30&gt;=IFERROR(VLOOKUP($H30,'基本設定'!$A$13:$K$19,6,FALSE),0.5),"Severe spike",IF($K30&gt;=$M30,"Usage spike",IF($K30&lt;=-IFERROR(VLOOKUP($H30,'基本設定'!$A$13:$K$19,7,FALSE),0.3),"Usage drop",IF($L30&gt;IFERROR(VLOOKUP($H30,'基本設定'!$A$13:$K$19,8,FALSE),999999),"Area intensity overrun","正常")))))))</f>
        <v/>
      </c>
      <c r="O30" s="102">
        <f>IF($N30="","",IF($N30="正常","正常",IF(OR($N30="Severe spike",$K30&gt;=IFERROR(VLOOKUP($H30,'基本設定'!$A$13:$K$19,6,FALSE),0.5)),"重大",IF(OR($N30="Usage spike",$N30="Usage drop"),"高","中"))))</f>
        <v/>
      </c>
      <c r="P30" s="144">
        <f>IF(OR($N30="",$N30="正常"),0,ABS($I30-$J30)*'エネルギーデータ入力'!$O30)</f>
        <v/>
      </c>
      <c r="Q30" s="102">
        <f>IF($N30="正常","",IF($N30="Stalled reading / possibly offline","核查表计通信/電気池/网关/阀门Status",IF(AND($H30="水道",$N30&lt;&gt;"正常"),"检查管网、阀门、卫生间、冷却塔及夜间最小流量",IF(AND($H30="電気",$N30&lt;&gt;"正常"),"检查空调、照明、生产设备、PeakOff-peak时段与待机功耗",IF(AND($H30="ガス",$N30&lt;&gt;"正常"),"检查燃ガス阀门、锅炉/厨房设备与泄漏风险","核查设备工况、排班、产量与计量数据")))))</f>
        <v/>
      </c>
      <c r="R30" s="102">
        <f>IF($H30="","",IFERROR(VLOOKUP($H30,'基本設定'!$A$13:$K$19,11,FALSE),"Energy management owner"))</f>
        <v/>
      </c>
      <c r="S30" s="102">
        <f>IF($N30="","",IF($N30="正常","対応不要","未対応"))</f>
        <v/>
      </c>
      <c r="T30" s="141">
        <f>IF(OR($B30="",$N30="正常"),"",WORKDAY($B30,IF($O30="重大",1,IF($O30="高",2,3))))</f>
        <v/>
      </c>
      <c r="U30" s="102">
        <f>IF($T30="","",IF(AND($S30&lt;&gt;"完了",TODAY()&gt;$T30),"期限超過","期限内"))</f>
        <v/>
      </c>
      <c r="V30" s="102" t="n"/>
      <c r="W30" s="141" t="n"/>
      <c r="X30" s="102" t="n"/>
    </row>
    <row r="31">
      <c r="A31" s="102">
        <f>IF('エネルギーデータ入力'!$A31="","","AL-"&amp;TEXT(ROW()-5,"0000"))</f>
        <v/>
      </c>
      <c r="B31" s="141">
        <f>IF('エネルギーデータ入力'!$B31="","",'エネルギーデータ入力'!$B31)</f>
        <v/>
      </c>
      <c r="C31" s="102">
        <f>IF('エネルギーデータ入力'!$C31="","",'エネルギーデータ入力'!$C31)</f>
        <v/>
      </c>
      <c r="D31" s="102">
        <f>IF('エネルギーデータ入力'!$D31="","",'エネルギーデータ入力'!$D31)</f>
        <v/>
      </c>
      <c r="E31" s="102">
        <f>IF('エネルギーデータ入力'!$E31="","",'エネルギーデータ入力'!$E31)</f>
        <v/>
      </c>
      <c r="F31" s="102">
        <f>IF('エネルギーデータ入力'!$G31="","",'エネルギーデータ入力'!$G31)</f>
        <v/>
      </c>
      <c r="G31" s="102">
        <f>IF('エネルギーデータ入力'!$H31="","",'エネルギーデータ入力'!$H31)</f>
        <v/>
      </c>
      <c r="H31" s="102">
        <f>IF('エネルギーデータ入力'!$J31="","",'エネルギーデータ入力'!$J31)</f>
        <v/>
      </c>
      <c r="I31" s="142">
        <f>IF('エネルギーデータ入力'!$N31="","",'エネルギーデータ入力'!$N31)</f>
        <v/>
      </c>
      <c r="J31" s="142">
        <f>IF($B31="","",IFERROR(AVERAGEIFS('エネルギーデータ入力'!$N$6:$N$205,'エネルギーデータ入力'!$B$6:$B$205,"&gt;="&amp;$B31-7,'エネルギーデータ入力'!$B$6:$B$205,"&lt;"&amp;$B31,'エネルギーデータ入力'!$H$6:$H$205,$G31,'エネルギーデータ入力'!$J$6:$J$205,$H31),$I31))</f>
        <v/>
      </c>
      <c r="K31" s="143">
        <f>IFERROR(($I31-$J31)/$J31,"")</f>
        <v/>
      </c>
      <c r="L31" s="102">
        <f>IF('エネルギーデータ入力'!$V31="","",'エネルギーデータ入力'!$V31)</f>
        <v/>
      </c>
      <c r="M31" s="102">
        <f>IF($H31="","",IFERROR(VLOOKUP($H31,'基本設定'!$A$13:$K$19,5,FALSE),0.2))</f>
        <v/>
      </c>
      <c r="N31" s="102">
        <f>IF($B31="","",IF('エネルギーデータ入力'!$L31="","Missing reading",IF($I31=0,"Stalled reading / possibly offline",IF($K31&gt;=IFERROR(VLOOKUP($H31,'基本設定'!$A$13:$K$19,6,FALSE),0.5),"Severe spike",IF($K31&gt;=$M31,"Usage spike",IF($K31&lt;=-IFERROR(VLOOKUP($H31,'基本設定'!$A$13:$K$19,7,FALSE),0.3),"Usage drop",IF($L31&gt;IFERROR(VLOOKUP($H31,'基本設定'!$A$13:$K$19,8,FALSE),999999),"Area intensity overrun","正常")))))))</f>
        <v/>
      </c>
      <c r="O31" s="102">
        <f>IF($N31="","",IF($N31="正常","正常",IF(OR($N31="Severe spike",$K31&gt;=IFERROR(VLOOKUP($H31,'基本設定'!$A$13:$K$19,6,FALSE),0.5)),"重大",IF(OR($N31="Usage spike",$N31="Usage drop"),"高","中"))))</f>
        <v/>
      </c>
      <c r="P31" s="144">
        <f>IF(OR($N31="",$N31="正常"),0,ABS($I31-$J31)*'エネルギーデータ入力'!$O31)</f>
        <v/>
      </c>
      <c r="Q31" s="102">
        <f>IF($N31="正常","",IF($N31="Stalled reading / possibly offline","核查表计通信/電気池/网关/阀门Status",IF(AND($H31="水道",$N31&lt;&gt;"正常"),"检查管网、阀门、卫生间、冷却塔及夜间最小流量",IF(AND($H31="電気",$N31&lt;&gt;"正常"),"检查空调、照明、生产设备、PeakOff-peak时段与待机功耗",IF(AND($H31="ガス",$N31&lt;&gt;"正常"),"检查燃ガス阀门、锅炉/厨房设备与泄漏风险","核查设备工况、排班、产量与计量数据")))))</f>
        <v/>
      </c>
      <c r="R31" s="102">
        <f>IF($H31="","",IFERROR(VLOOKUP($H31,'基本設定'!$A$13:$K$19,11,FALSE),"Energy management owner"))</f>
        <v/>
      </c>
      <c r="S31" s="102">
        <f>IF($N31="","",IF($N31="正常","対応不要","未対応"))</f>
        <v/>
      </c>
      <c r="T31" s="141">
        <f>IF(OR($B31="",$N31="正常"),"",WORKDAY($B31,IF($O31="重大",1,IF($O31="高",2,3))))</f>
        <v/>
      </c>
      <c r="U31" s="102">
        <f>IF($T31="","",IF(AND($S31&lt;&gt;"完了",TODAY()&gt;$T31),"期限超過","期限内"))</f>
        <v/>
      </c>
      <c r="V31" s="102" t="n"/>
      <c r="W31" s="141" t="n"/>
      <c r="X31" s="102" t="n"/>
    </row>
    <row r="32">
      <c r="A32" s="102">
        <f>IF('エネルギーデータ入力'!$A32="","","AL-"&amp;TEXT(ROW()-5,"0000"))</f>
        <v/>
      </c>
      <c r="B32" s="141">
        <f>IF('エネルギーデータ入力'!$B32="","",'エネルギーデータ入力'!$B32)</f>
        <v/>
      </c>
      <c r="C32" s="102">
        <f>IF('エネルギーデータ入力'!$C32="","",'エネルギーデータ入力'!$C32)</f>
        <v/>
      </c>
      <c r="D32" s="102">
        <f>IF('エネルギーデータ入力'!$D32="","",'エネルギーデータ入力'!$D32)</f>
        <v/>
      </c>
      <c r="E32" s="102">
        <f>IF('エネルギーデータ入力'!$E32="","",'エネルギーデータ入力'!$E32)</f>
        <v/>
      </c>
      <c r="F32" s="102">
        <f>IF('エネルギーデータ入力'!$G32="","",'エネルギーデータ入力'!$G32)</f>
        <v/>
      </c>
      <c r="G32" s="102">
        <f>IF('エネルギーデータ入力'!$H32="","",'エネルギーデータ入力'!$H32)</f>
        <v/>
      </c>
      <c r="H32" s="102">
        <f>IF('エネルギーデータ入力'!$J32="","",'エネルギーデータ入力'!$J32)</f>
        <v/>
      </c>
      <c r="I32" s="142">
        <f>IF('エネルギーデータ入力'!$N32="","",'エネルギーデータ入力'!$N32)</f>
        <v/>
      </c>
      <c r="J32" s="142">
        <f>IF($B32="","",IFERROR(AVERAGEIFS('エネルギーデータ入力'!$N$6:$N$205,'エネルギーデータ入力'!$B$6:$B$205,"&gt;="&amp;$B32-7,'エネルギーデータ入力'!$B$6:$B$205,"&lt;"&amp;$B32,'エネルギーデータ入力'!$H$6:$H$205,$G32,'エネルギーデータ入力'!$J$6:$J$205,$H32),$I32))</f>
        <v/>
      </c>
      <c r="K32" s="143">
        <f>IFERROR(($I32-$J32)/$J32,"")</f>
        <v/>
      </c>
      <c r="L32" s="102">
        <f>IF('エネルギーデータ入力'!$V32="","",'エネルギーデータ入力'!$V32)</f>
        <v/>
      </c>
      <c r="M32" s="102">
        <f>IF($H32="","",IFERROR(VLOOKUP($H32,'基本設定'!$A$13:$K$19,5,FALSE),0.2))</f>
        <v/>
      </c>
      <c r="N32" s="102">
        <f>IF($B32="","",IF('エネルギーデータ入力'!$L32="","Missing reading",IF($I32=0,"Stalled reading / possibly offline",IF($K32&gt;=IFERROR(VLOOKUP($H32,'基本設定'!$A$13:$K$19,6,FALSE),0.5),"Severe spike",IF($K32&gt;=$M32,"Usage spike",IF($K32&lt;=-IFERROR(VLOOKUP($H32,'基本設定'!$A$13:$K$19,7,FALSE),0.3),"Usage drop",IF($L32&gt;IFERROR(VLOOKUP($H32,'基本設定'!$A$13:$K$19,8,FALSE),999999),"Area intensity overrun","正常")))))))</f>
        <v/>
      </c>
      <c r="O32" s="102">
        <f>IF($N32="","",IF($N32="正常","正常",IF(OR($N32="Severe spike",$K32&gt;=IFERROR(VLOOKUP($H32,'基本設定'!$A$13:$K$19,6,FALSE),0.5)),"重大",IF(OR($N32="Usage spike",$N32="Usage drop"),"高","中"))))</f>
        <v/>
      </c>
      <c r="P32" s="144">
        <f>IF(OR($N32="",$N32="正常"),0,ABS($I32-$J32)*'エネルギーデータ入力'!$O32)</f>
        <v/>
      </c>
      <c r="Q32" s="102">
        <f>IF($N32="正常","",IF($N32="Stalled reading / possibly offline","核查表计通信/電気池/网关/阀门Status",IF(AND($H32="水道",$N32&lt;&gt;"正常"),"检查管网、阀门、卫生间、冷却塔及夜间最小流量",IF(AND($H32="電気",$N32&lt;&gt;"正常"),"检查空调、照明、生产设备、PeakOff-peak时段与待机功耗",IF(AND($H32="ガス",$N32&lt;&gt;"正常"),"检查燃ガス阀门、锅炉/厨房设备与泄漏风险","核查设备工况、排班、产量与计量数据")))))</f>
        <v/>
      </c>
      <c r="R32" s="102">
        <f>IF($H32="","",IFERROR(VLOOKUP($H32,'基本設定'!$A$13:$K$19,11,FALSE),"Energy management owner"))</f>
        <v/>
      </c>
      <c r="S32" s="102">
        <f>IF($N32="","",IF($N32="正常","対応不要","未対応"))</f>
        <v/>
      </c>
      <c r="T32" s="141">
        <f>IF(OR($B32="",$N32="正常"),"",WORKDAY($B32,IF($O32="重大",1,IF($O32="高",2,3))))</f>
        <v/>
      </c>
      <c r="U32" s="102">
        <f>IF($T32="","",IF(AND($S32&lt;&gt;"完了",TODAY()&gt;$T32),"期限超過","期限内"))</f>
        <v/>
      </c>
      <c r="V32" s="102" t="n"/>
      <c r="W32" s="141" t="n"/>
      <c r="X32" s="102" t="n"/>
    </row>
    <row r="33">
      <c r="A33" s="102">
        <f>IF('エネルギーデータ入力'!$A33="","","AL-"&amp;TEXT(ROW()-5,"0000"))</f>
        <v/>
      </c>
      <c r="B33" s="141">
        <f>IF('エネルギーデータ入力'!$B33="","",'エネルギーデータ入力'!$B33)</f>
        <v/>
      </c>
      <c r="C33" s="102">
        <f>IF('エネルギーデータ入力'!$C33="","",'エネルギーデータ入力'!$C33)</f>
        <v/>
      </c>
      <c r="D33" s="102">
        <f>IF('エネルギーデータ入力'!$D33="","",'エネルギーデータ入力'!$D33)</f>
        <v/>
      </c>
      <c r="E33" s="102">
        <f>IF('エネルギーデータ入力'!$E33="","",'エネルギーデータ入力'!$E33)</f>
        <v/>
      </c>
      <c r="F33" s="102">
        <f>IF('エネルギーデータ入力'!$G33="","",'エネルギーデータ入力'!$G33)</f>
        <v/>
      </c>
      <c r="G33" s="102">
        <f>IF('エネルギーデータ入力'!$H33="","",'エネルギーデータ入力'!$H33)</f>
        <v/>
      </c>
      <c r="H33" s="102">
        <f>IF('エネルギーデータ入力'!$J33="","",'エネルギーデータ入力'!$J33)</f>
        <v/>
      </c>
      <c r="I33" s="142">
        <f>IF('エネルギーデータ入力'!$N33="","",'エネルギーデータ入力'!$N33)</f>
        <v/>
      </c>
      <c r="J33" s="142">
        <f>IF($B33="","",IFERROR(AVERAGEIFS('エネルギーデータ入力'!$N$6:$N$205,'エネルギーデータ入力'!$B$6:$B$205,"&gt;="&amp;$B33-7,'エネルギーデータ入力'!$B$6:$B$205,"&lt;"&amp;$B33,'エネルギーデータ入力'!$H$6:$H$205,$G33,'エネルギーデータ入力'!$J$6:$J$205,$H33),$I33))</f>
        <v/>
      </c>
      <c r="K33" s="143">
        <f>IFERROR(($I33-$J33)/$J33,"")</f>
        <v/>
      </c>
      <c r="L33" s="102">
        <f>IF('エネルギーデータ入力'!$V33="","",'エネルギーデータ入力'!$V33)</f>
        <v/>
      </c>
      <c r="M33" s="102">
        <f>IF($H33="","",IFERROR(VLOOKUP($H33,'基本設定'!$A$13:$K$19,5,FALSE),0.2))</f>
        <v/>
      </c>
      <c r="N33" s="102">
        <f>IF($B33="","",IF('エネルギーデータ入力'!$L33="","Missing reading",IF($I33=0,"Stalled reading / possibly offline",IF($K33&gt;=IFERROR(VLOOKUP($H33,'基本設定'!$A$13:$K$19,6,FALSE),0.5),"Severe spike",IF($K33&gt;=$M33,"Usage spike",IF($K33&lt;=-IFERROR(VLOOKUP($H33,'基本設定'!$A$13:$K$19,7,FALSE),0.3),"Usage drop",IF($L33&gt;IFERROR(VLOOKUP($H33,'基本設定'!$A$13:$K$19,8,FALSE),999999),"Area intensity overrun","正常")))))))</f>
        <v/>
      </c>
      <c r="O33" s="102">
        <f>IF($N33="","",IF($N33="正常","正常",IF(OR($N33="Severe spike",$K33&gt;=IFERROR(VLOOKUP($H33,'基本設定'!$A$13:$K$19,6,FALSE),0.5)),"重大",IF(OR($N33="Usage spike",$N33="Usage drop"),"高","中"))))</f>
        <v/>
      </c>
      <c r="P33" s="144">
        <f>IF(OR($N33="",$N33="正常"),0,ABS($I33-$J33)*'エネルギーデータ入力'!$O33)</f>
        <v/>
      </c>
      <c r="Q33" s="102">
        <f>IF($N33="正常","",IF($N33="Stalled reading / possibly offline","核查表计通信/電気池/网关/阀门Status",IF(AND($H33="水道",$N33&lt;&gt;"正常"),"检查管网、阀门、卫生间、冷却塔及夜间最小流量",IF(AND($H33="電気",$N33&lt;&gt;"正常"),"检查空调、照明、生产设备、PeakOff-peak时段与待机功耗",IF(AND($H33="ガス",$N33&lt;&gt;"正常"),"检查燃ガス阀门、锅炉/厨房设备与泄漏风险","核查设备工况、排班、产量与计量数据")))))</f>
        <v/>
      </c>
      <c r="R33" s="102">
        <f>IF($H33="","",IFERROR(VLOOKUP($H33,'基本設定'!$A$13:$K$19,11,FALSE),"Energy management owner"))</f>
        <v/>
      </c>
      <c r="S33" s="102">
        <f>IF($N33="","",IF($N33="正常","対応不要","未対応"))</f>
        <v/>
      </c>
      <c r="T33" s="141">
        <f>IF(OR($B33="",$N33="正常"),"",WORKDAY($B33,IF($O33="重大",1,IF($O33="高",2,3))))</f>
        <v/>
      </c>
      <c r="U33" s="102">
        <f>IF($T33="","",IF(AND($S33&lt;&gt;"完了",TODAY()&gt;$T33),"期限超過","期限内"))</f>
        <v/>
      </c>
      <c r="V33" s="102" t="n"/>
      <c r="W33" s="141" t="n"/>
      <c r="X33" s="102" t="n"/>
    </row>
    <row r="34">
      <c r="A34" s="102">
        <f>IF('エネルギーデータ入力'!$A34="","","AL-"&amp;TEXT(ROW()-5,"0000"))</f>
        <v/>
      </c>
      <c r="B34" s="141">
        <f>IF('エネルギーデータ入力'!$B34="","",'エネルギーデータ入力'!$B34)</f>
        <v/>
      </c>
      <c r="C34" s="102">
        <f>IF('エネルギーデータ入力'!$C34="","",'エネルギーデータ入力'!$C34)</f>
        <v/>
      </c>
      <c r="D34" s="102">
        <f>IF('エネルギーデータ入力'!$D34="","",'エネルギーデータ入力'!$D34)</f>
        <v/>
      </c>
      <c r="E34" s="102">
        <f>IF('エネルギーデータ入力'!$E34="","",'エネルギーデータ入力'!$E34)</f>
        <v/>
      </c>
      <c r="F34" s="102">
        <f>IF('エネルギーデータ入力'!$G34="","",'エネルギーデータ入力'!$G34)</f>
        <v/>
      </c>
      <c r="G34" s="102">
        <f>IF('エネルギーデータ入力'!$H34="","",'エネルギーデータ入力'!$H34)</f>
        <v/>
      </c>
      <c r="H34" s="102">
        <f>IF('エネルギーデータ入力'!$J34="","",'エネルギーデータ入力'!$J34)</f>
        <v/>
      </c>
      <c r="I34" s="142">
        <f>IF('エネルギーデータ入力'!$N34="","",'エネルギーデータ入力'!$N34)</f>
        <v/>
      </c>
      <c r="J34" s="142">
        <f>IF($B34="","",IFERROR(AVERAGEIFS('エネルギーデータ入力'!$N$6:$N$205,'エネルギーデータ入力'!$B$6:$B$205,"&gt;="&amp;$B34-7,'エネルギーデータ入力'!$B$6:$B$205,"&lt;"&amp;$B34,'エネルギーデータ入力'!$H$6:$H$205,$G34,'エネルギーデータ入力'!$J$6:$J$205,$H34),$I34))</f>
        <v/>
      </c>
      <c r="K34" s="143">
        <f>IFERROR(($I34-$J34)/$J34,"")</f>
        <v/>
      </c>
      <c r="L34" s="102">
        <f>IF('エネルギーデータ入力'!$V34="","",'エネルギーデータ入力'!$V34)</f>
        <v/>
      </c>
      <c r="M34" s="102">
        <f>IF($H34="","",IFERROR(VLOOKUP($H34,'基本設定'!$A$13:$K$19,5,FALSE),0.2))</f>
        <v/>
      </c>
      <c r="N34" s="102">
        <f>IF($B34="","",IF('エネルギーデータ入力'!$L34="","Missing reading",IF($I34=0,"Stalled reading / possibly offline",IF($K34&gt;=IFERROR(VLOOKUP($H34,'基本設定'!$A$13:$K$19,6,FALSE),0.5),"Severe spike",IF($K34&gt;=$M34,"Usage spike",IF($K34&lt;=-IFERROR(VLOOKUP($H34,'基本設定'!$A$13:$K$19,7,FALSE),0.3),"Usage drop",IF($L34&gt;IFERROR(VLOOKUP($H34,'基本設定'!$A$13:$K$19,8,FALSE),999999),"Area intensity overrun","正常")))))))</f>
        <v/>
      </c>
      <c r="O34" s="102">
        <f>IF($N34="","",IF($N34="正常","正常",IF(OR($N34="Severe spike",$K34&gt;=IFERROR(VLOOKUP($H34,'基本設定'!$A$13:$K$19,6,FALSE),0.5)),"重大",IF(OR($N34="Usage spike",$N34="Usage drop"),"高","中"))))</f>
        <v/>
      </c>
      <c r="P34" s="144">
        <f>IF(OR($N34="",$N34="正常"),0,ABS($I34-$J34)*'エネルギーデータ入力'!$O34)</f>
        <v/>
      </c>
      <c r="Q34" s="102">
        <f>IF($N34="正常","",IF($N34="Stalled reading / possibly offline","核查表计通信/電気池/网关/阀门Status",IF(AND($H34="水道",$N34&lt;&gt;"正常"),"检查管网、阀门、卫生间、冷却塔及夜间最小流量",IF(AND($H34="電気",$N34&lt;&gt;"正常"),"检查空调、照明、生产设备、PeakOff-peak时段与待机功耗",IF(AND($H34="ガス",$N34&lt;&gt;"正常"),"检查燃ガス阀门、锅炉/厨房设备与泄漏风险","核查设备工况、排班、产量与计量数据")))))</f>
        <v/>
      </c>
      <c r="R34" s="102">
        <f>IF($H34="","",IFERROR(VLOOKUP($H34,'基本設定'!$A$13:$K$19,11,FALSE),"Energy management owner"))</f>
        <v/>
      </c>
      <c r="S34" s="102">
        <f>IF($N34="","",IF($N34="正常","対応不要","未対応"))</f>
        <v/>
      </c>
      <c r="T34" s="141">
        <f>IF(OR($B34="",$N34="正常"),"",WORKDAY($B34,IF($O34="重大",1,IF($O34="高",2,3))))</f>
        <v/>
      </c>
      <c r="U34" s="102">
        <f>IF($T34="","",IF(AND($S34&lt;&gt;"完了",TODAY()&gt;$T34),"期限超過","期限内"))</f>
        <v/>
      </c>
      <c r="V34" s="102" t="n"/>
      <c r="W34" s="141" t="n"/>
      <c r="X34" s="102" t="n"/>
    </row>
    <row r="35">
      <c r="A35" s="102">
        <f>IF('エネルギーデータ入力'!$A35="","","AL-"&amp;TEXT(ROW()-5,"0000"))</f>
        <v/>
      </c>
      <c r="B35" s="141">
        <f>IF('エネルギーデータ入力'!$B35="","",'エネルギーデータ入力'!$B35)</f>
        <v/>
      </c>
      <c r="C35" s="102">
        <f>IF('エネルギーデータ入力'!$C35="","",'エネルギーデータ入力'!$C35)</f>
        <v/>
      </c>
      <c r="D35" s="102">
        <f>IF('エネルギーデータ入力'!$D35="","",'エネルギーデータ入力'!$D35)</f>
        <v/>
      </c>
      <c r="E35" s="102">
        <f>IF('エネルギーデータ入力'!$E35="","",'エネルギーデータ入力'!$E35)</f>
        <v/>
      </c>
      <c r="F35" s="102">
        <f>IF('エネルギーデータ入力'!$G35="","",'エネルギーデータ入力'!$G35)</f>
        <v/>
      </c>
      <c r="G35" s="102">
        <f>IF('エネルギーデータ入力'!$H35="","",'エネルギーデータ入力'!$H35)</f>
        <v/>
      </c>
      <c r="H35" s="102">
        <f>IF('エネルギーデータ入力'!$J35="","",'エネルギーデータ入力'!$J35)</f>
        <v/>
      </c>
      <c r="I35" s="142">
        <f>IF('エネルギーデータ入力'!$N35="","",'エネルギーデータ入力'!$N35)</f>
        <v/>
      </c>
      <c r="J35" s="142">
        <f>IF($B35="","",IFERROR(AVERAGEIFS('エネルギーデータ入力'!$N$6:$N$205,'エネルギーデータ入力'!$B$6:$B$205,"&gt;="&amp;$B35-7,'エネルギーデータ入力'!$B$6:$B$205,"&lt;"&amp;$B35,'エネルギーデータ入力'!$H$6:$H$205,$G35,'エネルギーデータ入力'!$J$6:$J$205,$H35),$I35))</f>
        <v/>
      </c>
      <c r="K35" s="143">
        <f>IFERROR(($I35-$J35)/$J35,"")</f>
        <v/>
      </c>
      <c r="L35" s="102">
        <f>IF('エネルギーデータ入力'!$V35="","",'エネルギーデータ入力'!$V35)</f>
        <v/>
      </c>
      <c r="M35" s="102">
        <f>IF($H35="","",IFERROR(VLOOKUP($H35,'基本設定'!$A$13:$K$19,5,FALSE),0.2))</f>
        <v/>
      </c>
      <c r="N35" s="102">
        <f>IF($B35="","",IF('エネルギーデータ入力'!$L35="","Missing reading",IF($I35=0,"Stalled reading / possibly offline",IF($K35&gt;=IFERROR(VLOOKUP($H35,'基本設定'!$A$13:$K$19,6,FALSE),0.5),"Severe spike",IF($K35&gt;=$M35,"Usage spike",IF($K35&lt;=-IFERROR(VLOOKUP($H35,'基本設定'!$A$13:$K$19,7,FALSE),0.3),"Usage drop",IF($L35&gt;IFERROR(VLOOKUP($H35,'基本設定'!$A$13:$K$19,8,FALSE),999999),"Area intensity overrun","正常")))))))</f>
        <v/>
      </c>
      <c r="O35" s="102">
        <f>IF($N35="","",IF($N35="正常","正常",IF(OR($N35="Severe spike",$K35&gt;=IFERROR(VLOOKUP($H35,'基本設定'!$A$13:$K$19,6,FALSE),0.5)),"重大",IF(OR($N35="Usage spike",$N35="Usage drop"),"高","中"))))</f>
        <v/>
      </c>
      <c r="P35" s="144">
        <f>IF(OR($N35="",$N35="正常"),0,ABS($I35-$J35)*'エネルギーデータ入力'!$O35)</f>
        <v/>
      </c>
      <c r="Q35" s="102">
        <f>IF($N35="正常","",IF($N35="Stalled reading / possibly offline","核查表计通信/電気池/网关/阀门Status",IF(AND($H35="水道",$N35&lt;&gt;"正常"),"检查管网、阀门、卫生间、冷却塔及夜间最小流量",IF(AND($H35="電気",$N35&lt;&gt;"正常"),"检查空调、照明、生产设备、PeakOff-peak时段与待机功耗",IF(AND($H35="ガス",$N35&lt;&gt;"正常"),"检查燃ガス阀门、锅炉/厨房设备与泄漏风险","核查设备工况、排班、产量与计量数据")))))</f>
        <v/>
      </c>
      <c r="R35" s="102">
        <f>IF($H35="","",IFERROR(VLOOKUP($H35,'基本設定'!$A$13:$K$19,11,FALSE),"Energy management owner"))</f>
        <v/>
      </c>
      <c r="S35" s="102">
        <f>IF($N35="","",IF($N35="正常","対応不要","未対応"))</f>
        <v/>
      </c>
      <c r="T35" s="141">
        <f>IF(OR($B35="",$N35="正常"),"",WORKDAY($B35,IF($O35="重大",1,IF($O35="高",2,3))))</f>
        <v/>
      </c>
      <c r="U35" s="102">
        <f>IF($T35="","",IF(AND($S35&lt;&gt;"完了",TODAY()&gt;$T35),"期限超過","期限内"))</f>
        <v/>
      </c>
      <c r="V35" s="102" t="n"/>
      <c r="W35" s="141" t="n"/>
      <c r="X35" s="102" t="n"/>
    </row>
    <row r="36">
      <c r="A36" s="102">
        <f>IF('エネルギーデータ入力'!$A36="","","AL-"&amp;TEXT(ROW()-5,"0000"))</f>
        <v/>
      </c>
      <c r="B36" s="141">
        <f>IF('エネルギーデータ入力'!$B36="","",'エネルギーデータ入力'!$B36)</f>
        <v/>
      </c>
      <c r="C36" s="102">
        <f>IF('エネルギーデータ入力'!$C36="","",'エネルギーデータ入力'!$C36)</f>
        <v/>
      </c>
      <c r="D36" s="102">
        <f>IF('エネルギーデータ入力'!$D36="","",'エネルギーデータ入力'!$D36)</f>
        <v/>
      </c>
      <c r="E36" s="102">
        <f>IF('エネルギーデータ入力'!$E36="","",'エネルギーデータ入力'!$E36)</f>
        <v/>
      </c>
      <c r="F36" s="102">
        <f>IF('エネルギーデータ入力'!$G36="","",'エネルギーデータ入力'!$G36)</f>
        <v/>
      </c>
      <c r="G36" s="102">
        <f>IF('エネルギーデータ入力'!$H36="","",'エネルギーデータ入力'!$H36)</f>
        <v/>
      </c>
      <c r="H36" s="102">
        <f>IF('エネルギーデータ入力'!$J36="","",'エネルギーデータ入力'!$J36)</f>
        <v/>
      </c>
      <c r="I36" s="142">
        <f>IF('エネルギーデータ入力'!$N36="","",'エネルギーデータ入力'!$N36)</f>
        <v/>
      </c>
      <c r="J36" s="142">
        <f>IF($B36="","",IFERROR(AVERAGEIFS('エネルギーデータ入力'!$N$6:$N$205,'エネルギーデータ入力'!$B$6:$B$205,"&gt;="&amp;$B36-7,'エネルギーデータ入力'!$B$6:$B$205,"&lt;"&amp;$B36,'エネルギーデータ入力'!$H$6:$H$205,$G36,'エネルギーデータ入力'!$J$6:$J$205,$H36),$I36))</f>
        <v/>
      </c>
      <c r="K36" s="143">
        <f>IFERROR(($I36-$J36)/$J36,"")</f>
        <v/>
      </c>
      <c r="L36" s="102">
        <f>IF('エネルギーデータ入力'!$V36="","",'エネルギーデータ入力'!$V36)</f>
        <v/>
      </c>
      <c r="M36" s="102">
        <f>IF($H36="","",IFERROR(VLOOKUP($H36,'基本設定'!$A$13:$K$19,5,FALSE),0.2))</f>
        <v/>
      </c>
      <c r="N36" s="102">
        <f>IF($B36="","",IF('エネルギーデータ入力'!$L36="","Missing reading",IF($I36=0,"Stalled reading / possibly offline",IF($K36&gt;=IFERROR(VLOOKUP($H36,'基本設定'!$A$13:$K$19,6,FALSE),0.5),"Severe spike",IF($K36&gt;=$M36,"Usage spike",IF($K36&lt;=-IFERROR(VLOOKUP($H36,'基本設定'!$A$13:$K$19,7,FALSE),0.3),"Usage drop",IF($L36&gt;IFERROR(VLOOKUP($H36,'基本設定'!$A$13:$K$19,8,FALSE),999999),"Area intensity overrun","正常")))))))</f>
        <v/>
      </c>
      <c r="O36" s="102">
        <f>IF($N36="","",IF($N36="正常","正常",IF(OR($N36="Severe spike",$K36&gt;=IFERROR(VLOOKUP($H36,'基本設定'!$A$13:$K$19,6,FALSE),0.5)),"重大",IF(OR($N36="Usage spike",$N36="Usage drop"),"高","中"))))</f>
        <v/>
      </c>
      <c r="P36" s="144">
        <f>IF(OR($N36="",$N36="正常"),0,ABS($I36-$J36)*'エネルギーデータ入力'!$O36)</f>
        <v/>
      </c>
      <c r="Q36" s="102">
        <f>IF($N36="正常","",IF($N36="Stalled reading / possibly offline","核查表计通信/電気池/网关/阀门Status",IF(AND($H36="水道",$N36&lt;&gt;"正常"),"检查管网、阀门、卫生间、冷却塔及夜间最小流量",IF(AND($H36="電気",$N36&lt;&gt;"正常"),"检查空调、照明、生产设备、PeakOff-peak时段与待机功耗",IF(AND($H36="ガス",$N36&lt;&gt;"正常"),"检查燃ガス阀门、锅炉/厨房设备与泄漏风险","核查设备工况、排班、产量与计量数据")))))</f>
        <v/>
      </c>
      <c r="R36" s="102">
        <f>IF($H36="","",IFERROR(VLOOKUP($H36,'基本設定'!$A$13:$K$19,11,FALSE),"Energy management owner"))</f>
        <v/>
      </c>
      <c r="S36" s="102">
        <f>IF($N36="","",IF($N36="正常","対応不要","未対応"))</f>
        <v/>
      </c>
      <c r="T36" s="141">
        <f>IF(OR($B36="",$N36="正常"),"",WORKDAY($B36,IF($O36="重大",1,IF($O36="高",2,3))))</f>
        <v/>
      </c>
      <c r="U36" s="102">
        <f>IF($T36="","",IF(AND($S36&lt;&gt;"完了",TODAY()&gt;$T36),"期限超過","期限内"))</f>
        <v/>
      </c>
      <c r="V36" s="102" t="n"/>
      <c r="W36" s="141" t="n"/>
      <c r="X36" s="102" t="n"/>
    </row>
    <row r="37">
      <c r="A37" s="102">
        <f>IF('エネルギーデータ入力'!$A37="","","AL-"&amp;TEXT(ROW()-5,"0000"))</f>
        <v/>
      </c>
      <c r="B37" s="141">
        <f>IF('エネルギーデータ入力'!$B37="","",'エネルギーデータ入力'!$B37)</f>
        <v/>
      </c>
      <c r="C37" s="102">
        <f>IF('エネルギーデータ入力'!$C37="","",'エネルギーデータ入力'!$C37)</f>
        <v/>
      </c>
      <c r="D37" s="102">
        <f>IF('エネルギーデータ入力'!$D37="","",'エネルギーデータ入力'!$D37)</f>
        <v/>
      </c>
      <c r="E37" s="102">
        <f>IF('エネルギーデータ入力'!$E37="","",'エネルギーデータ入力'!$E37)</f>
        <v/>
      </c>
      <c r="F37" s="102">
        <f>IF('エネルギーデータ入力'!$G37="","",'エネルギーデータ入力'!$G37)</f>
        <v/>
      </c>
      <c r="G37" s="102">
        <f>IF('エネルギーデータ入力'!$H37="","",'エネルギーデータ入力'!$H37)</f>
        <v/>
      </c>
      <c r="H37" s="102">
        <f>IF('エネルギーデータ入力'!$J37="","",'エネルギーデータ入力'!$J37)</f>
        <v/>
      </c>
      <c r="I37" s="142">
        <f>IF('エネルギーデータ入力'!$N37="","",'エネルギーデータ入力'!$N37)</f>
        <v/>
      </c>
      <c r="J37" s="142">
        <f>IF($B37="","",IFERROR(AVERAGEIFS('エネルギーデータ入力'!$N$6:$N$205,'エネルギーデータ入力'!$B$6:$B$205,"&gt;="&amp;$B37-7,'エネルギーデータ入力'!$B$6:$B$205,"&lt;"&amp;$B37,'エネルギーデータ入力'!$H$6:$H$205,$G37,'エネルギーデータ入力'!$J$6:$J$205,$H37),$I37))</f>
        <v/>
      </c>
      <c r="K37" s="143">
        <f>IFERROR(($I37-$J37)/$J37,"")</f>
        <v/>
      </c>
      <c r="L37" s="102">
        <f>IF('エネルギーデータ入力'!$V37="","",'エネルギーデータ入力'!$V37)</f>
        <v/>
      </c>
      <c r="M37" s="102">
        <f>IF($H37="","",IFERROR(VLOOKUP($H37,'基本設定'!$A$13:$K$19,5,FALSE),0.2))</f>
        <v/>
      </c>
      <c r="N37" s="102">
        <f>IF($B37="","",IF('エネルギーデータ入力'!$L37="","Missing reading",IF($I37=0,"Stalled reading / possibly offline",IF($K37&gt;=IFERROR(VLOOKUP($H37,'基本設定'!$A$13:$K$19,6,FALSE),0.5),"Severe spike",IF($K37&gt;=$M37,"Usage spike",IF($K37&lt;=-IFERROR(VLOOKUP($H37,'基本設定'!$A$13:$K$19,7,FALSE),0.3),"Usage drop",IF($L37&gt;IFERROR(VLOOKUP($H37,'基本設定'!$A$13:$K$19,8,FALSE),999999),"Area intensity overrun","正常")))))))</f>
        <v/>
      </c>
      <c r="O37" s="102">
        <f>IF($N37="","",IF($N37="正常","正常",IF(OR($N37="Severe spike",$K37&gt;=IFERROR(VLOOKUP($H37,'基本設定'!$A$13:$K$19,6,FALSE),0.5)),"重大",IF(OR($N37="Usage spike",$N37="Usage drop"),"高","中"))))</f>
        <v/>
      </c>
      <c r="P37" s="144">
        <f>IF(OR($N37="",$N37="正常"),0,ABS($I37-$J37)*'エネルギーデータ入力'!$O37)</f>
        <v/>
      </c>
      <c r="Q37" s="102">
        <f>IF($N37="正常","",IF($N37="Stalled reading / possibly offline","核查表计通信/電気池/网关/阀门Status",IF(AND($H37="水道",$N37&lt;&gt;"正常"),"检查管网、阀门、卫生间、冷却塔及夜间最小流量",IF(AND($H37="電気",$N37&lt;&gt;"正常"),"检查空调、照明、生产设备、PeakOff-peak时段与待机功耗",IF(AND($H37="ガス",$N37&lt;&gt;"正常"),"检查燃ガス阀门、锅炉/厨房设备与泄漏风险","核查设备工况、排班、产量与计量数据")))))</f>
        <v/>
      </c>
      <c r="R37" s="102">
        <f>IF($H37="","",IFERROR(VLOOKUP($H37,'基本設定'!$A$13:$K$19,11,FALSE),"Energy management owner"))</f>
        <v/>
      </c>
      <c r="S37" s="102">
        <f>IF($N37="","",IF($N37="正常","対応不要","未対応"))</f>
        <v/>
      </c>
      <c r="T37" s="141">
        <f>IF(OR($B37="",$N37="正常"),"",WORKDAY($B37,IF($O37="重大",1,IF($O37="高",2,3))))</f>
        <v/>
      </c>
      <c r="U37" s="102">
        <f>IF($T37="","",IF(AND($S37&lt;&gt;"完了",TODAY()&gt;$T37),"期限超過","期限内"))</f>
        <v/>
      </c>
      <c r="V37" s="102" t="n"/>
      <c r="W37" s="141" t="n"/>
      <c r="X37" s="102" t="n"/>
    </row>
    <row r="38">
      <c r="A38" s="102">
        <f>IF('エネルギーデータ入力'!$A38="","","AL-"&amp;TEXT(ROW()-5,"0000"))</f>
        <v/>
      </c>
      <c r="B38" s="141">
        <f>IF('エネルギーデータ入力'!$B38="","",'エネルギーデータ入力'!$B38)</f>
        <v/>
      </c>
      <c r="C38" s="102">
        <f>IF('エネルギーデータ入力'!$C38="","",'エネルギーデータ入力'!$C38)</f>
        <v/>
      </c>
      <c r="D38" s="102">
        <f>IF('エネルギーデータ入力'!$D38="","",'エネルギーデータ入力'!$D38)</f>
        <v/>
      </c>
      <c r="E38" s="102">
        <f>IF('エネルギーデータ入力'!$E38="","",'エネルギーデータ入力'!$E38)</f>
        <v/>
      </c>
      <c r="F38" s="102">
        <f>IF('エネルギーデータ入力'!$G38="","",'エネルギーデータ入力'!$G38)</f>
        <v/>
      </c>
      <c r="G38" s="102">
        <f>IF('エネルギーデータ入力'!$H38="","",'エネルギーデータ入力'!$H38)</f>
        <v/>
      </c>
      <c r="H38" s="102">
        <f>IF('エネルギーデータ入力'!$J38="","",'エネルギーデータ入力'!$J38)</f>
        <v/>
      </c>
      <c r="I38" s="142">
        <f>IF('エネルギーデータ入力'!$N38="","",'エネルギーデータ入力'!$N38)</f>
        <v/>
      </c>
      <c r="J38" s="142">
        <f>IF($B38="","",IFERROR(AVERAGEIFS('エネルギーデータ入力'!$N$6:$N$205,'エネルギーデータ入力'!$B$6:$B$205,"&gt;="&amp;$B38-7,'エネルギーデータ入力'!$B$6:$B$205,"&lt;"&amp;$B38,'エネルギーデータ入力'!$H$6:$H$205,$G38,'エネルギーデータ入力'!$J$6:$J$205,$H38),$I38))</f>
        <v/>
      </c>
      <c r="K38" s="143">
        <f>IFERROR(($I38-$J38)/$J38,"")</f>
        <v/>
      </c>
      <c r="L38" s="102">
        <f>IF('エネルギーデータ入力'!$V38="","",'エネルギーデータ入力'!$V38)</f>
        <v/>
      </c>
      <c r="M38" s="102">
        <f>IF($H38="","",IFERROR(VLOOKUP($H38,'基本設定'!$A$13:$K$19,5,FALSE),0.2))</f>
        <v/>
      </c>
      <c r="N38" s="102">
        <f>IF($B38="","",IF('エネルギーデータ入力'!$L38="","Missing reading",IF($I38=0,"Stalled reading / possibly offline",IF($K38&gt;=IFERROR(VLOOKUP($H38,'基本設定'!$A$13:$K$19,6,FALSE),0.5),"Severe spike",IF($K38&gt;=$M38,"Usage spike",IF($K38&lt;=-IFERROR(VLOOKUP($H38,'基本設定'!$A$13:$K$19,7,FALSE),0.3),"Usage drop",IF($L38&gt;IFERROR(VLOOKUP($H38,'基本設定'!$A$13:$K$19,8,FALSE),999999),"Area intensity overrun","正常")))))))</f>
        <v/>
      </c>
      <c r="O38" s="102">
        <f>IF($N38="","",IF($N38="正常","正常",IF(OR($N38="Severe spike",$K38&gt;=IFERROR(VLOOKUP($H38,'基本設定'!$A$13:$K$19,6,FALSE),0.5)),"重大",IF(OR($N38="Usage spike",$N38="Usage drop"),"高","中"))))</f>
        <v/>
      </c>
      <c r="P38" s="144">
        <f>IF(OR($N38="",$N38="正常"),0,ABS($I38-$J38)*'エネルギーデータ入力'!$O38)</f>
        <v/>
      </c>
      <c r="Q38" s="102">
        <f>IF($N38="正常","",IF($N38="Stalled reading / possibly offline","核查表计通信/電気池/网关/阀门Status",IF(AND($H38="水道",$N38&lt;&gt;"正常"),"检查管网、阀门、卫生间、冷却塔及夜间最小流量",IF(AND($H38="電気",$N38&lt;&gt;"正常"),"检查空调、照明、生产设备、PeakOff-peak时段与待机功耗",IF(AND($H38="ガス",$N38&lt;&gt;"正常"),"检查燃ガス阀门、锅炉/厨房设备与泄漏风险","核查设备工况、排班、产量与计量数据")))))</f>
        <v/>
      </c>
      <c r="R38" s="102">
        <f>IF($H38="","",IFERROR(VLOOKUP($H38,'基本設定'!$A$13:$K$19,11,FALSE),"Energy management owner"))</f>
        <v/>
      </c>
      <c r="S38" s="102">
        <f>IF($N38="","",IF($N38="正常","対応不要","未対応"))</f>
        <v/>
      </c>
      <c r="T38" s="141">
        <f>IF(OR($B38="",$N38="正常"),"",WORKDAY($B38,IF($O38="重大",1,IF($O38="高",2,3))))</f>
        <v/>
      </c>
      <c r="U38" s="102">
        <f>IF($T38="","",IF(AND($S38&lt;&gt;"完了",TODAY()&gt;$T38),"期限超過","期限内"))</f>
        <v/>
      </c>
      <c r="V38" s="102" t="n"/>
      <c r="W38" s="141" t="n"/>
      <c r="X38" s="102" t="n"/>
    </row>
    <row r="39">
      <c r="A39" s="102">
        <f>IF('エネルギーデータ入力'!$A39="","","AL-"&amp;TEXT(ROW()-5,"0000"))</f>
        <v/>
      </c>
      <c r="B39" s="141">
        <f>IF('エネルギーデータ入力'!$B39="","",'エネルギーデータ入力'!$B39)</f>
        <v/>
      </c>
      <c r="C39" s="102">
        <f>IF('エネルギーデータ入力'!$C39="","",'エネルギーデータ入力'!$C39)</f>
        <v/>
      </c>
      <c r="D39" s="102">
        <f>IF('エネルギーデータ入力'!$D39="","",'エネルギーデータ入力'!$D39)</f>
        <v/>
      </c>
      <c r="E39" s="102">
        <f>IF('エネルギーデータ入力'!$E39="","",'エネルギーデータ入力'!$E39)</f>
        <v/>
      </c>
      <c r="F39" s="102">
        <f>IF('エネルギーデータ入力'!$G39="","",'エネルギーデータ入力'!$G39)</f>
        <v/>
      </c>
      <c r="G39" s="102">
        <f>IF('エネルギーデータ入力'!$H39="","",'エネルギーデータ入力'!$H39)</f>
        <v/>
      </c>
      <c r="H39" s="102">
        <f>IF('エネルギーデータ入力'!$J39="","",'エネルギーデータ入力'!$J39)</f>
        <v/>
      </c>
      <c r="I39" s="142">
        <f>IF('エネルギーデータ入力'!$N39="","",'エネルギーデータ入力'!$N39)</f>
        <v/>
      </c>
      <c r="J39" s="142">
        <f>IF($B39="","",IFERROR(AVERAGEIFS('エネルギーデータ入力'!$N$6:$N$205,'エネルギーデータ入力'!$B$6:$B$205,"&gt;="&amp;$B39-7,'エネルギーデータ入力'!$B$6:$B$205,"&lt;"&amp;$B39,'エネルギーデータ入力'!$H$6:$H$205,$G39,'エネルギーデータ入力'!$J$6:$J$205,$H39),$I39))</f>
        <v/>
      </c>
      <c r="K39" s="143">
        <f>IFERROR(($I39-$J39)/$J39,"")</f>
        <v/>
      </c>
      <c r="L39" s="102">
        <f>IF('エネルギーデータ入力'!$V39="","",'エネルギーデータ入力'!$V39)</f>
        <v/>
      </c>
      <c r="M39" s="102">
        <f>IF($H39="","",IFERROR(VLOOKUP($H39,'基本設定'!$A$13:$K$19,5,FALSE),0.2))</f>
        <v/>
      </c>
      <c r="N39" s="102">
        <f>IF($B39="","",IF('エネルギーデータ入力'!$L39="","Missing reading",IF($I39=0,"Stalled reading / possibly offline",IF($K39&gt;=IFERROR(VLOOKUP($H39,'基本設定'!$A$13:$K$19,6,FALSE),0.5),"Severe spike",IF($K39&gt;=$M39,"Usage spike",IF($K39&lt;=-IFERROR(VLOOKUP($H39,'基本設定'!$A$13:$K$19,7,FALSE),0.3),"Usage drop",IF($L39&gt;IFERROR(VLOOKUP($H39,'基本設定'!$A$13:$K$19,8,FALSE),999999),"Area intensity overrun","正常")))))))</f>
        <v/>
      </c>
      <c r="O39" s="102">
        <f>IF($N39="","",IF($N39="正常","正常",IF(OR($N39="Severe spike",$K39&gt;=IFERROR(VLOOKUP($H39,'基本設定'!$A$13:$K$19,6,FALSE),0.5)),"重大",IF(OR($N39="Usage spike",$N39="Usage drop"),"高","中"))))</f>
        <v/>
      </c>
      <c r="P39" s="144">
        <f>IF(OR($N39="",$N39="正常"),0,ABS($I39-$J39)*'エネルギーデータ入力'!$O39)</f>
        <v/>
      </c>
      <c r="Q39" s="102">
        <f>IF($N39="正常","",IF($N39="Stalled reading / possibly offline","核查表计通信/電気池/网关/阀门Status",IF(AND($H39="水道",$N39&lt;&gt;"正常"),"检查管网、阀门、卫生间、冷却塔及夜间最小流量",IF(AND($H39="電気",$N39&lt;&gt;"正常"),"检查空调、照明、生产设备、PeakOff-peak时段与待机功耗",IF(AND($H39="ガス",$N39&lt;&gt;"正常"),"检查燃ガス阀门、锅炉/厨房设备与泄漏风险","核查设备工况、排班、产量与计量数据")))))</f>
        <v/>
      </c>
      <c r="R39" s="102">
        <f>IF($H39="","",IFERROR(VLOOKUP($H39,'基本設定'!$A$13:$K$19,11,FALSE),"Energy management owner"))</f>
        <v/>
      </c>
      <c r="S39" s="102">
        <f>IF($N39="","",IF($N39="正常","対応不要","未対応"))</f>
        <v/>
      </c>
      <c r="T39" s="141">
        <f>IF(OR($B39="",$N39="正常"),"",WORKDAY($B39,IF($O39="重大",1,IF($O39="高",2,3))))</f>
        <v/>
      </c>
      <c r="U39" s="102">
        <f>IF($T39="","",IF(AND($S39&lt;&gt;"完了",TODAY()&gt;$T39),"期限超過","期限内"))</f>
        <v/>
      </c>
      <c r="V39" s="102" t="n"/>
      <c r="W39" s="141" t="n"/>
      <c r="X39" s="102" t="n"/>
    </row>
    <row r="40">
      <c r="A40" s="102">
        <f>IF('エネルギーデータ入力'!$A40="","","AL-"&amp;TEXT(ROW()-5,"0000"))</f>
        <v/>
      </c>
      <c r="B40" s="141">
        <f>IF('エネルギーデータ入力'!$B40="","",'エネルギーデータ入力'!$B40)</f>
        <v/>
      </c>
      <c r="C40" s="102">
        <f>IF('エネルギーデータ入力'!$C40="","",'エネルギーデータ入力'!$C40)</f>
        <v/>
      </c>
      <c r="D40" s="102">
        <f>IF('エネルギーデータ入力'!$D40="","",'エネルギーデータ入力'!$D40)</f>
        <v/>
      </c>
      <c r="E40" s="102">
        <f>IF('エネルギーデータ入力'!$E40="","",'エネルギーデータ入力'!$E40)</f>
        <v/>
      </c>
      <c r="F40" s="102">
        <f>IF('エネルギーデータ入力'!$G40="","",'エネルギーデータ入力'!$G40)</f>
        <v/>
      </c>
      <c r="G40" s="102">
        <f>IF('エネルギーデータ入力'!$H40="","",'エネルギーデータ入力'!$H40)</f>
        <v/>
      </c>
      <c r="H40" s="102">
        <f>IF('エネルギーデータ入力'!$J40="","",'エネルギーデータ入力'!$J40)</f>
        <v/>
      </c>
      <c r="I40" s="142">
        <f>IF('エネルギーデータ入力'!$N40="","",'エネルギーデータ入力'!$N40)</f>
        <v/>
      </c>
      <c r="J40" s="142">
        <f>IF($B40="","",IFERROR(AVERAGEIFS('エネルギーデータ入力'!$N$6:$N$205,'エネルギーデータ入力'!$B$6:$B$205,"&gt;="&amp;$B40-7,'エネルギーデータ入力'!$B$6:$B$205,"&lt;"&amp;$B40,'エネルギーデータ入力'!$H$6:$H$205,$G40,'エネルギーデータ入力'!$J$6:$J$205,$H40),$I40))</f>
        <v/>
      </c>
      <c r="K40" s="143">
        <f>IFERROR(($I40-$J40)/$J40,"")</f>
        <v/>
      </c>
      <c r="L40" s="102">
        <f>IF('エネルギーデータ入力'!$V40="","",'エネルギーデータ入力'!$V40)</f>
        <v/>
      </c>
      <c r="M40" s="102">
        <f>IF($H40="","",IFERROR(VLOOKUP($H40,'基本設定'!$A$13:$K$19,5,FALSE),0.2))</f>
        <v/>
      </c>
      <c r="N40" s="102">
        <f>IF($B40="","",IF('エネルギーデータ入力'!$L40="","Missing reading",IF($I40=0,"Stalled reading / possibly offline",IF($K40&gt;=IFERROR(VLOOKUP($H40,'基本設定'!$A$13:$K$19,6,FALSE),0.5),"Severe spike",IF($K40&gt;=$M40,"Usage spike",IF($K40&lt;=-IFERROR(VLOOKUP($H40,'基本設定'!$A$13:$K$19,7,FALSE),0.3),"Usage drop",IF($L40&gt;IFERROR(VLOOKUP($H40,'基本設定'!$A$13:$K$19,8,FALSE),999999),"Area intensity overrun","正常")))))))</f>
        <v/>
      </c>
      <c r="O40" s="102">
        <f>IF($N40="","",IF($N40="正常","正常",IF(OR($N40="Severe spike",$K40&gt;=IFERROR(VLOOKUP($H40,'基本設定'!$A$13:$K$19,6,FALSE),0.5)),"重大",IF(OR($N40="Usage spike",$N40="Usage drop"),"高","中"))))</f>
        <v/>
      </c>
      <c r="P40" s="144">
        <f>IF(OR($N40="",$N40="正常"),0,ABS($I40-$J40)*'エネルギーデータ入力'!$O40)</f>
        <v/>
      </c>
      <c r="Q40" s="102">
        <f>IF($N40="正常","",IF($N40="Stalled reading / possibly offline","核查表计通信/電気池/网关/阀门Status",IF(AND($H40="水道",$N40&lt;&gt;"正常"),"检查管网、阀门、卫生间、冷却塔及夜间最小流量",IF(AND($H40="電気",$N40&lt;&gt;"正常"),"检查空调、照明、生产设备、PeakOff-peak时段与待机功耗",IF(AND($H40="ガス",$N40&lt;&gt;"正常"),"检查燃ガス阀门、锅炉/厨房设备与泄漏风险","核查设备工况、排班、产量与计量数据")))))</f>
        <v/>
      </c>
      <c r="R40" s="102">
        <f>IF($H40="","",IFERROR(VLOOKUP($H40,'基本設定'!$A$13:$K$19,11,FALSE),"Energy management owner"))</f>
        <v/>
      </c>
      <c r="S40" s="102">
        <f>IF($N40="","",IF($N40="正常","対応不要","未対応"))</f>
        <v/>
      </c>
      <c r="T40" s="141">
        <f>IF(OR($B40="",$N40="正常"),"",WORKDAY($B40,IF($O40="重大",1,IF($O40="高",2,3))))</f>
        <v/>
      </c>
      <c r="U40" s="102">
        <f>IF($T40="","",IF(AND($S40&lt;&gt;"完了",TODAY()&gt;$T40),"期限超過","期限内"))</f>
        <v/>
      </c>
      <c r="V40" s="102" t="n"/>
      <c r="W40" s="141" t="n"/>
      <c r="X40" s="102" t="n"/>
    </row>
    <row r="41">
      <c r="A41" s="102">
        <f>IF('エネルギーデータ入力'!$A41="","","AL-"&amp;TEXT(ROW()-5,"0000"))</f>
        <v/>
      </c>
      <c r="B41" s="141">
        <f>IF('エネルギーデータ入力'!$B41="","",'エネルギーデータ入力'!$B41)</f>
        <v/>
      </c>
      <c r="C41" s="102">
        <f>IF('エネルギーデータ入力'!$C41="","",'エネルギーデータ入力'!$C41)</f>
        <v/>
      </c>
      <c r="D41" s="102">
        <f>IF('エネルギーデータ入力'!$D41="","",'エネルギーデータ入力'!$D41)</f>
        <v/>
      </c>
      <c r="E41" s="102">
        <f>IF('エネルギーデータ入力'!$E41="","",'エネルギーデータ入力'!$E41)</f>
        <v/>
      </c>
      <c r="F41" s="102">
        <f>IF('エネルギーデータ入力'!$G41="","",'エネルギーデータ入力'!$G41)</f>
        <v/>
      </c>
      <c r="G41" s="102">
        <f>IF('エネルギーデータ入力'!$H41="","",'エネルギーデータ入力'!$H41)</f>
        <v/>
      </c>
      <c r="H41" s="102">
        <f>IF('エネルギーデータ入力'!$J41="","",'エネルギーデータ入力'!$J41)</f>
        <v/>
      </c>
      <c r="I41" s="142">
        <f>IF('エネルギーデータ入力'!$N41="","",'エネルギーデータ入力'!$N41)</f>
        <v/>
      </c>
      <c r="J41" s="142">
        <f>IF($B41="","",IFERROR(AVERAGEIFS('エネルギーデータ入力'!$N$6:$N$205,'エネルギーデータ入力'!$B$6:$B$205,"&gt;="&amp;$B41-7,'エネルギーデータ入力'!$B$6:$B$205,"&lt;"&amp;$B41,'エネルギーデータ入力'!$H$6:$H$205,$G41,'エネルギーデータ入力'!$J$6:$J$205,$H41),$I41))</f>
        <v/>
      </c>
      <c r="K41" s="143">
        <f>IFERROR(($I41-$J41)/$J41,"")</f>
        <v/>
      </c>
      <c r="L41" s="102">
        <f>IF('エネルギーデータ入力'!$V41="","",'エネルギーデータ入力'!$V41)</f>
        <v/>
      </c>
      <c r="M41" s="102">
        <f>IF($H41="","",IFERROR(VLOOKUP($H41,'基本設定'!$A$13:$K$19,5,FALSE),0.2))</f>
        <v/>
      </c>
      <c r="N41" s="102">
        <f>IF($B41="","",IF('エネルギーデータ入力'!$L41="","Missing reading",IF($I41=0,"Stalled reading / possibly offline",IF($K41&gt;=IFERROR(VLOOKUP($H41,'基本設定'!$A$13:$K$19,6,FALSE),0.5),"Severe spike",IF($K41&gt;=$M41,"Usage spike",IF($K41&lt;=-IFERROR(VLOOKUP($H41,'基本設定'!$A$13:$K$19,7,FALSE),0.3),"Usage drop",IF($L41&gt;IFERROR(VLOOKUP($H41,'基本設定'!$A$13:$K$19,8,FALSE),999999),"Area intensity overrun","正常")))))))</f>
        <v/>
      </c>
      <c r="O41" s="102">
        <f>IF($N41="","",IF($N41="正常","正常",IF(OR($N41="Severe spike",$K41&gt;=IFERROR(VLOOKUP($H41,'基本設定'!$A$13:$K$19,6,FALSE),0.5)),"重大",IF(OR($N41="Usage spike",$N41="Usage drop"),"高","中"))))</f>
        <v/>
      </c>
      <c r="P41" s="144">
        <f>IF(OR($N41="",$N41="正常"),0,ABS($I41-$J41)*'エネルギーデータ入力'!$O41)</f>
        <v/>
      </c>
      <c r="Q41" s="102">
        <f>IF($N41="正常","",IF($N41="Stalled reading / possibly offline","核查表计通信/電気池/网关/阀门Status",IF(AND($H41="水道",$N41&lt;&gt;"正常"),"检查管网、阀门、卫生间、冷却塔及夜间最小流量",IF(AND($H41="電気",$N41&lt;&gt;"正常"),"检查空调、照明、生产设备、PeakOff-peak时段与待机功耗",IF(AND($H41="ガス",$N41&lt;&gt;"正常"),"检查燃ガス阀门、锅炉/厨房设备与泄漏风险","核查设备工况、排班、产量与计量数据")))))</f>
        <v/>
      </c>
      <c r="R41" s="102">
        <f>IF($H41="","",IFERROR(VLOOKUP($H41,'基本設定'!$A$13:$K$19,11,FALSE),"Energy management owner"))</f>
        <v/>
      </c>
      <c r="S41" s="102">
        <f>IF($N41="","",IF($N41="正常","対応不要","未対応"))</f>
        <v/>
      </c>
      <c r="T41" s="141">
        <f>IF(OR($B41="",$N41="正常"),"",WORKDAY($B41,IF($O41="重大",1,IF($O41="高",2,3))))</f>
        <v/>
      </c>
      <c r="U41" s="102">
        <f>IF($T41="","",IF(AND($S41&lt;&gt;"完了",TODAY()&gt;$T41),"期限超過","期限内"))</f>
        <v/>
      </c>
      <c r="V41" s="102" t="n"/>
      <c r="W41" s="141" t="n"/>
      <c r="X41" s="102" t="n"/>
    </row>
    <row r="42">
      <c r="A42" s="102">
        <f>IF('エネルギーデータ入力'!$A42="","","AL-"&amp;TEXT(ROW()-5,"0000"))</f>
        <v/>
      </c>
      <c r="B42" s="141">
        <f>IF('エネルギーデータ入力'!$B42="","",'エネルギーデータ入力'!$B42)</f>
        <v/>
      </c>
      <c r="C42" s="102">
        <f>IF('エネルギーデータ入力'!$C42="","",'エネルギーデータ入力'!$C42)</f>
        <v/>
      </c>
      <c r="D42" s="102">
        <f>IF('エネルギーデータ入力'!$D42="","",'エネルギーデータ入力'!$D42)</f>
        <v/>
      </c>
      <c r="E42" s="102">
        <f>IF('エネルギーデータ入力'!$E42="","",'エネルギーデータ入力'!$E42)</f>
        <v/>
      </c>
      <c r="F42" s="102">
        <f>IF('エネルギーデータ入力'!$G42="","",'エネルギーデータ入力'!$G42)</f>
        <v/>
      </c>
      <c r="G42" s="102">
        <f>IF('エネルギーデータ入力'!$H42="","",'エネルギーデータ入力'!$H42)</f>
        <v/>
      </c>
      <c r="H42" s="102">
        <f>IF('エネルギーデータ入力'!$J42="","",'エネルギーデータ入力'!$J42)</f>
        <v/>
      </c>
      <c r="I42" s="142">
        <f>IF('エネルギーデータ入力'!$N42="","",'エネルギーデータ入力'!$N42)</f>
        <v/>
      </c>
      <c r="J42" s="142">
        <f>IF($B42="","",IFERROR(AVERAGEIFS('エネルギーデータ入力'!$N$6:$N$205,'エネルギーデータ入力'!$B$6:$B$205,"&gt;="&amp;$B42-7,'エネルギーデータ入力'!$B$6:$B$205,"&lt;"&amp;$B42,'エネルギーデータ入力'!$H$6:$H$205,$G42,'エネルギーデータ入力'!$J$6:$J$205,$H42),$I42))</f>
        <v/>
      </c>
      <c r="K42" s="143">
        <f>IFERROR(($I42-$J42)/$J42,"")</f>
        <v/>
      </c>
      <c r="L42" s="102">
        <f>IF('エネルギーデータ入力'!$V42="","",'エネルギーデータ入力'!$V42)</f>
        <v/>
      </c>
      <c r="M42" s="102">
        <f>IF($H42="","",IFERROR(VLOOKUP($H42,'基本設定'!$A$13:$K$19,5,FALSE),0.2))</f>
        <v/>
      </c>
      <c r="N42" s="102">
        <f>IF($B42="","",IF('エネルギーデータ入力'!$L42="","Missing reading",IF($I42=0,"Stalled reading / possibly offline",IF($K42&gt;=IFERROR(VLOOKUP($H42,'基本設定'!$A$13:$K$19,6,FALSE),0.5),"Severe spike",IF($K42&gt;=$M42,"Usage spike",IF($K42&lt;=-IFERROR(VLOOKUP($H42,'基本設定'!$A$13:$K$19,7,FALSE),0.3),"Usage drop",IF($L42&gt;IFERROR(VLOOKUP($H42,'基本設定'!$A$13:$K$19,8,FALSE),999999),"Area intensity overrun","正常")))))))</f>
        <v/>
      </c>
      <c r="O42" s="102">
        <f>IF($N42="","",IF($N42="正常","正常",IF(OR($N42="Severe spike",$K42&gt;=IFERROR(VLOOKUP($H42,'基本設定'!$A$13:$K$19,6,FALSE),0.5)),"重大",IF(OR($N42="Usage spike",$N42="Usage drop"),"高","中"))))</f>
        <v/>
      </c>
      <c r="P42" s="144">
        <f>IF(OR($N42="",$N42="正常"),0,ABS($I42-$J42)*'エネルギーデータ入力'!$O42)</f>
        <v/>
      </c>
      <c r="Q42" s="102">
        <f>IF($N42="正常","",IF($N42="Stalled reading / possibly offline","核查表计通信/電気池/网关/阀门Status",IF(AND($H42="水道",$N42&lt;&gt;"正常"),"检查管网、阀门、卫生间、冷却塔及夜间最小流量",IF(AND($H42="電気",$N42&lt;&gt;"正常"),"检查空调、照明、生产设备、PeakOff-peak时段与待机功耗",IF(AND($H42="ガス",$N42&lt;&gt;"正常"),"检查燃ガス阀门、锅炉/厨房设备与泄漏风险","核查设备工况、排班、产量与计量数据")))))</f>
        <v/>
      </c>
      <c r="R42" s="102">
        <f>IF($H42="","",IFERROR(VLOOKUP($H42,'基本設定'!$A$13:$K$19,11,FALSE),"Energy management owner"))</f>
        <v/>
      </c>
      <c r="S42" s="102">
        <f>IF($N42="","",IF($N42="正常","対応不要","未対応"))</f>
        <v/>
      </c>
      <c r="T42" s="141">
        <f>IF(OR($B42="",$N42="正常"),"",WORKDAY($B42,IF($O42="重大",1,IF($O42="高",2,3))))</f>
        <v/>
      </c>
      <c r="U42" s="102">
        <f>IF($T42="","",IF(AND($S42&lt;&gt;"完了",TODAY()&gt;$T42),"期限超過","期限内"))</f>
        <v/>
      </c>
      <c r="V42" s="102" t="n"/>
      <c r="W42" s="141" t="n"/>
      <c r="X42" s="102" t="n"/>
    </row>
    <row r="43">
      <c r="A43" s="102">
        <f>IF('エネルギーデータ入力'!$A43="","","AL-"&amp;TEXT(ROW()-5,"0000"))</f>
        <v/>
      </c>
      <c r="B43" s="141">
        <f>IF('エネルギーデータ入力'!$B43="","",'エネルギーデータ入力'!$B43)</f>
        <v/>
      </c>
      <c r="C43" s="102">
        <f>IF('エネルギーデータ入力'!$C43="","",'エネルギーデータ入力'!$C43)</f>
        <v/>
      </c>
      <c r="D43" s="102">
        <f>IF('エネルギーデータ入力'!$D43="","",'エネルギーデータ入力'!$D43)</f>
        <v/>
      </c>
      <c r="E43" s="102">
        <f>IF('エネルギーデータ入力'!$E43="","",'エネルギーデータ入力'!$E43)</f>
        <v/>
      </c>
      <c r="F43" s="102">
        <f>IF('エネルギーデータ入力'!$G43="","",'エネルギーデータ入力'!$G43)</f>
        <v/>
      </c>
      <c r="G43" s="102">
        <f>IF('エネルギーデータ入力'!$H43="","",'エネルギーデータ入力'!$H43)</f>
        <v/>
      </c>
      <c r="H43" s="102">
        <f>IF('エネルギーデータ入力'!$J43="","",'エネルギーデータ入力'!$J43)</f>
        <v/>
      </c>
      <c r="I43" s="142">
        <f>IF('エネルギーデータ入力'!$N43="","",'エネルギーデータ入力'!$N43)</f>
        <v/>
      </c>
      <c r="J43" s="142">
        <f>IF($B43="","",IFERROR(AVERAGEIFS('エネルギーデータ入力'!$N$6:$N$205,'エネルギーデータ入力'!$B$6:$B$205,"&gt;="&amp;$B43-7,'エネルギーデータ入力'!$B$6:$B$205,"&lt;"&amp;$B43,'エネルギーデータ入力'!$H$6:$H$205,$G43,'エネルギーデータ入力'!$J$6:$J$205,$H43),$I43))</f>
        <v/>
      </c>
      <c r="K43" s="143">
        <f>IFERROR(($I43-$J43)/$J43,"")</f>
        <v/>
      </c>
      <c r="L43" s="102">
        <f>IF('エネルギーデータ入力'!$V43="","",'エネルギーデータ入力'!$V43)</f>
        <v/>
      </c>
      <c r="M43" s="102">
        <f>IF($H43="","",IFERROR(VLOOKUP($H43,'基本設定'!$A$13:$K$19,5,FALSE),0.2))</f>
        <v/>
      </c>
      <c r="N43" s="102">
        <f>IF($B43="","",IF('エネルギーデータ入力'!$L43="","Missing reading",IF($I43=0,"Stalled reading / possibly offline",IF($K43&gt;=IFERROR(VLOOKUP($H43,'基本設定'!$A$13:$K$19,6,FALSE),0.5),"Severe spike",IF($K43&gt;=$M43,"Usage spike",IF($K43&lt;=-IFERROR(VLOOKUP($H43,'基本設定'!$A$13:$K$19,7,FALSE),0.3),"Usage drop",IF($L43&gt;IFERROR(VLOOKUP($H43,'基本設定'!$A$13:$K$19,8,FALSE),999999),"Area intensity overrun","正常")))))))</f>
        <v/>
      </c>
      <c r="O43" s="102">
        <f>IF($N43="","",IF($N43="正常","正常",IF(OR($N43="Severe spike",$K43&gt;=IFERROR(VLOOKUP($H43,'基本設定'!$A$13:$K$19,6,FALSE),0.5)),"重大",IF(OR($N43="Usage spike",$N43="Usage drop"),"高","中"))))</f>
        <v/>
      </c>
      <c r="P43" s="144">
        <f>IF(OR($N43="",$N43="正常"),0,ABS($I43-$J43)*'エネルギーデータ入力'!$O43)</f>
        <v/>
      </c>
      <c r="Q43" s="102">
        <f>IF($N43="正常","",IF($N43="Stalled reading / possibly offline","核查表计通信/電気池/网关/阀门Status",IF(AND($H43="水道",$N43&lt;&gt;"正常"),"检查管网、阀门、卫生间、冷却塔及夜间最小流量",IF(AND($H43="電気",$N43&lt;&gt;"正常"),"检查空调、照明、生产设备、PeakOff-peak时段与待机功耗",IF(AND($H43="ガス",$N43&lt;&gt;"正常"),"检查燃ガス阀门、锅炉/厨房设备与泄漏风险","核查设备工况、排班、产量与计量数据")))))</f>
        <v/>
      </c>
      <c r="R43" s="102">
        <f>IF($H43="","",IFERROR(VLOOKUP($H43,'基本設定'!$A$13:$K$19,11,FALSE),"Energy management owner"))</f>
        <v/>
      </c>
      <c r="S43" s="102">
        <f>IF($N43="","",IF($N43="正常","対応不要","未対応"))</f>
        <v/>
      </c>
      <c r="T43" s="141">
        <f>IF(OR($B43="",$N43="正常"),"",WORKDAY($B43,IF($O43="重大",1,IF($O43="高",2,3))))</f>
        <v/>
      </c>
      <c r="U43" s="102">
        <f>IF($T43="","",IF(AND($S43&lt;&gt;"完了",TODAY()&gt;$T43),"期限超過","期限内"))</f>
        <v/>
      </c>
      <c r="V43" s="102" t="n"/>
      <c r="W43" s="141" t="n"/>
      <c r="X43" s="102" t="n"/>
    </row>
    <row r="44">
      <c r="A44" s="102">
        <f>IF('エネルギーデータ入力'!$A44="","","AL-"&amp;TEXT(ROW()-5,"0000"))</f>
        <v/>
      </c>
      <c r="B44" s="141">
        <f>IF('エネルギーデータ入力'!$B44="","",'エネルギーデータ入力'!$B44)</f>
        <v/>
      </c>
      <c r="C44" s="102">
        <f>IF('エネルギーデータ入力'!$C44="","",'エネルギーデータ入力'!$C44)</f>
        <v/>
      </c>
      <c r="D44" s="102">
        <f>IF('エネルギーデータ入力'!$D44="","",'エネルギーデータ入力'!$D44)</f>
        <v/>
      </c>
      <c r="E44" s="102">
        <f>IF('エネルギーデータ入力'!$E44="","",'エネルギーデータ入力'!$E44)</f>
        <v/>
      </c>
      <c r="F44" s="102">
        <f>IF('エネルギーデータ入力'!$G44="","",'エネルギーデータ入力'!$G44)</f>
        <v/>
      </c>
      <c r="G44" s="102">
        <f>IF('エネルギーデータ入力'!$H44="","",'エネルギーデータ入力'!$H44)</f>
        <v/>
      </c>
      <c r="H44" s="102">
        <f>IF('エネルギーデータ入力'!$J44="","",'エネルギーデータ入力'!$J44)</f>
        <v/>
      </c>
      <c r="I44" s="142">
        <f>IF('エネルギーデータ入力'!$N44="","",'エネルギーデータ入力'!$N44)</f>
        <v/>
      </c>
      <c r="J44" s="142">
        <f>IF($B44="","",IFERROR(AVERAGEIFS('エネルギーデータ入力'!$N$6:$N$205,'エネルギーデータ入力'!$B$6:$B$205,"&gt;="&amp;$B44-7,'エネルギーデータ入力'!$B$6:$B$205,"&lt;"&amp;$B44,'エネルギーデータ入力'!$H$6:$H$205,$G44,'エネルギーデータ入力'!$J$6:$J$205,$H44),$I44))</f>
        <v/>
      </c>
      <c r="K44" s="143">
        <f>IFERROR(($I44-$J44)/$J44,"")</f>
        <v/>
      </c>
      <c r="L44" s="102">
        <f>IF('エネルギーデータ入力'!$V44="","",'エネルギーデータ入力'!$V44)</f>
        <v/>
      </c>
      <c r="M44" s="102">
        <f>IF($H44="","",IFERROR(VLOOKUP($H44,'基本設定'!$A$13:$K$19,5,FALSE),0.2))</f>
        <v/>
      </c>
      <c r="N44" s="102">
        <f>IF($B44="","",IF('エネルギーデータ入力'!$L44="","Missing reading",IF($I44=0,"Stalled reading / possibly offline",IF($K44&gt;=IFERROR(VLOOKUP($H44,'基本設定'!$A$13:$K$19,6,FALSE),0.5),"Severe spike",IF($K44&gt;=$M44,"Usage spike",IF($K44&lt;=-IFERROR(VLOOKUP($H44,'基本設定'!$A$13:$K$19,7,FALSE),0.3),"Usage drop",IF($L44&gt;IFERROR(VLOOKUP($H44,'基本設定'!$A$13:$K$19,8,FALSE),999999),"Area intensity overrun","正常")))))))</f>
        <v/>
      </c>
      <c r="O44" s="102">
        <f>IF($N44="","",IF($N44="正常","正常",IF(OR($N44="Severe spike",$K44&gt;=IFERROR(VLOOKUP($H44,'基本設定'!$A$13:$K$19,6,FALSE),0.5)),"重大",IF(OR($N44="Usage spike",$N44="Usage drop"),"高","中"))))</f>
        <v/>
      </c>
      <c r="P44" s="144">
        <f>IF(OR($N44="",$N44="正常"),0,ABS($I44-$J44)*'エネルギーデータ入力'!$O44)</f>
        <v/>
      </c>
      <c r="Q44" s="102">
        <f>IF($N44="正常","",IF($N44="Stalled reading / possibly offline","核查表计通信/電気池/网关/阀门Status",IF(AND($H44="水道",$N44&lt;&gt;"正常"),"检查管网、阀门、卫生间、冷却塔及夜间最小流量",IF(AND($H44="電気",$N44&lt;&gt;"正常"),"检查空调、照明、生产设备、PeakOff-peak时段与待机功耗",IF(AND($H44="ガス",$N44&lt;&gt;"正常"),"检查燃ガス阀门、锅炉/厨房设备与泄漏风险","核查设备工况、排班、产量与计量数据")))))</f>
        <v/>
      </c>
      <c r="R44" s="102">
        <f>IF($H44="","",IFERROR(VLOOKUP($H44,'基本設定'!$A$13:$K$19,11,FALSE),"Energy management owner"))</f>
        <v/>
      </c>
      <c r="S44" s="102">
        <f>IF($N44="","",IF($N44="正常","対応不要","未対応"))</f>
        <v/>
      </c>
      <c r="T44" s="141">
        <f>IF(OR($B44="",$N44="正常"),"",WORKDAY($B44,IF($O44="重大",1,IF($O44="高",2,3))))</f>
        <v/>
      </c>
      <c r="U44" s="102">
        <f>IF($T44="","",IF(AND($S44&lt;&gt;"完了",TODAY()&gt;$T44),"期限超過","期限内"))</f>
        <v/>
      </c>
      <c r="V44" s="102" t="n"/>
      <c r="W44" s="141" t="n"/>
      <c r="X44" s="102" t="n"/>
    </row>
    <row r="45">
      <c r="A45" s="102">
        <f>IF('エネルギーデータ入力'!$A45="","","AL-"&amp;TEXT(ROW()-5,"0000"))</f>
        <v/>
      </c>
      <c r="B45" s="141">
        <f>IF('エネルギーデータ入力'!$B45="","",'エネルギーデータ入力'!$B45)</f>
        <v/>
      </c>
      <c r="C45" s="102">
        <f>IF('エネルギーデータ入力'!$C45="","",'エネルギーデータ入力'!$C45)</f>
        <v/>
      </c>
      <c r="D45" s="102">
        <f>IF('エネルギーデータ入力'!$D45="","",'エネルギーデータ入力'!$D45)</f>
        <v/>
      </c>
      <c r="E45" s="102">
        <f>IF('エネルギーデータ入力'!$E45="","",'エネルギーデータ入力'!$E45)</f>
        <v/>
      </c>
      <c r="F45" s="102">
        <f>IF('エネルギーデータ入力'!$G45="","",'エネルギーデータ入力'!$G45)</f>
        <v/>
      </c>
      <c r="G45" s="102">
        <f>IF('エネルギーデータ入力'!$H45="","",'エネルギーデータ入力'!$H45)</f>
        <v/>
      </c>
      <c r="H45" s="102">
        <f>IF('エネルギーデータ入力'!$J45="","",'エネルギーデータ入力'!$J45)</f>
        <v/>
      </c>
      <c r="I45" s="142">
        <f>IF('エネルギーデータ入力'!$N45="","",'エネルギーデータ入力'!$N45)</f>
        <v/>
      </c>
      <c r="J45" s="142">
        <f>IF($B45="","",IFERROR(AVERAGEIFS('エネルギーデータ入力'!$N$6:$N$205,'エネルギーデータ入力'!$B$6:$B$205,"&gt;="&amp;$B45-7,'エネルギーデータ入力'!$B$6:$B$205,"&lt;"&amp;$B45,'エネルギーデータ入力'!$H$6:$H$205,$G45,'エネルギーデータ入力'!$J$6:$J$205,$H45),$I45))</f>
        <v/>
      </c>
      <c r="K45" s="143">
        <f>IFERROR(($I45-$J45)/$J45,"")</f>
        <v/>
      </c>
      <c r="L45" s="102">
        <f>IF('エネルギーデータ入力'!$V45="","",'エネルギーデータ入力'!$V45)</f>
        <v/>
      </c>
      <c r="M45" s="102">
        <f>IF($H45="","",IFERROR(VLOOKUP($H45,'基本設定'!$A$13:$K$19,5,FALSE),0.2))</f>
        <v/>
      </c>
      <c r="N45" s="102">
        <f>IF($B45="","",IF('エネルギーデータ入力'!$L45="","Missing reading",IF($I45=0,"Stalled reading / possibly offline",IF($K45&gt;=IFERROR(VLOOKUP($H45,'基本設定'!$A$13:$K$19,6,FALSE),0.5),"Severe spike",IF($K45&gt;=$M45,"Usage spike",IF($K45&lt;=-IFERROR(VLOOKUP($H45,'基本設定'!$A$13:$K$19,7,FALSE),0.3),"Usage drop",IF($L45&gt;IFERROR(VLOOKUP($H45,'基本設定'!$A$13:$K$19,8,FALSE),999999),"Area intensity overrun","正常")))))))</f>
        <v/>
      </c>
      <c r="O45" s="102">
        <f>IF($N45="","",IF($N45="正常","正常",IF(OR($N45="Severe spike",$K45&gt;=IFERROR(VLOOKUP($H45,'基本設定'!$A$13:$K$19,6,FALSE),0.5)),"重大",IF(OR($N45="Usage spike",$N45="Usage drop"),"高","中"))))</f>
        <v/>
      </c>
      <c r="P45" s="144">
        <f>IF(OR($N45="",$N45="正常"),0,ABS($I45-$J45)*'エネルギーデータ入力'!$O45)</f>
        <v/>
      </c>
      <c r="Q45" s="102">
        <f>IF($N45="正常","",IF($N45="Stalled reading / possibly offline","核查表计通信/電気池/网关/阀门Status",IF(AND($H45="水道",$N45&lt;&gt;"正常"),"检查管网、阀门、卫生间、冷却塔及夜间最小流量",IF(AND($H45="電気",$N45&lt;&gt;"正常"),"检查空调、照明、生产设备、PeakOff-peak时段与待机功耗",IF(AND($H45="ガス",$N45&lt;&gt;"正常"),"检查燃ガス阀门、锅炉/厨房设备与泄漏风险","核查设备工况、排班、产量与计量数据")))))</f>
        <v/>
      </c>
      <c r="R45" s="102">
        <f>IF($H45="","",IFERROR(VLOOKUP($H45,'基本設定'!$A$13:$K$19,11,FALSE),"Energy management owner"))</f>
        <v/>
      </c>
      <c r="S45" s="102">
        <f>IF($N45="","",IF($N45="正常","対応不要","未対応"))</f>
        <v/>
      </c>
      <c r="T45" s="141">
        <f>IF(OR($B45="",$N45="正常"),"",WORKDAY($B45,IF($O45="重大",1,IF($O45="高",2,3))))</f>
        <v/>
      </c>
      <c r="U45" s="102">
        <f>IF($T45="","",IF(AND($S45&lt;&gt;"完了",TODAY()&gt;$T45),"期限超過","期限内"))</f>
        <v/>
      </c>
      <c r="V45" s="102" t="n"/>
      <c r="W45" s="141" t="n"/>
      <c r="X45" s="102" t="n"/>
    </row>
    <row r="46">
      <c r="A46" s="102">
        <f>IF('エネルギーデータ入力'!$A46="","","AL-"&amp;TEXT(ROW()-5,"0000"))</f>
        <v/>
      </c>
      <c r="B46" s="141">
        <f>IF('エネルギーデータ入力'!$B46="","",'エネルギーデータ入力'!$B46)</f>
        <v/>
      </c>
      <c r="C46" s="102">
        <f>IF('エネルギーデータ入力'!$C46="","",'エネルギーデータ入力'!$C46)</f>
        <v/>
      </c>
      <c r="D46" s="102">
        <f>IF('エネルギーデータ入力'!$D46="","",'エネルギーデータ入力'!$D46)</f>
        <v/>
      </c>
      <c r="E46" s="102">
        <f>IF('エネルギーデータ入力'!$E46="","",'エネルギーデータ入力'!$E46)</f>
        <v/>
      </c>
      <c r="F46" s="102">
        <f>IF('エネルギーデータ入力'!$G46="","",'エネルギーデータ入力'!$G46)</f>
        <v/>
      </c>
      <c r="G46" s="102">
        <f>IF('エネルギーデータ入力'!$H46="","",'エネルギーデータ入力'!$H46)</f>
        <v/>
      </c>
      <c r="H46" s="102">
        <f>IF('エネルギーデータ入力'!$J46="","",'エネルギーデータ入力'!$J46)</f>
        <v/>
      </c>
      <c r="I46" s="142">
        <f>IF('エネルギーデータ入力'!$N46="","",'エネルギーデータ入力'!$N46)</f>
        <v/>
      </c>
      <c r="J46" s="142">
        <f>IF($B46="","",IFERROR(AVERAGEIFS('エネルギーデータ入力'!$N$6:$N$205,'エネルギーデータ入力'!$B$6:$B$205,"&gt;="&amp;$B46-7,'エネルギーデータ入力'!$B$6:$B$205,"&lt;"&amp;$B46,'エネルギーデータ入力'!$H$6:$H$205,$G46,'エネルギーデータ入力'!$J$6:$J$205,$H46),$I46))</f>
        <v/>
      </c>
      <c r="K46" s="143">
        <f>IFERROR(($I46-$J46)/$J46,"")</f>
        <v/>
      </c>
      <c r="L46" s="102">
        <f>IF('エネルギーデータ入力'!$V46="","",'エネルギーデータ入力'!$V46)</f>
        <v/>
      </c>
      <c r="M46" s="102">
        <f>IF($H46="","",IFERROR(VLOOKUP($H46,'基本設定'!$A$13:$K$19,5,FALSE),0.2))</f>
        <v/>
      </c>
      <c r="N46" s="102">
        <f>IF($B46="","",IF('エネルギーデータ入力'!$L46="","Missing reading",IF($I46=0,"Stalled reading / possibly offline",IF($K46&gt;=IFERROR(VLOOKUP($H46,'基本設定'!$A$13:$K$19,6,FALSE),0.5),"Severe spike",IF($K46&gt;=$M46,"Usage spike",IF($K46&lt;=-IFERROR(VLOOKUP($H46,'基本設定'!$A$13:$K$19,7,FALSE),0.3),"Usage drop",IF($L46&gt;IFERROR(VLOOKUP($H46,'基本設定'!$A$13:$K$19,8,FALSE),999999),"Area intensity overrun","正常")))))))</f>
        <v/>
      </c>
      <c r="O46" s="102">
        <f>IF($N46="","",IF($N46="正常","正常",IF(OR($N46="Severe spike",$K46&gt;=IFERROR(VLOOKUP($H46,'基本設定'!$A$13:$K$19,6,FALSE),0.5)),"重大",IF(OR($N46="Usage spike",$N46="Usage drop"),"高","中"))))</f>
        <v/>
      </c>
      <c r="P46" s="144">
        <f>IF(OR($N46="",$N46="正常"),0,ABS($I46-$J46)*'エネルギーデータ入力'!$O46)</f>
        <v/>
      </c>
      <c r="Q46" s="102">
        <f>IF($N46="正常","",IF($N46="Stalled reading / possibly offline","核查表计通信/電気池/网关/阀门Status",IF(AND($H46="水道",$N46&lt;&gt;"正常"),"检查管网、阀门、卫生间、冷却塔及夜间最小流量",IF(AND($H46="電気",$N46&lt;&gt;"正常"),"检查空调、照明、生产设备、PeakOff-peak时段与待机功耗",IF(AND($H46="ガス",$N46&lt;&gt;"正常"),"检查燃ガス阀门、锅炉/厨房设备与泄漏风险","核查设备工况、排班、产量与计量数据")))))</f>
        <v/>
      </c>
      <c r="R46" s="102">
        <f>IF($H46="","",IFERROR(VLOOKUP($H46,'基本設定'!$A$13:$K$19,11,FALSE),"Energy management owner"))</f>
        <v/>
      </c>
      <c r="S46" s="102">
        <f>IF($N46="","",IF($N46="正常","対応不要","未対応"))</f>
        <v/>
      </c>
      <c r="T46" s="141">
        <f>IF(OR($B46="",$N46="正常"),"",WORKDAY($B46,IF($O46="重大",1,IF($O46="高",2,3))))</f>
        <v/>
      </c>
      <c r="U46" s="102">
        <f>IF($T46="","",IF(AND($S46&lt;&gt;"完了",TODAY()&gt;$T46),"期限超過","期限内"))</f>
        <v/>
      </c>
      <c r="V46" s="102" t="n"/>
      <c r="W46" s="141" t="n"/>
      <c r="X46" s="102" t="n"/>
    </row>
    <row r="47">
      <c r="A47" s="102">
        <f>IF('エネルギーデータ入力'!$A47="","","AL-"&amp;TEXT(ROW()-5,"0000"))</f>
        <v/>
      </c>
      <c r="B47" s="141">
        <f>IF('エネルギーデータ入力'!$B47="","",'エネルギーデータ入力'!$B47)</f>
        <v/>
      </c>
      <c r="C47" s="102">
        <f>IF('エネルギーデータ入力'!$C47="","",'エネルギーデータ入力'!$C47)</f>
        <v/>
      </c>
      <c r="D47" s="102">
        <f>IF('エネルギーデータ入力'!$D47="","",'エネルギーデータ入力'!$D47)</f>
        <v/>
      </c>
      <c r="E47" s="102">
        <f>IF('エネルギーデータ入力'!$E47="","",'エネルギーデータ入力'!$E47)</f>
        <v/>
      </c>
      <c r="F47" s="102">
        <f>IF('エネルギーデータ入力'!$G47="","",'エネルギーデータ入力'!$G47)</f>
        <v/>
      </c>
      <c r="G47" s="102">
        <f>IF('エネルギーデータ入力'!$H47="","",'エネルギーデータ入力'!$H47)</f>
        <v/>
      </c>
      <c r="H47" s="102">
        <f>IF('エネルギーデータ入力'!$J47="","",'エネルギーデータ入力'!$J47)</f>
        <v/>
      </c>
      <c r="I47" s="142">
        <f>IF('エネルギーデータ入力'!$N47="","",'エネルギーデータ入力'!$N47)</f>
        <v/>
      </c>
      <c r="J47" s="142">
        <f>IF($B47="","",IFERROR(AVERAGEIFS('エネルギーデータ入力'!$N$6:$N$205,'エネルギーデータ入力'!$B$6:$B$205,"&gt;="&amp;$B47-7,'エネルギーデータ入力'!$B$6:$B$205,"&lt;"&amp;$B47,'エネルギーデータ入力'!$H$6:$H$205,$G47,'エネルギーデータ入力'!$J$6:$J$205,$H47),$I47))</f>
        <v/>
      </c>
      <c r="K47" s="143">
        <f>IFERROR(($I47-$J47)/$J47,"")</f>
        <v/>
      </c>
      <c r="L47" s="102">
        <f>IF('エネルギーデータ入力'!$V47="","",'エネルギーデータ入力'!$V47)</f>
        <v/>
      </c>
      <c r="M47" s="102">
        <f>IF($H47="","",IFERROR(VLOOKUP($H47,'基本設定'!$A$13:$K$19,5,FALSE),0.2))</f>
        <v/>
      </c>
      <c r="N47" s="102">
        <f>IF($B47="","",IF('エネルギーデータ入力'!$L47="","Missing reading",IF($I47=0,"Stalled reading / possibly offline",IF($K47&gt;=IFERROR(VLOOKUP($H47,'基本設定'!$A$13:$K$19,6,FALSE),0.5),"Severe spike",IF($K47&gt;=$M47,"Usage spike",IF($K47&lt;=-IFERROR(VLOOKUP($H47,'基本設定'!$A$13:$K$19,7,FALSE),0.3),"Usage drop",IF($L47&gt;IFERROR(VLOOKUP($H47,'基本設定'!$A$13:$K$19,8,FALSE),999999),"Area intensity overrun","正常")))))))</f>
        <v/>
      </c>
      <c r="O47" s="102">
        <f>IF($N47="","",IF($N47="正常","正常",IF(OR($N47="Severe spike",$K47&gt;=IFERROR(VLOOKUP($H47,'基本設定'!$A$13:$K$19,6,FALSE),0.5)),"重大",IF(OR($N47="Usage spike",$N47="Usage drop"),"高","中"))))</f>
        <v/>
      </c>
      <c r="P47" s="144">
        <f>IF(OR($N47="",$N47="正常"),0,ABS($I47-$J47)*'エネルギーデータ入力'!$O47)</f>
        <v/>
      </c>
      <c r="Q47" s="102">
        <f>IF($N47="正常","",IF($N47="Stalled reading / possibly offline","核查表计通信/電気池/网关/阀门Status",IF(AND($H47="水道",$N47&lt;&gt;"正常"),"检查管网、阀门、卫生间、冷却塔及夜间最小流量",IF(AND($H47="電気",$N47&lt;&gt;"正常"),"检查空调、照明、生产设备、PeakOff-peak时段与待机功耗",IF(AND($H47="ガス",$N47&lt;&gt;"正常"),"检查燃ガス阀门、锅炉/厨房设备与泄漏风险","核查设备工况、排班、产量与计量数据")))))</f>
        <v/>
      </c>
      <c r="R47" s="102">
        <f>IF($H47="","",IFERROR(VLOOKUP($H47,'基本設定'!$A$13:$K$19,11,FALSE),"Energy management owner"))</f>
        <v/>
      </c>
      <c r="S47" s="102">
        <f>IF($N47="","",IF($N47="正常","対応不要","未対応"))</f>
        <v/>
      </c>
      <c r="T47" s="141">
        <f>IF(OR($B47="",$N47="正常"),"",WORKDAY($B47,IF($O47="重大",1,IF($O47="高",2,3))))</f>
        <v/>
      </c>
      <c r="U47" s="102">
        <f>IF($T47="","",IF(AND($S47&lt;&gt;"完了",TODAY()&gt;$T47),"期限超過","期限内"))</f>
        <v/>
      </c>
      <c r="V47" s="102" t="n"/>
      <c r="W47" s="141" t="n"/>
      <c r="X47" s="102" t="n"/>
    </row>
    <row r="48">
      <c r="A48" s="102">
        <f>IF('エネルギーデータ入力'!$A48="","","AL-"&amp;TEXT(ROW()-5,"0000"))</f>
        <v/>
      </c>
      <c r="B48" s="141">
        <f>IF('エネルギーデータ入力'!$B48="","",'エネルギーデータ入力'!$B48)</f>
        <v/>
      </c>
      <c r="C48" s="102">
        <f>IF('エネルギーデータ入力'!$C48="","",'エネルギーデータ入力'!$C48)</f>
        <v/>
      </c>
      <c r="D48" s="102">
        <f>IF('エネルギーデータ入力'!$D48="","",'エネルギーデータ入力'!$D48)</f>
        <v/>
      </c>
      <c r="E48" s="102">
        <f>IF('エネルギーデータ入力'!$E48="","",'エネルギーデータ入力'!$E48)</f>
        <v/>
      </c>
      <c r="F48" s="102">
        <f>IF('エネルギーデータ入力'!$G48="","",'エネルギーデータ入力'!$G48)</f>
        <v/>
      </c>
      <c r="G48" s="102">
        <f>IF('エネルギーデータ入力'!$H48="","",'エネルギーデータ入力'!$H48)</f>
        <v/>
      </c>
      <c r="H48" s="102">
        <f>IF('エネルギーデータ入力'!$J48="","",'エネルギーデータ入力'!$J48)</f>
        <v/>
      </c>
      <c r="I48" s="142">
        <f>IF('エネルギーデータ入力'!$N48="","",'エネルギーデータ入力'!$N48)</f>
        <v/>
      </c>
      <c r="J48" s="142">
        <f>IF($B48="","",IFERROR(AVERAGEIFS('エネルギーデータ入力'!$N$6:$N$205,'エネルギーデータ入力'!$B$6:$B$205,"&gt;="&amp;$B48-7,'エネルギーデータ入力'!$B$6:$B$205,"&lt;"&amp;$B48,'エネルギーデータ入力'!$H$6:$H$205,$G48,'エネルギーデータ入力'!$J$6:$J$205,$H48),$I48))</f>
        <v/>
      </c>
      <c r="K48" s="143">
        <f>IFERROR(($I48-$J48)/$J48,"")</f>
        <v/>
      </c>
      <c r="L48" s="102">
        <f>IF('エネルギーデータ入力'!$V48="","",'エネルギーデータ入力'!$V48)</f>
        <v/>
      </c>
      <c r="M48" s="102">
        <f>IF($H48="","",IFERROR(VLOOKUP($H48,'基本設定'!$A$13:$K$19,5,FALSE),0.2))</f>
        <v/>
      </c>
      <c r="N48" s="102">
        <f>IF($B48="","",IF('エネルギーデータ入力'!$L48="","Missing reading",IF($I48=0,"Stalled reading / possibly offline",IF($K48&gt;=IFERROR(VLOOKUP($H48,'基本設定'!$A$13:$K$19,6,FALSE),0.5),"Severe spike",IF($K48&gt;=$M48,"Usage spike",IF($K48&lt;=-IFERROR(VLOOKUP($H48,'基本設定'!$A$13:$K$19,7,FALSE),0.3),"Usage drop",IF($L48&gt;IFERROR(VLOOKUP($H48,'基本設定'!$A$13:$K$19,8,FALSE),999999),"Area intensity overrun","正常")))))))</f>
        <v/>
      </c>
      <c r="O48" s="102">
        <f>IF($N48="","",IF($N48="正常","正常",IF(OR($N48="Severe spike",$K48&gt;=IFERROR(VLOOKUP($H48,'基本設定'!$A$13:$K$19,6,FALSE),0.5)),"重大",IF(OR($N48="Usage spike",$N48="Usage drop"),"高","中"))))</f>
        <v/>
      </c>
      <c r="P48" s="144">
        <f>IF(OR($N48="",$N48="正常"),0,ABS($I48-$J48)*'エネルギーデータ入力'!$O48)</f>
        <v/>
      </c>
      <c r="Q48" s="102">
        <f>IF($N48="正常","",IF($N48="Stalled reading / possibly offline","核查表计通信/電気池/网关/阀门Status",IF(AND($H48="水道",$N48&lt;&gt;"正常"),"检查管网、阀门、卫生间、冷却塔及夜间最小流量",IF(AND($H48="電気",$N48&lt;&gt;"正常"),"检查空调、照明、生产设备、PeakOff-peak时段与待机功耗",IF(AND($H48="ガス",$N48&lt;&gt;"正常"),"检查燃ガス阀门、锅炉/厨房设备与泄漏风险","核查设备工况、排班、产量与计量数据")))))</f>
        <v/>
      </c>
      <c r="R48" s="102">
        <f>IF($H48="","",IFERROR(VLOOKUP($H48,'基本設定'!$A$13:$K$19,11,FALSE),"Energy management owner"))</f>
        <v/>
      </c>
      <c r="S48" s="102">
        <f>IF($N48="","",IF($N48="正常","対応不要","未対応"))</f>
        <v/>
      </c>
      <c r="T48" s="141">
        <f>IF(OR($B48="",$N48="正常"),"",WORKDAY($B48,IF($O48="重大",1,IF($O48="高",2,3))))</f>
        <v/>
      </c>
      <c r="U48" s="102">
        <f>IF($T48="","",IF(AND($S48&lt;&gt;"完了",TODAY()&gt;$T48),"期限超過","期限内"))</f>
        <v/>
      </c>
      <c r="V48" s="102" t="n"/>
      <c r="W48" s="141" t="n"/>
      <c r="X48" s="102" t="n"/>
    </row>
    <row r="49">
      <c r="A49" s="102">
        <f>IF('エネルギーデータ入力'!$A49="","","AL-"&amp;TEXT(ROW()-5,"0000"))</f>
        <v/>
      </c>
      <c r="B49" s="141">
        <f>IF('エネルギーデータ入力'!$B49="","",'エネルギーデータ入力'!$B49)</f>
        <v/>
      </c>
      <c r="C49" s="102">
        <f>IF('エネルギーデータ入力'!$C49="","",'エネルギーデータ入力'!$C49)</f>
        <v/>
      </c>
      <c r="D49" s="102">
        <f>IF('エネルギーデータ入力'!$D49="","",'エネルギーデータ入力'!$D49)</f>
        <v/>
      </c>
      <c r="E49" s="102">
        <f>IF('エネルギーデータ入力'!$E49="","",'エネルギーデータ入力'!$E49)</f>
        <v/>
      </c>
      <c r="F49" s="102">
        <f>IF('エネルギーデータ入力'!$G49="","",'エネルギーデータ入力'!$G49)</f>
        <v/>
      </c>
      <c r="G49" s="102">
        <f>IF('エネルギーデータ入力'!$H49="","",'エネルギーデータ入力'!$H49)</f>
        <v/>
      </c>
      <c r="H49" s="102">
        <f>IF('エネルギーデータ入力'!$J49="","",'エネルギーデータ入力'!$J49)</f>
        <v/>
      </c>
      <c r="I49" s="142">
        <f>IF('エネルギーデータ入力'!$N49="","",'エネルギーデータ入力'!$N49)</f>
        <v/>
      </c>
      <c r="J49" s="142">
        <f>IF($B49="","",IFERROR(AVERAGEIFS('エネルギーデータ入力'!$N$6:$N$205,'エネルギーデータ入力'!$B$6:$B$205,"&gt;="&amp;$B49-7,'エネルギーデータ入力'!$B$6:$B$205,"&lt;"&amp;$B49,'エネルギーデータ入力'!$H$6:$H$205,$G49,'エネルギーデータ入力'!$J$6:$J$205,$H49),$I49))</f>
        <v/>
      </c>
      <c r="K49" s="143">
        <f>IFERROR(($I49-$J49)/$J49,"")</f>
        <v/>
      </c>
      <c r="L49" s="102">
        <f>IF('エネルギーデータ入力'!$V49="","",'エネルギーデータ入力'!$V49)</f>
        <v/>
      </c>
      <c r="M49" s="102">
        <f>IF($H49="","",IFERROR(VLOOKUP($H49,'基本設定'!$A$13:$K$19,5,FALSE),0.2))</f>
        <v/>
      </c>
      <c r="N49" s="102">
        <f>IF($B49="","",IF('エネルギーデータ入力'!$L49="","Missing reading",IF($I49=0,"Stalled reading / possibly offline",IF($K49&gt;=IFERROR(VLOOKUP($H49,'基本設定'!$A$13:$K$19,6,FALSE),0.5),"Severe spike",IF($K49&gt;=$M49,"Usage spike",IF($K49&lt;=-IFERROR(VLOOKUP($H49,'基本設定'!$A$13:$K$19,7,FALSE),0.3),"Usage drop",IF($L49&gt;IFERROR(VLOOKUP($H49,'基本設定'!$A$13:$K$19,8,FALSE),999999),"Area intensity overrun","正常")))))))</f>
        <v/>
      </c>
      <c r="O49" s="102">
        <f>IF($N49="","",IF($N49="正常","正常",IF(OR($N49="Severe spike",$K49&gt;=IFERROR(VLOOKUP($H49,'基本設定'!$A$13:$K$19,6,FALSE),0.5)),"重大",IF(OR($N49="Usage spike",$N49="Usage drop"),"高","中"))))</f>
        <v/>
      </c>
      <c r="P49" s="144">
        <f>IF(OR($N49="",$N49="正常"),0,ABS($I49-$J49)*'エネルギーデータ入力'!$O49)</f>
        <v/>
      </c>
      <c r="Q49" s="102">
        <f>IF($N49="正常","",IF($N49="Stalled reading / possibly offline","核查表计通信/電気池/网关/阀门Status",IF(AND($H49="水道",$N49&lt;&gt;"正常"),"检查管网、阀门、卫生间、冷却塔及夜间最小流量",IF(AND($H49="電気",$N49&lt;&gt;"正常"),"检查空调、照明、生产设备、PeakOff-peak时段与待机功耗",IF(AND($H49="ガス",$N49&lt;&gt;"正常"),"检查燃ガス阀门、锅炉/厨房设备与泄漏风险","核查设备工况、排班、产量与计量数据")))))</f>
        <v/>
      </c>
      <c r="R49" s="102">
        <f>IF($H49="","",IFERROR(VLOOKUP($H49,'基本設定'!$A$13:$K$19,11,FALSE),"Energy management owner"))</f>
        <v/>
      </c>
      <c r="S49" s="102">
        <f>IF($N49="","",IF($N49="正常","対応不要","未対応"))</f>
        <v/>
      </c>
      <c r="T49" s="141">
        <f>IF(OR($B49="",$N49="正常"),"",WORKDAY($B49,IF($O49="重大",1,IF($O49="高",2,3))))</f>
        <v/>
      </c>
      <c r="U49" s="102">
        <f>IF($T49="","",IF(AND($S49&lt;&gt;"完了",TODAY()&gt;$T49),"期限超過","期限内"))</f>
        <v/>
      </c>
      <c r="V49" s="102" t="n"/>
      <c r="W49" s="141" t="n"/>
      <c r="X49" s="102" t="n"/>
    </row>
    <row r="50">
      <c r="A50" s="102">
        <f>IF('エネルギーデータ入力'!$A50="","","AL-"&amp;TEXT(ROW()-5,"0000"))</f>
        <v/>
      </c>
      <c r="B50" s="141">
        <f>IF('エネルギーデータ入力'!$B50="","",'エネルギーデータ入力'!$B50)</f>
        <v/>
      </c>
      <c r="C50" s="102">
        <f>IF('エネルギーデータ入力'!$C50="","",'エネルギーデータ入力'!$C50)</f>
        <v/>
      </c>
      <c r="D50" s="102">
        <f>IF('エネルギーデータ入力'!$D50="","",'エネルギーデータ入力'!$D50)</f>
        <v/>
      </c>
      <c r="E50" s="102">
        <f>IF('エネルギーデータ入力'!$E50="","",'エネルギーデータ入力'!$E50)</f>
        <v/>
      </c>
      <c r="F50" s="102">
        <f>IF('エネルギーデータ入力'!$G50="","",'エネルギーデータ入力'!$G50)</f>
        <v/>
      </c>
      <c r="G50" s="102">
        <f>IF('エネルギーデータ入力'!$H50="","",'エネルギーデータ入力'!$H50)</f>
        <v/>
      </c>
      <c r="H50" s="102">
        <f>IF('エネルギーデータ入力'!$J50="","",'エネルギーデータ入力'!$J50)</f>
        <v/>
      </c>
      <c r="I50" s="142">
        <f>IF('エネルギーデータ入力'!$N50="","",'エネルギーデータ入力'!$N50)</f>
        <v/>
      </c>
      <c r="J50" s="142">
        <f>IF($B50="","",IFERROR(AVERAGEIFS('エネルギーデータ入力'!$N$6:$N$205,'エネルギーデータ入力'!$B$6:$B$205,"&gt;="&amp;$B50-7,'エネルギーデータ入力'!$B$6:$B$205,"&lt;"&amp;$B50,'エネルギーデータ入力'!$H$6:$H$205,$G50,'エネルギーデータ入力'!$J$6:$J$205,$H50),$I50))</f>
        <v/>
      </c>
      <c r="K50" s="143">
        <f>IFERROR(($I50-$J50)/$J50,"")</f>
        <v/>
      </c>
      <c r="L50" s="102">
        <f>IF('エネルギーデータ入力'!$V50="","",'エネルギーデータ入力'!$V50)</f>
        <v/>
      </c>
      <c r="M50" s="102">
        <f>IF($H50="","",IFERROR(VLOOKUP($H50,'基本設定'!$A$13:$K$19,5,FALSE),0.2))</f>
        <v/>
      </c>
      <c r="N50" s="102">
        <f>IF($B50="","",IF('エネルギーデータ入力'!$L50="","Missing reading",IF($I50=0,"Stalled reading / possibly offline",IF($K50&gt;=IFERROR(VLOOKUP($H50,'基本設定'!$A$13:$K$19,6,FALSE),0.5),"Severe spike",IF($K50&gt;=$M50,"Usage spike",IF($K50&lt;=-IFERROR(VLOOKUP($H50,'基本設定'!$A$13:$K$19,7,FALSE),0.3),"Usage drop",IF($L50&gt;IFERROR(VLOOKUP($H50,'基本設定'!$A$13:$K$19,8,FALSE),999999),"Area intensity overrun","正常")))))))</f>
        <v/>
      </c>
      <c r="O50" s="102">
        <f>IF($N50="","",IF($N50="正常","正常",IF(OR($N50="Severe spike",$K50&gt;=IFERROR(VLOOKUP($H50,'基本設定'!$A$13:$K$19,6,FALSE),0.5)),"重大",IF(OR($N50="Usage spike",$N50="Usage drop"),"高","中"))))</f>
        <v/>
      </c>
      <c r="P50" s="144">
        <f>IF(OR($N50="",$N50="正常"),0,ABS($I50-$J50)*'エネルギーデータ入力'!$O50)</f>
        <v/>
      </c>
      <c r="Q50" s="102">
        <f>IF($N50="正常","",IF($N50="Stalled reading / possibly offline","核查表计通信/電気池/网关/阀门Status",IF(AND($H50="水道",$N50&lt;&gt;"正常"),"检查管网、阀门、卫生间、冷却塔及夜间最小流量",IF(AND($H50="電気",$N50&lt;&gt;"正常"),"检查空调、照明、生产设备、PeakOff-peak时段与待机功耗",IF(AND($H50="ガス",$N50&lt;&gt;"正常"),"检查燃ガス阀门、锅炉/厨房设备与泄漏风险","核查设备工况、排班、产量与计量数据")))))</f>
        <v/>
      </c>
      <c r="R50" s="102">
        <f>IF($H50="","",IFERROR(VLOOKUP($H50,'基本設定'!$A$13:$K$19,11,FALSE),"Energy management owner"))</f>
        <v/>
      </c>
      <c r="S50" s="102">
        <f>IF($N50="","",IF($N50="正常","対応不要","未対応"))</f>
        <v/>
      </c>
      <c r="T50" s="141">
        <f>IF(OR($B50="",$N50="正常"),"",WORKDAY($B50,IF($O50="重大",1,IF($O50="高",2,3))))</f>
        <v/>
      </c>
      <c r="U50" s="102">
        <f>IF($T50="","",IF(AND($S50&lt;&gt;"完了",TODAY()&gt;$T50),"期限超過","期限内"))</f>
        <v/>
      </c>
      <c r="V50" s="102" t="n"/>
      <c r="W50" s="141" t="n"/>
      <c r="X50" s="102" t="n"/>
    </row>
    <row r="51">
      <c r="A51" s="102">
        <f>IF('エネルギーデータ入力'!$A51="","","AL-"&amp;TEXT(ROW()-5,"0000"))</f>
        <v/>
      </c>
      <c r="B51" s="141">
        <f>IF('エネルギーデータ入力'!$B51="","",'エネルギーデータ入力'!$B51)</f>
        <v/>
      </c>
      <c r="C51" s="102">
        <f>IF('エネルギーデータ入力'!$C51="","",'エネルギーデータ入力'!$C51)</f>
        <v/>
      </c>
      <c r="D51" s="102">
        <f>IF('エネルギーデータ入力'!$D51="","",'エネルギーデータ入力'!$D51)</f>
        <v/>
      </c>
      <c r="E51" s="102">
        <f>IF('エネルギーデータ入力'!$E51="","",'エネルギーデータ入力'!$E51)</f>
        <v/>
      </c>
      <c r="F51" s="102">
        <f>IF('エネルギーデータ入力'!$G51="","",'エネルギーデータ入力'!$G51)</f>
        <v/>
      </c>
      <c r="G51" s="102">
        <f>IF('エネルギーデータ入力'!$H51="","",'エネルギーデータ入力'!$H51)</f>
        <v/>
      </c>
      <c r="H51" s="102">
        <f>IF('エネルギーデータ入力'!$J51="","",'エネルギーデータ入力'!$J51)</f>
        <v/>
      </c>
      <c r="I51" s="142">
        <f>IF('エネルギーデータ入力'!$N51="","",'エネルギーデータ入力'!$N51)</f>
        <v/>
      </c>
      <c r="J51" s="142">
        <f>IF($B51="","",IFERROR(AVERAGEIFS('エネルギーデータ入力'!$N$6:$N$205,'エネルギーデータ入力'!$B$6:$B$205,"&gt;="&amp;$B51-7,'エネルギーデータ入力'!$B$6:$B$205,"&lt;"&amp;$B51,'エネルギーデータ入力'!$H$6:$H$205,$G51,'エネルギーデータ入力'!$J$6:$J$205,$H51),$I51))</f>
        <v/>
      </c>
      <c r="K51" s="143">
        <f>IFERROR(($I51-$J51)/$J51,"")</f>
        <v/>
      </c>
      <c r="L51" s="102">
        <f>IF('エネルギーデータ入力'!$V51="","",'エネルギーデータ入力'!$V51)</f>
        <v/>
      </c>
      <c r="M51" s="102">
        <f>IF($H51="","",IFERROR(VLOOKUP($H51,'基本設定'!$A$13:$K$19,5,FALSE),0.2))</f>
        <v/>
      </c>
      <c r="N51" s="102">
        <f>IF($B51="","",IF('エネルギーデータ入力'!$L51="","Missing reading",IF($I51=0,"Stalled reading / possibly offline",IF($K51&gt;=IFERROR(VLOOKUP($H51,'基本設定'!$A$13:$K$19,6,FALSE),0.5),"Severe spike",IF($K51&gt;=$M51,"Usage spike",IF($K51&lt;=-IFERROR(VLOOKUP($H51,'基本設定'!$A$13:$K$19,7,FALSE),0.3),"Usage drop",IF($L51&gt;IFERROR(VLOOKUP($H51,'基本設定'!$A$13:$K$19,8,FALSE),999999),"Area intensity overrun","正常")))))))</f>
        <v/>
      </c>
      <c r="O51" s="102">
        <f>IF($N51="","",IF($N51="正常","正常",IF(OR($N51="Severe spike",$K51&gt;=IFERROR(VLOOKUP($H51,'基本設定'!$A$13:$K$19,6,FALSE),0.5)),"重大",IF(OR($N51="Usage spike",$N51="Usage drop"),"高","中"))))</f>
        <v/>
      </c>
      <c r="P51" s="144">
        <f>IF(OR($N51="",$N51="正常"),0,ABS($I51-$J51)*'エネルギーデータ入力'!$O51)</f>
        <v/>
      </c>
      <c r="Q51" s="102">
        <f>IF($N51="正常","",IF($N51="Stalled reading / possibly offline","核查表计通信/電気池/网关/阀门Status",IF(AND($H51="水道",$N51&lt;&gt;"正常"),"检查管网、阀门、卫生间、冷却塔及夜间最小流量",IF(AND($H51="電気",$N51&lt;&gt;"正常"),"检查空调、照明、生产设备、PeakOff-peak时段与待机功耗",IF(AND($H51="ガス",$N51&lt;&gt;"正常"),"检查燃ガス阀门、锅炉/厨房设备与泄漏风险","核查设备工况、排班、产量与计量数据")))))</f>
        <v/>
      </c>
      <c r="R51" s="102">
        <f>IF($H51="","",IFERROR(VLOOKUP($H51,'基本設定'!$A$13:$K$19,11,FALSE),"Energy management owner"))</f>
        <v/>
      </c>
      <c r="S51" s="102">
        <f>IF($N51="","",IF($N51="正常","対応不要","未対応"))</f>
        <v/>
      </c>
      <c r="T51" s="141">
        <f>IF(OR($B51="",$N51="正常"),"",WORKDAY($B51,IF($O51="重大",1,IF($O51="高",2,3))))</f>
        <v/>
      </c>
      <c r="U51" s="102">
        <f>IF($T51="","",IF(AND($S51&lt;&gt;"完了",TODAY()&gt;$T51),"期限超過","期限内"))</f>
        <v/>
      </c>
      <c r="V51" s="102" t="n"/>
      <c r="W51" s="141" t="n"/>
      <c r="X51" s="102" t="n"/>
    </row>
    <row r="52">
      <c r="A52" s="102">
        <f>IF('エネルギーデータ入力'!$A52="","","AL-"&amp;TEXT(ROW()-5,"0000"))</f>
        <v/>
      </c>
      <c r="B52" s="141">
        <f>IF('エネルギーデータ入力'!$B52="","",'エネルギーデータ入力'!$B52)</f>
        <v/>
      </c>
      <c r="C52" s="102">
        <f>IF('エネルギーデータ入力'!$C52="","",'エネルギーデータ入力'!$C52)</f>
        <v/>
      </c>
      <c r="D52" s="102">
        <f>IF('エネルギーデータ入力'!$D52="","",'エネルギーデータ入力'!$D52)</f>
        <v/>
      </c>
      <c r="E52" s="102">
        <f>IF('エネルギーデータ入力'!$E52="","",'エネルギーデータ入力'!$E52)</f>
        <v/>
      </c>
      <c r="F52" s="102">
        <f>IF('エネルギーデータ入力'!$G52="","",'エネルギーデータ入力'!$G52)</f>
        <v/>
      </c>
      <c r="G52" s="102">
        <f>IF('エネルギーデータ入力'!$H52="","",'エネルギーデータ入力'!$H52)</f>
        <v/>
      </c>
      <c r="H52" s="102">
        <f>IF('エネルギーデータ入力'!$J52="","",'エネルギーデータ入力'!$J52)</f>
        <v/>
      </c>
      <c r="I52" s="142">
        <f>IF('エネルギーデータ入力'!$N52="","",'エネルギーデータ入力'!$N52)</f>
        <v/>
      </c>
      <c r="J52" s="142">
        <f>IF($B52="","",IFERROR(AVERAGEIFS('エネルギーデータ入力'!$N$6:$N$205,'エネルギーデータ入力'!$B$6:$B$205,"&gt;="&amp;$B52-7,'エネルギーデータ入力'!$B$6:$B$205,"&lt;"&amp;$B52,'エネルギーデータ入力'!$H$6:$H$205,$G52,'エネルギーデータ入力'!$J$6:$J$205,$H52),$I52))</f>
        <v/>
      </c>
      <c r="K52" s="143">
        <f>IFERROR(($I52-$J52)/$J52,"")</f>
        <v/>
      </c>
      <c r="L52" s="102">
        <f>IF('エネルギーデータ入力'!$V52="","",'エネルギーデータ入力'!$V52)</f>
        <v/>
      </c>
      <c r="M52" s="102">
        <f>IF($H52="","",IFERROR(VLOOKUP($H52,'基本設定'!$A$13:$K$19,5,FALSE),0.2))</f>
        <v/>
      </c>
      <c r="N52" s="102">
        <f>IF($B52="","",IF('エネルギーデータ入力'!$L52="","Missing reading",IF($I52=0,"Stalled reading / possibly offline",IF($K52&gt;=IFERROR(VLOOKUP($H52,'基本設定'!$A$13:$K$19,6,FALSE),0.5),"Severe spike",IF($K52&gt;=$M52,"Usage spike",IF($K52&lt;=-IFERROR(VLOOKUP($H52,'基本設定'!$A$13:$K$19,7,FALSE),0.3),"Usage drop",IF($L52&gt;IFERROR(VLOOKUP($H52,'基本設定'!$A$13:$K$19,8,FALSE),999999),"Area intensity overrun","正常")))))))</f>
        <v/>
      </c>
      <c r="O52" s="102">
        <f>IF($N52="","",IF($N52="正常","正常",IF(OR($N52="Severe spike",$K52&gt;=IFERROR(VLOOKUP($H52,'基本設定'!$A$13:$K$19,6,FALSE),0.5)),"重大",IF(OR($N52="Usage spike",$N52="Usage drop"),"高","中"))))</f>
        <v/>
      </c>
      <c r="P52" s="144">
        <f>IF(OR($N52="",$N52="正常"),0,ABS($I52-$J52)*'エネルギーデータ入力'!$O52)</f>
        <v/>
      </c>
      <c r="Q52" s="102">
        <f>IF($N52="正常","",IF($N52="Stalled reading / possibly offline","核查表计通信/電気池/网关/阀门Status",IF(AND($H52="水道",$N52&lt;&gt;"正常"),"检查管网、阀门、卫生间、冷却塔及夜间最小流量",IF(AND($H52="電気",$N52&lt;&gt;"正常"),"检查空调、照明、生产设备、PeakOff-peak时段与待机功耗",IF(AND($H52="ガス",$N52&lt;&gt;"正常"),"检查燃ガス阀门、锅炉/厨房设备与泄漏风险","核查设备工况、排班、产量与计量数据")))))</f>
        <v/>
      </c>
      <c r="R52" s="102">
        <f>IF($H52="","",IFERROR(VLOOKUP($H52,'基本設定'!$A$13:$K$19,11,FALSE),"Energy management owner"))</f>
        <v/>
      </c>
      <c r="S52" s="102">
        <f>IF($N52="","",IF($N52="正常","対応不要","未対応"))</f>
        <v/>
      </c>
      <c r="T52" s="141">
        <f>IF(OR($B52="",$N52="正常"),"",WORKDAY($B52,IF($O52="重大",1,IF($O52="高",2,3))))</f>
        <v/>
      </c>
      <c r="U52" s="102">
        <f>IF($T52="","",IF(AND($S52&lt;&gt;"完了",TODAY()&gt;$T52),"期限超過","期限内"))</f>
        <v/>
      </c>
      <c r="V52" s="102" t="n"/>
      <c r="W52" s="141" t="n"/>
      <c r="X52" s="102" t="n"/>
    </row>
    <row r="53">
      <c r="A53" s="102">
        <f>IF('エネルギーデータ入力'!$A53="","","AL-"&amp;TEXT(ROW()-5,"0000"))</f>
        <v/>
      </c>
      <c r="B53" s="141">
        <f>IF('エネルギーデータ入力'!$B53="","",'エネルギーデータ入力'!$B53)</f>
        <v/>
      </c>
      <c r="C53" s="102">
        <f>IF('エネルギーデータ入力'!$C53="","",'エネルギーデータ入力'!$C53)</f>
        <v/>
      </c>
      <c r="D53" s="102">
        <f>IF('エネルギーデータ入力'!$D53="","",'エネルギーデータ入力'!$D53)</f>
        <v/>
      </c>
      <c r="E53" s="102">
        <f>IF('エネルギーデータ入力'!$E53="","",'エネルギーデータ入力'!$E53)</f>
        <v/>
      </c>
      <c r="F53" s="102">
        <f>IF('エネルギーデータ入力'!$G53="","",'エネルギーデータ入力'!$G53)</f>
        <v/>
      </c>
      <c r="G53" s="102">
        <f>IF('エネルギーデータ入力'!$H53="","",'エネルギーデータ入力'!$H53)</f>
        <v/>
      </c>
      <c r="H53" s="102">
        <f>IF('エネルギーデータ入力'!$J53="","",'エネルギーデータ入力'!$J53)</f>
        <v/>
      </c>
      <c r="I53" s="142">
        <f>IF('エネルギーデータ入力'!$N53="","",'エネルギーデータ入力'!$N53)</f>
        <v/>
      </c>
      <c r="J53" s="142">
        <f>IF($B53="","",IFERROR(AVERAGEIFS('エネルギーデータ入力'!$N$6:$N$205,'エネルギーデータ入力'!$B$6:$B$205,"&gt;="&amp;$B53-7,'エネルギーデータ入力'!$B$6:$B$205,"&lt;"&amp;$B53,'エネルギーデータ入力'!$H$6:$H$205,$G53,'エネルギーデータ入力'!$J$6:$J$205,$H53),$I53))</f>
        <v/>
      </c>
      <c r="K53" s="143">
        <f>IFERROR(($I53-$J53)/$J53,"")</f>
        <v/>
      </c>
      <c r="L53" s="102">
        <f>IF('エネルギーデータ入力'!$V53="","",'エネルギーデータ入力'!$V53)</f>
        <v/>
      </c>
      <c r="M53" s="102">
        <f>IF($H53="","",IFERROR(VLOOKUP($H53,'基本設定'!$A$13:$K$19,5,FALSE),0.2))</f>
        <v/>
      </c>
      <c r="N53" s="102">
        <f>IF($B53="","",IF('エネルギーデータ入力'!$L53="","Missing reading",IF($I53=0,"Stalled reading / possibly offline",IF($K53&gt;=IFERROR(VLOOKUP($H53,'基本設定'!$A$13:$K$19,6,FALSE),0.5),"Severe spike",IF($K53&gt;=$M53,"Usage spike",IF($K53&lt;=-IFERROR(VLOOKUP($H53,'基本設定'!$A$13:$K$19,7,FALSE),0.3),"Usage drop",IF($L53&gt;IFERROR(VLOOKUP($H53,'基本設定'!$A$13:$K$19,8,FALSE),999999),"Area intensity overrun","正常")))))))</f>
        <v/>
      </c>
      <c r="O53" s="102">
        <f>IF($N53="","",IF($N53="正常","正常",IF(OR($N53="Severe spike",$K53&gt;=IFERROR(VLOOKUP($H53,'基本設定'!$A$13:$K$19,6,FALSE),0.5)),"重大",IF(OR($N53="Usage spike",$N53="Usage drop"),"高","中"))))</f>
        <v/>
      </c>
      <c r="P53" s="144">
        <f>IF(OR($N53="",$N53="正常"),0,ABS($I53-$J53)*'エネルギーデータ入力'!$O53)</f>
        <v/>
      </c>
      <c r="Q53" s="102">
        <f>IF($N53="正常","",IF($N53="Stalled reading / possibly offline","核查表计通信/電気池/网关/阀门Status",IF(AND($H53="水道",$N53&lt;&gt;"正常"),"检查管网、阀门、卫生间、冷却塔及夜间最小流量",IF(AND($H53="電気",$N53&lt;&gt;"正常"),"检查空调、照明、生产设备、PeakOff-peak时段与待机功耗",IF(AND($H53="ガス",$N53&lt;&gt;"正常"),"检查燃ガス阀门、锅炉/厨房设备与泄漏风险","核查设备工况、排班、产量与计量数据")))))</f>
        <v/>
      </c>
      <c r="R53" s="102">
        <f>IF($H53="","",IFERROR(VLOOKUP($H53,'基本設定'!$A$13:$K$19,11,FALSE),"Energy management owner"))</f>
        <v/>
      </c>
      <c r="S53" s="102">
        <f>IF($N53="","",IF($N53="正常","対応不要","未対応"))</f>
        <v/>
      </c>
      <c r="T53" s="141">
        <f>IF(OR($B53="",$N53="正常"),"",WORKDAY($B53,IF($O53="重大",1,IF($O53="高",2,3))))</f>
        <v/>
      </c>
      <c r="U53" s="102">
        <f>IF($T53="","",IF(AND($S53&lt;&gt;"完了",TODAY()&gt;$T53),"期限超過","期限内"))</f>
        <v/>
      </c>
      <c r="V53" s="102" t="n"/>
      <c r="W53" s="141" t="n"/>
      <c r="X53" s="102" t="n"/>
    </row>
    <row r="54">
      <c r="A54" s="102">
        <f>IF('エネルギーデータ入力'!$A54="","","AL-"&amp;TEXT(ROW()-5,"0000"))</f>
        <v/>
      </c>
      <c r="B54" s="141">
        <f>IF('エネルギーデータ入力'!$B54="","",'エネルギーデータ入力'!$B54)</f>
        <v/>
      </c>
      <c r="C54" s="102">
        <f>IF('エネルギーデータ入力'!$C54="","",'エネルギーデータ入力'!$C54)</f>
        <v/>
      </c>
      <c r="D54" s="102">
        <f>IF('エネルギーデータ入力'!$D54="","",'エネルギーデータ入力'!$D54)</f>
        <v/>
      </c>
      <c r="E54" s="102">
        <f>IF('エネルギーデータ入力'!$E54="","",'エネルギーデータ入力'!$E54)</f>
        <v/>
      </c>
      <c r="F54" s="102">
        <f>IF('エネルギーデータ入力'!$G54="","",'エネルギーデータ入力'!$G54)</f>
        <v/>
      </c>
      <c r="G54" s="102">
        <f>IF('エネルギーデータ入力'!$H54="","",'エネルギーデータ入力'!$H54)</f>
        <v/>
      </c>
      <c r="H54" s="102">
        <f>IF('エネルギーデータ入力'!$J54="","",'エネルギーデータ入力'!$J54)</f>
        <v/>
      </c>
      <c r="I54" s="142">
        <f>IF('エネルギーデータ入力'!$N54="","",'エネルギーデータ入力'!$N54)</f>
        <v/>
      </c>
      <c r="J54" s="142">
        <f>IF($B54="","",IFERROR(AVERAGEIFS('エネルギーデータ入力'!$N$6:$N$205,'エネルギーデータ入力'!$B$6:$B$205,"&gt;="&amp;$B54-7,'エネルギーデータ入力'!$B$6:$B$205,"&lt;"&amp;$B54,'エネルギーデータ入力'!$H$6:$H$205,$G54,'エネルギーデータ入力'!$J$6:$J$205,$H54),$I54))</f>
        <v/>
      </c>
      <c r="K54" s="143">
        <f>IFERROR(($I54-$J54)/$J54,"")</f>
        <v/>
      </c>
      <c r="L54" s="102">
        <f>IF('エネルギーデータ入力'!$V54="","",'エネルギーデータ入力'!$V54)</f>
        <v/>
      </c>
      <c r="M54" s="102">
        <f>IF($H54="","",IFERROR(VLOOKUP($H54,'基本設定'!$A$13:$K$19,5,FALSE),0.2))</f>
        <v/>
      </c>
      <c r="N54" s="102">
        <f>IF($B54="","",IF('エネルギーデータ入力'!$L54="","Missing reading",IF($I54=0,"Stalled reading / possibly offline",IF($K54&gt;=IFERROR(VLOOKUP($H54,'基本設定'!$A$13:$K$19,6,FALSE),0.5),"Severe spike",IF($K54&gt;=$M54,"Usage spike",IF($K54&lt;=-IFERROR(VLOOKUP($H54,'基本設定'!$A$13:$K$19,7,FALSE),0.3),"Usage drop",IF($L54&gt;IFERROR(VLOOKUP($H54,'基本設定'!$A$13:$K$19,8,FALSE),999999),"Area intensity overrun","正常")))))))</f>
        <v/>
      </c>
      <c r="O54" s="102">
        <f>IF($N54="","",IF($N54="正常","正常",IF(OR($N54="Severe spike",$K54&gt;=IFERROR(VLOOKUP($H54,'基本設定'!$A$13:$K$19,6,FALSE),0.5)),"重大",IF(OR($N54="Usage spike",$N54="Usage drop"),"高","中"))))</f>
        <v/>
      </c>
      <c r="P54" s="144">
        <f>IF(OR($N54="",$N54="正常"),0,ABS($I54-$J54)*'エネルギーデータ入力'!$O54)</f>
        <v/>
      </c>
      <c r="Q54" s="102">
        <f>IF($N54="正常","",IF($N54="Stalled reading / possibly offline","核查表计通信/電気池/网关/阀门Status",IF(AND($H54="水道",$N54&lt;&gt;"正常"),"检查管网、阀门、卫生间、冷却塔及夜间最小流量",IF(AND($H54="電気",$N54&lt;&gt;"正常"),"检查空调、照明、生产设备、PeakOff-peak时段与待机功耗",IF(AND($H54="ガス",$N54&lt;&gt;"正常"),"检查燃ガス阀门、锅炉/厨房设备与泄漏风险","核查设备工况、排班、产量与计量数据")))))</f>
        <v/>
      </c>
      <c r="R54" s="102">
        <f>IF($H54="","",IFERROR(VLOOKUP($H54,'基本設定'!$A$13:$K$19,11,FALSE),"Energy management owner"))</f>
        <v/>
      </c>
      <c r="S54" s="102">
        <f>IF($N54="","",IF($N54="正常","対応不要","未対応"))</f>
        <v/>
      </c>
      <c r="T54" s="141">
        <f>IF(OR($B54="",$N54="正常"),"",WORKDAY($B54,IF($O54="重大",1,IF($O54="高",2,3))))</f>
        <v/>
      </c>
      <c r="U54" s="102">
        <f>IF($T54="","",IF(AND($S54&lt;&gt;"完了",TODAY()&gt;$T54),"期限超過","期限内"))</f>
        <v/>
      </c>
      <c r="V54" s="102" t="n"/>
      <c r="W54" s="141" t="n"/>
      <c r="X54" s="102" t="n"/>
    </row>
    <row r="55">
      <c r="A55" s="102">
        <f>IF('エネルギーデータ入力'!$A55="","","AL-"&amp;TEXT(ROW()-5,"0000"))</f>
        <v/>
      </c>
      <c r="B55" s="141">
        <f>IF('エネルギーデータ入力'!$B55="","",'エネルギーデータ入力'!$B55)</f>
        <v/>
      </c>
      <c r="C55" s="102">
        <f>IF('エネルギーデータ入力'!$C55="","",'エネルギーデータ入力'!$C55)</f>
        <v/>
      </c>
      <c r="D55" s="102">
        <f>IF('エネルギーデータ入力'!$D55="","",'エネルギーデータ入力'!$D55)</f>
        <v/>
      </c>
      <c r="E55" s="102">
        <f>IF('エネルギーデータ入力'!$E55="","",'エネルギーデータ入力'!$E55)</f>
        <v/>
      </c>
      <c r="F55" s="102">
        <f>IF('エネルギーデータ入力'!$G55="","",'エネルギーデータ入力'!$G55)</f>
        <v/>
      </c>
      <c r="G55" s="102">
        <f>IF('エネルギーデータ入力'!$H55="","",'エネルギーデータ入力'!$H55)</f>
        <v/>
      </c>
      <c r="H55" s="102">
        <f>IF('エネルギーデータ入力'!$J55="","",'エネルギーデータ入力'!$J55)</f>
        <v/>
      </c>
      <c r="I55" s="142">
        <f>IF('エネルギーデータ入力'!$N55="","",'エネルギーデータ入力'!$N55)</f>
        <v/>
      </c>
      <c r="J55" s="142">
        <f>IF($B55="","",IFERROR(AVERAGEIFS('エネルギーデータ入力'!$N$6:$N$205,'エネルギーデータ入力'!$B$6:$B$205,"&gt;="&amp;$B55-7,'エネルギーデータ入力'!$B$6:$B$205,"&lt;"&amp;$B55,'エネルギーデータ入力'!$H$6:$H$205,$G55,'エネルギーデータ入力'!$J$6:$J$205,$H55),$I55))</f>
        <v/>
      </c>
      <c r="K55" s="143">
        <f>IFERROR(($I55-$J55)/$J55,"")</f>
        <v/>
      </c>
      <c r="L55" s="102">
        <f>IF('エネルギーデータ入力'!$V55="","",'エネルギーデータ入力'!$V55)</f>
        <v/>
      </c>
      <c r="M55" s="102">
        <f>IF($H55="","",IFERROR(VLOOKUP($H55,'基本設定'!$A$13:$K$19,5,FALSE),0.2))</f>
        <v/>
      </c>
      <c r="N55" s="102">
        <f>IF($B55="","",IF('エネルギーデータ入力'!$L55="","Missing reading",IF($I55=0,"Stalled reading / possibly offline",IF($K55&gt;=IFERROR(VLOOKUP($H55,'基本設定'!$A$13:$K$19,6,FALSE),0.5),"Severe spike",IF($K55&gt;=$M55,"Usage spike",IF($K55&lt;=-IFERROR(VLOOKUP($H55,'基本設定'!$A$13:$K$19,7,FALSE),0.3),"Usage drop",IF($L55&gt;IFERROR(VLOOKUP($H55,'基本設定'!$A$13:$K$19,8,FALSE),999999),"Area intensity overrun","正常")))))))</f>
        <v/>
      </c>
      <c r="O55" s="102">
        <f>IF($N55="","",IF($N55="正常","正常",IF(OR($N55="Severe spike",$K55&gt;=IFERROR(VLOOKUP($H55,'基本設定'!$A$13:$K$19,6,FALSE),0.5)),"重大",IF(OR($N55="Usage spike",$N55="Usage drop"),"高","中"))))</f>
        <v/>
      </c>
      <c r="P55" s="144">
        <f>IF(OR($N55="",$N55="正常"),0,ABS($I55-$J55)*'エネルギーデータ入力'!$O55)</f>
        <v/>
      </c>
      <c r="Q55" s="102">
        <f>IF($N55="正常","",IF($N55="Stalled reading / possibly offline","核查表计通信/電気池/网关/阀门Status",IF(AND($H55="水道",$N55&lt;&gt;"正常"),"检查管网、阀门、卫生间、冷却塔及夜间最小流量",IF(AND($H55="電気",$N55&lt;&gt;"正常"),"检查空调、照明、生产设备、PeakOff-peak时段与待机功耗",IF(AND($H55="ガス",$N55&lt;&gt;"正常"),"检查燃ガス阀门、锅炉/厨房设备与泄漏风险","核查设备工况、排班、产量与计量数据")))))</f>
        <v/>
      </c>
      <c r="R55" s="102">
        <f>IF($H55="","",IFERROR(VLOOKUP($H55,'基本設定'!$A$13:$K$19,11,FALSE),"Energy management owner"))</f>
        <v/>
      </c>
      <c r="S55" s="102">
        <f>IF($N55="","",IF($N55="正常","対応不要","未対応"))</f>
        <v/>
      </c>
      <c r="T55" s="141">
        <f>IF(OR($B55="",$N55="正常"),"",WORKDAY($B55,IF($O55="重大",1,IF($O55="高",2,3))))</f>
        <v/>
      </c>
      <c r="U55" s="102">
        <f>IF($T55="","",IF(AND($S55&lt;&gt;"完了",TODAY()&gt;$T55),"期限超過","期限内"))</f>
        <v/>
      </c>
      <c r="V55" s="102" t="n"/>
      <c r="W55" s="141" t="n"/>
      <c r="X55" s="102" t="n"/>
    </row>
    <row r="56">
      <c r="A56" s="102">
        <f>IF('エネルギーデータ入力'!$A56="","","AL-"&amp;TEXT(ROW()-5,"0000"))</f>
        <v/>
      </c>
      <c r="B56" s="141">
        <f>IF('エネルギーデータ入力'!$B56="","",'エネルギーデータ入力'!$B56)</f>
        <v/>
      </c>
      <c r="C56" s="102">
        <f>IF('エネルギーデータ入力'!$C56="","",'エネルギーデータ入力'!$C56)</f>
        <v/>
      </c>
      <c r="D56" s="102">
        <f>IF('エネルギーデータ入力'!$D56="","",'エネルギーデータ入力'!$D56)</f>
        <v/>
      </c>
      <c r="E56" s="102">
        <f>IF('エネルギーデータ入力'!$E56="","",'エネルギーデータ入力'!$E56)</f>
        <v/>
      </c>
      <c r="F56" s="102">
        <f>IF('エネルギーデータ入力'!$G56="","",'エネルギーデータ入力'!$G56)</f>
        <v/>
      </c>
      <c r="G56" s="102">
        <f>IF('エネルギーデータ入力'!$H56="","",'エネルギーデータ入力'!$H56)</f>
        <v/>
      </c>
      <c r="H56" s="102">
        <f>IF('エネルギーデータ入力'!$J56="","",'エネルギーデータ入力'!$J56)</f>
        <v/>
      </c>
      <c r="I56" s="142">
        <f>IF('エネルギーデータ入力'!$N56="","",'エネルギーデータ入力'!$N56)</f>
        <v/>
      </c>
      <c r="J56" s="142">
        <f>IF($B56="","",IFERROR(AVERAGEIFS('エネルギーデータ入力'!$N$6:$N$205,'エネルギーデータ入力'!$B$6:$B$205,"&gt;="&amp;$B56-7,'エネルギーデータ入力'!$B$6:$B$205,"&lt;"&amp;$B56,'エネルギーデータ入力'!$H$6:$H$205,$G56,'エネルギーデータ入力'!$J$6:$J$205,$H56),$I56))</f>
        <v/>
      </c>
      <c r="K56" s="143">
        <f>IFERROR(($I56-$J56)/$J56,"")</f>
        <v/>
      </c>
      <c r="L56" s="102">
        <f>IF('エネルギーデータ入力'!$V56="","",'エネルギーデータ入力'!$V56)</f>
        <v/>
      </c>
      <c r="M56" s="102">
        <f>IF($H56="","",IFERROR(VLOOKUP($H56,'基本設定'!$A$13:$K$19,5,FALSE),0.2))</f>
        <v/>
      </c>
      <c r="N56" s="102">
        <f>IF($B56="","",IF('エネルギーデータ入力'!$L56="","Missing reading",IF($I56=0,"Stalled reading / possibly offline",IF($K56&gt;=IFERROR(VLOOKUP($H56,'基本設定'!$A$13:$K$19,6,FALSE),0.5),"Severe spike",IF($K56&gt;=$M56,"Usage spike",IF($K56&lt;=-IFERROR(VLOOKUP($H56,'基本設定'!$A$13:$K$19,7,FALSE),0.3),"Usage drop",IF($L56&gt;IFERROR(VLOOKUP($H56,'基本設定'!$A$13:$K$19,8,FALSE),999999),"Area intensity overrun","正常")))))))</f>
        <v/>
      </c>
      <c r="O56" s="102">
        <f>IF($N56="","",IF($N56="正常","正常",IF(OR($N56="Severe spike",$K56&gt;=IFERROR(VLOOKUP($H56,'基本設定'!$A$13:$K$19,6,FALSE),0.5)),"重大",IF(OR($N56="Usage spike",$N56="Usage drop"),"高","中"))))</f>
        <v/>
      </c>
      <c r="P56" s="144">
        <f>IF(OR($N56="",$N56="正常"),0,ABS($I56-$J56)*'エネルギーデータ入力'!$O56)</f>
        <v/>
      </c>
      <c r="Q56" s="102">
        <f>IF($N56="正常","",IF($N56="Stalled reading / possibly offline","核查表计通信/電気池/网关/阀门Status",IF(AND($H56="水道",$N56&lt;&gt;"正常"),"检查管网、阀门、卫生间、冷却塔及夜间最小流量",IF(AND($H56="電気",$N56&lt;&gt;"正常"),"检查空调、照明、生产设备、PeakOff-peak时段与待机功耗",IF(AND($H56="ガス",$N56&lt;&gt;"正常"),"检查燃ガス阀门、锅炉/厨房设备与泄漏风险","核查设备工况、排班、产量与计量数据")))))</f>
        <v/>
      </c>
      <c r="R56" s="102">
        <f>IF($H56="","",IFERROR(VLOOKUP($H56,'基本設定'!$A$13:$K$19,11,FALSE),"Energy management owner"))</f>
        <v/>
      </c>
      <c r="S56" s="102">
        <f>IF($N56="","",IF($N56="正常","対応不要","未対応"))</f>
        <v/>
      </c>
      <c r="T56" s="141">
        <f>IF(OR($B56="",$N56="正常"),"",WORKDAY($B56,IF($O56="重大",1,IF($O56="高",2,3))))</f>
        <v/>
      </c>
      <c r="U56" s="102">
        <f>IF($T56="","",IF(AND($S56&lt;&gt;"完了",TODAY()&gt;$T56),"期限超過","期限内"))</f>
        <v/>
      </c>
      <c r="V56" s="102" t="n"/>
      <c r="W56" s="141" t="n"/>
      <c r="X56" s="102" t="n"/>
    </row>
    <row r="57">
      <c r="A57" s="102">
        <f>IF('エネルギーデータ入力'!$A57="","","AL-"&amp;TEXT(ROW()-5,"0000"))</f>
        <v/>
      </c>
      <c r="B57" s="141">
        <f>IF('エネルギーデータ入力'!$B57="","",'エネルギーデータ入力'!$B57)</f>
        <v/>
      </c>
      <c r="C57" s="102">
        <f>IF('エネルギーデータ入力'!$C57="","",'エネルギーデータ入力'!$C57)</f>
        <v/>
      </c>
      <c r="D57" s="102">
        <f>IF('エネルギーデータ入力'!$D57="","",'エネルギーデータ入力'!$D57)</f>
        <v/>
      </c>
      <c r="E57" s="102">
        <f>IF('エネルギーデータ入力'!$E57="","",'エネルギーデータ入力'!$E57)</f>
        <v/>
      </c>
      <c r="F57" s="102">
        <f>IF('エネルギーデータ入力'!$G57="","",'エネルギーデータ入力'!$G57)</f>
        <v/>
      </c>
      <c r="G57" s="102">
        <f>IF('エネルギーデータ入力'!$H57="","",'エネルギーデータ入力'!$H57)</f>
        <v/>
      </c>
      <c r="H57" s="102">
        <f>IF('エネルギーデータ入力'!$J57="","",'エネルギーデータ入力'!$J57)</f>
        <v/>
      </c>
      <c r="I57" s="142">
        <f>IF('エネルギーデータ入力'!$N57="","",'エネルギーデータ入力'!$N57)</f>
        <v/>
      </c>
      <c r="J57" s="142">
        <f>IF($B57="","",IFERROR(AVERAGEIFS('エネルギーデータ入力'!$N$6:$N$205,'エネルギーデータ入力'!$B$6:$B$205,"&gt;="&amp;$B57-7,'エネルギーデータ入力'!$B$6:$B$205,"&lt;"&amp;$B57,'エネルギーデータ入力'!$H$6:$H$205,$G57,'エネルギーデータ入力'!$J$6:$J$205,$H57),$I57))</f>
        <v/>
      </c>
      <c r="K57" s="143">
        <f>IFERROR(($I57-$J57)/$J57,"")</f>
        <v/>
      </c>
      <c r="L57" s="102">
        <f>IF('エネルギーデータ入力'!$V57="","",'エネルギーデータ入力'!$V57)</f>
        <v/>
      </c>
      <c r="M57" s="102">
        <f>IF($H57="","",IFERROR(VLOOKUP($H57,'基本設定'!$A$13:$K$19,5,FALSE),0.2))</f>
        <v/>
      </c>
      <c r="N57" s="102">
        <f>IF($B57="","",IF('エネルギーデータ入力'!$L57="","Missing reading",IF($I57=0,"Stalled reading / possibly offline",IF($K57&gt;=IFERROR(VLOOKUP($H57,'基本設定'!$A$13:$K$19,6,FALSE),0.5),"Severe spike",IF($K57&gt;=$M57,"Usage spike",IF($K57&lt;=-IFERROR(VLOOKUP($H57,'基本設定'!$A$13:$K$19,7,FALSE),0.3),"Usage drop",IF($L57&gt;IFERROR(VLOOKUP($H57,'基本設定'!$A$13:$K$19,8,FALSE),999999),"Area intensity overrun","正常")))))))</f>
        <v/>
      </c>
      <c r="O57" s="102">
        <f>IF($N57="","",IF($N57="正常","正常",IF(OR($N57="Severe spike",$K57&gt;=IFERROR(VLOOKUP($H57,'基本設定'!$A$13:$K$19,6,FALSE),0.5)),"重大",IF(OR($N57="Usage spike",$N57="Usage drop"),"高","中"))))</f>
        <v/>
      </c>
      <c r="P57" s="144">
        <f>IF(OR($N57="",$N57="正常"),0,ABS($I57-$J57)*'エネルギーデータ入力'!$O57)</f>
        <v/>
      </c>
      <c r="Q57" s="102">
        <f>IF($N57="正常","",IF($N57="Stalled reading / possibly offline","核查表计通信/電気池/网关/阀门Status",IF(AND($H57="水道",$N57&lt;&gt;"正常"),"检查管网、阀门、卫生间、冷却塔及夜间最小流量",IF(AND($H57="電気",$N57&lt;&gt;"正常"),"检查空调、照明、生产设备、PeakOff-peak时段与待机功耗",IF(AND($H57="ガス",$N57&lt;&gt;"正常"),"检查燃ガス阀门、锅炉/厨房设备与泄漏风险","核查设备工况、排班、产量与计量数据")))))</f>
        <v/>
      </c>
      <c r="R57" s="102">
        <f>IF($H57="","",IFERROR(VLOOKUP($H57,'基本設定'!$A$13:$K$19,11,FALSE),"Energy management owner"))</f>
        <v/>
      </c>
      <c r="S57" s="102">
        <f>IF($N57="","",IF($N57="正常","対応不要","未対応"))</f>
        <v/>
      </c>
      <c r="T57" s="141">
        <f>IF(OR($B57="",$N57="正常"),"",WORKDAY($B57,IF($O57="重大",1,IF($O57="高",2,3))))</f>
        <v/>
      </c>
      <c r="U57" s="102">
        <f>IF($T57="","",IF(AND($S57&lt;&gt;"完了",TODAY()&gt;$T57),"期限超過","期限内"))</f>
        <v/>
      </c>
      <c r="V57" s="102" t="n"/>
      <c r="W57" s="141" t="n"/>
      <c r="X57" s="102" t="n"/>
    </row>
    <row r="58">
      <c r="A58" s="102">
        <f>IF('エネルギーデータ入力'!$A58="","","AL-"&amp;TEXT(ROW()-5,"0000"))</f>
        <v/>
      </c>
      <c r="B58" s="141">
        <f>IF('エネルギーデータ入力'!$B58="","",'エネルギーデータ入力'!$B58)</f>
        <v/>
      </c>
      <c r="C58" s="102">
        <f>IF('エネルギーデータ入力'!$C58="","",'エネルギーデータ入力'!$C58)</f>
        <v/>
      </c>
      <c r="D58" s="102">
        <f>IF('エネルギーデータ入力'!$D58="","",'エネルギーデータ入力'!$D58)</f>
        <v/>
      </c>
      <c r="E58" s="102">
        <f>IF('エネルギーデータ入力'!$E58="","",'エネルギーデータ入力'!$E58)</f>
        <v/>
      </c>
      <c r="F58" s="102">
        <f>IF('エネルギーデータ入力'!$G58="","",'エネルギーデータ入力'!$G58)</f>
        <v/>
      </c>
      <c r="G58" s="102">
        <f>IF('エネルギーデータ入力'!$H58="","",'エネルギーデータ入力'!$H58)</f>
        <v/>
      </c>
      <c r="H58" s="102">
        <f>IF('エネルギーデータ入力'!$J58="","",'エネルギーデータ入力'!$J58)</f>
        <v/>
      </c>
      <c r="I58" s="142">
        <f>IF('エネルギーデータ入力'!$N58="","",'エネルギーデータ入力'!$N58)</f>
        <v/>
      </c>
      <c r="J58" s="142">
        <f>IF($B58="","",IFERROR(AVERAGEIFS('エネルギーデータ入力'!$N$6:$N$205,'エネルギーデータ入力'!$B$6:$B$205,"&gt;="&amp;$B58-7,'エネルギーデータ入力'!$B$6:$B$205,"&lt;"&amp;$B58,'エネルギーデータ入力'!$H$6:$H$205,$G58,'エネルギーデータ入力'!$J$6:$J$205,$H58),$I58))</f>
        <v/>
      </c>
      <c r="K58" s="143">
        <f>IFERROR(($I58-$J58)/$J58,"")</f>
        <v/>
      </c>
      <c r="L58" s="102">
        <f>IF('エネルギーデータ入力'!$V58="","",'エネルギーデータ入力'!$V58)</f>
        <v/>
      </c>
      <c r="M58" s="102">
        <f>IF($H58="","",IFERROR(VLOOKUP($H58,'基本設定'!$A$13:$K$19,5,FALSE),0.2))</f>
        <v/>
      </c>
      <c r="N58" s="102">
        <f>IF($B58="","",IF('エネルギーデータ入力'!$L58="","Missing reading",IF($I58=0,"Stalled reading / possibly offline",IF($K58&gt;=IFERROR(VLOOKUP($H58,'基本設定'!$A$13:$K$19,6,FALSE),0.5),"Severe spike",IF($K58&gt;=$M58,"Usage spike",IF($K58&lt;=-IFERROR(VLOOKUP($H58,'基本設定'!$A$13:$K$19,7,FALSE),0.3),"Usage drop",IF($L58&gt;IFERROR(VLOOKUP($H58,'基本設定'!$A$13:$K$19,8,FALSE),999999),"Area intensity overrun","正常")))))))</f>
        <v/>
      </c>
      <c r="O58" s="102">
        <f>IF($N58="","",IF($N58="正常","正常",IF(OR($N58="Severe spike",$K58&gt;=IFERROR(VLOOKUP($H58,'基本設定'!$A$13:$K$19,6,FALSE),0.5)),"重大",IF(OR($N58="Usage spike",$N58="Usage drop"),"高","中"))))</f>
        <v/>
      </c>
      <c r="P58" s="144">
        <f>IF(OR($N58="",$N58="正常"),0,ABS($I58-$J58)*'エネルギーデータ入力'!$O58)</f>
        <v/>
      </c>
      <c r="Q58" s="102">
        <f>IF($N58="正常","",IF($N58="Stalled reading / possibly offline","核查表计通信/電気池/网关/阀门Status",IF(AND($H58="水道",$N58&lt;&gt;"正常"),"检查管网、阀门、卫生间、冷却塔及夜间最小流量",IF(AND($H58="電気",$N58&lt;&gt;"正常"),"检查空调、照明、生产设备、PeakOff-peak时段与待机功耗",IF(AND($H58="ガス",$N58&lt;&gt;"正常"),"检查燃ガス阀门、锅炉/厨房设备与泄漏风险","核查设备工况、排班、产量与计量数据")))))</f>
        <v/>
      </c>
      <c r="R58" s="102">
        <f>IF($H58="","",IFERROR(VLOOKUP($H58,'基本設定'!$A$13:$K$19,11,FALSE),"Energy management owner"))</f>
        <v/>
      </c>
      <c r="S58" s="102">
        <f>IF($N58="","",IF($N58="正常","対応不要","未対応"))</f>
        <v/>
      </c>
      <c r="T58" s="141">
        <f>IF(OR($B58="",$N58="正常"),"",WORKDAY($B58,IF($O58="重大",1,IF($O58="高",2,3))))</f>
        <v/>
      </c>
      <c r="U58" s="102">
        <f>IF($T58="","",IF(AND($S58&lt;&gt;"完了",TODAY()&gt;$T58),"期限超過","期限内"))</f>
        <v/>
      </c>
      <c r="V58" s="102" t="n"/>
      <c r="W58" s="141" t="n"/>
      <c r="X58" s="102" t="n"/>
    </row>
    <row r="59">
      <c r="A59" s="102">
        <f>IF('エネルギーデータ入力'!$A59="","","AL-"&amp;TEXT(ROW()-5,"0000"))</f>
        <v/>
      </c>
      <c r="B59" s="141">
        <f>IF('エネルギーデータ入力'!$B59="","",'エネルギーデータ入力'!$B59)</f>
        <v/>
      </c>
      <c r="C59" s="102">
        <f>IF('エネルギーデータ入力'!$C59="","",'エネルギーデータ入力'!$C59)</f>
        <v/>
      </c>
      <c r="D59" s="102">
        <f>IF('エネルギーデータ入力'!$D59="","",'エネルギーデータ入力'!$D59)</f>
        <v/>
      </c>
      <c r="E59" s="102">
        <f>IF('エネルギーデータ入力'!$E59="","",'エネルギーデータ入力'!$E59)</f>
        <v/>
      </c>
      <c r="F59" s="102">
        <f>IF('エネルギーデータ入力'!$G59="","",'エネルギーデータ入力'!$G59)</f>
        <v/>
      </c>
      <c r="G59" s="102">
        <f>IF('エネルギーデータ入力'!$H59="","",'エネルギーデータ入力'!$H59)</f>
        <v/>
      </c>
      <c r="H59" s="102">
        <f>IF('エネルギーデータ入力'!$J59="","",'エネルギーデータ入力'!$J59)</f>
        <v/>
      </c>
      <c r="I59" s="142">
        <f>IF('エネルギーデータ入力'!$N59="","",'エネルギーデータ入力'!$N59)</f>
        <v/>
      </c>
      <c r="J59" s="142">
        <f>IF($B59="","",IFERROR(AVERAGEIFS('エネルギーデータ入力'!$N$6:$N$205,'エネルギーデータ入力'!$B$6:$B$205,"&gt;="&amp;$B59-7,'エネルギーデータ入力'!$B$6:$B$205,"&lt;"&amp;$B59,'エネルギーデータ入力'!$H$6:$H$205,$G59,'エネルギーデータ入力'!$J$6:$J$205,$H59),$I59))</f>
        <v/>
      </c>
      <c r="K59" s="143">
        <f>IFERROR(($I59-$J59)/$J59,"")</f>
        <v/>
      </c>
      <c r="L59" s="102">
        <f>IF('エネルギーデータ入力'!$V59="","",'エネルギーデータ入力'!$V59)</f>
        <v/>
      </c>
      <c r="M59" s="102">
        <f>IF($H59="","",IFERROR(VLOOKUP($H59,'基本設定'!$A$13:$K$19,5,FALSE),0.2))</f>
        <v/>
      </c>
      <c r="N59" s="102">
        <f>IF($B59="","",IF('エネルギーデータ入力'!$L59="","Missing reading",IF($I59=0,"Stalled reading / possibly offline",IF($K59&gt;=IFERROR(VLOOKUP($H59,'基本設定'!$A$13:$K$19,6,FALSE),0.5),"Severe spike",IF($K59&gt;=$M59,"Usage spike",IF($K59&lt;=-IFERROR(VLOOKUP($H59,'基本設定'!$A$13:$K$19,7,FALSE),0.3),"Usage drop",IF($L59&gt;IFERROR(VLOOKUP($H59,'基本設定'!$A$13:$K$19,8,FALSE),999999),"Area intensity overrun","正常")))))))</f>
        <v/>
      </c>
      <c r="O59" s="102">
        <f>IF($N59="","",IF($N59="正常","正常",IF(OR($N59="Severe spike",$K59&gt;=IFERROR(VLOOKUP($H59,'基本設定'!$A$13:$K$19,6,FALSE),0.5)),"重大",IF(OR($N59="Usage spike",$N59="Usage drop"),"高","中"))))</f>
        <v/>
      </c>
      <c r="P59" s="144">
        <f>IF(OR($N59="",$N59="正常"),0,ABS($I59-$J59)*'エネルギーデータ入力'!$O59)</f>
        <v/>
      </c>
      <c r="Q59" s="102">
        <f>IF($N59="正常","",IF($N59="Stalled reading / possibly offline","核查表计通信/電気池/网关/阀门Status",IF(AND($H59="水道",$N59&lt;&gt;"正常"),"检查管网、阀门、卫生间、冷却塔及夜间最小流量",IF(AND($H59="電気",$N59&lt;&gt;"正常"),"检查空调、照明、生产设备、PeakOff-peak时段与待机功耗",IF(AND($H59="ガス",$N59&lt;&gt;"正常"),"检查燃ガス阀门、锅炉/厨房设备与泄漏风险","核查设备工况、排班、产量与计量数据")))))</f>
        <v/>
      </c>
      <c r="R59" s="102">
        <f>IF($H59="","",IFERROR(VLOOKUP($H59,'基本設定'!$A$13:$K$19,11,FALSE),"Energy management owner"))</f>
        <v/>
      </c>
      <c r="S59" s="102">
        <f>IF($N59="","",IF($N59="正常","対応不要","未対応"))</f>
        <v/>
      </c>
      <c r="T59" s="141">
        <f>IF(OR($B59="",$N59="正常"),"",WORKDAY($B59,IF($O59="重大",1,IF($O59="高",2,3))))</f>
        <v/>
      </c>
      <c r="U59" s="102">
        <f>IF($T59="","",IF(AND($S59&lt;&gt;"完了",TODAY()&gt;$T59),"期限超過","期限内"))</f>
        <v/>
      </c>
      <c r="V59" s="102" t="n"/>
      <c r="W59" s="141" t="n"/>
      <c r="X59" s="102" t="n"/>
    </row>
    <row r="60">
      <c r="A60" s="102">
        <f>IF('エネルギーデータ入力'!$A60="","","AL-"&amp;TEXT(ROW()-5,"0000"))</f>
        <v/>
      </c>
      <c r="B60" s="141">
        <f>IF('エネルギーデータ入力'!$B60="","",'エネルギーデータ入力'!$B60)</f>
        <v/>
      </c>
      <c r="C60" s="102">
        <f>IF('エネルギーデータ入力'!$C60="","",'エネルギーデータ入力'!$C60)</f>
        <v/>
      </c>
      <c r="D60" s="102">
        <f>IF('エネルギーデータ入力'!$D60="","",'エネルギーデータ入力'!$D60)</f>
        <v/>
      </c>
      <c r="E60" s="102">
        <f>IF('エネルギーデータ入力'!$E60="","",'エネルギーデータ入力'!$E60)</f>
        <v/>
      </c>
      <c r="F60" s="102">
        <f>IF('エネルギーデータ入力'!$G60="","",'エネルギーデータ入力'!$G60)</f>
        <v/>
      </c>
      <c r="G60" s="102">
        <f>IF('エネルギーデータ入力'!$H60="","",'エネルギーデータ入力'!$H60)</f>
        <v/>
      </c>
      <c r="H60" s="102">
        <f>IF('エネルギーデータ入力'!$J60="","",'エネルギーデータ入力'!$J60)</f>
        <v/>
      </c>
      <c r="I60" s="142">
        <f>IF('エネルギーデータ入力'!$N60="","",'エネルギーデータ入力'!$N60)</f>
        <v/>
      </c>
      <c r="J60" s="142">
        <f>IF($B60="","",IFERROR(AVERAGEIFS('エネルギーデータ入力'!$N$6:$N$205,'エネルギーデータ入力'!$B$6:$B$205,"&gt;="&amp;$B60-7,'エネルギーデータ入力'!$B$6:$B$205,"&lt;"&amp;$B60,'エネルギーデータ入力'!$H$6:$H$205,$G60,'エネルギーデータ入力'!$J$6:$J$205,$H60),$I60))</f>
        <v/>
      </c>
      <c r="K60" s="143">
        <f>IFERROR(($I60-$J60)/$J60,"")</f>
        <v/>
      </c>
      <c r="L60" s="102">
        <f>IF('エネルギーデータ入力'!$V60="","",'エネルギーデータ入力'!$V60)</f>
        <v/>
      </c>
      <c r="M60" s="102">
        <f>IF($H60="","",IFERROR(VLOOKUP($H60,'基本設定'!$A$13:$K$19,5,FALSE),0.2))</f>
        <v/>
      </c>
      <c r="N60" s="102">
        <f>IF($B60="","",IF('エネルギーデータ入力'!$L60="","Missing reading",IF($I60=0,"Stalled reading / possibly offline",IF($K60&gt;=IFERROR(VLOOKUP($H60,'基本設定'!$A$13:$K$19,6,FALSE),0.5),"Severe spike",IF($K60&gt;=$M60,"Usage spike",IF($K60&lt;=-IFERROR(VLOOKUP($H60,'基本設定'!$A$13:$K$19,7,FALSE),0.3),"Usage drop",IF($L60&gt;IFERROR(VLOOKUP($H60,'基本設定'!$A$13:$K$19,8,FALSE),999999),"Area intensity overrun","正常")))))))</f>
        <v/>
      </c>
      <c r="O60" s="102">
        <f>IF($N60="","",IF($N60="正常","正常",IF(OR($N60="Severe spike",$K60&gt;=IFERROR(VLOOKUP($H60,'基本設定'!$A$13:$K$19,6,FALSE),0.5)),"重大",IF(OR($N60="Usage spike",$N60="Usage drop"),"高","中"))))</f>
        <v/>
      </c>
      <c r="P60" s="144">
        <f>IF(OR($N60="",$N60="正常"),0,ABS($I60-$J60)*'エネルギーデータ入力'!$O60)</f>
        <v/>
      </c>
      <c r="Q60" s="102">
        <f>IF($N60="正常","",IF($N60="Stalled reading / possibly offline","核查表计通信/電気池/网关/阀门Status",IF(AND($H60="水道",$N60&lt;&gt;"正常"),"检查管网、阀门、卫生间、冷却塔及夜间最小流量",IF(AND($H60="電気",$N60&lt;&gt;"正常"),"检查空调、照明、生产设备、PeakOff-peak时段与待机功耗",IF(AND($H60="ガス",$N60&lt;&gt;"正常"),"检查燃ガス阀门、锅炉/厨房设备与泄漏风险","核查设备工况、排班、产量与计量数据")))))</f>
        <v/>
      </c>
      <c r="R60" s="102">
        <f>IF($H60="","",IFERROR(VLOOKUP($H60,'基本設定'!$A$13:$K$19,11,FALSE),"Energy management owner"))</f>
        <v/>
      </c>
      <c r="S60" s="102">
        <f>IF($N60="","",IF($N60="正常","対応不要","未対応"))</f>
        <v/>
      </c>
      <c r="T60" s="141">
        <f>IF(OR($B60="",$N60="正常"),"",WORKDAY($B60,IF($O60="重大",1,IF($O60="高",2,3))))</f>
        <v/>
      </c>
      <c r="U60" s="102">
        <f>IF($T60="","",IF(AND($S60&lt;&gt;"完了",TODAY()&gt;$T60),"期限超過","期限内"))</f>
        <v/>
      </c>
      <c r="V60" s="102" t="n"/>
      <c r="W60" s="141" t="n"/>
      <c r="X60" s="102" t="n"/>
    </row>
    <row r="61">
      <c r="A61" s="102">
        <f>IF('エネルギーデータ入力'!$A61="","","AL-"&amp;TEXT(ROW()-5,"0000"))</f>
        <v/>
      </c>
      <c r="B61" s="141">
        <f>IF('エネルギーデータ入力'!$B61="","",'エネルギーデータ入力'!$B61)</f>
        <v/>
      </c>
      <c r="C61" s="102">
        <f>IF('エネルギーデータ入力'!$C61="","",'エネルギーデータ入力'!$C61)</f>
        <v/>
      </c>
      <c r="D61" s="102">
        <f>IF('エネルギーデータ入力'!$D61="","",'エネルギーデータ入力'!$D61)</f>
        <v/>
      </c>
      <c r="E61" s="102">
        <f>IF('エネルギーデータ入力'!$E61="","",'エネルギーデータ入力'!$E61)</f>
        <v/>
      </c>
      <c r="F61" s="102">
        <f>IF('エネルギーデータ入力'!$G61="","",'エネルギーデータ入力'!$G61)</f>
        <v/>
      </c>
      <c r="G61" s="102">
        <f>IF('エネルギーデータ入力'!$H61="","",'エネルギーデータ入力'!$H61)</f>
        <v/>
      </c>
      <c r="H61" s="102">
        <f>IF('エネルギーデータ入力'!$J61="","",'エネルギーデータ入力'!$J61)</f>
        <v/>
      </c>
      <c r="I61" s="142">
        <f>IF('エネルギーデータ入力'!$N61="","",'エネルギーデータ入力'!$N61)</f>
        <v/>
      </c>
      <c r="J61" s="142">
        <f>IF($B61="","",IFERROR(AVERAGEIFS('エネルギーデータ入力'!$N$6:$N$205,'エネルギーデータ入力'!$B$6:$B$205,"&gt;="&amp;$B61-7,'エネルギーデータ入力'!$B$6:$B$205,"&lt;"&amp;$B61,'エネルギーデータ入力'!$H$6:$H$205,$G61,'エネルギーデータ入力'!$J$6:$J$205,$H61),$I61))</f>
        <v/>
      </c>
      <c r="K61" s="143">
        <f>IFERROR(($I61-$J61)/$J61,"")</f>
        <v/>
      </c>
      <c r="L61" s="102">
        <f>IF('エネルギーデータ入力'!$V61="","",'エネルギーデータ入力'!$V61)</f>
        <v/>
      </c>
      <c r="M61" s="102">
        <f>IF($H61="","",IFERROR(VLOOKUP($H61,'基本設定'!$A$13:$K$19,5,FALSE),0.2))</f>
        <v/>
      </c>
      <c r="N61" s="102">
        <f>IF($B61="","",IF('エネルギーデータ入力'!$L61="","Missing reading",IF($I61=0,"Stalled reading / possibly offline",IF($K61&gt;=IFERROR(VLOOKUP($H61,'基本設定'!$A$13:$K$19,6,FALSE),0.5),"Severe spike",IF($K61&gt;=$M61,"Usage spike",IF($K61&lt;=-IFERROR(VLOOKUP($H61,'基本設定'!$A$13:$K$19,7,FALSE),0.3),"Usage drop",IF($L61&gt;IFERROR(VLOOKUP($H61,'基本設定'!$A$13:$K$19,8,FALSE),999999),"Area intensity overrun","正常")))))))</f>
        <v/>
      </c>
      <c r="O61" s="102">
        <f>IF($N61="","",IF($N61="正常","正常",IF(OR($N61="Severe spike",$K61&gt;=IFERROR(VLOOKUP($H61,'基本設定'!$A$13:$K$19,6,FALSE),0.5)),"重大",IF(OR($N61="Usage spike",$N61="Usage drop"),"高","中"))))</f>
        <v/>
      </c>
      <c r="P61" s="144">
        <f>IF(OR($N61="",$N61="正常"),0,ABS($I61-$J61)*'エネルギーデータ入力'!$O61)</f>
        <v/>
      </c>
      <c r="Q61" s="102">
        <f>IF($N61="正常","",IF($N61="Stalled reading / possibly offline","核查表计通信/電気池/网关/阀门Status",IF(AND($H61="水道",$N61&lt;&gt;"正常"),"检查管网、阀门、卫生间、冷却塔及夜间最小流量",IF(AND($H61="電気",$N61&lt;&gt;"正常"),"检查空调、照明、生产设备、PeakOff-peak时段与待机功耗",IF(AND($H61="ガス",$N61&lt;&gt;"正常"),"检查燃ガス阀门、锅炉/厨房设备与泄漏风险","核查设备工况、排班、产量与计量数据")))))</f>
        <v/>
      </c>
      <c r="R61" s="102">
        <f>IF($H61="","",IFERROR(VLOOKUP($H61,'基本設定'!$A$13:$K$19,11,FALSE),"Energy management owner"))</f>
        <v/>
      </c>
      <c r="S61" s="102">
        <f>IF($N61="","",IF($N61="正常","対応不要","未対応"))</f>
        <v/>
      </c>
      <c r="T61" s="141">
        <f>IF(OR($B61="",$N61="正常"),"",WORKDAY($B61,IF($O61="重大",1,IF($O61="高",2,3))))</f>
        <v/>
      </c>
      <c r="U61" s="102">
        <f>IF($T61="","",IF(AND($S61&lt;&gt;"完了",TODAY()&gt;$T61),"期限超過","期限内"))</f>
        <v/>
      </c>
      <c r="V61" s="102" t="n"/>
      <c r="W61" s="141" t="n"/>
      <c r="X61" s="102" t="n"/>
    </row>
    <row r="62">
      <c r="A62" s="102">
        <f>IF('エネルギーデータ入力'!$A62="","","AL-"&amp;TEXT(ROW()-5,"0000"))</f>
        <v/>
      </c>
      <c r="B62" s="141">
        <f>IF('エネルギーデータ入力'!$B62="","",'エネルギーデータ入力'!$B62)</f>
        <v/>
      </c>
      <c r="C62" s="102">
        <f>IF('エネルギーデータ入力'!$C62="","",'エネルギーデータ入力'!$C62)</f>
        <v/>
      </c>
      <c r="D62" s="102">
        <f>IF('エネルギーデータ入力'!$D62="","",'エネルギーデータ入力'!$D62)</f>
        <v/>
      </c>
      <c r="E62" s="102">
        <f>IF('エネルギーデータ入力'!$E62="","",'エネルギーデータ入力'!$E62)</f>
        <v/>
      </c>
      <c r="F62" s="102">
        <f>IF('エネルギーデータ入力'!$G62="","",'エネルギーデータ入力'!$G62)</f>
        <v/>
      </c>
      <c r="G62" s="102">
        <f>IF('エネルギーデータ入力'!$H62="","",'エネルギーデータ入力'!$H62)</f>
        <v/>
      </c>
      <c r="H62" s="102">
        <f>IF('エネルギーデータ入力'!$J62="","",'エネルギーデータ入力'!$J62)</f>
        <v/>
      </c>
      <c r="I62" s="142">
        <f>IF('エネルギーデータ入力'!$N62="","",'エネルギーデータ入力'!$N62)</f>
        <v/>
      </c>
      <c r="J62" s="142">
        <f>IF($B62="","",IFERROR(AVERAGEIFS('エネルギーデータ入力'!$N$6:$N$205,'エネルギーデータ入力'!$B$6:$B$205,"&gt;="&amp;$B62-7,'エネルギーデータ入力'!$B$6:$B$205,"&lt;"&amp;$B62,'エネルギーデータ入力'!$H$6:$H$205,$G62,'エネルギーデータ入力'!$J$6:$J$205,$H62),$I62))</f>
        <v/>
      </c>
      <c r="K62" s="143">
        <f>IFERROR(($I62-$J62)/$J62,"")</f>
        <v/>
      </c>
      <c r="L62" s="102">
        <f>IF('エネルギーデータ入力'!$V62="","",'エネルギーデータ入力'!$V62)</f>
        <v/>
      </c>
      <c r="M62" s="102">
        <f>IF($H62="","",IFERROR(VLOOKUP($H62,'基本設定'!$A$13:$K$19,5,FALSE),0.2))</f>
        <v/>
      </c>
      <c r="N62" s="102">
        <f>IF($B62="","",IF('エネルギーデータ入力'!$L62="","Missing reading",IF($I62=0,"Stalled reading / possibly offline",IF($K62&gt;=IFERROR(VLOOKUP($H62,'基本設定'!$A$13:$K$19,6,FALSE),0.5),"Severe spike",IF($K62&gt;=$M62,"Usage spike",IF($K62&lt;=-IFERROR(VLOOKUP($H62,'基本設定'!$A$13:$K$19,7,FALSE),0.3),"Usage drop",IF($L62&gt;IFERROR(VLOOKUP($H62,'基本設定'!$A$13:$K$19,8,FALSE),999999),"Area intensity overrun","正常")))))))</f>
        <v/>
      </c>
      <c r="O62" s="102">
        <f>IF($N62="","",IF($N62="正常","正常",IF(OR($N62="Severe spike",$K62&gt;=IFERROR(VLOOKUP($H62,'基本設定'!$A$13:$K$19,6,FALSE),0.5)),"重大",IF(OR($N62="Usage spike",$N62="Usage drop"),"高","中"))))</f>
        <v/>
      </c>
      <c r="P62" s="144">
        <f>IF(OR($N62="",$N62="正常"),0,ABS($I62-$J62)*'エネルギーデータ入力'!$O62)</f>
        <v/>
      </c>
      <c r="Q62" s="102">
        <f>IF($N62="正常","",IF($N62="Stalled reading / possibly offline","核查表计通信/電気池/网关/阀门Status",IF(AND($H62="水道",$N62&lt;&gt;"正常"),"检查管网、阀门、卫生间、冷却塔及夜间最小流量",IF(AND($H62="電気",$N62&lt;&gt;"正常"),"检查空调、照明、生产设备、PeakOff-peak时段与待机功耗",IF(AND($H62="ガス",$N62&lt;&gt;"正常"),"检查燃ガス阀门、锅炉/厨房设备与泄漏风险","核查设备工况、排班、产量与计量数据")))))</f>
        <v/>
      </c>
      <c r="R62" s="102">
        <f>IF($H62="","",IFERROR(VLOOKUP($H62,'基本設定'!$A$13:$K$19,11,FALSE),"Energy management owner"))</f>
        <v/>
      </c>
      <c r="S62" s="102">
        <f>IF($N62="","",IF($N62="正常","対応不要","未対応"))</f>
        <v/>
      </c>
      <c r="T62" s="141">
        <f>IF(OR($B62="",$N62="正常"),"",WORKDAY($B62,IF($O62="重大",1,IF($O62="高",2,3))))</f>
        <v/>
      </c>
      <c r="U62" s="102">
        <f>IF($T62="","",IF(AND($S62&lt;&gt;"完了",TODAY()&gt;$T62),"期限超過","期限内"))</f>
        <v/>
      </c>
      <c r="V62" s="102" t="n"/>
      <c r="W62" s="141" t="n"/>
      <c r="X62" s="102" t="n"/>
    </row>
    <row r="63">
      <c r="A63" s="102">
        <f>IF('エネルギーデータ入力'!$A63="","","AL-"&amp;TEXT(ROW()-5,"0000"))</f>
        <v/>
      </c>
      <c r="B63" s="141">
        <f>IF('エネルギーデータ入力'!$B63="","",'エネルギーデータ入力'!$B63)</f>
        <v/>
      </c>
      <c r="C63" s="102">
        <f>IF('エネルギーデータ入力'!$C63="","",'エネルギーデータ入力'!$C63)</f>
        <v/>
      </c>
      <c r="D63" s="102">
        <f>IF('エネルギーデータ入力'!$D63="","",'エネルギーデータ入力'!$D63)</f>
        <v/>
      </c>
      <c r="E63" s="102">
        <f>IF('エネルギーデータ入力'!$E63="","",'エネルギーデータ入力'!$E63)</f>
        <v/>
      </c>
      <c r="F63" s="102">
        <f>IF('エネルギーデータ入力'!$G63="","",'エネルギーデータ入力'!$G63)</f>
        <v/>
      </c>
      <c r="G63" s="102">
        <f>IF('エネルギーデータ入力'!$H63="","",'エネルギーデータ入力'!$H63)</f>
        <v/>
      </c>
      <c r="H63" s="102">
        <f>IF('エネルギーデータ入力'!$J63="","",'エネルギーデータ入力'!$J63)</f>
        <v/>
      </c>
      <c r="I63" s="142">
        <f>IF('エネルギーデータ入力'!$N63="","",'エネルギーデータ入力'!$N63)</f>
        <v/>
      </c>
      <c r="J63" s="142">
        <f>IF($B63="","",IFERROR(AVERAGEIFS('エネルギーデータ入力'!$N$6:$N$205,'エネルギーデータ入力'!$B$6:$B$205,"&gt;="&amp;$B63-7,'エネルギーデータ入力'!$B$6:$B$205,"&lt;"&amp;$B63,'エネルギーデータ入力'!$H$6:$H$205,$G63,'エネルギーデータ入力'!$J$6:$J$205,$H63),$I63))</f>
        <v/>
      </c>
      <c r="K63" s="143">
        <f>IFERROR(($I63-$J63)/$J63,"")</f>
        <v/>
      </c>
      <c r="L63" s="102">
        <f>IF('エネルギーデータ入力'!$V63="","",'エネルギーデータ入力'!$V63)</f>
        <v/>
      </c>
      <c r="M63" s="102">
        <f>IF($H63="","",IFERROR(VLOOKUP($H63,'基本設定'!$A$13:$K$19,5,FALSE),0.2))</f>
        <v/>
      </c>
      <c r="N63" s="102">
        <f>IF($B63="","",IF('エネルギーデータ入力'!$L63="","Missing reading",IF($I63=0,"Stalled reading / possibly offline",IF($K63&gt;=IFERROR(VLOOKUP($H63,'基本設定'!$A$13:$K$19,6,FALSE),0.5),"Severe spike",IF($K63&gt;=$M63,"Usage spike",IF($K63&lt;=-IFERROR(VLOOKUP($H63,'基本設定'!$A$13:$K$19,7,FALSE),0.3),"Usage drop",IF($L63&gt;IFERROR(VLOOKUP($H63,'基本設定'!$A$13:$K$19,8,FALSE),999999),"Area intensity overrun","正常")))))))</f>
        <v/>
      </c>
      <c r="O63" s="102">
        <f>IF($N63="","",IF($N63="正常","正常",IF(OR($N63="Severe spike",$K63&gt;=IFERROR(VLOOKUP($H63,'基本設定'!$A$13:$K$19,6,FALSE),0.5)),"重大",IF(OR($N63="Usage spike",$N63="Usage drop"),"高","中"))))</f>
        <v/>
      </c>
      <c r="P63" s="144">
        <f>IF(OR($N63="",$N63="正常"),0,ABS($I63-$J63)*'エネルギーデータ入力'!$O63)</f>
        <v/>
      </c>
      <c r="Q63" s="102">
        <f>IF($N63="正常","",IF($N63="Stalled reading / possibly offline","核查表计通信/電気池/网关/阀门Status",IF(AND($H63="水道",$N63&lt;&gt;"正常"),"检查管网、阀门、卫生间、冷却塔及夜间最小流量",IF(AND($H63="電気",$N63&lt;&gt;"正常"),"检查空调、照明、生产设备、PeakOff-peak时段与待机功耗",IF(AND($H63="ガス",$N63&lt;&gt;"正常"),"检查燃ガス阀门、锅炉/厨房设备与泄漏风险","核查设备工况、排班、产量与计量数据")))))</f>
        <v/>
      </c>
      <c r="R63" s="102">
        <f>IF($H63="","",IFERROR(VLOOKUP($H63,'基本設定'!$A$13:$K$19,11,FALSE),"Energy management owner"))</f>
        <v/>
      </c>
      <c r="S63" s="102">
        <f>IF($N63="","",IF($N63="正常","対応不要","未対応"))</f>
        <v/>
      </c>
      <c r="T63" s="141">
        <f>IF(OR($B63="",$N63="正常"),"",WORKDAY($B63,IF($O63="重大",1,IF($O63="高",2,3))))</f>
        <v/>
      </c>
      <c r="U63" s="102">
        <f>IF($T63="","",IF(AND($S63&lt;&gt;"完了",TODAY()&gt;$T63),"期限超過","期限内"))</f>
        <v/>
      </c>
      <c r="V63" s="102" t="n"/>
      <c r="W63" s="141" t="n"/>
      <c r="X63" s="102" t="n"/>
    </row>
    <row r="64">
      <c r="A64" s="102">
        <f>IF('エネルギーデータ入力'!$A64="","","AL-"&amp;TEXT(ROW()-5,"0000"))</f>
        <v/>
      </c>
      <c r="B64" s="141">
        <f>IF('エネルギーデータ入力'!$B64="","",'エネルギーデータ入力'!$B64)</f>
        <v/>
      </c>
      <c r="C64" s="102">
        <f>IF('エネルギーデータ入力'!$C64="","",'エネルギーデータ入力'!$C64)</f>
        <v/>
      </c>
      <c r="D64" s="102">
        <f>IF('エネルギーデータ入力'!$D64="","",'エネルギーデータ入力'!$D64)</f>
        <v/>
      </c>
      <c r="E64" s="102">
        <f>IF('エネルギーデータ入力'!$E64="","",'エネルギーデータ入力'!$E64)</f>
        <v/>
      </c>
      <c r="F64" s="102">
        <f>IF('エネルギーデータ入力'!$G64="","",'エネルギーデータ入力'!$G64)</f>
        <v/>
      </c>
      <c r="G64" s="102">
        <f>IF('エネルギーデータ入力'!$H64="","",'エネルギーデータ入力'!$H64)</f>
        <v/>
      </c>
      <c r="H64" s="102">
        <f>IF('エネルギーデータ入力'!$J64="","",'エネルギーデータ入力'!$J64)</f>
        <v/>
      </c>
      <c r="I64" s="142">
        <f>IF('エネルギーデータ入力'!$N64="","",'エネルギーデータ入力'!$N64)</f>
        <v/>
      </c>
      <c r="J64" s="142">
        <f>IF($B64="","",IFERROR(AVERAGEIFS('エネルギーデータ入力'!$N$6:$N$205,'エネルギーデータ入力'!$B$6:$B$205,"&gt;="&amp;$B64-7,'エネルギーデータ入力'!$B$6:$B$205,"&lt;"&amp;$B64,'エネルギーデータ入力'!$H$6:$H$205,$G64,'エネルギーデータ入力'!$J$6:$J$205,$H64),$I64))</f>
        <v/>
      </c>
      <c r="K64" s="143">
        <f>IFERROR(($I64-$J64)/$J64,"")</f>
        <v/>
      </c>
      <c r="L64" s="102">
        <f>IF('エネルギーデータ入力'!$V64="","",'エネルギーデータ入力'!$V64)</f>
        <v/>
      </c>
      <c r="M64" s="102">
        <f>IF($H64="","",IFERROR(VLOOKUP($H64,'基本設定'!$A$13:$K$19,5,FALSE),0.2))</f>
        <v/>
      </c>
      <c r="N64" s="102">
        <f>IF($B64="","",IF('エネルギーデータ入力'!$L64="","Missing reading",IF($I64=0,"Stalled reading / possibly offline",IF($K64&gt;=IFERROR(VLOOKUP($H64,'基本設定'!$A$13:$K$19,6,FALSE),0.5),"Severe spike",IF($K64&gt;=$M64,"Usage spike",IF($K64&lt;=-IFERROR(VLOOKUP($H64,'基本設定'!$A$13:$K$19,7,FALSE),0.3),"Usage drop",IF($L64&gt;IFERROR(VLOOKUP($H64,'基本設定'!$A$13:$K$19,8,FALSE),999999),"Area intensity overrun","正常")))))))</f>
        <v/>
      </c>
      <c r="O64" s="102">
        <f>IF($N64="","",IF($N64="正常","正常",IF(OR($N64="Severe spike",$K64&gt;=IFERROR(VLOOKUP($H64,'基本設定'!$A$13:$K$19,6,FALSE),0.5)),"重大",IF(OR($N64="Usage spike",$N64="Usage drop"),"高","中"))))</f>
        <v/>
      </c>
      <c r="P64" s="144">
        <f>IF(OR($N64="",$N64="正常"),0,ABS($I64-$J64)*'エネルギーデータ入力'!$O64)</f>
        <v/>
      </c>
      <c r="Q64" s="102">
        <f>IF($N64="正常","",IF($N64="Stalled reading / possibly offline","核查表计通信/電気池/网关/阀门Status",IF(AND($H64="水道",$N64&lt;&gt;"正常"),"检查管网、阀门、卫生间、冷却塔及夜间最小流量",IF(AND($H64="電気",$N64&lt;&gt;"正常"),"检查空调、照明、生产设备、PeakOff-peak时段与待机功耗",IF(AND($H64="ガス",$N64&lt;&gt;"正常"),"检查燃ガス阀门、锅炉/厨房设备与泄漏风险","核查设备工况、排班、产量与计量数据")))))</f>
        <v/>
      </c>
      <c r="R64" s="102">
        <f>IF($H64="","",IFERROR(VLOOKUP($H64,'基本設定'!$A$13:$K$19,11,FALSE),"Energy management owner"))</f>
        <v/>
      </c>
      <c r="S64" s="102">
        <f>IF($N64="","",IF($N64="正常","対応不要","未対応"))</f>
        <v/>
      </c>
      <c r="T64" s="141">
        <f>IF(OR($B64="",$N64="正常"),"",WORKDAY($B64,IF($O64="重大",1,IF($O64="高",2,3))))</f>
        <v/>
      </c>
      <c r="U64" s="102">
        <f>IF($T64="","",IF(AND($S64&lt;&gt;"完了",TODAY()&gt;$T64),"期限超過","期限内"))</f>
        <v/>
      </c>
      <c r="V64" s="102" t="n"/>
      <c r="W64" s="141" t="n"/>
      <c r="X64" s="102" t="n"/>
    </row>
    <row r="65">
      <c r="A65" s="102">
        <f>IF('エネルギーデータ入力'!$A65="","","AL-"&amp;TEXT(ROW()-5,"0000"))</f>
        <v/>
      </c>
      <c r="B65" s="141">
        <f>IF('エネルギーデータ入力'!$B65="","",'エネルギーデータ入力'!$B65)</f>
        <v/>
      </c>
      <c r="C65" s="102">
        <f>IF('エネルギーデータ入力'!$C65="","",'エネルギーデータ入力'!$C65)</f>
        <v/>
      </c>
      <c r="D65" s="102">
        <f>IF('エネルギーデータ入力'!$D65="","",'エネルギーデータ入力'!$D65)</f>
        <v/>
      </c>
      <c r="E65" s="102">
        <f>IF('エネルギーデータ入力'!$E65="","",'エネルギーデータ入力'!$E65)</f>
        <v/>
      </c>
      <c r="F65" s="102">
        <f>IF('エネルギーデータ入力'!$G65="","",'エネルギーデータ入力'!$G65)</f>
        <v/>
      </c>
      <c r="G65" s="102">
        <f>IF('エネルギーデータ入力'!$H65="","",'エネルギーデータ入力'!$H65)</f>
        <v/>
      </c>
      <c r="H65" s="102">
        <f>IF('エネルギーデータ入力'!$J65="","",'エネルギーデータ入力'!$J65)</f>
        <v/>
      </c>
      <c r="I65" s="142">
        <f>IF('エネルギーデータ入力'!$N65="","",'エネルギーデータ入力'!$N65)</f>
        <v/>
      </c>
      <c r="J65" s="142">
        <f>IF($B65="","",IFERROR(AVERAGEIFS('エネルギーデータ入力'!$N$6:$N$205,'エネルギーデータ入力'!$B$6:$B$205,"&gt;="&amp;$B65-7,'エネルギーデータ入力'!$B$6:$B$205,"&lt;"&amp;$B65,'エネルギーデータ入力'!$H$6:$H$205,$G65,'エネルギーデータ入力'!$J$6:$J$205,$H65),$I65))</f>
        <v/>
      </c>
      <c r="K65" s="143">
        <f>IFERROR(($I65-$J65)/$J65,"")</f>
        <v/>
      </c>
      <c r="L65" s="102">
        <f>IF('エネルギーデータ入力'!$V65="","",'エネルギーデータ入力'!$V65)</f>
        <v/>
      </c>
      <c r="M65" s="102">
        <f>IF($H65="","",IFERROR(VLOOKUP($H65,'基本設定'!$A$13:$K$19,5,FALSE),0.2))</f>
        <v/>
      </c>
      <c r="N65" s="102">
        <f>IF($B65="","",IF('エネルギーデータ入力'!$L65="","Missing reading",IF($I65=0,"Stalled reading / possibly offline",IF($K65&gt;=IFERROR(VLOOKUP($H65,'基本設定'!$A$13:$K$19,6,FALSE),0.5),"Severe spike",IF($K65&gt;=$M65,"Usage spike",IF($K65&lt;=-IFERROR(VLOOKUP($H65,'基本設定'!$A$13:$K$19,7,FALSE),0.3),"Usage drop",IF($L65&gt;IFERROR(VLOOKUP($H65,'基本設定'!$A$13:$K$19,8,FALSE),999999),"Area intensity overrun","正常")))))))</f>
        <v/>
      </c>
      <c r="O65" s="102">
        <f>IF($N65="","",IF($N65="正常","正常",IF(OR($N65="Severe spike",$K65&gt;=IFERROR(VLOOKUP($H65,'基本設定'!$A$13:$K$19,6,FALSE),0.5)),"重大",IF(OR($N65="Usage spike",$N65="Usage drop"),"高","中"))))</f>
        <v/>
      </c>
      <c r="P65" s="144">
        <f>IF(OR($N65="",$N65="正常"),0,ABS($I65-$J65)*'エネルギーデータ入力'!$O65)</f>
        <v/>
      </c>
      <c r="Q65" s="102">
        <f>IF($N65="正常","",IF($N65="Stalled reading / possibly offline","核查表计通信/電気池/网关/阀门Status",IF(AND($H65="水道",$N65&lt;&gt;"正常"),"检查管网、阀门、卫生间、冷却塔及夜间最小流量",IF(AND($H65="電気",$N65&lt;&gt;"正常"),"检查空调、照明、生产设备、PeakOff-peak时段与待机功耗",IF(AND($H65="ガス",$N65&lt;&gt;"正常"),"检查燃ガス阀门、锅炉/厨房设备与泄漏风险","核查设备工况、排班、产量与计量数据")))))</f>
        <v/>
      </c>
      <c r="R65" s="102">
        <f>IF($H65="","",IFERROR(VLOOKUP($H65,'基本設定'!$A$13:$K$19,11,FALSE),"Energy management owner"))</f>
        <v/>
      </c>
      <c r="S65" s="102">
        <f>IF($N65="","",IF($N65="正常","対応不要","未対応"))</f>
        <v/>
      </c>
      <c r="T65" s="141">
        <f>IF(OR($B65="",$N65="正常"),"",WORKDAY($B65,IF($O65="重大",1,IF($O65="高",2,3))))</f>
        <v/>
      </c>
      <c r="U65" s="102">
        <f>IF($T65="","",IF(AND($S65&lt;&gt;"完了",TODAY()&gt;$T65),"期限超過","期限内"))</f>
        <v/>
      </c>
      <c r="V65" s="102" t="n"/>
      <c r="W65" s="141" t="n"/>
      <c r="X65" s="102" t="n"/>
    </row>
    <row r="66">
      <c r="A66" s="102">
        <f>IF('エネルギーデータ入力'!$A66="","","AL-"&amp;TEXT(ROW()-5,"0000"))</f>
        <v/>
      </c>
      <c r="B66" s="141">
        <f>IF('エネルギーデータ入力'!$B66="","",'エネルギーデータ入力'!$B66)</f>
        <v/>
      </c>
      <c r="C66" s="102">
        <f>IF('エネルギーデータ入力'!$C66="","",'エネルギーデータ入力'!$C66)</f>
        <v/>
      </c>
      <c r="D66" s="102">
        <f>IF('エネルギーデータ入力'!$D66="","",'エネルギーデータ入力'!$D66)</f>
        <v/>
      </c>
      <c r="E66" s="102">
        <f>IF('エネルギーデータ入力'!$E66="","",'エネルギーデータ入力'!$E66)</f>
        <v/>
      </c>
      <c r="F66" s="102">
        <f>IF('エネルギーデータ入力'!$G66="","",'エネルギーデータ入力'!$G66)</f>
        <v/>
      </c>
      <c r="G66" s="102">
        <f>IF('エネルギーデータ入力'!$H66="","",'エネルギーデータ入力'!$H66)</f>
        <v/>
      </c>
      <c r="H66" s="102">
        <f>IF('エネルギーデータ入力'!$J66="","",'エネルギーデータ入力'!$J66)</f>
        <v/>
      </c>
      <c r="I66" s="142">
        <f>IF('エネルギーデータ入力'!$N66="","",'エネルギーデータ入力'!$N66)</f>
        <v/>
      </c>
      <c r="J66" s="142">
        <f>IF($B66="","",IFERROR(AVERAGEIFS('エネルギーデータ入力'!$N$6:$N$205,'エネルギーデータ入力'!$B$6:$B$205,"&gt;="&amp;$B66-7,'エネルギーデータ入力'!$B$6:$B$205,"&lt;"&amp;$B66,'エネルギーデータ入力'!$H$6:$H$205,$G66,'エネルギーデータ入力'!$J$6:$J$205,$H66),$I66))</f>
        <v/>
      </c>
      <c r="K66" s="143">
        <f>IFERROR(($I66-$J66)/$J66,"")</f>
        <v/>
      </c>
      <c r="L66" s="102">
        <f>IF('エネルギーデータ入力'!$V66="","",'エネルギーデータ入力'!$V66)</f>
        <v/>
      </c>
      <c r="M66" s="102">
        <f>IF($H66="","",IFERROR(VLOOKUP($H66,'基本設定'!$A$13:$K$19,5,FALSE),0.2))</f>
        <v/>
      </c>
      <c r="N66" s="102">
        <f>IF($B66="","",IF('エネルギーデータ入力'!$L66="","Missing reading",IF($I66=0,"Stalled reading / possibly offline",IF($K66&gt;=IFERROR(VLOOKUP($H66,'基本設定'!$A$13:$K$19,6,FALSE),0.5),"Severe spike",IF($K66&gt;=$M66,"Usage spike",IF($K66&lt;=-IFERROR(VLOOKUP($H66,'基本設定'!$A$13:$K$19,7,FALSE),0.3),"Usage drop",IF($L66&gt;IFERROR(VLOOKUP($H66,'基本設定'!$A$13:$K$19,8,FALSE),999999),"Area intensity overrun","正常")))))))</f>
        <v/>
      </c>
      <c r="O66" s="102">
        <f>IF($N66="","",IF($N66="正常","正常",IF(OR($N66="Severe spike",$K66&gt;=IFERROR(VLOOKUP($H66,'基本設定'!$A$13:$K$19,6,FALSE),0.5)),"重大",IF(OR($N66="Usage spike",$N66="Usage drop"),"高","中"))))</f>
        <v/>
      </c>
      <c r="P66" s="144">
        <f>IF(OR($N66="",$N66="正常"),0,ABS($I66-$J66)*'エネルギーデータ入力'!$O66)</f>
        <v/>
      </c>
      <c r="Q66" s="102">
        <f>IF($N66="正常","",IF($N66="Stalled reading / possibly offline","核查表计通信/電気池/网关/阀门Status",IF(AND($H66="水道",$N66&lt;&gt;"正常"),"检查管网、阀门、卫生间、冷却塔及夜间最小流量",IF(AND($H66="電気",$N66&lt;&gt;"正常"),"检查空调、照明、生产设备、PeakOff-peak时段与待机功耗",IF(AND($H66="ガス",$N66&lt;&gt;"正常"),"检查燃ガス阀门、锅炉/厨房设备与泄漏风险","核查设备工况、排班、产量与计量数据")))))</f>
        <v/>
      </c>
      <c r="R66" s="102">
        <f>IF($H66="","",IFERROR(VLOOKUP($H66,'基本設定'!$A$13:$K$19,11,FALSE),"Energy management owner"))</f>
        <v/>
      </c>
      <c r="S66" s="102">
        <f>IF($N66="","",IF($N66="正常","対応不要","未対応"))</f>
        <v/>
      </c>
      <c r="T66" s="141">
        <f>IF(OR($B66="",$N66="正常"),"",WORKDAY($B66,IF($O66="重大",1,IF($O66="高",2,3))))</f>
        <v/>
      </c>
      <c r="U66" s="102">
        <f>IF($T66="","",IF(AND($S66&lt;&gt;"完了",TODAY()&gt;$T66),"期限超過","期限内"))</f>
        <v/>
      </c>
      <c r="V66" s="102" t="n"/>
      <c r="W66" s="141" t="n"/>
      <c r="X66" s="102" t="n"/>
    </row>
    <row r="67">
      <c r="A67" s="102">
        <f>IF('エネルギーデータ入力'!$A67="","","AL-"&amp;TEXT(ROW()-5,"0000"))</f>
        <v/>
      </c>
      <c r="B67" s="141">
        <f>IF('エネルギーデータ入力'!$B67="","",'エネルギーデータ入力'!$B67)</f>
        <v/>
      </c>
      <c r="C67" s="102">
        <f>IF('エネルギーデータ入力'!$C67="","",'エネルギーデータ入力'!$C67)</f>
        <v/>
      </c>
      <c r="D67" s="102">
        <f>IF('エネルギーデータ入力'!$D67="","",'エネルギーデータ入力'!$D67)</f>
        <v/>
      </c>
      <c r="E67" s="102">
        <f>IF('エネルギーデータ入力'!$E67="","",'エネルギーデータ入力'!$E67)</f>
        <v/>
      </c>
      <c r="F67" s="102">
        <f>IF('エネルギーデータ入力'!$G67="","",'エネルギーデータ入力'!$G67)</f>
        <v/>
      </c>
      <c r="G67" s="102">
        <f>IF('エネルギーデータ入力'!$H67="","",'エネルギーデータ入力'!$H67)</f>
        <v/>
      </c>
      <c r="H67" s="102">
        <f>IF('エネルギーデータ入力'!$J67="","",'エネルギーデータ入力'!$J67)</f>
        <v/>
      </c>
      <c r="I67" s="142">
        <f>IF('エネルギーデータ入力'!$N67="","",'エネルギーデータ入力'!$N67)</f>
        <v/>
      </c>
      <c r="J67" s="142">
        <f>IF($B67="","",IFERROR(AVERAGEIFS('エネルギーデータ入力'!$N$6:$N$205,'エネルギーデータ入力'!$B$6:$B$205,"&gt;="&amp;$B67-7,'エネルギーデータ入力'!$B$6:$B$205,"&lt;"&amp;$B67,'エネルギーデータ入力'!$H$6:$H$205,$G67,'エネルギーデータ入力'!$J$6:$J$205,$H67),$I67))</f>
        <v/>
      </c>
      <c r="K67" s="143">
        <f>IFERROR(($I67-$J67)/$J67,"")</f>
        <v/>
      </c>
      <c r="L67" s="102">
        <f>IF('エネルギーデータ入力'!$V67="","",'エネルギーデータ入力'!$V67)</f>
        <v/>
      </c>
      <c r="M67" s="102">
        <f>IF($H67="","",IFERROR(VLOOKUP($H67,'基本設定'!$A$13:$K$19,5,FALSE),0.2))</f>
        <v/>
      </c>
      <c r="N67" s="102">
        <f>IF($B67="","",IF('エネルギーデータ入力'!$L67="","Missing reading",IF($I67=0,"Stalled reading / possibly offline",IF($K67&gt;=IFERROR(VLOOKUP($H67,'基本設定'!$A$13:$K$19,6,FALSE),0.5),"Severe spike",IF($K67&gt;=$M67,"Usage spike",IF($K67&lt;=-IFERROR(VLOOKUP($H67,'基本設定'!$A$13:$K$19,7,FALSE),0.3),"Usage drop",IF($L67&gt;IFERROR(VLOOKUP($H67,'基本設定'!$A$13:$K$19,8,FALSE),999999),"Area intensity overrun","正常")))))))</f>
        <v/>
      </c>
      <c r="O67" s="102">
        <f>IF($N67="","",IF($N67="正常","正常",IF(OR($N67="Severe spike",$K67&gt;=IFERROR(VLOOKUP($H67,'基本設定'!$A$13:$K$19,6,FALSE),0.5)),"重大",IF(OR($N67="Usage spike",$N67="Usage drop"),"高","中"))))</f>
        <v/>
      </c>
      <c r="P67" s="144">
        <f>IF(OR($N67="",$N67="正常"),0,ABS($I67-$J67)*'エネルギーデータ入力'!$O67)</f>
        <v/>
      </c>
      <c r="Q67" s="102">
        <f>IF($N67="正常","",IF($N67="Stalled reading / possibly offline","核查表计通信/電気池/网关/阀门Status",IF(AND($H67="水道",$N67&lt;&gt;"正常"),"检查管网、阀门、卫生间、冷却塔及夜间最小流量",IF(AND($H67="電気",$N67&lt;&gt;"正常"),"检查空调、照明、生产设备、PeakOff-peak时段与待机功耗",IF(AND($H67="ガス",$N67&lt;&gt;"正常"),"检查燃ガス阀门、锅炉/厨房设备与泄漏风险","核查设备工况、排班、产量与计量数据")))))</f>
        <v/>
      </c>
      <c r="R67" s="102">
        <f>IF($H67="","",IFERROR(VLOOKUP($H67,'基本設定'!$A$13:$K$19,11,FALSE),"Energy management owner"))</f>
        <v/>
      </c>
      <c r="S67" s="102">
        <f>IF($N67="","",IF($N67="正常","対応不要","未対応"))</f>
        <v/>
      </c>
      <c r="T67" s="141">
        <f>IF(OR($B67="",$N67="正常"),"",WORKDAY($B67,IF($O67="重大",1,IF($O67="高",2,3))))</f>
        <v/>
      </c>
      <c r="U67" s="102">
        <f>IF($T67="","",IF(AND($S67&lt;&gt;"完了",TODAY()&gt;$T67),"期限超過","期限内"))</f>
        <v/>
      </c>
      <c r="V67" s="102" t="n"/>
      <c r="W67" s="141" t="n"/>
      <c r="X67" s="102" t="n"/>
    </row>
    <row r="68">
      <c r="A68" s="102">
        <f>IF('エネルギーデータ入力'!$A68="","","AL-"&amp;TEXT(ROW()-5,"0000"))</f>
        <v/>
      </c>
      <c r="B68" s="141">
        <f>IF('エネルギーデータ入力'!$B68="","",'エネルギーデータ入力'!$B68)</f>
        <v/>
      </c>
      <c r="C68" s="102">
        <f>IF('エネルギーデータ入力'!$C68="","",'エネルギーデータ入力'!$C68)</f>
        <v/>
      </c>
      <c r="D68" s="102">
        <f>IF('エネルギーデータ入力'!$D68="","",'エネルギーデータ入力'!$D68)</f>
        <v/>
      </c>
      <c r="E68" s="102">
        <f>IF('エネルギーデータ入力'!$E68="","",'エネルギーデータ入力'!$E68)</f>
        <v/>
      </c>
      <c r="F68" s="102">
        <f>IF('エネルギーデータ入力'!$G68="","",'エネルギーデータ入力'!$G68)</f>
        <v/>
      </c>
      <c r="G68" s="102">
        <f>IF('エネルギーデータ入力'!$H68="","",'エネルギーデータ入力'!$H68)</f>
        <v/>
      </c>
      <c r="H68" s="102">
        <f>IF('エネルギーデータ入力'!$J68="","",'エネルギーデータ入力'!$J68)</f>
        <v/>
      </c>
      <c r="I68" s="142">
        <f>IF('エネルギーデータ入力'!$N68="","",'エネルギーデータ入力'!$N68)</f>
        <v/>
      </c>
      <c r="J68" s="142">
        <f>IF($B68="","",IFERROR(AVERAGEIFS('エネルギーデータ入力'!$N$6:$N$205,'エネルギーデータ入力'!$B$6:$B$205,"&gt;="&amp;$B68-7,'エネルギーデータ入力'!$B$6:$B$205,"&lt;"&amp;$B68,'エネルギーデータ入力'!$H$6:$H$205,$G68,'エネルギーデータ入力'!$J$6:$J$205,$H68),$I68))</f>
        <v/>
      </c>
      <c r="K68" s="143">
        <f>IFERROR(($I68-$J68)/$J68,"")</f>
        <v/>
      </c>
      <c r="L68" s="102">
        <f>IF('エネルギーデータ入力'!$V68="","",'エネルギーデータ入力'!$V68)</f>
        <v/>
      </c>
      <c r="M68" s="102">
        <f>IF($H68="","",IFERROR(VLOOKUP($H68,'基本設定'!$A$13:$K$19,5,FALSE),0.2))</f>
        <v/>
      </c>
      <c r="N68" s="102">
        <f>IF($B68="","",IF('エネルギーデータ入力'!$L68="","Missing reading",IF($I68=0,"Stalled reading / possibly offline",IF($K68&gt;=IFERROR(VLOOKUP($H68,'基本設定'!$A$13:$K$19,6,FALSE),0.5),"Severe spike",IF($K68&gt;=$M68,"Usage spike",IF($K68&lt;=-IFERROR(VLOOKUP($H68,'基本設定'!$A$13:$K$19,7,FALSE),0.3),"Usage drop",IF($L68&gt;IFERROR(VLOOKUP($H68,'基本設定'!$A$13:$K$19,8,FALSE),999999),"Area intensity overrun","正常")))))))</f>
        <v/>
      </c>
      <c r="O68" s="102">
        <f>IF($N68="","",IF($N68="正常","正常",IF(OR($N68="Severe spike",$K68&gt;=IFERROR(VLOOKUP($H68,'基本設定'!$A$13:$K$19,6,FALSE),0.5)),"重大",IF(OR($N68="Usage spike",$N68="Usage drop"),"高","中"))))</f>
        <v/>
      </c>
      <c r="P68" s="144">
        <f>IF(OR($N68="",$N68="正常"),0,ABS($I68-$J68)*'エネルギーデータ入力'!$O68)</f>
        <v/>
      </c>
      <c r="Q68" s="102">
        <f>IF($N68="正常","",IF($N68="Stalled reading / possibly offline","核查表计通信/電気池/网关/阀门Status",IF(AND($H68="水道",$N68&lt;&gt;"正常"),"检查管网、阀门、卫生间、冷却塔及夜间最小流量",IF(AND($H68="電気",$N68&lt;&gt;"正常"),"检查空调、照明、生产设备、PeakOff-peak时段与待机功耗",IF(AND($H68="ガス",$N68&lt;&gt;"正常"),"检查燃ガス阀门、锅炉/厨房设备与泄漏风险","核查设备工况、排班、产量与计量数据")))))</f>
        <v/>
      </c>
      <c r="R68" s="102">
        <f>IF($H68="","",IFERROR(VLOOKUP($H68,'基本設定'!$A$13:$K$19,11,FALSE),"Energy management owner"))</f>
        <v/>
      </c>
      <c r="S68" s="102">
        <f>IF($N68="","",IF($N68="正常","対応不要","未対応"))</f>
        <v/>
      </c>
      <c r="T68" s="141">
        <f>IF(OR($B68="",$N68="正常"),"",WORKDAY($B68,IF($O68="重大",1,IF($O68="高",2,3))))</f>
        <v/>
      </c>
      <c r="U68" s="102">
        <f>IF($T68="","",IF(AND($S68&lt;&gt;"完了",TODAY()&gt;$T68),"期限超過","期限内"))</f>
        <v/>
      </c>
      <c r="V68" s="102" t="n"/>
      <c r="W68" s="141" t="n"/>
      <c r="X68" s="102" t="n"/>
    </row>
    <row r="69">
      <c r="A69" s="102">
        <f>IF('エネルギーデータ入力'!$A69="","","AL-"&amp;TEXT(ROW()-5,"0000"))</f>
        <v/>
      </c>
      <c r="B69" s="141">
        <f>IF('エネルギーデータ入力'!$B69="","",'エネルギーデータ入力'!$B69)</f>
        <v/>
      </c>
      <c r="C69" s="102">
        <f>IF('エネルギーデータ入力'!$C69="","",'エネルギーデータ入力'!$C69)</f>
        <v/>
      </c>
      <c r="D69" s="102">
        <f>IF('エネルギーデータ入力'!$D69="","",'エネルギーデータ入力'!$D69)</f>
        <v/>
      </c>
      <c r="E69" s="102">
        <f>IF('エネルギーデータ入力'!$E69="","",'エネルギーデータ入力'!$E69)</f>
        <v/>
      </c>
      <c r="F69" s="102">
        <f>IF('エネルギーデータ入力'!$G69="","",'エネルギーデータ入力'!$G69)</f>
        <v/>
      </c>
      <c r="G69" s="102">
        <f>IF('エネルギーデータ入力'!$H69="","",'エネルギーデータ入力'!$H69)</f>
        <v/>
      </c>
      <c r="H69" s="102">
        <f>IF('エネルギーデータ入力'!$J69="","",'エネルギーデータ入力'!$J69)</f>
        <v/>
      </c>
      <c r="I69" s="142">
        <f>IF('エネルギーデータ入力'!$N69="","",'エネルギーデータ入力'!$N69)</f>
        <v/>
      </c>
      <c r="J69" s="142">
        <f>IF($B69="","",IFERROR(AVERAGEIFS('エネルギーデータ入力'!$N$6:$N$205,'エネルギーデータ入力'!$B$6:$B$205,"&gt;="&amp;$B69-7,'エネルギーデータ入力'!$B$6:$B$205,"&lt;"&amp;$B69,'エネルギーデータ入力'!$H$6:$H$205,$G69,'エネルギーデータ入力'!$J$6:$J$205,$H69),$I69))</f>
        <v/>
      </c>
      <c r="K69" s="143">
        <f>IFERROR(($I69-$J69)/$J69,"")</f>
        <v/>
      </c>
      <c r="L69" s="102">
        <f>IF('エネルギーデータ入力'!$V69="","",'エネルギーデータ入力'!$V69)</f>
        <v/>
      </c>
      <c r="M69" s="102">
        <f>IF($H69="","",IFERROR(VLOOKUP($H69,'基本設定'!$A$13:$K$19,5,FALSE),0.2))</f>
        <v/>
      </c>
      <c r="N69" s="102">
        <f>IF($B69="","",IF('エネルギーデータ入力'!$L69="","Missing reading",IF($I69=0,"Stalled reading / possibly offline",IF($K69&gt;=IFERROR(VLOOKUP($H69,'基本設定'!$A$13:$K$19,6,FALSE),0.5),"Severe spike",IF($K69&gt;=$M69,"Usage spike",IF($K69&lt;=-IFERROR(VLOOKUP($H69,'基本設定'!$A$13:$K$19,7,FALSE),0.3),"Usage drop",IF($L69&gt;IFERROR(VLOOKUP($H69,'基本設定'!$A$13:$K$19,8,FALSE),999999),"Area intensity overrun","正常")))))))</f>
        <v/>
      </c>
      <c r="O69" s="102">
        <f>IF($N69="","",IF($N69="正常","正常",IF(OR($N69="Severe spike",$K69&gt;=IFERROR(VLOOKUP($H69,'基本設定'!$A$13:$K$19,6,FALSE),0.5)),"重大",IF(OR($N69="Usage spike",$N69="Usage drop"),"高","中"))))</f>
        <v/>
      </c>
      <c r="P69" s="144">
        <f>IF(OR($N69="",$N69="正常"),0,ABS($I69-$J69)*'エネルギーデータ入力'!$O69)</f>
        <v/>
      </c>
      <c r="Q69" s="102">
        <f>IF($N69="正常","",IF($N69="Stalled reading / possibly offline","核查表计通信/電気池/网关/阀门Status",IF(AND($H69="水道",$N69&lt;&gt;"正常"),"检查管网、阀门、卫生间、冷却塔及夜间最小流量",IF(AND($H69="電気",$N69&lt;&gt;"正常"),"检查空调、照明、生产设备、PeakOff-peak时段与待机功耗",IF(AND($H69="ガス",$N69&lt;&gt;"正常"),"检查燃ガス阀门、锅炉/厨房设备与泄漏风险","核查设备工况、排班、产量与计量数据")))))</f>
        <v/>
      </c>
      <c r="R69" s="102">
        <f>IF($H69="","",IFERROR(VLOOKUP($H69,'基本設定'!$A$13:$K$19,11,FALSE),"Energy management owner"))</f>
        <v/>
      </c>
      <c r="S69" s="102">
        <f>IF($N69="","",IF($N69="正常","対応不要","未対応"))</f>
        <v/>
      </c>
      <c r="T69" s="141">
        <f>IF(OR($B69="",$N69="正常"),"",WORKDAY($B69,IF($O69="重大",1,IF($O69="高",2,3))))</f>
        <v/>
      </c>
      <c r="U69" s="102">
        <f>IF($T69="","",IF(AND($S69&lt;&gt;"完了",TODAY()&gt;$T69),"期限超過","期限内"))</f>
        <v/>
      </c>
      <c r="V69" s="102" t="n"/>
      <c r="W69" s="141" t="n"/>
      <c r="X69" s="102" t="n"/>
    </row>
    <row r="70">
      <c r="A70" s="102">
        <f>IF('エネルギーデータ入力'!$A70="","","AL-"&amp;TEXT(ROW()-5,"0000"))</f>
        <v/>
      </c>
      <c r="B70" s="141">
        <f>IF('エネルギーデータ入力'!$B70="","",'エネルギーデータ入力'!$B70)</f>
        <v/>
      </c>
      <c r="C70" s="102">
        <f>IF('エネルギーデータ入力'!$C70="","",'エネルギーデータ入力'!$C70)</f>
        <v/>
      </c>
      <c r="D70" s="102">
        <f>IF('エネルギーデータ入力'!$D70="","",'エネルギーデータ入力'!$D70)</f>
        <v/>
      </c>
      <c r="E70" s="102">
        <f>IF('エネルギーデータ入力'!$E70="","",'エネルギーデータ入力'!$E70)</f>
        <v/>
      </c>
      <c r="F70" s="102">
        <f>IF('エネルギーデータ入力'!$G70="","",'エネルギーデータ入力'!$G70)</f>
        <v/>
      </c>
      <c r="G70" s="102">
        <f>IF('エネルギーデータ入力'!$H70="","",'エネルギーデータ入力'!$H70)</f>
        <v/>
      </c>
      <c r="H70" s="102">
        <f>IF('エネルギーデータ入力'!$J70="","",'エネルギーデータ入力'!$J70)</f>
        <v/>
      </c>
      <c r="I70" s="142">
        <f>IF('エネルギーデータ入力'!$N70="","",'エネルギーデータ入力'!$N70)</f>
        <v/>
      </c>
      <c r="J70" s="142">
        <f>IF($B70="","",IFERROR(AVERAGEIFS('エネルギーデータ入力'!$N$6:$N$205,'エネルギーデータ入力'!$B$6:$B$205,"&gt;="&amp;$B70-7,'エネルギーデータ入力'!$B$6:$B$205,"&lt;"&amp;$B70,'エネルギーデータ入力'!$H$6:$H$205,$G70,'エネルギーデータ入力'!$J$6:$J$205,$H70),$I70))</f>
        <v/>
      </c>
      <c r="K70" s="143">
        <f>IFERROR(($I70-$J70)/$J70,"")</f>
        <v/>
      </c>
      <c r="L70" s="102">
        <f>IF('エネルギーデータ入力'!$V70="","",'エネルギーデータ入力'!$V70)</f>
        <v/>
      </c>
      <c r="M70" s="102">
        <f>IF($H70="","",IFERROR(VLOOKUP($H70,'基本設定'!$A$13:$K$19,5,FALSE),0.2))</f>
        <v/>
      </c>
      <c r="N70" s="102">
        <f>IF($B70="","",IF('エネルギーデータ入力'!$L70="","Missing reading",IF($I70=0,"Stalled reading / possibly offline",IF($K70&gt;=IFERROR(VLOOKUP($H70,'基本設定'!$A$13:$K$19,6,FALSE),0.5),"Severe spike",IF($K70&gt;=$M70,"Usage spike",IF($K70&lt;=-IFERROR(VLOOKUP($H70,'基本設定'!$A$13:$K$19,7,FALSE),0.3),"Usage drop",IF($L70&gt;IFERROR(VLOOKUP($H70,'基本設定'!$A$13:$K$19,8,FALSE),999999),"Area intensity overrun","正常")))))))</f>
        <v/>
      </c>
      <c r="O70" s="102">
        <f>IF($N70="","",IF($N70="正常","正常",IF(OR($N70="Severe spike",$K70&gt;=IFERROR(VLOOKUP($H70,'基本設定'!$A$13:$K$19,6,FALSE),0.5)),"重大",IF(OR($N70="Usage spike",$N70="Usage drop"),"高","中"))))</f>
        <v/>
      </c>
      <c r="P70" s="144">
        <f>IF(OR($N70="",$N70="正常"),0,ABS($I70-$J70)*'エネルギーデータ入力'!$O70)</f>
        <v/>
      </c>
      <c r="Q70" s="102">
        <f>IF($N70="正常","",IF($N70="Stalled reading / possibly offline","核查表计通信/電気池/网关/阀门Status",IF(AND($H70="水道",$N70&lt;&gt;"正常"),"检查管网、阀门、卫生间、冷却塔及夜间最小流量",IF(AND($H70="電気",$N70&lt;&gt;"正常"),"检查空调、照明、生产设备、PeakOff-peak时段与待机功耗",IF(AND($H70="ガス",$N70&lt;&gt;"正常"),"检查燃ガス阀门、锅炉/厨房设备与泄漏风险","核查设备工况、排班、产量与计量数据")))))</f>
        <v/>
      </c>
      <c r="R70" s="102">
        <f>IF($H70="","",IFERROR(VLOOKUP($H70,'基本設定'!$A$13:$K$19,11,FALSE),"Energy management owner"))</f>
        <v/>
      </c>
      <c r="S70" s="102">
        <f>IF($N70="","",IF($N70="正常","対応不要","未対応"))</f>
        <v/>
      </c>
      <c r="T70" s="141">
        <f>IF(OR($B70="",$N70="正常"),"",WORKDAY($B70,IF($O70="重大",1,IF($O70="高",2,3))))</f>
        <v/>
      </c>
      <c r="U70" s="102">
        <f>IF($T70="","",IF(AND($S70&lt;&gt;"完了",TODAY()&gt;$T70),"期限超過","期限内"))</f>
        <v/>
      </c>
      <c r="V70" s="102" t="n"/>
      <c r="W70" s="141" t="n"/>
      <c r="X70" s="102" t="n"/>
    </row>
    <row r="71">
      <c r="A71" s="102">
        <f>IF('エネルギーデータ入力'!$A71="","","AL-"&amp;TEXT(ROW()-5,"0000"))</f>
        <v/>
      </c>
      <c r="B71" s="141">
        <f>IF('エネルギーデータ入力'!$B71="","",'エネルギーデータ入力'!$B71)</f>
        <v/>
      </c>
      <c r="C71" s="102">
        <f>IF('エネルギーデータ入力'!$C71="","",'エネルギーデータ入力'!$C71)</f>
        <v/>
      </c>
      <c r="D71" s="102">
        <f>IF('エネルギーデータ入力'!$D71="","",'エネルギーデータ入力'!$D71)</f>
        <v/>
      </c>
      <c r="E71" s="102">
        <f>IF('エネルギーデータ入力'!$E71="","",'エネルギーデータ入力'!$E71)</f>
        <v/>
      </c>
      <c r="F71" s="102">
        <f>IF('エネルギーデータ入力'!$G71="","",'エネルギーデータ入力'!$G71)</f>
        <v/>
      </c>
      <c r="G71" s="102">
        <f>IF('エネルギーデータ入力'!$H71="","",'エネルギーデータ入力'!$H71)</f>
        <v/>
      </c>
      <c r="H71" s="102">
        <f>IF('エネルギーデータ入力'!$J71="","",'エネルギーデータ入力'!$J71)</f>
        <v/>
      </c>
      <c r="I71" s="142">
        <f>IF('エネルギーデータ入力'!$N71="","",'エネルギーデータ入力'!$N71)</f>
        <v/>
      </c>
      <c r="J71" s="142">
        <f>IF($B71="","",IFERROR(AVERAGEIFS('エネルギーデータ入力'!$N$6:$N$205,'エネルギーデータ入力'!$B$6:$B$205,"&gt;="&amp;$B71-7,'エネルギーデータ入力'!$B$6:$B$205,"&lt;"&amp;$B71,'エネルギーデータ入力'!$H$6:$H$205,$G71,'エネルギーデータ入力'!$J$6:$J$205,$H71),$I71))</f>
        <v/>
      </c>
      <c r="K71" s="143">
        <f>IFERROR(($I71-$J71)/$J71,"")</f>
        <v/>
      </c>
      <c r="L71" s="102">
        <f>IF('エネルギーデータ入力'!$V71="","",'エネルギーデータ入力'!$V71)</f>
        <v/>
      </c>
      <c r="M71" s="102">
        <f>IF($H71="","",IFERROR(VLOOKUP($H71,'基本設定'!$A$13:$K$19,5,FALSE),0.2))</f>
        <v/>
      </c>
      <c r="N71" s="102">
        <f>IF($B71="","",IF('エネルギーデータ入力'!$L71="","Missing reading",IF($I71=0,"Stalled reading / possibly offline",IF($K71&gt;=IFERROR(VLOOKUP($H71,'基本設定'!$A$13:$K$19,6,FALSE),0.5),"Severe spike",IF($K71&gt;=$M71,"Usage spike",IF($K71&lt;=-IFERROR(VLOOKUP($H71,'基本設定'!$A$13:$K$19,7,FALSE),0.3),"Usage drop",IF($L71&gt;IFERROR(VLOOKUP($H71,'基本設定'!$A$13:$K$19,8,FALSE),999999),"Area intensity overrun","正常")))))))</f>
        <v/>
      </c>
      <c r="O71" s="102">
        <f>IF($N71="","",IF($N71="正常","正常",IF(OR($N71="Severe spike",$K71&gt;=IFERROR(VLOOKUP($H71,'基本設定'!$A$13:$K$19,6,FALSE),0.5)),"重大",IF(OR($N71="Usage spike",$N71="Usage drop"),"高","中"))))</f>
        <v/>
      </c>
      <c r="P71" s="144">
        <f>IF(OR($N71="",$N71="正常"),0,ABS($I71-$J71)*'エネルギーデータ入力'!$O71)</f>
        <v/>
      </c>
      <c r="Q71" s="102">
        <f>IF($N71="正常","",IF($N71="Stalled reading / possibly offline","核查表计通信/電気池/网关/阀门Status",IF(AND($H71="水道",$N71&lt;&gt;"正常"),"检查管网、阀门、卫生间、冷却塔及夜间最小流量",IF(AND($H71="電気",$N71&lt;&gt;"正常"),"检查空调、照明、生产设备、PeakOff-peak时段与待机功耗",IF(AND($H71="ガス",$N71&lt;&gt;"正常"),"检查燃ガス阀门、锅炉/厨房设备与泄漏风险","核查设备工况、排班、产量与计量数据")))))</f>
        <v/>
      </c>
      <c r="R71" s="102">
        <f>IF($H71="","",IFERROR(VLOOKUP($H71,'基本設定'!$A$13:$K$19,11,FALSE),"Energy management owner"))</f>
        <v/>
      </c>
      <c r="S71" s="102">
        <f>IF($N71="","",IF($N71="正常","対応不要","未対応"))</f>
        <v/>
      </c>
      <c r="T71" s="141">
        <f>IF(OR($B71="",$N71="正常"),"",WORKDAY($B71,IF($O71="重大",1,IF($O71="高",2,3))))</f>
        <v/>
      </c>
      <c r="U71" s="102">
        <f>IF($T71="","",IF(AND($S71&lt;&gt;"完了",TODAY()&gt;$T71),"期限超過","期限内"))</f>
        <v/>
      </c>
      <c r="V71" s="102" t="n"/>
      <c r="W71" s="141" t="n"/>
      <c r="X71" s="102" t="n"/>
    </row>
    <row r="72">
      <c r="A72" s="102">
        <f>IF('エネルギーデータ入力'!$A72="","","AL-"&amp;TEXT(ROW()-5,"0000"))</f>
        <v/>
      </c>
      <c r="B72" s="141">
        <f>IF('エネルギーデータ入力'!$B72="","",'エネルギーデータ入力'!$B72)</f>
        <v/>
      </c>
      <c r="C72" s="102">
        <f>IF('エネルギーデータ入力'!$C72="","",'エネルギーデータ入力'!$C72)</f>
        <v/>
      </c>
      <c r="D72" s="102">
        <f>IF('エネルギーデータ入力'!$D72="","",'エネルギーデータ入力'!$D72)</f>
        <v/>
      </c>
      <c r="E72" s="102">
        <f>IF('エネルギーデータ入力'!$E72="","",'エネルギーデータ入力'!$E72)</f>
        <v/>
      </c>
      <c r="F72" s="102">
        <f>IF('エネルギーデータ入力'!$G72="","",'エネルギーデータ入力'!$G72)</f>
        <v/>
      </c>
      <c r="G72" s="102">
        <f>IF('エネルギーデータ入力'!$H72="","",'エネルギーデータ入力'!$H72)</f>
        <v/>
      </c>
      <c r="H72" s="102">
        <f>IF('エネルギーデータ入力'!$J72="","",'エネルギーデータ入力'!$J72)</f>
        <v/>
      </c>
      <c r="I72" s="142">
        <f>IF('エネルギーデータ入力'!$N72="","",'エネルギーデータ入力'!$N72)</f>
        <v/>
      </c>
      <c r="J72" s="142">
        <f>IF($B72="","",IFERROR(AVERAGEIFS('エネルギーデータ入力'!$N$6:$N$205,'エネルギーデータ入力'!$B$6:$B$205,"&gt;="&amp;$B72-7,'エネルギーデータ入力'!$B$6:$B$205,"&lt;"&amp;$B72,'エネルギーデータ入力'!$H$6:$H$205,$G72,'エネルギーデータ入力'!$J$6:$J$205,$H72),$I72))</f>
        <v/>
      </c>
      <c r="K72" s="143">
        <f>IFERROR(($I72-$J72)/$J72,"")</f>
        <v/>
      </c>
      <c r="L72" s="102">
        <f>IF('エネルギーデータ入力'!$V72="","",'エネルギーデータ入力'!$V72)</f>
        <v/>
      </c>
      <c r="M72" s="102">
        <f>IF($H72="","",IFERROR(VLOOKUP($H72,'基本設定'!$A$13:$K$19,5,FALSE),0.2))</f>
        <v/>
      </c>
      <c r="N72" s="102">
        <f>IF($B72="","",IF('エネルギーデータ入力'!$L72="","Missing reading",IF($I72=0,"Stalled reading / possibly offline",IF($K72&gt;=IFERROR(VLOOKUP($H72,'基本設定'!$A$13:$K$19,6,FALSE),0.5),"Severe spike",IF($K72&gt;=$M72,"Usage spike",IF($K72&lt;=-IFERROR(VLOOKUP($H72,'基本設定'!$A$13:$K$19,7,FALSE),0.3),"Usage drop",IF($L72&gt;IFERROR(VLOOKUP($H72,'基本設定'!$A$13:$K$19,8,FALSE),999999),"Area intensity overrun","正常")))))))</f>
        <v/>
      </c>
      <c r="O72" s="102">
        <f>IF($N72="","",IF($N72="正常","正常",IF(OR($N72="Severe spike",$K72&gt;=IFERROR(VLOOKUP($H72,'基本設定'!$A$13:$K$19,6,FALSE),0.5)),"重大",IF(OR($N72="Usage spike",$N72="Usage drop"),"高","中"))))</f>
        <v/>
      </c>
      <c r="P72" s="144">
        <f>IF(OR($N72="",$N72="正常"),0,ABS($I72-$J72)*'エネルギーデータ入力'!$O72)</f>
        <v/>
      </c>
      <c r="Q72" s="102">
        <f>IF($N72="正常","",IF($N72="Stalled reading / possibly offline","核查表计通信/電気池/网关/阀门Status",IF(AND($H72="水道",$N72&lt;&gt;"正常"),"检查管网、阀门、卫生间、冷却塔及夜间最小流量",IF(AND($H72="電気",$N72&lt;&gt;"正常"),"检查空调、照明、生产设备、PeakOff-peak时段与待机功耗",IF(AND($H72="ガス",$N72&lt;&gt;"正常"),"检查燃ガス阀门、锅炉/厨房设备与泄漏风险","核查设备工况、排班、产量与计量数据")))))</f>
        <v/>
      </c>
      <c r="R72" s="102">
        <f>IF($H72="","",IFERROR(VLOOKUP($H72,'基本設定'!$A$13:$K$19,11,FALSE),"Energy management owner"))</f>
        <v/>
      </c>
      <c r="S72" s="102">
        <f>IF($N72="","",IF($N72="正常","対応不要","未対応"))</f>
        <v/>
      </c>
      <c r="T72" s="141">
        <f>IF(OR($B72="",$N72="正常"),"",WORKDAY($B72,IF($O72="重大",1,IF($O72="高",2,3))))</f>
        <v/>
      </c>
      <c r="U72" s="102">
        <f>IF($T72="","",IF(AND($S72&lt;&gt;"完了",TODAY()&gt;$T72),"期限超過","期限内"))</f>
        <v/>
      </c>
      <c r="V72" s="102" t="n"/>
      <c r="W72" s="141" t="n"/>
      <c r="X72" s="102" t="n"/>
    </row>
    <row r="73">
      <c r="A73" s="102">
        <f>IF('エネルギーデータ入力'!$A73="","","AL-"&amp;TEXT(ROW()-5,"0000"))</f>
        <v/>
      </c>
      <c r="B73" s="141">
        <f>IF('エネルギーデータ入力'!$B73="","",'エネルギーデータ入力'!$B73)</f>
        <v/>
      </c>
      <c r="C73" s="102">
        <f>IF('エネルギーデータ入力'!$C73="","",'エネルギーデータ入力'!$C73)</f>
        <v/>
      </c>
      <c r="D73" s="102">
        <f>IF('エネルギーデータ入力'!$D73="","",'エネルギーデータ入力'!$D73)</f>
        <v/>
      </c>
      <c r="E73" s="102">
        <f>IF('エネルギーデータ入力'!$E73="","",'エネルギーデータ入力'!$E73)</f>
        <v/>
      </c>
      <c r="F73" s="102">
        <f>IF('エネルギーデータ入力'!$G73="","",'エネルギーデータ入力'!$G73)</f>
        <v/>
      </c>
      <c r="G73" s="102">
        <f>IF('エネルギーデータ入力'!$H73="","",'エネルギーデータ入力'!$H73)</f>
        <v/>
      </c>
      <c r="H73" s="102">
        <f>IF('エネルギーデータ入力'!$J73="","",'エネルギーデータ入力'!$J73)</f>
        <v/>
      </c>
      <c r="I73" s="142">
        <f>IF('エネルギーデータ入力'!$N73="","",'エネルギーデータ入力'!$N73)</f>
        <v/>
      </c>
      <c r="J73" s="142">
        <f>IF($B73="","",IFERROR(AVERAGEIFS('エネルギーデータ入力'!$N$6:$N$205,'エネルギーデータ入力'!$B$6:$B$205,"&gt;="&amp;$B73-7,'エネルギーデータ入力'!$B$6:$B$205,"&lt;"&amp;$B73,'エネルギーデータ入力'!$H$6:$H$205,$G73,'エネルギーデータ入力'!$J$6:$J$205,$H73),$I73))</f>
        <v/>
      </c>
      <c r="K73" s="143">
        <f>IFERROR(($I73-$J73)/$J73,"")</f>
        <v/>
      </c>
      <c r="L73" s="102">
        <f>IF('エネルギーデータ入力'!$V73="","",'エネルギーデータ入力'!$V73)</f>
        <v/>
      </c>
      <c r="M73" s="102">
        <f>IF($H73="","",IFERROR(VLOOKUP($H73,'基本設定'!$A$13:$K$19,5,FALSE),0.2))</f>
        <v/>
      </c>
      <c r="N73" s="102">
        <f>IF($B73="","",IF('エネルギーデータ入力'!$L73="","Missing reading",IF($I73=0,"Stalled reading / possibly offline",IF($K73&gt;=IFERROR(VLOOKUP($H73,'基本設定'!$A$13:$K$19,6,FALSE),0.5),"Severe spike",IF($K73&gt;=$M73,"Usage spike",IF($K73&lt;=-IFERROR(VLOOKUP($H73,'基本設定'!$A$13:$K$19,7,FALSE),0.3),"Usage drop",IF($L73&gt;IFERROR(VLOOKUP($H73,'基本設定'!$A$13:$K$19,8,FALSE),999999),"Area intensity overrun","正常")))))))</f>
        <v/>
      </c>
      <c r="O73" s="102">
        <f>IF($N73="","",IF($N73="正常","正常",IF(OR($N73="Severe spike",$K73&gt;=IFERROR(VLOOKUP($H73,'基本設定'!$A$13:$K$19,6,FALSE),0.5)),"重大",IF(OR($N73="Usage spike",$N73="Usage drop"),"高","中"))))</f>
        <v/>
      </c>
      <c r="P73" s="144">
        <f>IF(OR($N73="",$N73="正常"),0,ABS($I73-$J73)*'エネルギーデータ入力'!$O73)</f>
        <v/>
      </c>
      <c r="Q73" s="102">
        <f>IF($N73="正常","",IF($N73="Stalled reading / possibly offline","核查表计通信/電気池/网关/阀门Status",IF(AND($H73="水道",$N73&lt;&gt;"正常"),"检查管网、阀门、卫生间、冷却塔及夜间最小流量",IF(AND($H73="電気",$N73&lt;&gt;"正常"),"检查空调、照明、生产设备、PeakOff-peak时段与待机功耗",IF(AND($H73="ガス",$N73&lt;&gt;"正常"),"检查燃ガス阀门、锅炉/厨房设备与泄漏风险","核查设备工况、排班、产量与计量数据")))))</f>
        <v/>
      </c>
      <c r="R73" s="102">
        <f>IF($H73="","",IFERROR(VLOOKUP($H73,'基本設定'!$A$13:$K$19,11,FALSE),"Energy management owner"))</f>
        <v/>
      </c>
      <c r="S73" s="102">
        <f>IF($N73="","",IF($N73="正常","対応不要","未対応"))</f>
        <v/>
      </c>
      <c r="T73" s="141">
        <f>IF(OR($B73="",$N73="正常"),"",WORKDAY($B73,IF($O73="重大",1,IF($O73="高",2,3))))</f>
        <v/>
      </c>
      <c r="U73" s="102">
        <f>IF($T73="","",IF(AND($S73&lt;&gt;"完了",TODAY()&gt;$T73),"期限超過","期限内"))</f>
        <v/>
      </c>
      <c r="V73" s="102" t="n"/>
      <c r="W73" s="141" t="n"/>
      <c r="X73" s="102" t="n"/>
    </row>
    <row r="74">
      <c r="A74" s="102">
        <f>IF('エネルギーデータ入力'!$A74="","","AL-"&amp;TEXT(ROW()-5,"0000"))</f>
        <v/>
      </c>
      <c r="B74" s="141">
        <f>IF('エネルギーデータ入力'!$B74="","",'エネルギーデータ入力'!$B74)</f>
        <v/>
      </c>
      <c r="C74" s="102">
        <f>IF('エネルギーデータ入力'!$C74="","",'エネルギーデータ入力'!$C74)</f>
        <v/>
      </c>
      <c r="D74" s="102">
        <f>IF('エネルギーデータ入力'!$D74="","",'エネルギーデータ入力'!$D74)</f>
        <v/>
      </c>
      <c r="E74" s="102">
        <f>IF('エネルギーデータ入力'!$E74="","",'エネルギーデータ入力'!$E74)</f>
        <v/>
      </c>
      <c r="F74" s="102">
        <f>IF('エネルギーデータ入力'!$G74="","",'エネルギーデータ入力'!$G74)</f>
        <v/>
      </c>
      <c r="G74" s="102">
        <f>IF('エネルギーデータ入力'!$H74="","",'エネルギーデータ入力'!$H74)</f>
        <v/>
      </c>
      <c r="H74" s="102">
        <f>IF('エネルギーデータ入力'!$J74="","",'エネルギーデータ入力'!$J74)</f>
        <v/>
      </c>
      <c r="I74" s="142">
        <f>IF('エネルギーデータ入力'!$N74="","",'エネルギーデータ入力'!$N74)</f>
        <v/>
      </c>
      <c r="J74" s="142">
        <f>IF($B74="","",IFERROR(AVERAGEIFS('エネルギーデータ入力'!$N$6:$N$205,'エネルギーデータ入力'!$B$6:$B$205,"&gt;="&amp;$B74-7,'エネルギーデータ入力'!$B$6:$B$205,"&lt;"&amp;$B74,'エネルギーデータ入力'!$H$6:$H$205,$G74,'エネルギーデータ入力'!$J$6:$J$205,$H74),$I74))</f>
        <v/>
      </c>
      <c r="K74" s="143">
        <f>IFERROR(($I74-$J74)/$J74,"")</f>
        <v/>
      </c>
      <c r="L74" s="102">
        <f>IF('エネルギーデータ入力'!$V74="","",'エネルギーデータ入力'!$V74)</f>
        <v/>
      </c>
      <c r="M74" s="102">
        <f>IF($H74="","",IFERROR(VLOOKUP($H74,'基本設定'!$A$13:$K$19,5,FALSE),0.2))</f>
        <v/>
      </c>
      <c r="N74" s="102">
        <f>IF($B74="","",IF('エネルギーデータ入力'!$L74="","Missing reading",IF($I74=0,"Stalled reading / possibly offline",IF($K74&gt;=IFERROR(VLOOKUP($H74,'基本設定'!$A$13:$K$19,6,FALSE),0.5),"Severe spike",IF($K74&gt;=$M74,"Usage spike",IF($K74&lt;=-IFERROR(VLOOKUP($H74,'基本設定'!$A$13:$K$19,7,FALSE),0.3),"Usage drop",IF($L74&gt;IFERROR(VLOOKUP($H74,'基本設定'!$A$13:$K$19,8,FALSE),999999),"Area intensity overrun","正常")))))))</f>
        <v/>
      </c>
      <c r="O74" s="102">
        <f>IF($N74="","",IF($N74="正常","正常",IF(OR($N74="Severe spike",$K74&gt;=IFERROR(VLOOKUP($H74,'基本設定'!$A$13:$K$19,6,FALSE),0.5)),"重大",IF(OR($N74="Usage spike",$N74="Usage drop"),"高","中"))))</f>
        <v/>
      </c>
      <c r="P74" s="144">
        <f>IF(OR($N74="",$N74="正常"),0,ABS($I74-$J74)*'エネルギーデータ入力'!$O74)</f>
        <v/>
      </c>
      <c r="Q74" s="102">
        <f>IF($N74="正常","",IF($N74="Stalled reading / possibly offline","核查表计通信/電気池/网关/阀门Status",IF(AND($H74="水道",$N74&lt;&gt;"正常"),"检查管网、阀门、卫生间、冷却塔及夜间最小流量",IF(AND($H74="電気",$N74&lt;&gt;"正常"),"检查空调、照明、生产设备、PeakOff-peak时段与待机功耗",IF(AND($H74="ガス",$N74&lt;&gt;"正常"),"检查燃ガス阀门、锅炉/厨房设备与泄漏风险","核查设备工况、排班、产量与计量数据")))))</f>
        <v/>
      </c>
      <c r="R74" s="102">
        <f>IF($H74="","",IFERROR(VLOOKUP($H74,'基本設定'!$A$13:$K$19,11,FALSE),"Energy management owner"))</f>
        <v/>
      </c>
      <c r="S74" s="102">
        <f>IF($N74="","",IF($N74="正常","対応不要","未対応"))</f>
        <v/>
      </c>
      <c r="T74" s="141">
        <f>IF(OR($B74="",$N74="正常"),"",WORKDAY($B74,IF($O74="重大",1,IF($O74="高",2,3))))</f>
        <v/>
      </c>
      <c r="U74" s="102">
        <f>IF($T74="","",IF(AND($S74&lt;&gt;"完了",TODAY()&gt;$T74),"期限超過","期限内"))</f>
        <v/>
      </c>
      <c r="V74" s="102" t="n"/>
      <c r="W74" s="141" t="n"/>
      <c r="X74" s="102" t="n"/>
    </row>
    <row r="75">
      <c r="A75" s="102">
        <f>IF('エネルギーデータ入力'!$A75="","","AL-"&amp;TEXT(ROW()-5,"0000"))</f>
        <v/>
      </c>
      <c r="B75" s="141">
        <f>IF('エネルギーデータ入力'!$B75="","",'エネルギーデータ入力'!$B75)</f>
        <v/>
      </c>
      <c r="C75" s="102">
        <f>IF('エネルギーデータ入力'!$C75="","",'エネルギーデータ入力'!$C75)</f>
        <v/>
      </c>
      <c r="D75" s="102">
        <f>IF('エネルギーデータ入力'!$D75="","",'エネルギーデータ入力'!$D75)</f>
        <v/>
      </c>
      <c r="E75" s="102">
        <f>IF('エネルギーデータ入力'!$E75="","",'エネルギーデータ入力'!$E75)</f>
        <v/>
      </c>
      <c r="F75" s="102">
        <f>IF('エネルギーデータ入力'!$G75="","",'エネルギーデータ入力'!$G75)</f>
        <v/>
      </c>
      <c r="G75" s="102">
        <f>IF('エネルギーデータ入力'!$H75="","",'エネルギーデータ入力'!$H75)</f>
        <v/>
      </c>
      <c r="H75" s="102">
        <f>IF('エネルギーデータ入力'!$J75="","",'エネルギーデータ入力'!$J75)</f>
        <v/>
      </c>
      <c r="I75" s="142">
        <f>IF('エネルギーデータ入力'!$N75="","",'エネルギーデータ入力'!$N75)</f>
        <v/>
      </c>
      <c r="J75" s="142">
        <f>IF($B75="","",IFERROR(AVERAGEIFS('エネルギーデータ入力'!$N$6:$N$205,'エネルギーデータ入力'!$B$6:$B$205,"&gt;="&amp;$B75-7,'エネルギーデータ入力'!$B$6:$B$205,"&lt;"&amp;$B75,'エネルギーデータ入力'!$H$6:$H$205,$G75,'エネルギーデータ入力'!$J$6:$J$205,$H75),$I75))</f>
        <v/>
      </c>
      <c r="K75" s="143">
        <f>IFERROR(($I75-$J75)/$J75,"")</f>
        <v/>
      </c>
      <c r="L75" s="102">
        <f>IF('エネルギーデータ入力'!$V75="","",'エネルギーデータ入力'!$V75)</f>
        <v/>
      </c>
      <c r="M75" s="102">
        <f>IF($H75="","",IFERROR(VLOOKUP($H75,'基本設定'!$A$13:$K$19,5,FALSE),0.2))</f>
        <v/>
      </c>
      <c r="N75" s="102">
        <f>IF($B75="","",IF('エネルギーデータ入力'!$L75="","Missing reading",IF($I75=0,"Stalled reading / possibly offline",IF($K75&gt;=IFERROR(VLOOKUP($H75,'基本設定'!$A$13:$K$19,6,FALSE),0.5),"Severe spike",IF($K75&gt;=$M75,"Usage spike",IF($K75&lt;=-IFERROR(VLOOKUP($H75,'基本設定'!$A$13:$K$19,7,FALSE),0.3),"Usage drop",IF($L75&gt;IFERROR(VLOOKUP($H75,'基本設定'!$A$13:$K$19,8,FALSE),999999),"Area intensity overrun","正常")))))))</f>
        <v/>
      </c>
      <c r="O75" s="102">
        <f>IF($N75="","",IF($N75="正常","正常",IF(OR($N75="Severe spike",$K75&gt;=IFERROR(VLOOKUP($H75,'基本設定'!$A$13:$K$19,6,FALSE),0.5)),"重大",IF(OR($N75="Usage spike",$N75="Usage drop"),"高","中"))))</f>
        <v/>
      </c>
      <c r="P75" s="144">
        <f>IF(OR($N75="",$N75="正常"),0,ABS($I75-$J75)*'エネルギーデータ入力'!$O75)</f>
        <v/>
      </c>
      <c r="Q75" s="102">
        <f>IF($N75="正常","",IF($N75="Stalled reading / possibly offline","核查表计通信/電気池/网关/阀门Status",IF(AND($H75="水道",$N75&lt;&gt;"正常"),"检查管网、阀门、卫生间、冷却塔及夜间最小流量",IF(AND($H75="電気",$N75&lt;&gt;"正常"),"检查空调、照明、生产设备、PeakOff-peak时段与待机功耗",IF(AND($H75="ガス",$N75&lt;&gt;"正常"),"检查燃ガス阀门、锅炉/厨房设备与泄漏风险","核查设备工况、排班、产量与计量数据")))))</f>
        <v/>
      </c>
      <c r="R75" s="102">
        <f>IF($H75="","",IFERROR(VLOOKUP($H75,'基本設定'!$A$13:$K$19,11,FALSE),"Energy management owner"))</f>
        <v/>
      </c>
      <c r="S75" s="102">
        <f>IF($N75="","",IF($N75="正常","対応不要","未対応"))</f>
        <v/>
      </c>
      <c r="T75" s="141">
        <f>IF(OR($B75="",$N75="正常"),"",WORKDAY($B75,IF($O75="重大",1,IF($O75="高",2,3))))</f>
        <v/>
      </c>
      <c r="U75" s="102">
        <f>IF($T75="","",IF(AND($S75&lt;&gt;"完了",TODAY()&gt;$T75),"期限超過","期限内"))</f>
        <v/>
      </c>
      <c r="V75" s="102" t="n"/>
      <c r="W75" s="141" t="n"/>
      <c r="X75" s="102" t="n"/>
    </row>
    <row r="76">
      <c r="A76" s="102">
        <f>IF('エネルギーデータ入力'!$A76="","","AL-"&amp;TEXT(ROW()-5,"0000"))</f>
        <v/>
      </c>
      <c r="B76" s="141">
        <f>IF('エネルギーデータ入力'!$B76="","",'エネルギーデータ入力'!$B76)</f>
        <v/>
      </c>
      <c r="C76" s="102">
        <f>IF('エネルギーデータ入力'!$C76="","",'エネルギーデータ入力'!$C76)</f>
        <v/>
      </c>
      <c r="D76" s="102">
        <f>IF('エネルギーデータ入力'!$D76="","",'エネルギーデータ入力'!$D76)</f>
        <v/>
      </c>
      <c r="E76" s="102">
        <f>IF('エネルギーデータ入力'!$E76="","",'エネルギーデータ入力'!$E76)</f>
        <v/>
      </c>
      <c r="F76" s="102">
        <f>IF('エネルギーデータ入力'!$G76="","",'エネルギーデータ入力'!$G76)</f>
        <v/>
      </c>
      <c r="G76" s="102">
        <f>IF('エネルギーデータ入力'!$H76="","",'エネルギーデータ入力'!$H76)</f>
        <v/>
      </c>
      <c r="H76" s="102">
        <f>IF('エネルギーデータ入力'!$J76="","",'エネルギーデータ入力'!$J76)</f>
        <v/>
      </c>
      <c r="I76" s="142">
        <f>IF('エネルギーデータ入力'!$N76="","",'エネルギーデータ入力'!$N76)</f>
        <v/>
      </c>
      <c r="J76" s="142">
        <f>IF($B76="","",IFERROR(AVERAGEIFS('エネルギーデータ入力'!$N$6:$N$205,'エネルギーデータ入力'!$B$6:$B$205,"&gt;="&amp;$B76-7,'エネルギーデータ入力'!$B$6:$B$205,"&lt;"&amp;$B76,'エネルギーデータ入力'!$H$6:$H$205,$G76,'エネルギーデータ入力'!$J$6:$J$205,$H76),$I76))</f>
        <v/>
      </c>
      <c r="K76" s="143">
        <f>IFERROR(($I76-$J76)/$J76,"")</f>
        <v/>
      </c>
      <c r="L76" s="102">
        <f>IF('エネルギーデータ入力'!$V76="","",'エネルギーデータ入力'!$V76)</f>
        <v/>
      </c>
      <c r="M76" s="102">
        <f>IF($H76="","",IFERROR(VLOOKUP($H76,'基本設定'!$A$13:$K$19,5,FALSE),0.2))</f>
        <v/>
      </c>
      <c r="N76" s="102">
        <f>IF($B76="","",IF('エネルギーデータ入力'!$L76="","Missing reading",IF($I76=0,"Stalled reading / possibly offline",IF($K76&gt;=IFERROR(VLOOKUP($H76,'基本設定'!$A$13:$K$19,6,FALSE),0.5),"Severe spike",IF($K76&gt;=$M76,"Usage spike",IF($K76&lt;=-IFERROR(VLOOKUP($H76,'基本設定'!$A$13:$K$19,7,FALSE),0.3),"Usage drop",IF($L76&gt;IFERROR(VLOOKUP($H76,'基本設定'!$A$13:$K$19,8,FALSE),999999),"Area intensity overrun","正常")))))))</f>
        <v/>
      </c>
      <c r="O76" s="102">
        <f>IF($N76="","",IF($N76="正常","正常",IF(OR($N76="Severe spike",$K76&gt;=IFERROR(VLOOKUP($H76,'基本設定'!$A$13:$K$19,6,FALSE),0.5)),"重大",IF(OR($N76="Usage spike",$N76="Usage drop"),"高","中"))))</f>
        <v/>
      </c>
      <c r="P76" s="144">
        <f>IF(OR($N76="",$N76="正常"),0,ABS($I76-$J76)*'エネルギーデータ入力'!$O76)</f>
        <v/>
      </c>
      <c r="Q76" s="102">
        <f>IF($N76="正常","",IF($N76="Stalled reading / possibly offline","核查表计通信/電気池/网关/阀门Status",IF(AND($H76="水道",$N76&lt;&gt;"正常"),"检查管网、阀门、卫生间、冷却塔及夜间最小流量",IF(AND($H76="電気",$N76&lt;&gt;"正常"),"检查空调、照明、生产设备、PeakOff-peak时段与待机功耗",IF(AND($H76="ガス",$N76&lt;&gt;"正常"),"检查燃ガス阀门、锅炉/厨房设备与泄漏风险","核查设备工况、排班、产量与计量数据")))))</f>
        <v/>
      </c>
      <c r="R76" s="102">
        <f>IF($H76="","",IFERROR(VLOOKUP($H76,'基本設定'!$A$13:$K$19,11,FALSE),"Energy management owner"))</f>
        <v/>
      </c>
      <c r="S76" s="102">
        <f>IF($N76="","",IF($N76="正常","対応不要","未対応"))</f>
        <v/>
      </c>
      <c r="T76" s="141">
        <f>IF(OR($B76="",$N76="正常"),"",WORKDAY($B76,IF($O76="重大",1,IF($O76="高",2,3))))</f>
        <v/>
      </c>
      <c r="U76" s="102">
        <f>IF($T76="","",IF(AND($S76&lt;&gt;"完了",TODAY()&gt;$T76),"期限超過","期限内"))</f>
        <v/>
      </c>
      <c r="V76" s="102" t="n"/>
      <c r="W76" s="141" t="n"/>
      <c r="X76" s="102" t="n"/>
    </row>
    <row r="77">
      <c r="A77" s="102">
        <f>IF('エネルギーデータ入力'!$A77="","","AL-"&amp;TEXT(ROW()-5,"0000"))</f>
        <v/>
      </c>
      <c r="B77" s="141">
        <f>IF('エネルギーデータ入力'!$B77="","",'エネルギーデータ入力'!$B77)</f>
        <v/>
      </c>
      <c r="C77" s="102">
        <f>IF('エネルギーデータ入力'!$C77="","",'エネルギーデータ入力'!$C77)</f>
        <v/>
      </c>
      <c r="D77" s="102">
        <f>IF('エネルギーデータ入力'!$D77="","",'エネルギーデータ入力'!$D77)</f>
        <v/>
      </c>
      <c r="E77" s="102">
        <f>IF('エネルギーデータ入力'!$E77="","",'エネルギーデータ入力'!$E77)</f>
        <v/>
      </c>
      <c r="F77" s="102">
        <f>IF('エネルギーデータ入力'!$G77="","",'エネルギーデータ入力'!$G77)</f>
        <v/>
      </c>
      <c r="G77" s="102">
        <f>IF('エネルギーデータ入力'!$H77="","",'エネルギーデータ入力'!$H77)</f>
        <v/>
      </c>
      <c r="H77" s="102">
        <f>IF('エネルギーデータ入力'!$J77="","",'エネルギーデータ入力'!$J77)</f>
        <v/>
      </c>
      <c r="I77" s="142">
        <f>IF('エネルギーデータ入力'!$N77="","",'エネルギーデータ入力'!$N77)</f>
        <v/>
      </c>
      <c r="J77" s="142">
        <f>IF($B77="","",IFERROR(AVERAGEIFS('エネルギーデータ入力'!$N$6:$N$205,'エネルギーデータ入力'!$B$6:$B$205,"&gt;="&amp;$B77-7,'エネルギーデータ入力'!$B$6:$B$205,"&lt;"&amp;$B77,'エネルギーデータ入力'!$H$6:$H$205,$G77,'エネルギーデータ入力'!$J$6:$J$205,$H77),$I77))</f>
        <v/>
      </c>
      <c r="K77" s="143">
        <f>IFERROR(($I77-$J77)/$J77,"")</f>
        <v/>
      </c>
      <c r="L77" s="102">
        <f>IF('エネルギーデータ入力'!$V77="","",'エネルギーデータ入力'!$V77)</f>
        <v/>
      </c>
      <c r="M77" s="102">
        <f>IF($H77="","",IFERROR(VLOOKUP($H77,'基本設定'!$A$13:$K$19,5,FALSE),0.2))</f>
        <v/>
      </c>
      <c r="N77" s="102">
        <f>IF($B77="","",IF('エネルギーデータ入力'!$L77="","Missing reading",IF($I77=0,"Stalled reading / possibly offline",IF($K77&gt;=IFERROR(VLOOKUP($H77,'基本設定'!$A$13:$K$19,6,FALSE),0.5),"Severe spike",IF($K77&gt;=$M77,"Usage spike",IF($K77&lt;=-IFERROR(VLOOKUP($H77,'基本設定'!$A$13:$K$19,7,FALSE),0.3),"Usage drop",IF($L77&gt;IFERROR(VLOOKUP($H77,'基本設定'!$A$13:$K$19,8,FALSE),999999),"Area intensity overrun","正常")))))))</f>
        <v/>
      </c>
      <c r="O77" s="102">
        <f>IF($N77="","",IF($N77="正常","正常",IF(OR($N77="Severe spike",$K77&gt;=IFERROR(VLOOKUP($H77,'基本設定'!$A$13:$K$19,6,FALSE),0.5)),"重大",IF(OR($N77="Usage spike",$N77="Usage drop"),"高","中"))))</f>
        <v/>
      </c>
      <c r="P77" s="144">
        <f>IF(OR($N77="",$N77="正常"),0,ABS($I77-$J77)*'エネルギーデータ入力'!$O77)</f>
        <v/>
      </c>
      <c r="Q77" s="102">
        <f>IF($N77="正常","",IF($N77="Stalled reading / possibly offline","核查表计通信/電気池/网关/阀门Status",IF(AND($H77="水道",$N77&lt;&gt;"正常"),"检查管网、阀门、卫生间、冷却塔及夜间最小流量",IF(AND($H77="電気",$N77&lt;&gt;"正常"),"检查空调、照明、生产设备、PeakOff-peak时段与待机功耗",IF(AND($H77="ガス",$N77&lt;&gt;"正常"),"检查燃ガス阀门、锅炉/厨房设备与泄漏风险","核查设备工况、排班、产量与计量数据")))))</f>
        <v/>
      </c>
      <c r="R77" s="102">
        <f>IF($H77="","",IFERROR(VLOOKUP($H77,'基本設定'!$A$13:$K$19,11,FALSE),"Energy management owner"))</f>
        <v/>
      </c>
      <c r="S77" s="102">
        <f>IF($N77="","",IF($N77="正常","対応不要","未対応"))</f>
        <v/>
      </c>
      <c r="T77" s="141">
        <f>IF(OR($B77="",$N77="正常"),"",WORKDAY($B77,IF($O77="重大",1,IF($O77="高",2,3))))</f>
        <v/>
      </c>
      <c r="U77" s="102">
        <f>IF($T77="","",IF(AND($S77&lt;&gt;"完了",TODAY()&gt;$T77),"期限超過","期限内"))</f>
        <v/>
      </c>
      <c r="V77" s="102" t="n"/>
      <c r="W77" s="141" t="n"/>
      <c r="X77" s="102" t="n"/>
    </row>
    <row r="78">
      <c r="A78" s="102">
        <f>IF('エネルギーデータ入力'!$A78="","","AL-"&amp;TEXT(ROW()-5,"0000"))</f>
        <v/>
      </c>
      <c r="B78" s="141">
        <f>IF('エネルギーデータ入力'!$B78="","",'エネルギーデータ入力'!$B78)</f>
        <v/>
      </c>
      <c r="C78" s="102">
        <f>IF('エネルギーデータ入力'!$C78="","",'エネルギーデータ入力'!$C78)</f>
        <v/>
      </c>
      <c r="D78" s="102">
        <f>IF('エネルギーデータ入力'!$D78="","",'エネルギーデータ入力'!$D78)</f>
        <v/>
      </c>
      <c r="E78" s="102">
        <f>IF('エネルギーデータ入力'!$E78="","",'エネルギーデータ入力'!$E78)</f>
        <v/>
      </c>
      <c r="F78" s="102">
        <f>IF('エネルギーデータ入力'!$G78="","",'エネルギーデータ入力'!$G78)</f>
        <v/>
      </c>
      <c r="G78" s="102">
        <f>IF('エネルギーデータ入力'!$H78="","",'エネルギーデータ入力'!$H78)</f>
        <v/>
      </c>
      <c r="H78" s="102">
        <f>IF('エネルギーデータ入力'!$J78="","",'エネルギーデータ入力'!$J78)</f>
        <v/>
      </c>
      <c r="I78" s="142">
        <f>IF('エネルギーデータ入力'!$N78="","",'エネルギーデータ入力'!$N78)</f>
        <v/>
      </c>
      <c r="J78" s="142">
        <f>IF($B78="","",IFERROR(AVERAGEIFS('エネルギーデータ入力'!$N$6:$N$205,'エネルギーデータ入力'!$B$6:$B$205,"&gt;="&amp;$B78-7,'エネルギーデータ入力'!$B$6:$B$205,"&lt;"&amp;$B78,'エネルギーデータ入力'!$H$6:$H$205,$G78,'エネルギーデータ入力'!$J$6:$J$205,$H78),$I78))</f>
        <v/>
      </c>
      <c r="K78" s="143">
        <f>IFERROR(($I78-$J78)/$J78,"")</f>
        <v/>
      </c>
      <c r="L78" s="102">
        <f>IF('エネルギーデータ入力'!$V78="","",'エネルギーデータ入力'!$V78)</f>
        <v/>
      </c>
      <c r="M78" s="102">
        <f>IF($H78="","",IFERROR(VLOOKUP($H78,'基本設定'!$A$13:$K$19,5,FALSE),0.2))</f>
        <v/>
      </c>
      <c r="N78" s="102">
        <f>IF($B78="","",IF('エネルギーデータ入力'!$L78="","Missing reading",IF($I78=0,"Stalled reading / possibly offline",IF($K78&gt;=IFERROR(VLOOKUP($H78,'基本設定'!$A$13:$K$19,6,FALSE),0.5),"Severe spike",IF($K78&gt;=$M78,"Usage spike",IF($K78&lt;=-IFERROR(VLOOKUP($H78,'基本設定'!$A$13:$K$19,7,FALSE),0.3),"Usage drop",IF($L78&gt;IFERROR(VLOOKUP($H78,'基本設定'!$A$13:$K$19,8,FALSE),999999),"Area intensity overrun","正常")))))))</f>
        <v/>
      </c>
      <c r="O78" s="102">
        <f>IF($N78="","",IF($N78="正常","正常",IF(OR($N78="Severe spike",$K78&gt;=IFERROR(VLOOKUP($H78,'基本設定'!$A$13:$K$19,6,FALSE),0.5)),"重大",IF(OR($N78="Usage spike",$N78="Usage drop"),"高","中"))))</f>
        <v/>
      </c>
      <c r="P78" s="144">
        <f>IF(OR($N78="",$N78="正常"),0,ABS($I78-$J78)*'エネルギーデータ入力'!$O78)</f>
        <v/>
      </c>
      <c r="Q78" s="102">
        <f>IF($N78="正常","",IF($N78="Stalled reading / possibly offline","核查表计通信/電気池/网关/阀门Status",IF(AND($H78="水道",$N78&lt;&gt;"正常"),"检查管网、阀门、卫生间、冷却塔及夜间最小流量",IF(AND($H78="電気",$N78&lt;&gt;"正常"),"检查空调、照明、生产设备、PeakOff-peak时段与待机功耗",IF(AND($H78="ガス",$N78&lt;&gt;"正常"),"检查燃ガス阀门、锅炉/厨房设备与泄漏风险","核查设备工况、排班、产量与计量数据")))))</f>
        <v/>
      </c>
      <c r="R78" s="102">
        <f>IF($H78="","",IFERROR(VLOOKUP($H78,'基本設定'!$A$13:$K$19,11,FALSE),"Energy management owner"))</f>
        <v/>
      </c>
      <c r="S78" s="102">
        <f>IF($N78="","",IF($N78="正常","対応不要","未対応"))</f>
        <v/>
      </c>
      <c r="T78" s="141">
        <f>IF(OR($B78="",$N78="正常"),"",WORKDAY($B78,IF($O78="重大",1,IF($O78="高",2,3))))</f>
        <v/>
      </c>
      <c r="U78" s="102">
        <f>IF($T78="","",IF(AND($S78&lt;&gt;"完了",TODAY()&gt;$T78),"期限超過","期限内"))</f>
        <v/>
      </c>
      <c r="V78" s="102" t="n"/>
      <c r="W78" s="141" t="n"/>
      <c r="X78" s="102" t="n"/>
    </row>
    <row r="79">
      <c r="A79" s="102">
        <f>IF('エネルギーデータ入力'!$A79="","","AL-"&amp;TEXT(ROW()-5,"0000"))</f>
        <v/>
      </c>
      <c r="B79" s="141">
        <f>IF('エネルギーデータ入力'!$B79="","",'エネルギーデータ入力'!$B79)</f>
        <v/>
      </c>
      <c r="C79" s="102">
        <f>IF('エネルギーデータ入力'!$C79="","",'エネルギーデータ入力'!$C79)</f>
        <v/>
      </c>
      <c r="D79" s="102">
        <f>IF('エネルギーデータ入力'!$D79="","",'エネルギーデータ入力'!$D79)</f>
        <v/>
      </c>
      <c r="E79" s="102">
        <f>IF('エネルギーデータ入力'!$E79="","",'エネルギーデータ入力'!$E79)</f>
        <v/>
      </c>
      <c r="F79" s="102">
        <f>IF('エネルギーデータ入力'!$G79="","",'エネルギーデータ入力'!$G79)</f>
        <v/>
      </c>
      <c r="G79" s="102">
        <f>IF('エネルギーデータ入力'!$H79="","",'エネルギーデータ入力'!$H79)</f>
        <v/>
      </c>
      <c r="H79" s="102">
        <f>IF('エネルギーデータ入力'!$J79="","",'エネルギーデータ入力'!$J79)</f>
        <v/>
      </c>
      <c r="I79" s="142">
        <f>IF('エネルギーデータ入力'!$N79="","",'エネルギーデータ入力'!$N79)</f>
        <v/>
      </c>
      <c r="J79" s="142">
        <f>IF($B79="","",IFERROR(AVERAGEIFS('エネルギーデータ入力'!$N$6:$N$205,'エネルギーデータ入力'!$B$6:$B$205,"&gt;="&amp;$B79-7,'エネルギーデータ入力'!$B$6:$B$205,"&lt;"&amp;$B79,'エネルギーデータ入力'!$H$6:$H$205,$G79,'エネルギーデータ入力'!$J$6:$J$205,$H79),$I79))</f>
        <v/>
      </c>
      <c r="K79" s="143">
        <f>IFERROR(($I79-$J79)/$J79,"")</f>
        <v/>
      </c>
      <c r="L79" s="102">
        <f>IF('エネルギーデータ入力'!$V79="","",'エネルギーデータ入力'!$V79)</f>
        <v/>
      </c>
      <c r="M79" s="102">
        <f>IF($H79="","",IFERROR(VLOOKUP($H79,'基本設定'!$A$13:$K$19,5,FALSE),0.2))</f>
        <v/>
      </c>
      <c r="N79" s="102">
        <f>IF($B79="","",IF('エネルギーデータ入力'!$L79="","Missing reading",IF($I79=0,"Stalled reading / possibly offline",IF($K79&gt;=IFERROR(VLOOKUP($H79,'基本設定'!$A$13:$K$19,6,FALSE),0.5),"Severe spike",IF($K79&gt;=$M79,"Usage spike",IF($K79&lt;=-IFERROR(VLOOKUP($H79,'基本設定'!$A$13:$K$19,7,FALSE),0.3),"Usage drop",IF($L79&gt;IFERROR(VLOOKUP($H79,'基本設定'!$A$13:$K$19,8,FALSE),999999),"Area intensity overrun","正常")))))))</f>
        <v/>
      </c>
      <c r="O79" s="102">
        <f>IF($N79="","",IF($N79="正常","正常",IF(OR($N79="Severe spike",$K79&gt;=IFERROR(VLOOKUP($H79,'基本設定'!$A$13:$K$19,6,FALSE),0.5)),"重大",IF(OR($N79="Usage spike",$N79="Usage drop"),"高","中"))))</f>
        <v/>
      </c>
      <c r="P79" s="144">
        <f>IF(OR($N79="",$N79="正常"),0,ABS($I79-$J79)*'エネルギーデータ入力'!$O79)</f>
        <v/>
      </c>
      <c r="Q79" s="102">
        <f>IF($N79="正常","",IF($N79="Stalled reading / possibly offline","核查表计通信/電気池/网关/阀门Status",IF(AND($H79="水道",$N79&lt;&gt;"正常"),"检查管网、阀门、卫生间、冷却塔及夜间最小流量",IF(AND($H79="電気",$N79&lt;&gt;"正常"),"检查空调、照明、生产设备、PeakOff-peak时段与待机功耗",IF(AND($H79="ガス",$N79&lt;&gt;"正常"),"检查燃ガス阀门、锅炉/厨房设备与泄漏风险","核查设备工况、排班、产量与计量数据")))))</f>
        <v/>
      </c>
      <c r="R79" s="102">
        <f>IF($H79="","",IFERROR(VLOOKUP($H79,'基本設定'!$A$13:$K$19,11,FALSE),"Energy management owner"))</f>
        <v/>
      </c>
      <c r="S79" s="102">
        <f>IF($N79="","",IF($N79="正常","対応不要","未対応"))</f>
        <v/>
      </c>
      <c r="T79" s="141">
        <f>IF(OR($B79="",$N79="正常"),"",WORKDAY($B79,IF($O79="重大",1,IF($O79="高",2,3))))</f>
        <v/>
      </c>
      <c r="U79" s="102">
        <f>IF($T79="","",IF(AND($S79&lt;&gt;"完了",TODAY()&gt;$T79),"期限超過","期限内"))</f>
        <v/>
      </c>
      <c r="V79" s="102" t="n"/>
      <c r="W79" s="141" t="n"/>
      <c r="X79" s="102" t="n"/>
    </row>
    <row r="80">
      <c r="A80" s="102">
        <f>IF('エネルギーデータ入力'!$A80="","","AL-"&amp;TEXT(ROW()-5,"0000"))</f>
        <v/>
      </c>
      <c r="B80" s="141">
        <f>IF('エネルギーデータ入力'!$B80="","",'エネルギーデータ入力'!$B80)</f>
        <v/>
      </c>
      <c r="C80" s="102">
        <f>IF('エネルギーデータ入力'!$C80="","",'エネルギーデータ入力'!$C80)</f>
        <v/>
      </c>
      <c r="D80" s="102">
        <f>IF('エネルギーデータ入力'!$D80="","",'エネルギーデータ入力'!$D80)</f>
        <v/>
      </c>
      <c r="E80" s="102">
        <f>IF('エネルギーデータ入力'!$E80="","",'エネルギーデータ入力'!$E80)</f>
        <v/>
      </c>
      <c r="F80" s="102">
        <f>IF('エネルギーデータ入力'!$G80="","",'エネルギーデータ入力'!$G80)</f>
        <v/>
      </c>
      <c r="G80" s="102">
        <f>IF('エネルギーデータ入力'!$H80="","",'エネルギーデータ入力'!$H80)</f>
        <v/>
      </c>
      <c r="H80" s="102">
        <f>IF('エネルギーデータ入力'!$J80="","",'エネルギーデータ入力'!$J80)</f>
        <v/>
      </c>
      <c r="I80" s="142">
        <f>IF('エネルギーデータ入力'!$N80="","",'エネルギーデータ入力'!$N80)</f>
        <v/>
      </c>
      <c r="J80" s="142">
        <f>IF($B80="","",IFERROR(AVERAGEIFS('エネルギーデータ入力'!$N$6:$N$205,'エネルギーデータ入力'!$B$6:$B$205,"&gt;="&amp;$B80-7,'エネルギーデータ入力'!$B$6:$B$205,"&lt;"&amp;$B80,'エネルギーデータ入力'!$H$6:$H$205,$G80,'エネルギーデータ入力'!$J$6:$J$205,$H80),$I80))</f>
        <v/>
      </c>
      <c r="K80" s="143">
        <f>IFERROR(($I80-$J80)/$J80,"")</f>
        <v/>
      </c>
      <c r="L80" s="102">
        <f>IF('エネルギーデータ入力'!$V80="","",'エネルギーデータ入力'!$V80)</f>
        <v/>
      </c>
      <c r="M80" s="102">
        <f>IF($H80="","",IFERROR(VLOOKUP($H80,'基本設定'!$A$13:$K$19,5,FALSE),0.2))</f>
        <v/>
      </c>
      <c r="N80" s="102">
        <f>IF($B80="","",IF('エネルギーデータ入力'!$L80="","Missing reading",IF($I80=0,"Stalled reading / possibly offline",IF($K80&gt;=IFERROR(VLOOKUP($H80,'基本設定'!$A$13:$K$19,6,FALSE),0.5),"Severe spike",IF($K80&gt;=$M80,"Usage spike",IF($K80&lt;=-IFERROR(VLOOKUP($H80,'基本設定'!$A$13:$K$19,7,FALSE),0.3),"Usage drop",IF($L80&gt;IFERROR(VLOOKUP($H80,'基本設定'!$A$13:$K$19,8,FALSE),999999),"Area intensity overrun","正常")))))))</f>
        <v/>
      </c>
      <c r="O80" s="102">
        <f>IF($N80="","",IF($N80="正常","正常",IF(OR($N80="Severe spike",$K80&gt;=IFERROR(VLOOKUP($H80,'基本設定'!$A$13:$K$19,6,FALSE),0.5)),"重大",IF(OR($N80="Usage spike",$N80="Usage drop"),"高","中"))))</f>
        <v/>
      </c>
      <c r="P80" s="144">
        <f>IF(OR($N80="",$N80="正常"),0,ABS($I80-$J80)*'エネルギーデータ入力'!$O80)</f>
        <v/>
      </c>
      <c r="Q80" s="102">
        <f>IF($N80="正常","",IF($N80="Stalled reading / possibly offline","核查表计通信/電気池/网关/阀门Status",IF(AND($H80="水道",$N80&lt;&gt;"正常"),"检查管网、阀门、卫生间、冷却塔及夜间最小流量",IF(AND($H80="電気",$N80&lt;&gt;"正常"),"检查空调、照明、生产设备、PeakOff-peak时段与待机功耗",IF(AND($H80="ガス",$N80&lt;&gt;"正常"),"检查燃ガス阀门、锅炉/厨房设备与泄漏风险","核查设备工况、排班、产量与计量数据")))))</f>
        <v/>
      </c>
      <c r="R80" s="102">
        <f>IF($H80="","",IFERROR(VLOOKUP($H80,'基本設定'!$A$13:$K$19,11,FALSE),"Energy management owner"))</f>
        <v/>
      </c>
      <c r="S80" s="102">
        <f>IF($N80="","",IF($N80="正常","対応不要","未対応"))</f>
        <v/>
      </c>
      <c r="T80" s="141">
        <f>IF(OR($B80="",$N80="正常"),"",WORKDAY($B80,IF($O80="重大",1,IF($O80="高",2,3))))</f>
        <v/>
      </c>
      <c r="U80" s="102">
        <f>IF($T80="","",IF(AND($S80&lt;&gt;"完了",TODAY()&gt;$T80),"期限超過","期限内"))</f>
        <v/>
      </c>
      <c r="V80" s="102" t="n"/>
      <c r="W80" s="141" t="n"/>
      <c r="X80" s="102" t="n"/>
    </row>
    <row r="81">
      <c r="A81" s="102">
        <f>IF('エネルギーデータ入力'!$A81="","","AL-"&amp;TEXT(ROW()-5,"0000"))</f>
        <v/>
      </c>
      <c r="B81" s="141">
        <f>IF('エネルギーデータ入力'!$B81="","",'エネルギーデータ入力'!$B81)</f>
        <v/>
      </c>
      <c r="C81" s="102">
        <f>IF('エネルギーデータ入力'!$C81="","",'エネルギーデータ入力'!$C81)</f>
        <v/>
      </c>
      <c r="D81" s="102">
        <f>IF('エネルギーデータ入力'!$D81="","",'エネルギーデータ入力'!$D81)</f>
        <v/>
      </c>
      <c r="E81" s="102">
        <f>IF('エネルギーデータ入力'!$E81="","",'エネルギーデータ入力'!$E81)</f>
        <v/>
      </c>
      <c r="F81" s="102">
        <f>IF('エネルギーデータ入力'!$G81="","",'エネルギーデータ入力'!$G81)</f>
        <v/>
      </c>
      <c r="G81" s="102">
        <f>IF('エネルギーデータ入力'!$H81="","",'エネルギーデータ入力'!$H81)</f>
        <v/>
      </c>
      <c r="H81" s="102">
        <f>IF('エネルギーデータ入力'!$J81="","",'エネルギーデータ入力'!$J81)</f>
        <v/>
      </c>
      <c r="I81" s="142">
        <f>IF('エネルギーデータ入力'!$N81="","",'エネルギーデータ入力'!$N81)</f>
        <v/>
      </c>
      <c r="J81" s="142">
        <f>IF($B81="","",IFERROR(AVERAGEIFS('エネルギーデータ入力'!$N$6:$N$205,'エネルギーデータ入力'!$B$6:$B$205,"&gt;="&amp;$B81-7,'エネルギーデータ入力'!$B$6:$B$205,"&lt;"&amp;$B81,'エネルギーデータ入力'!$H$6:$H$205,$G81,'エネルギーデータ入力'!$J$6:$J$205,$H81),$I81))</f>
        <v/>
      </c>
      <c r="K81" s="143">
        <f>IFERROR(($I81-$J81)/$J81,"")</f>
        <v/>
      </c>
      <c r="L81" s="102">
        <f>IF('エネルギーデータ入力'!$V81="","",'エネルギーデータ入力'!$V81)</f>
        <v/>
      </c>
      <c r="M81" s="102">
        <f>IF($H81="","",IFERROR(VLOOKUP($H81,'基本設定'!$A$13:$K$19,5,FALSE),0.2))</f>
        <v/>
      </c>
      <c r="N81" s="102">
        <f>IF($B81="","",IF('エネルギーデータ入力'!$L81="","Missing reading",IF($I81=0,"Stalled reading / possibly offline",IF($K81&gt;=IFERROR(VLOOKUP($H81,'基本設定'!$A$13:$K$19,6,FALSE),0.5),"Severe spike",IF($K81&gt;=$M81,"Usage spike",IF($K81&lt;=-IFERROR(VLOOKUP($H81,'基本設定'!$A$13:$K$19,7,FALSE),0.3),"Usage drop",IF($L81&gt;IFERROR(VLOOKUP($H81,'基本設定'!$A$13:$K$19,8,FALSE),999999),"Area intensity overrun","正常")))))))</f>
        <v/>
      </c>
      <c r="O81" s="102">
        <f>IF($N81="","",IF($N81="正常","正常",IF(OR($N81="Severe spike",$K81&gt;=IFERROR(VLOOKUP($H81,'基本設定'!$A$13:$K$19,6,FALSE),0.5)),"重大",IF(OR($N81="Usage spike",$N81="Usage drop"),"高","中"))))</f>
        <v/>
      </c>
      <c r="P81" s="144">
        <f>IF(OR($N81="",$N81="正常"),0,ABS($I81-$J81)*'エネルギーデータ入力'!$O81)</f>
        <v/>
      </c>
      <c r="Q81" s="102">
        <f>IF($N81="正常","",IF($N81="Stalled reading / possibly offline","核查表计通信/電気池/网关/阀门Status",IF(AND($H81="水道",$N81&lt;&gt;"正常"),"检查管网、阀门、卫生间、冷却塔及夜间最小流量",IF(AND($H81="電気",$N81&lt;&gt;"正常"),"检查空调、照明、生产设备、PeakOff-peak时段与待机功耗",IF(AND($H81="ガス",$N81&lt;&gt;"正常"),"检查燃ガス阀门、锅炉/厨房设备与泄漏风险","核查设备工况、排班、产量与计量数据")))))</f>
        <v/>
      </c>
      <c r="R81" s="102">
        <f>IF($H81="","",IFERROR(VLOOKUP($H81,'基本設定'!$A$13:$K$19,11,FALSE),"Energy management owner"))</f>
        <v/>
      </c>
      <c r="S81" s="102">
        <f>IF($N81="","",IF($N81="正常","対応不要","未対応"))</f>
        <v/>
      </c>
      <c r="T81" s="141">
        <f>IF(OR($B81="",$N81="正常"),"",WORKDAY($B81,IF($O81="重大",1,IF($O81="高",2,3))))</f>
        <v/>
      </c>
      <c r="U81" s="102">
        <f>IF($T81="","",IF(AND($S81&lt;&gt;"完了",TODAY()&gt;$T81),"期限超過","期限内"))</f>
        <v/>
      </c>
      <c r="V81" s="102" t="n"/>
      <c r="W81" s="141" t="n"/>
      <c r="X81" s="102" t="n"/>
    </row>
    <row r="82">
      <c r="A82" s="102">
        <f>IF('エネルギーデータ入力'!$A82="","","AL-"&amp;TEXT(ROW()-5,"0000"))</f>
        <v/>
      </c>
      <c r="B82" s="141">
        <f>IF('エネルギーデータ入力'!$B82="","",'エネルギーデータ入力'!$B82)</f>
        <v/>
      </c>
      <c r="C82" s="102">
        <f>IF('エネルギーデータ入力'!$C82="","",'エネルギーデータ入力'!$C82)</f>
        <v/>
      </c>
      <c r="D82" s="102">
        <f>IF('エネルギーデータ入力'!$D82="","",'エネルギーデータ入力'!$D82)</f>
        <v/>
      </c>
      <c r="E82" s="102">
        <f>IF('エネルギーデータ入力'!$E82="","",'エネルギーデータ入力'!$E82)</f>
        <v/>
      </c>
      <c r="F82" s="102">
        <f>IF('エネルギーデータ入力'!$G82="","",'エネルギーデータ入力'!$G82)</f>
        <v/>
      </c>
      <c r="G82" s="102">
        <f>IF('エネルギーデータ入力'!$H82="","",'エネルギーデータ入力'!$H82)</f>
        <v/>
      </c>
      <c r="H82" s="102">
        <f>IF('エネルギーデータ入力'!$J82="","",'エネルギーデータ入力'!$J82)</f>
        <v/>
      </c>
      <c r="I82" s="142">
        <f>IF('エネルギーデータ入力'!$N82="","",'エネルギーデータ入力'!$N82)</f>
        <v/>
      </c>
      <c r="J82" s="142">
        <f>IF($B82="","",IFERROR(AVERAGEIFS('エネルギーデータ入力'!$N$6:$N$205,'エネルギーデータ入力'!$B$6:$B$205,"&gt;="&amp;$B82-7,'エネルギーデータ入力'!$B$6:$B$205,"&lt;"&amp;$B82,'エネルギーデータ入力'!$H$6:$H$205,$G82,'エネルギーデータ入力'!$J$6:$J$205,$H82),$I82))</f>
        <v/>
      </c>
      <c r="K82" s="143">
        <f>IFERROR(($I82-$J82)/$J82,"")</f>
        <v/>
      </c>
      <c r="L82" s="102">
        <f>IF('エネルギーデータ入力'!$V82="","",'エネルギーデータ入力'!$V82)</f>
        <v/>
      </c>
      <c r="M82" s="102">
        <f>IF($H82="","",IFERROR(VLOOKUP($H82,'基本設定'!$A$13:$K$19,5,FALSE),0.2))</f>
        <v/>
      </c>
      <c r="N82" s="102">
        <f>IF($B82="","",IF('エネルギーデータ入力'!$L82="","Missing reading",IF($I82=0,"Stalled reading / possibly offline",IF($K82&gt;=IFERROR(VLOOKUP($H82,'基本設定'!$A$13:$K$19,6,FALSE),0.5),"Severe spike",IF($K82&gt;=$M82,"Usage spike",IF($K82&lt;=-IFERROR(VLOOKUP($H82,'基本設定'!$A$13:$K$19,7,FALSE),0.3),"Usage drop",IF($L82&gt;IFERROR(VLOOKUP($H82,'基本設定'!$A$13:$K$19,8,FALSE),999999),"Area intensity overrun","正常")))))))</f>
        <v/>
      </c>
      <c r="O82" s="102">
        <f>IF($N82="","",IF($N82="正常","正常",IF(OR($N82="Severe spike",$K82&gt;=IFERROR(VLOOKUP($H82,'基本設定'!$A$13:$K$19,6,FALSE),0.5)),"重大",IF(OR($N82="Usage spike",$N82="Usage drop"),"高","中"))))</f>
        <v/>
      </c>
      <c r="P82" s="144">
        <f>IF(OR($N82="",$N82="正常"),0,ABS($I82-$J82)*'エネルギーデータ入力'!$O82)</f>
        <v/>
      </c>
      <c r="Q82" s="102">
        <f>IF($N82="正常","",IF($N82="Stalled reading / possibly offline","核查表计通信/電気池/网关/阀门Status",IF(AND($H82="水道",$N82&lt;&gt;"正常"),"检查管网、阀门、卫生间、冷却塔及夜间最小流量",IF(AND($H82="電気",$N82&lt;&gt;"正常"),"检查空调、照明、生产设备、PeakOff-peak时段与待机功耗",IF(AND($H82="ガス",$N82&lt;&gt;"正常"),"检查燃ガス阀门、锅炉/厨房设备与泄漏风险","核查设备工况、排班、产量与计量数据")))))</f>
        <v/>
      </c>
      <c r="R82" s="102">
        <f>IF($H82="","",IFERROR(VLOOKUP($H82,'基本設定'!$A$13:$K$19,11,FALSE),"Energy management owner"))</f>
        <v/>
      </c>
      <c r="S82" s="102">
        <f>IF($N82="","",IF($N82="正常","対応不要","未対応"))</f>
        <v/>
      </c>
      <c r="T82" s="141">
        <f>IF(OR($B82="",$N82="正常"),"",WORKDAY($B82,IF($O82="重大",1,IF($O82="高",2,3))))</f>
        <v/>
      </c>
      <c r="U82" s="102">
        <f>IF($T82="","",IF(AND($S82&lt;&gt;"完了",TODAY()&gt;$T82),"期限超過","期限内"))</f>
        <v/>
      </c>
      <c r="V82" s="102" t="n"/>
      <c r="W82" s="141" t="n"/>
      <c r="X82" s="102" t="n"/>
    </row>
    <row r="83">
      <c r="A83" s="102">
        <f>IF('エネルギーデータ入力'!$A83="","","AL-"&amp;TEXT(ROW()-5,"0000"))</f>
        <v/>
      </c>
      <c r="B83" s="141">
        <f>IF('エネルギーデータ入力'!$B83="","",'エネルギーデータ入力'!$B83)</f>
        <v/>
      </c>
      <c r="C83" s="102">
        <f>IF('エネルギーデータ入力'!$C83="","",'エネルギーデータ入力'!$C83)</f>
        <v/>
      </c>
      <c r="D83" s="102">
        <f>IF('エネルギーデータ入力'!$D83="","",'エネルギーデータ入力'!$D83)</f>
        <v/>
      </c>
      <c r="E83" s="102">
        <f>IF('エネルギーデータ入力'!$E83="","",'エネルギーデータ入力'!$E83)</f>
        <v/>
      </c>
      <c r="F83" s="102">
        <f>IF('エネルギーデータ入力'!$G83="","",'エネルギーデータ入力'!$G83)</f>
        <v/>
      </c>
      <c r="G83" s="102">
        <f>IF('エネルギーデータ入力'!$H83="","",'エネルギーデータ入力'!$H83)</f>
        <v/>
      </c>
      <c r="H83" s="102">
        <f>IF('エネルギーデータ入力'!$J83="","",'エネルギーデータ入力'!$J83)</f>
        <v/>
      </c>
      <c r="I83" s="142">
        <f>IF('エネルギーデータ入力'!$N83="","",'エネルギーデータ入力'!$N83)</f>
        <v/>
      </c>
      <c r="J83" s="142">
        <f>IF($B83="","",IFERROR(AVERAGEIFS('エネルギーデータ入力'!$N$6:$N$205,'エネルギーデータ入力'!$B$6:$B$205,"&gt;="&amp;$B83-7,'エネルギーデータ入力'!$B$6:$B$205,"&lt;"&amp;$B83,'エネルギーデータ入力'!$H$6:$H$205,$G83,'エネルギーデータ入力'!$J$6:$J$205,$H83),$I83))</f>
        <v/>
      </c>
      <c r="K83" s="143">
        <f>IFERROR(($I83-$J83)/$J83,"")</f>
        <v/>
      </c>
      <c r="L83" s="102">
        <f>IF('エネルギーデータ入力'!$V83="","",'エネルギーデータ入力'!$V83)</f>
        <v/>
      </c>
      <c r="M83" s="102">
        <f>IF($H83="","",IFERROR(VLOOKUP($H83,'基本設定'!$A$13:$K$19,5,FALSE),0.2))</f>
        <v/>
      </c>
      <c r="N83" s="102">
        <f>IF($B83="","",IF('エネルギーデータ入力'!$L83="","Missing reading",IF($I83=0,"Stalled reading / possibly offline",IF($K83&gt;=IFERROR(VLOOKUP($H83,'基本設定'!$A$13:$K$19,6,FALSE),0.5),"Severe spike",IF($K83&gt;=$M83,"Usage spike",IF($K83&lt;=-IFERROR(VLOOKUP($H83,'基本設定'!$A$13:$K$19,7,FALSE),0.3),"Usage drop",IF($L83&gt;IFERROR(VLOOKUP($H83,'基本設定'!$A$13:$K$19,8,FALSE),999999),"Area intensity overrun","正常")))))))</f>
        <v/>
      </c>
      <c r="O83" s="102">
        <f>IF($N83="","",IF($N83="正常","正常",IF(OR($N83="Severe spike",$K83&gt;=IFERROR(VLOOKUP($H83,'基本設定'!$A$13:$K$19,6,FALSE),0.5)),"重大",IF(OR($N83="Usage spike",$N83="Usage drop"),"高","中"))))</f>
        <v/>
      </c>
      <c r="P83" s="144">
        <f>IF(OR($N83="",$N83="正常"),0,ABS($I83-$J83)*'エネルギーデータ入力'!$O83)</f>
        <v/>
      </c>
      <c r="Q83" s="102">
        <f>IF($N83="正常","",IF($N83="Stalled reading / possibly offline","核查表计通信/電気池/网关/阀门Status",IF(AND($H83="水道",$N83&lt;&gt;"正常"),"检查管网、阀门、卫生间、冷却塔及夜间最小流量",IF(AND($H83="電気",$N83&lt;&gt;"正常"),"检查空调、照明、生产设备、PeakOff-peak时段与待机功耗",IF(AND($H83="ガス",$N83&lt;&gt;"正常"),"检查燃ガス阀门、锅炉/厨房设备与泄漏风险","核查设备工况、排班、产量与计量数据")))))</f>
        <v/>
      </c>
      <c r="R83" s="102">
        <f>IF($H83="","",IFERROR(VLOOKUP($H83,'基本設定'!$A$13:$K$19,11,FALSE),"Energy management owner"))</f>
        <v/>
      </c>
      <c r="S83" s="102">
        <f>IF($N83="","",IF($N83="正常","対応不要","未対応"))</f>
        <v/>
      </c>
      <c r="T83" s="141">
        <f>IF(OR($B83="",$N83="正常"),"",WORKDAY($B83,IF($O83="重大",1,IF($O83="高",2,3))))</f>
        <v/>
      </c>
      <c r="U83" s="102">
        <f>IF($T83="","",IF(AND($S83&lt;&gt;"完了",TODAY()&gt;$T83),"期限超過","期限内"))</f>
        <v/>
      </c>
      <c r="V83" s="102" t="n"/>
      <c r="W83" s="141" t="n"/>
      <c r="X83" s="102" t="n"/>
    </row>
    <row r="84">
      <c r="A84" s="102">
        <f>IF('エネルギーデータ入力'!$A84="","","AL-"&amp;TEXT(ROW()-5,"0000"))</f>
        <v/>
      </c>
      <c r="B84" s="141">
        <f>IF('エネルギーデータ入力'!$B84="","",'エネルギーデータ入力'!$B84)</f>
        <v/>
      </c>
      <c r="C84" s="102">
        <f>IF('エネルギーデータ入力'!$C84="","",'エネルギーデータ入力'!$C84)</f>
        <v/>
      </c>
      <c r="D84" s="102">
        <f>IF('エネルギーデータ入力'!$D84="","",'エネルギーデータ入力'!$D84)</f>
        <v/>
      </c>
      <c r="E84" s="102">
        <f>IF('エネルギーデータ入力'!$E84="","",'エネルギーデータ入力'!$E84)</f>
        <v/>
      </c>
      <c r="F84" s="102">
        <f>IF('エネルギーデータ入力'!$G84="","",'エネルギーデータ入力'!$G84)</f>
        <v/>
      </c>
      <c r="G84" s="102">
        <f>IF('エネルギーデータ入力'!$H84="","",'エネルギーデータ入力'!$H84)</f>
        <v/>
      </c>
      <c r="H84" s="102">
        <f>IF('エネルギーデータ入力'!$J84="","",'エネルギーデータ入力'!$J84)</f>
        <v/>
      </c>
      <c r="I84" s="142">
        <f>IF('エネルギーデータ入力'!$N84="","",'エネルギーデータ入力'!$N84)</f>
        <v/>
      </c>
      <c r="J84" s="142">
        <f>IF($B84="","",IFERROR(AVERAGEIFS('エネルギーデータ入力'!$N$6:$N$205,'エネルギーデータ入力'!$B$6:$B$205,"&gt;="&amp;$B84-7,'エネルギーデータ入力'!$B$6:$B$205,"&lt;"&amp;$B84,'エネルギーデータ入力'!$H$6:$H$205,$G84,'エネルギーデータ入力'!$J$6:$J$205,$H84),$I84))</f>
        <v/>
      </c>
      <c r="K84" s="143">
        <f>IFERROR(($I84-$J84)/$J84,"")</f>
        <v/>
      </c>
      <c r="L84" s="102">
        <f>IF('エネルギーデータ入力'!$V84="","",'エネルギーデータ入力'!$V84)</f>
        <v/>
      </c>
      <c r="M84" s="102">
        <f>IF($H84="","",IFERROR(VLOOKUP($H84,'基本設定'!$A$13:$K$19,5,FALSE),0.2))</f>
        <v/>
      </c>
      <c r="N84" s="102">
        <f>IF($B84="","",IF('エネルギーデータ入力'!$L84="","Missing reading",IF($I84=0,"Stalled reading / possibly offline",IF($K84&gt;=IFERROR(VLOOKUP($H84,'基本設定'!$A$13:$K$19,6,FALSE),0.5),"Severe spike",IF($K84&gt;=$M84,"Usage spike",IF($K84&lt;=-IFERROR(VLOOKUP($H84,'基本設定'!$A$13:$K$19,7,FALSE),0.3),"Usage drop",IF($L84&gt;IFERROR(VLOOKUP($H84,'基本設定'!$A$13:$K$19,8,FALSE),999999),"Area intensity overrun","正常")))))))</f>
        <v/>
      </c>
      <c r="O84" s="102">
        <f>IF($N84="","",IF($N84="正常","正常",IF(OR($N84="Severe spike",$K84&gt;=IFERROR(VLOOKUP($H84,'基本設定'!$A$13:$K$19,6,FALSE),0.5)),"重大",IF(OR($N84="Usage spike",$N84="Usage drop"),"高","中"))))</f>
        <v/>
      </c>
      <c r="P84" s="144">
        <f>IF(OR($N84="",$N84="正常"),0,ABS($I84-$J84)*'エネルギーデータ入力'!$O84)</f>
        <v/>
      </c>
      <c r="Q84" s="102">
        <f>IF($N84="正常","",IF($N84="Stalled reading / possibly offline","核查表计通信/電気池/网关/阀门Status",IF(AND($H84="水道",$N84&lt;&gt;"正常"),"检查管网、阀门、卫生间、冷却塔及夜间最小流量",IF(AND($H84="電気",$N84&lt;&gt;"正常"),"检查空调、照明、生产设备、PeakOff-peak时段与待机功耗",IF(AND($H84="ガス",$N84&lt;&gt;"正常"),"检查燃ガス阀门、锅炉/厨房设备与泄漏风险","核查设备工况、排班、产量与计量数据")))))</f>
        <v/>
      </c>
      <c r="R84" s="102">
        <f>IF($H84="","",IFERROR(VLOOKUP($H84,'基本設定'!$A$13:$K$19,11,FALSE),"Energy management owner"))</f>
        <v/>
      </c>
      <c r="S84" s="102">
        <f>IF($N84="","",IF($N84="正常","対応不要","未対応"))</f>
        <v/>
      </c>
      <c r="T84" s="141">
        <f>IF(OR($B84="",$N84="正常"),"",WORKDAY($B84,IF($O84="重大",1,IF($O84="高",2,3))))</f>
        <v/>
      </c>
      <c r="U84" s="102">
        <f>IF($T84="","",IF(AND($S84&lt;&gt;"完了",TODAY()&gt;$T84),"期限超過","期限内"))</f>
        <v/>
      </c>
      <c r="V84" s="102" t="n"/>
      <c r="W84" s="141" t="n"/>
      <c r="X84" s="102" t="n"/>
    </row>
    <row r="85">
      <c r="A85" s="102">
        <f>IF('エネルギーデータ入力'!$A85="","","AL-"&amp;TEXT(ROW()-5,"0000"))</f>
        <v/>
      </c>
      <c r="B85" s="141">
        <f>IF('エネルギーデータ入力'!$B85="","",'エネルギーデータ入力'!$B85)</f>
        <v/>
      </c>
      <c r="C85" s="102">
        <f>IF('エネルギーデータ入力'!$C85="","",'エネルギーデータ入力'!$C85)</f>
        <v/>
      </c>
      <c r="D85" s="102">
        <f>IF('エネルギーデータ入力'!$D85="","",'エネルギーデータ入力'!$D85)</f>
        <v/>
      </c>
      <c r="E85" s="102">
        <f>IF('エネルギーデータ入力'!$E85="","",'エネルギーデータ入力'!$E85)</f>
        <v/>
      </c>
      <c r="F85" s="102">
        <f>IF('エネルギーデータ入力'!$G85="","",'エネルギーデータ入力'!$G85)</f>
        <v/>
      </c>
      <c r="G85" s="102">
        <f>IF('エネルギーデータ入力'!$H85="","",'エネルギーデータ入力'!$H85)</f>
        <v/>
      </c>
      <c r="H85" s="102">
        <f>IF('エネルギーデータ入力'!$J85="","",'エネルギーデータ入力'!$J85)</f>
        <v/>
      </c>
      <c r="I85" s="142">
        <f>IF('エネルギーデータ入力'!$N85="","",'エネルギーデータ入力'!$N85)</f>
        <v/>
      </c>
      <c r="J85" s="142">
        <f>IF($B85="","",IFERROR(AVERAGEIFS('エネルギーデータ入力'!$N$6:$N$205,'エネルギーデータ入力'!$B$6:$B$205,"&gt;="&amp;$B85-7,'エネルギーデータ入力'!$B$6:$B$205,"&lt;"&amp;$B85,'エネルギーデータ入力'!$H$6:$H$205,$G85,'エネルギーデータ入力'!$J$6:$J$205,$H85),$I85))</f>
        <v/>
      </c>
      <c r="K85" s="143">
        <f>IFERROR(($I85-$J85)/$J85,"")</f>
        <v/>
      </c>
      <c r="L85" s="102">
        <f>IF('エネルギーデータ入力'!$V85="","",'エネルギーデータ入力'!$V85)</f>
        <v/>
      </c>
      <c r="M85" s="102">
        <f>IF($H85="","",IFERROR(VLOOKUP($H85,'基本設定'!$A$13:$K$19,5,FALSE),0.2))</f>
        <v/>
      </c>
      <c r="N85" s="102">
        <f>IF($B85="","",IF('エネルギーデータ入力'!$L85="","Missing reading",IF($I85=0,"Stalled reading / possibly offline",IF($K85&gt;=IFERROR(VLOOKUP($H85,'基本設定'!$A$13:$K$19,6,FALSE),0.5),"Severe spike",IF($K85&gt;=$M85,"Usage spike",IF($K85&lt;=-IFERROR(VLOOKUP($H85,'基本設定'!$A$13:$K$19,7,FALSE),0.3),"Usage drop",IF($L85&gt;IFERROR(VLOOKUP($H85,'基本設定'!$A$13:$K$19,8,FALSE),999999),"Area intensity overrun","正常")))))))</f>
        <v/>
      </c>
      <c r="O85" s="102">
        <f>IF($N85="","",IF($N85="正常","正常",IF(OR($N85="Severe spike",$K85&gt;=IFERROR(VLOOKUP($H85,'基本設定'!$A$13:$K$19,6,FALSE),0.5)),"重大",IF(OR($N85="Usage spike",$N85="Usage drop"),"高","中"))))</f>
        <v/>
      </c>
      <c r="P85" s="144">
        <f>IF(OR($N85="",$N85="正常"),0,ABS($I85-$J85)*'エネルギーデータ入力'!$O85)</f>
        <v/>
      </c>
      <c r="Q85" s="102">
        <f>IF($N85="正常","",IF($N85="Stalled reading / possibly offline","核查表计通信/電気池/网关/阀门Status",IF(AND($H85="水道",$N85&lt;&gt;"正常"),"检查管网、阀门、卫生间、冷却塔及夜间最小流量",IF(AND($H85="電気",$N85&lt;&gt;"正常"),"检查空调、照明、生产设备、PeakOff-peak时段与待机功耗",IF(AND($H85="ガス",$N85&lt;&gt;"正常"),"检查燃ガス阀门、锅炉/厨房设备与泄漏风险","核查设备工况、排班、产量与计量数据")))))</f>
        <v/>
      </c>
      <c r="R85" s="102">
        <f>IF($H85="","",IFERROR(VLOOKUP($H85,'基本設定'!$A$13:$K$19,11,FALSE),"Energy management owner"))</f>
        <v/>
      </c>
      <c r="S85" s="102">
        <f>IF($N85="","",IF($N85="正常","対応不要","未対応"))</f>
        <v/>
      </c>
      <c r="T85" s="141">
        <f>IF(OR($B85="",$N85="正常"),"",WORKDAY($B85,IF($O85="重大",1,IF($O85="高",2,3))))</f>
        <v/>
      </c>
      <c r="U85" s="102">
        <f>IF($T85="","",IF(AND($S85&lt;&gt;"完了",TODAY()&gt;$T85),"期限超過","期限内"))</f>
        <v/>
      </c>
      <c r="V85" s="102" t="n"/>
      <c r="W85" s="141" t="n"/>
      <c r="X85" s="102" t="n"/>
    </row>
    <row r="86">
      <c r="A86" s="102">
        <f>IF('エネルギーデータ入力'!$A86="","","AL-"&amp;TEXT(ROW()-5,"0000"))</f>
        <v/>
      </c>
      <c r="B86" s="141">
        <f>IF('エネルギーデータ入力'!$B86="","",'エネルギーデータ入力'!$B86)</f>
        <v/>
      </c>
      <c r="C86" s="102">
        <f>IF('エネルギーデータ入力'!$C86="","",'エネルギーデータ入力'!$C86)</f>
        <v/>
      </c>
      <c r="D86" s="102">
        <f>IF('エネルギーデータ入力'!$D86="","",'エネルギーデータ入力'!$D86)</f>
        <v/>
      </c>
      <c r="E86" s="102">
        <f>IF('エネルギーデータ入力'!$E86="","",'エネルギーデータ入力'!$E86)</f>
        <v/>
      </c>
      <c r="F86" s="102">
        <f>IF('エネルギーデータ入力'!$G86="","",'エネルギーデータ入力'!$G86)</f>
        <v/>
      </c>
      <c r="G86" s="102">
        <f>IF('エネルギーデータ入力'!$H86="","",'エネルギーデータ入力'!$H86)</f>
        <v/>
      </c>
      <c r="H86" s="102">
        <f>IF('エネルギーデータ入力'!$J86="","",'エネルギーデータ入力'!$J86)</f>
        <v/>
      </c>
      <c r="I86" s="142">
        <f>IF('エネルギーデータ入力'!$N86="","",'エネルギーデータ入力'!$N86)</f>
        <v/>
      </c>
      <c r="J86" s="142">
        <f>IF($B86="","",IFERROR(AVERAGEIFS('エネルギーデータ入力'!$N$6:$N$205,'エネルギーデータ入力'!$B$6:$B$205,"&gt;="&amp;$B86-7,'エネルギーデータ入力'!$B$6:$B$205,"&lt;"&amp;$B86,'エネルギーデータ入力'!$H$6:$H$205,$G86,'エネルギーデータ入力'!$J$6:$J$205,$H86),$I86))</f>
        <v/>
      </c>
      <c r="K86" s="143">
        <f>IFERROR(($I86-$J86)/$J86,"")</f>
        <v/>
      </c>
      <c r="L86" s="102">
        <f>IF('エネルギーデータ入力'!$V86="","",'エネルギーデータ入力'!$V86)</f>
        <v/>
      </c>
      <c r="M86" s="102">
        <f>IF($H86="","",IFERROR(VLOOKUP($H86,'基本設定'!$A$13:$K$19,5,FALSE),0.2))</f>
        <v/>
      </c>
      <c r="N86" s="102">
        <f>IF($B86="","",IF('エネルギーデータ入力'!$L86="","Missing reading",IF($I86=0,"Stalled reading / possibly offline",IF($K86&gt;=IFERROR(VLOOKUP($H86,'基本設定'!$A$13:$K$19,6,FALSE),0.5),"Severe spike",IF($K86&gt;=$M86,"Usage spike",IF($K86&lt;=-IFERROR(VLOOKUP($H86,'基本設定'!$A$13:$K$19,7,FALSE),0.3),"Usage drop",IF($L86&gt;IFERROR(VLOOKUP($H86,'基本設定'!$A$13:$K$19,8,FALSE),999999),"Area intensity overrun","正常")))))))</f>
        <v/>
      </c>
      <c r="O86" s="102">
        <f>IF($N86="","",IF($N86="正常","正常",IF(OR($N86="Severe spike",$K86&gt;=IFERROR(VLOOKUP($H86,'基本設定'!$A$13:$K$19,6,FALSE),0.5)),"重大",IF(OR($N86="Usage spike",$N86="Usage drop"),"高","中"))))</f>
        <v/>
      </c>
      <c r="P86" s="144">
        <f>IF(OR($N86="",$N86="正常"),0,ABS($I86-$J86)*'エネルギーデータ入力'!$O86)</f>
        <v/>
      </c>
      <c r="Q86" s="102">
        <f>IF($N86="正常","",IF($N86="Stalled reading / possibly offline","核查表计通信/電気池/网关/阀门Status",IF(AND($H86="水道",$N86&lt;&gt;"正常"),"检查管网、阀门、卫生间、冷却塔及夜间最小流量",IF(AND($H86="電気",$N86&lt;&gt;"正常"),"检查空调、照明、生产设备、PeakOff-peak时段与待机功耗",IF(AND($H86="ガス",$N86&lt;&gt;"正常"),"检查燃ガス阀门、锅炉/厨房设备与泄漏风险","核查设备工况、排班、产量与计量数据")))))</f>
        <v/>
      </c>
      <c r="R86" s="102">
        <f>IF($H86="","",IFERROR(VLOOKUP($H86,'基本設定'!$A$13:$K$19,11,FALSE),"Energy management owner"))</f>
        <v/>
      </c>
      <c r="S86" s="102">
        <f>IF($N86="","",IF($N86="正常","対応不要","未対応"))</f>
        <v/>
      </c>
      <c r="T86" s="141">
        <f>IF(OR($B86="",$N86="正常"),"",WORKDAY($B86,IF($O86="重大",1,IF($O86="高",2,3))))</f>
        <v/>
      </c>
      <c r="U86" s="102">
        <f>IF($T86="","",IF(AND($S86&lt;&gt;"完了",TODAY()&gt;$T86),"期限超過","期限内"))</f>
        <v/>
      </c>
      <c r="V86" s="102" t="n"/>
      <c r="W86" s="141" t="n"/>
      <c r="X86" s="102" t="n"/>
    </row>
    <row r="87">
      <c r="A87" s="102">
        <f>IF('エネルギーデータ入力'!$A87="","","AL-"&amp;TEXT(ROW()-5,"0000"))</f>
        <v/>
      </c>
      <c r="B87" s="141">
        <f>IF('エネルギーデータ入力'!$B87="","",'エネルギーデータ入力'!$B87)</f>
        <v/>
      </c>
      <c r="C87" s="102">
        <f>IF('エネルギーデータ入力'!$C87="","",'エネルギーデータ入力'!$C87)</f>
        <v/>
      </c>
      <c r="D87" s="102">
        <f>IF('エネルギーデータ入力'!$D87="","",'エネルギーデータ入力'!$D87)</f>
        <v/>
      </c>
      <c r="E87" s="102">
        <f>IF('エネルギーデータ入力'!$E87="","",'エネルギーデータ入力'!$E87)</f>
        <v/>
      </c>
      <c r="F87" s="102">
        <f>IF('エネルギーデータ入力'!$G87="","",'エネルギーデータ入力'!$G87)</f>
        <v/>
      </c>
      <c r="G87" s="102">
        <f>IF('エネルギーデータ入力'!$H87="","",'エネルギーデータ入力'!$H87)</f>
        <v/>
      </c>
      <c r="H87" s="102">
        <f>IF('エネルギーデータ入力'!$J87="","",'エネルギーデータ入力'!$J87)</f>
        <v/>
      </c>
      <c r="I87" s="142">
        <f>IF('エネルギーデータ入力'!$N87="","",'エネルギーデータ入力'!$N87)</f>
        <v/>
      </c>
      <c r="J87" s="142">
        <f>IF($B87="","",IFERROR(AVERAGEIFS('エネルギーデータ入力'!$N$6:$N$205,'エネルギーデータ入力'!$B$6:$B$205,"&gt;="&amp;$B87-7,'エネルギーデータ入力'!$B$6:$B$205,"&lt;"&amp;$B87,'エネルギーデータ入力'!$H$6:$H$205,$G87,'エネルギーデータ入力'!$J$6:$J$205,$H87),$I87))</f>
        <v/>
      </c>
      <c r="K87" s="143">
        <f>IFERROR(($I87-$J87)/$J87,"")</f>
        <v/>
      </c>
      <c r="L87" s="102">
        <f>IF('エネルギーデータ入力'!$V87="","",'エネルギーデータ入力'!$V87)</f>
        <v/>
      </c>
      <c r="M87" s="102">
        <f>IF($H87="","",IFERROR(VLOOKUP($H87,'基本設定'!$A$13:$K$19,5,FALSE),0.2))</f>
        <v/>
      </c>
      <c r="N87" s="102">
        <f>IF($B87="","",IF('エネルギーデータ入力'!$L87="","Missing reading",IF($I87=0,"Stalled reading / possibly offline",IF($K87&gt;=IFERROR(VLOOKUP($H87,'基本設定'!$A$13:$K$19,6,FALSE),0.5),"Severe spike",IF($K87&gt;=$M87,"Usage spike",IF($K87&lt;=-IFERROR(VLOOKUP($H87,'基本設定'!$A$13:$K$19,7,FALSE),0.3),"Usage drop",IF($L87&gt;IFERROR(VLOOKUP($H87,'基本設定'!$A$13:$K$19,8,FALSE),999999),"Area intensity overrun","正常")))))))</f>
        <v/>
      </c>
      <c r="O87" s="102">
        <f>IF($N87="","",IF($N87="正常","正常",IF(OR($N87="Severe spike",$K87&gt;=IFERROR(VLOOKUP($H87,'基本設定'!$A$13:$K$19,6,FALSE),0.5)),"重大",IF(OR($N87="Usage spike",$N87="Usage drop"),"高","中"))))</f>
        <v/>
      </c>
      <c r="P87" s="144">
        <f>IF(OR($N87="",$N87="正常"),0,ABS($I87-$J87)*'エネルギーデータ入力'!$O87)</f>
        <v/>
      </c>
      <c r="Q87" s="102">
        <f>IF($N87="正常","",IF($N87="Stalled reading / possibly offline","核查表计通信/電気池/网关/阀门Status",IF(AND($H87="水道",$N87&lt;&gt;"正常"),"检查管网、阀门、卫生间、冷却塔及夜间最小流量",IF(AND($H87="電気",$N87&lt;&gt;"正常"),"检查空调、照明、生产设备、PeakOff-peak时段与待机功耗",IF(AND($H87="ガス",$N87&lt;&gt;"正常"),"检查燃ガス阀门、锅炉/厨房设备与泄漏风险","核查设备工况、排班、产量与计量数据")))))</f>
        <v/>
      </c>
      <c r="R87" s="102">
        <f>IF($H87="","",IFERROR(VLOOKUP($H87,'基本設定'!$A$13:$K$19,11,FALSE),"Energy management owner"))</f>
        <v/>
      </c>
      <c r="S87" s="102">
        <f>IF($N87="","",IF($N87="正常","対応不要","未対応"))</f>
        <v/>
      </c>
      <c r="T87" s="141">
        <f>IF(OR($B87="",$N87="正常"),"",WORKDAY($B87,IF($O87="重大",1,IF($O87="高",2,3))))</f>
        <v/>
      </c>
      <c r="U87" s="102">
        <f>IF($T87="","",IF(AND($S87&lt;&gt;"完了",TODAY()&gt;$T87),"期限超過","期限内"))</f>
        <v/>
      </c>
      <c r="V87" s="102" t="n"/>
      <c r="W87" s="141" t="n"/>
      <c r="X87" s="102" t="n"/>
    </row>
    <row r="88">
      <c r="A88" s="102">
        <f>IF('エネルギーデータ入力'!$A88="","","AL-"&amp;TEXT(ROW()-5,"0000"))</f>
        <v/>
      </c>
      <c r="B88" s="141">
        <f>IF('エネルギーデータ入力'!$B88="","",'エネルギーデータ入力'!$B88)</f>
        <v/>
      </c>
      <c r="C88" s="102">
        <f>IF('エネルギーデータ入力'!$C88="","",'エネルギーデータ入力'!$C88)</f>
        <v/>
      </c>
      <c r="D88" s="102">
        <f>IF('エネルギーデータ入力'!$D88="","",'エネルギーデータ入力'!$D88)</f>
        <v/>
      </c>
      <c r="E88" s="102">
        <f>IF('エネルギーデータ入力'!$E88="","",'エネルギーデータ入力'!$E88)</f>
        <v/>
      </c>
      <c r="F88" s="102">
        <f>IF('エネルギーデータ入力'!$G88="","",'エネルギーデータ入力'!$G88)</f>
        <v/>
      </c>
      <c r="G88" s="102">
        <f>IF('エネルギーデータ入力'!$H88="","",'エネルギーデータ入力'!$H88)</f>
        <v/>
      </c>
      <c r="H88" s="102">
        <f>IF('エネルギーデータ入力'!$J88="","",'エネルギーデータ入力'!$J88)</f>
        <v/>
      </c>
      <c r="I88" s="142">
        <f>IF('エネルギーデータ入力'!$N88="","",'エネルギーデータ入力'!$N88)</f>
        <v/>
      </c>
      <c r="J88" s="142">
        <f>IF($B88="","",IFERROR(AVERAGEIFS('エネルギーデータ入力'!$N$6:$N$205,'エネルギーデータ入力'!$B$6:$B$205,"&gt;="&amp;$B88-7,'エネルギーデータ入力'!$B$6:$B$205,"&lt;"&amp;$B88,'エネルギーデータ入力'!$H$6:$H$205,$G88,'エネルギーデータ入力'!$J$6:$J$205,$H88),$I88))</f>
        <v/>
      </c>
      <c r="K88" s="143">
        <f>IFERROR(($I88-$J88)/$J88,"")</f>
        <v/>
      </c>
      <c r="L88" s="102">
        <f>IF('エネルギーデータ入力'!$V88="","",'エネルギーデータ入力'!$V88)</f>
        <v/>
      </c>
      <c r="M88" s="102">
        <f>IF($H88="","",IFERROR(VLOOKUP($H88,'基本設定'!$A$13:$K$19,5,FALSE),0.2))</f>
        <v/>
      </c>
      <c r="N88" s="102">
        <f>IF($B88="","",IF('エネルギーデータ入力'!$L88="","Missing reading",IF($I88=0,"Stalled reading / possibly offline",IF($K88&gt;=IFERROR(VLOOKUP($H88,'基本設定'!$A$13:$K$19,6,FALSE),0.5),"Severe spike",IF($K88&gt;=$M88,"Usage spike",IF($K88&lt;=-IFERROR(VLOOKUP($H88,'基本設定'!$A$13:$K$19,7,FALSE),0.3),"Usage drop",IF($L88&gt;IFERROR(VLOOKUP($H88,'基本設定'!$A$13:$K$19,8,FALSE),999999),"Area intensity overrun","正常")))))))</f>
        <v/>
      </c>
      <c r="O88" s="102">
        <f>IF($N88="","",IF($N88="正常","正常",IF(OR($N88="Severe spike",$K88&gt;=IFERROR(VLOOKUP($H88,'基本設定'!$A$13:$K$19,6,FALSE),0.5)),"重大",IF(OR($N88="Usage spike",$N88="Usage drop"),"高","中"))))</f>
        <v/>
      </c>
      <c r="P88" s="144">
        <f>IF(OR($N88="",$N88="正常"),0,ABS($I88-$J88)*'エネルギーデータ入力'!$O88)</f>
        <v/>
      </c>
      <c r="Q88" s="102">
        <f>IF($N88="正常","",IF($N88="Stalled reading / possibly offline","核查表计通信/電気池/网关/阀门Status",IF(AND($H88="水道",$N88&lt;&gt;"正常"),"检查管网、阀门、卫生间、冷却塔及夜间最小流量",IF(AND($H88="電気",$N88&lt;&gt;"正常"),"检查空调、照明、生产设备、PeakOff-peak时段与待机功耗",IF(AND($H88="ガス",$N88&lt;&gt;"正常"),"检查燃ガス阀门、锅炉/厨房设备与泄漏风险","核查设备工况、排班、产量与计量数据")))))</f>
        <v/>
      </c>
      <c r="R88" s="102">
        <f>IF($H88="","",IFERROR(VLOOKUP($H88,'基本設定'!$A$13:$K$19,11,FALSE),"Energy management owner"))</f>
        <v/>
      </c>
      <c r="S88" s="102">
        <f>IF($N88="","",IF($N88="正常","対応不要","未対応"))</f>
        <v/>
      </c>
      <c r="T88" s="141">
        <f>IF(OR($B88="",$N88="正常"),"",WORKDAY($B88,IF($O88="重大",1,IF($O88="高",2,3))))</f>
        <v/>
      </c>
      <c r="U88" s="102">
        <f>IF($T88="","",IF(AND($S88&lt;&gt;"完了",TODAY()&gt;$T88),"期限超過","期限内"))</f>
        <v/>
      </c>
      <c r="V88" s="102" t="n"/>
      <c r="W88" s="141" t="n"/>
      <c r="X88" s="102" t="n"/>
    </row>
    <row r="89">
      <c r="A89" s="102">
        <f>IF('エネルギーデータ入力'!$A89="","","AL-"&amp;TEXT(ROW()-5,"0000"))</f>
        <v/>
      </c>
      <c r="B89" s="141">
        <f>IF('エネルギーデータ入力'!$B89="","",'エネルギーデータ入力'!$B89)</f>
        <v/>
      </c>
      <c r="C89" s="102">
        <f>IF('エネルギーデータ入力'!$C89="","",'エネルギーデータ入力'!$C89)</f>
        <v/>
      </c>
      <c r="D89" s="102">
        <f>IF('エネルギーデータ入力'!$D89="","",'エネルギーデータ入力'!$D89)</f>
        <v/>
      </c>
      <c r="E89" s="102">
        <f>IF('エネルギーデータ入力'!$E89="","",'エネルギーデータ入力'!$E89)</f>
        <v/>
      </c>
      <c r="F89" s="102">
        <f>IF('エネルギーデータ入力'!$G89="","",'エネルギーデータ入力'!$G89)</f>
        <v/>
      </c>
      <c r="G89" s="102">
        <f>IF('エネルギーデータ入力'!$H89="","",'エネルギーデータ入力'!$H89)</f>
        <v/>
      </c>
      <c r="H89" s="102">
        <f>IF('エネルギーデータ入力'!$J89="","",'エネルギーデータ入力'!$J89)</f>
        <v/>
      </c>
      <c r="I89" s="142">
        <f>IF('エネルギーデータ入力'!$N89="","",'エネルギーデータ入力'!$N89)</f>
        <v/>
      </c>
      <c r="J89" s="142">
        <f>IF($B89="","",IFERROR(AVERAGEIFS('エネルギーデータ入力'!$N$6:$N$205,'エネルギーデータ入力'!$B$6:$B$205,"&gt;="&amp;$B89-7,'エネルギーデータ入力'!$B$6:$B$205,"&lt;"&amp;$B89,'エネルギーデータ入力'!$H$6:$H$205,$G89,'エネルギーデータ入力'!$J$6:$J$205,$H89),$I89))</f>
        <v/>
      </c>
      <c r="K89" s="143">
        <f>IFERROR(($I89-$J89)/$J89,"")</f>
        <v/>
      </c>
      <c r="L89" s="102">
        <f>IF('エネルギーデータ入力'!$V89="","",'エネルギーデータ入力'!$V89)</f>
        <v/>
      </c>
      <c r="M89" s="102">
        <f>IF($H89="","",IFERROR(VLOOKUP($H89,'基本設定'!$A$13:$K$19,5,FALSE),0.2))</f>
        <v/>
      </c>
      <c r="N89" s="102">
        <f>IF($B89="","",IF('エネルギーデータ入力'!$L89="","Missing reading",IF($I89=0,"Stalled reading / possibly offline",IF($K89&gt;=IFERROR(VLOOKUP($H89,'基本設定'!$A$13:$K$19,6,FALSE),0.5),"Severe spike",IF($K89&gt;=$M89,"Usage spike",IF($K89&lt;=-IFERROR(VLOOKUP($H89,'基本設定'!$A$13:$K$19,7,FALSE),0.3),"Usage drop",IF($L89&gt;IFERROR(VLOOKUP($H89,'基本設定'!$A$13:$K$19,8,FALSE),999999),"Area intensity overrun","正常")))))))</f>
        <v/>
      </c>
      <c r="O89" s="102">
        <f>IF($N89="","",IF($N89="正常","正常",IF(OR($N89="Severe spike",$K89&gt;=IFERROR(VLOOKUP($H89,'基本設定'!$A$13:$K$19,6,FALSE),0.5)),"重大",IF(OR($N89="Usage spike",$N89="Usage drop"),"高","中"))))</f>
        <v/>
      </c>
      <c r="P89" s="144">
        <f>IF(OR($N89="",$N89="正常"),0,ABS($I89-$J89)*'エネルギーデータ入力'!$O89)</f>
        <v/>
      </c>
      <c r="Q89" s="102">
        <f>IF($N89="正常","",IF($N89="Stalled reading / possibly offline","核查表计通信/電気池/网关/阀门Status",IF(AND($H89="水道",$N89&lt;&gt;"正常"),"检查管网、阀门、卫生间、冷却塔及夜间最小流量",IF(AND($H89="電気",$N89&lt;&gt;"正常"),"检查空调、照明、生产设备、PeakOff-peak时段与待机功耗",IF(AND($H89="ガス",$N89&lt;&gt;"正常"),"检查燃ガス阀门、锅炉/厨房设备与泄漏风险","核查设备工况、排班、产量与计量数据")))))</f>
        <v/>
      </c>
      <c r="R89" s="102">
        <f>IF($H89="","",IFERROR(VLOOKUP($H89,'基本設定'!$A$13:$K$19,11,FALSE),"Energy management owner"))</f>
        <v/>
      </c>
      <c r="S89" s="102">
        <f>IF($N89="","",IF($N89="正常","対応不要","未対応"))</f>
        <v/>
      </c>
      <c r="T89" s="141">
        <f>IF(OR($B89="",$N89="正常"),"",WORKDAY($B89,IF($O89="重大",1,IF($O89="高",2,3))))</f>
        <v/>
      </c>
      <c r="U89" s="102">
        <f>IF($T89="","",IF(AND($S89&lt;&gt;"完了",TODAY()&gt;$T89),"期限超過","期限内"))</f>
        <v/>
      </c>
      <c r="V89" s="102" t="n"/>
      <c r="W89" s="141" t="n"/>
      <c r="X89" s="102" t="n"/>
    </row>
    <row r="90">
      <c r="A90" s="102">
        <f>IF('エネルギーデータ入力'!$A90="","","AL-"&amp;TEXT(ROW()-5,"0000"))</f>
        <v/>
      </c>
      <c r="B90" s="141">
        <f>IF('エネルギーデータ入力'!$B90="","",'エネルギーデータ入力'!$B90)</f>
        <v/>
      </c>
      <c r="C90" s="102">
        <f>IF('エネルギーデータ入力'!$C90="","",'エネルギーデータ入力'!$C90)</f>
        <v/>
      </c>
      <c r="D90" s="102">
        <f>IF('エネルギーデータ入力'!$D90="","",'エネルギーデータ入力'!$D90)</f>
        <v/>
      </c>
      <c r="E90" s="102">
        <f>IF('エネルギーデータ入力'!$E90="","",'エネルギーデータ入力'!$E90)</f>
        <v/>
      </c>
      <c r="F90" s="102">
        <f>IF('エネルギーデータ入力'!$G90="","",'エネルギーデータ入力'!$G90)</f>
        <v/>
      </c>
      <c r="G90" s="102">
        <f>IF('エネルギーデータ入力'!$H90="","",'エネルギーデータ入力'!$H90)</f>
        <v/>
      </c>
      <c r="H90" s="102">
        <f>IF('エネルギーデータ入力'!$J90="","",'エネルギーデータ入力'!$J90)</f>
        <v/>
      </c>
      <c r="I90" s="142">
        <f>IF('エネルギーデータ入力'!$N90="","",'エネルギーデータ入力'!$N90)</f>
        <v/>
      </c>
      <c r="J90" s="142">
        <f>IF($B90="","",IFERROR(AVERAGEIFS('エネルギーデータ入力'!$N$6:$N$205,'エネルギーデータ入力'!$B$6:$B$205,"&gt;="&amp;$B90-7,'エネルギーデータ入力'!$B$6:$B$205,"&lt;"&amp;$B90,'エネルギーデータ入力'!$H$6:$H$205,$G90,'エネルギーデータ入力'!$J$6:$J$205,$H90),$I90))</f>
        <v/>
      </c>
      <c r="K90" s="143">
        <f>IFERROR(($I90-$J90)/$J90,"")</f>
        <v/>
      </c>
      <c r="L90" s="102">
        <f>IF('エネルギーデータ入力'!$V90="","",'エネルギーデータ入力'!$V90)</f>
        <v/>
      </c>
      <c r="M90" s="102">
        <f>IF($H90="","",IFERROR(VLOOKUP($H90,'基本設定'!$A$13:$K$19,5,FALSE),0.2))</f>
        <v/>
      </c>
      <c r="N90" s="102">
        <f>IF($B90="","",IF('エネルギーデータ入力'!$L90="","Missing reading",IF($I90=0,"Stalled reading / possibly offline",IF($K90&gt;=IFERROR(VLOOKUP($H90,'基本設定'!$A$13:$K$19,6,FALSE),0.5),"Severe spike",IF($K90&gt;=$M90,"Usage spike",IF($K90&lt;=-IFERROR(VLOOKUP($H90,'基本設定'!$A$13:$K$19,7,FALSE),0.3),"Usage drop",IF($L90&gt;IFERROR(VLOOKUP($H90,'基本設定'!$A$13:$K$19,8,FALSE),999999),"Area intensity overrun","正常")))))))</f>
        <v/>
      </c>
      <c r="O90" s="102">
        <f>IF($N90="","",IF($N90="正常","正常",IF(OR($N90="Severe spike",$K90&gt;=IFERROR(VLOOKUP($H90,'基本設定'!$A$13:$K$19,6,FALSE),0.5)),"重大",IF(OR($N90="Usage spike",$N90="Usage drop"),"高","中"))))</f>
        <v/>
      </c>
      <c r="P90" s="144">
        <f>IF(OR($N90="",$N90="正常"),0,ABS($I90-$J90)*'エネルギーデータ入力'!$O90)</f>
        <v/>
      </c>
      <c r="Q90" s="102">
        <f>IF($N90="正常","",IF($N90="Stalled reading / possibly offline","核查表计通信/電気池/网关/阀门Status",IF(AND($H90="水道",$N90&lt;&gt;"正常"),"检查管网、阀门、卫生间、冷却塔及夜间最小流量",IF(AND($H90="電気",$N90&lt;&gt;"正常"),"检查空调、照明、生产设备、PeakOff-peak时段与待机功耗",IF(AND($H90="ガス",$N90&lt;&gt;"正常"),"检查燃ガス阀门、锅炉/厨房设备与泄漏风险","核查设备工况、排班、产量与计量数据")))))</f>
        <v/>
      </c>
      <c r="R90" s="102">
        <f>IF($H90="","",IFERROR(VLOOKUP($H90,'基本設定'!$A$13:$K$19,11,FALSE),"Energy management owner"))</f>
        <v/>
      </c>
      <c r="S90" s="102">
        <f>IF($N90="","",IF($N90="正常","対応不要","未対応"))</f>
        <v/>
      </c>
      <c r="T90" s="141">
        <f>IF(OR($B90="",$N90="正常"),"",WORKDAY($B90,IF($O90="重大",1,IF($O90="高",2,3))))</f>
        <v/>
      </c>
      <c r="U90" s="102">
        <f>IF($T90="","",IF(AND($S90&lt;&gt;"完了",TODAY()&gt;$T90),"期限超過","期限内"))</f>
        <v/>
      </c>
      <c r="V90" s="102" t="n"/>
      <c r="W90" s="141" t="n"/>
      <c r="X90" s="102" t="n"/>
    </row>
    <row r="91">
      <c r="A91" s="102">
        <f>IF('エネルギーデータ入力'!$A91="","","AL-"&amp;TEXT(ROW()-5,"0000"))</f>
        <v/>
      </c>
      <c r="B91" s="141">
        <f>IF('エネルギーデータ入力'!$B91="","",'エネルギーデータ入力'!$B91)</f>
        <v/>
      </c>
      <c r="C91" s="102">
        <f>IF('エネルギーデータ入力'!$C91="","",'エネルギーデータ入力'!$C91)</f>
        <v/>
      </c>
      <c r="D91" s="102">
        <f>IF('エネルギーデータ入力'!$D91="","",'エネルギーデータ入力'!$D91)</f>
        <v/>
      </c>
      <c r="E91" s="102">
        <f>IF('エネルギーデータ入力'!$E91="","",'エネルギーデータ入力'!$E91)</f>
        <v/>
      </c>
      <c r="F91" s="102">
        <f>IF('エネルギーデータ入力'!$G91="","",'エネルギーデータ入力'!$G91)</f>
        <v/>
      </c>
      <c r="G91" s="102">
        <f>IF('エネルギーデータ入力'!$H91="","",'エネルギーデータ入力'!$H91)</f>
        <v/>
      </c>
      <c r="H91" s="102">
        <f>IF('エネルギーデータ入力'!$J91="","",'エネルギーデータ入力'!$J91)</f>
        <v/>
      </c>
      <c r="I91" s="142">
        <f>IF('エネルギーデータ入力'!$N91="","",'エネルギーデータ入力'!$N91)</f>
        <v/>
      </c>
      <c r="J91" s="142">
        <f>IF($B91="","",IFERROR(AVERAGEIFS('エネルギーデータ入力'!$N$6:$N$205,'エネルギーデータ入力'!$B$6:$B$205,"&gt;="&amp;$B91-7,'エネルギーデータ入力'!$B$6:$B$205,"&lt;"&amp;$B91,'エネルギーデータ入力'!$H$6:$H$205,$G91,'エネルギーデータ入力'!$J$6:$J$205,$H91),$I91))</f>
        <v/>
      </c>
      <c r="K91" s="143">
        <f>IFERROR(($I91-$J91)/$J91,"")</f>
        <v/>
      </c>
      <c r="L91" s="102">
        <f>IF('エネルギーデータ入力'!$V91="","",'エネルギーデータ入力'!$V91)</f>
        <v/>
      </c>
      <c r="M91" s="102">
        <f>IF($H91="","",IFERROR(VLOOKUP($H91,'基本設定'!$A$13:$K$19,5,FALSE),0.2))</f>
        <v/>
      </c>
      <c r="N91" s="102">
        <f>IF($B91="","",IF('エネルギーデータ入力'!$L91="","Missing reading",IF($I91=0,"Stalled reading / possibly offline",IF($K91&gt;=IFERROR(VLOOKUP($H91,'基本設定'!$A$13:$K$19,6,FALSE),0.5),"Severe spike",IF($K91&gt;=$M91,"Usage spike",IF($K91&lt;=-IFERROR(VLOOKUP($H91,'基本設定'!$A$13:$K$19,7,FALSE),0.3),"Usage drop",IF($L91&gt;IFERROR(VLOOKUP($H91,'基本設定'!$A$13:$K$19,8,FALSE),999999),"Area intensity overrun","正常")))))))</f>
        <v/>
      </c>
      <c r="O91" s="102">
        <f>IF($N91="","",IF($N91="正常","正常",IF(OR($N91="Severe spike",$K91&gt;=IFERROR(VLOOKUP($H91,'基本設定'!$A$13:$K$19,6,FALSE),0.5)),"重大",IF(OR($N91="Usage spike",$N91="Usage drop"),"高","中"))))</f>
        <v/>
      </c>
      <c r="P91" s="144">
        <f>IF(OR($N91="",$N91="正常"),0,ABS($I91-$J91)*'エネルギーデータ入力'!$O91)</f>
        <v/>
      </c>
      <c r="Q91" s="102">
        <f>IF($N91="正常","",IF($N91="Stalled reading / possibly offline","核查表计通信/電気池/网关/阀门Status",IF(AND($H91="水道",$N91&lt;&gt;"正常"),"检查管网、阀门、卫生间、冷却塔及夜间最小流量",IF(AND($H91="電気",$N91&lt;&gt;"正常"),"检查空调、照明、生产设备、PeakOff-peak时段与待机功耗",IF(AND($H91="ガス",$N91&lt;&gt;"正常"),"检查燃ガス阀门、锅炉/厨房设备与泄漏风险","核查设备工况、排班、产量与计量数据")))))</f>
        <v/>
      </c>
      <c r="R91" s="102">
        <f>IF($H91="","",IFERROR(VLOOKUP($H91,'基本設定'!$A$13:$K$19,11,FALSE),"Energy management owner"))</f>
        <v/>
      </c>
      <c r="S91" s="102">
        <f>IF($N91="","",IF($N91="正常","対応不要","未対応"))</f>
        <v/>
      </c>
      <c r="T91" s="141">
        <f>IF(OR($B91="",$N91="正常"),"",WORKDAY($B91,IF($O91="重大",1,IF($O91="高",2,3))))</f>
        <v/>
      </c>
      <c r="U91" s="102">
        <f>IF($T91="","",IF(AND($S91&lt;&gt;"完了",TODAY()&gt;$T91),"期限超過","期限内"))</f>
        <v/>
      </c>
      <c r="V91" s="102" t="n"/>
      <c r="W91" s="141" t="n"/>
      <c r="X91" s="102" t="n"/>
    </row>
    <row r="92">
      <c r="A92" s="102">
        <f>IF('エネルギーデータ入力'!$A92="","","AL-"&amp;TEXT(ROW()-5,"0000"))</f>
        <v/>
      </c>
      <c r="B92" s="141">
        <f>IF('エネルギーデータ入力'!$B92="","",'エネルギーデータ入力'!$B92)</f>
        <v/>
      </c>
      <c r="C92" s="102">
        <f>IF('エネルギーデータ入力'!$C92="","",'エネルギーデータ入力'!$C92)</f>
        <v/>
      </c>
      <c r="D92" s="102">
        <f>IF('エネルギーデータ入力'!$D92="","",'エネルギーデータ入力'!$D92)</f>
        <v/>
      </c>
      <c r="E92" s="102">
        <f>IF('エネルギーデータ入力'!$E92="","",'エネルギーデータ入力'!$E92)</f>
        <v/>
      </c>
      <c r="F92" s="102">
        <f>IF('エネルギーデータ入力'!$G92="","",'エネルギーデータ入力'!$G92)</f>
        <v/>
      </c>
      <c r="G92" s="102">
        <f>IF('エネルギーデータ入力'!$H92="","",'エネルギーデータ入力'!$H92)</f>
        <v/>
      </c>
      <c r="H92" s="102">
        <f>IF('エネルギーデータ入力'!$J92="","",'エネルギーデータ入力'!$J92)</f>
        <v/>
      </c>
      <c r="I92" s="142">
        <f>IF('エネルギーデータ入力'!$N92="","",'エネルギーデータ入力'!$N92)</f>
        <v/>
      </c>
      <c r="J92" s="142">
        <f>IF($B92="","",IFERROR(AVERAGEIFS('エネルギーデータ入力'!$N$6:$N$205,'エネルギーデータ入力'!$B$6:$B$205,"&gt;="&amp;$B92-7,'エネルギーデータ入力'!$B$6:$B$205,"&lt;"&amp;$B92,'エネルギーデータ入力'!$H$6:$H$205,$G92,'エネルギーデータ入力'!$J$6:$J$205,$H92),$I92))</f>
        <v/>
      </c>
      <c r="K92" s="143">
        <f>IFERROR(($I92-$J92)/$J92,"")</f>
        <v/>
      </c>
      <c r="L92" s="102">
        <f>IF('エネルギーデータ入力'!$V92="","",'エネルギーデータ入力'!$V92)</f>
        <v/>
      </c>
      <c r="M92" s="102">
        <f>IF($H92="","",IFERROR(VLOOKUP($H92,'基本設定'!$A$13:$K$19,5,FALSE),0.2))</f>
        <v/>
      </c>
      <c r="N92" s="102">
        <f>IF($B92="","",IF('エネルギーデータ入力'!$L92="","Missing reading",IF($I92=0,"Stalled reading / possibly offline",IF($K92&gt;=IFERROR(VLOOKUP($H92,'基本設定'!$A$13:$K$19,6,FALSE),0.5),"Severe spike",IF($K92&gt;=$M92,"Usage spike",IF($K92&lt;=-IFERROR(VLOOKUP($H92,'基本設定'!$A$13:$K$19,7,FALSE),0.3),"Usage drop",IF($L92&gt;IFERROR(VLOOKUP($H92,'基本設定'!$A$13:$K$19,8,FALSE),999999),"Area intensity overrun","正常")))))))</f>
        <v/>
      </c>
      <c r="O92" s="102">
        <f>IF($N92="","",IF($N92="正常","正常",IF(OR($N92="Severe spike",$K92&gt;=IFERROR(VLOOKUP($H92,'基本設定'!$A$13:$K$19,6,FALSE),0.5)),"重大",IF(OR($N92="Usage spike",$N92="Usage drop"),"高","中"))))</f>
        <v/>
      </c>
      <c r="P92" s="144">
        <f>IF(OR($N92="",$N92="正常"),0,ABS($I92-$J92)*'エネルギーデータ入力'!$O92)</f>
        <v/>
      </c>
      <c r="Q92" s="102">
        <f>IF($N92="正常","",IF($N92="Stalled reading / possibly offline","核查表计通信/電気池/网关/阀门Status",IF(AND($H92="水道",$N92&lt;&gt;"正常"),"检查管网、阀门、卫生间、冷却塔及夜间最小流量",IF(AND($H92="電気",$N92&lt;&gt;"正常"),"检查空调、照明、生产设备、PeakOff-peak时段与待机功耗",IF(AND($H92="ガス",$N92&lt;&gt;"正常"),"检查燃ガス阀门、锅炉/厨房设备与泄漏风险","核查设备工况、排班、产量与计量数据")))))</f>
        <v/>
      </c>
      <c r="R92" s="102">
        <f>IF($H92="","",IFERROR(VLOOKUP($H92,'基本設定'!$A$13:$K$19,11,FALSE),"Energy management owner"))</f>
        <v/>
      </c>
      <c r="S92" s="102">
        <f>IF($N92="","",IF($N92="正常","対応不要","未対応"))</f>
        <v/>
      </c>
      <c r="T92" s="141">
        <f>IF(OR($B92="",$N92="正常"),"",WORKDAY($B92,IF($O92="重大",1,IF($O92="高",2,3))))</f>
        <v/>
      </c>
      <c r="U92" s="102">
        <f>IF($T92="","",IF(AND($S92&lt;&gt;"完了",TODAY()&gt;$T92),"期限超過","期限内"))</f>
        <v/>
      </c>
      <c r="V92" s="102" t="n"/>
      <c r="W92" s="141" t="n"/>
      <c r="X92" s="102" t="n"/>
    </row>
    <row r="93">
      <c r="A93" s="102">
        <f>IF('エネルギーデータ入力'!$A93="","","AL-"&amp;TEXT(ROW()-5,"0000"))</f>
        <v/>
      </c>
      <c r="B93" s="141">
        <f>IF('エネルギーデータ入力'!$B93="","",'エネルギーデータ入力'!$B93)</f>
        <v/>
      </c>
      <c r="C93" s="102">
        <f>IF('エネルギーデータ入力'!$C93="","",'エネルギーデータ入力'!$C93)</f>
        <v/>
      </c>
      <c r="D93" s="102">
        <f>IF('エネルギーデータ入力'!$D93="","",'エネルギーデータ入力'!$D93)</f>
        <v/>
      </c>
      <c r="E93" s="102">
        <f>IF('エネルギーデータ入力'!$E93="","",'エネルギーデータ入力'!$E93)</f>
        <v/>
      </c>
      <c r="F93" s="102">
        <f>IF('エネルギーデータ入力'!$G93="","",'エネルギーデータ入力'!$G93)</f>
        <v/>
      </c>
      <c r="G93" s="102">
        <f>IF('エネルギーデータ入力'!$H93="","",'エネルギーデータ入力'!$H93)</f>
        <v/>
      </c>
      <c r="H93" s="102">
        <f>IF('エネルギーデータ入力'!$J93="","",'エネルギーデータ入力'!$J93)</f>
        <v/>
      </c>
      <c r="I93" s="142">
        <f>IF('エネルギーデータ入力'!$N93="","",'エネルギーデータ入力'!$N93)</f>
        <v/>
      </c>
      <c r="J93" s="142">
        <f>IF($B93="","",IFERROR(AVERAGEIFS('エネルギーデータ入力'!$N$6:$N$205,'エネルギーデータ入力'!$B$6:$B$205,"&gt;="&amp;$B93-7,'エネルギーデータ入力'!$B$6:$B$205,"&lt;"&amp;$B93,'エネルギーデータ入力'!$H$6:$H$205,$G93,'エネルギーデータ入力'!$J$6:$J$205,$H93),$I93))</f>
        <v/>
      </c>
      <c r="K93" s="143">
        <f>IFERROR(($I93-$J93)/$J93,"")</f>
        <v/>
      </c>
      <c r="L93" s="102">
        <f>IF('エネルギーデータ入力'!$V93="","",'エネルギーデータ入力'!$V93)</f>
        <v/>
      </c>
      <c r="M93" s="102">
        <f>IF($H93="","",IFERROR(VLOOKUP($H93,'基本設定'!$A$13:$K$19,5,FALSE),0.2))</f>
        <v/>
      </c>
      <c r="N93" s="102">
        <f>IF($B93="","",IF('エネルギーデータ入力'!$L93="","Missing reading",IF($I93=0,"Stalled reading / possibly offline",IF($K93&gt;=IFERROR(VLOOKUP($H93,'基本設定'!$A$13:$K$19,6,FALSE),0.5),"Severe spike",IF($K93&gt;=$M93,"Usage spike",IF($K93&lt;=-IFERROR(VLOOKUP($H93,'基本設定'!$A$13:$K$19,7,FALSE),0.3),"Usage drop",IF($L93&gt;IFERROR(VLOOKUP($H93,'基本設定'!$A$13:$K$19,8,FALSE),999999),"Area intensity overrun","正常")))))))</f>
        <v/>
      </c>
      <c r="O93" s="102">
        <f>IF($N93="","",IF($N93="正常","正常",IF(OR($N93="Severe spike",$K93&gt;=IFERROR(VLOOKUP($H93,'基本設定'!$A$13:$K$19,6,FALSE),0.5)),"重大",IF(OR($N93="Usage spike",$N93="Usage drop"),"高","中"))))</f>
        <v/>
      </c>
      <c r="P93" s="144">
        <f>IF(OR($N93="",$N93="正常"),0,ABS($I93-$J93)*'エネルギーデータ入力'!$O93)</f>
        <v/>
      </c>
      <c r="Q93" s="102">
        <f>IF($N93="正常","",IF($N93="Stalled reading / possibly offline","核查表计通信/電気池/网关/阀门Status",IF(AND($H93="水道",$N93&lt;&gt;"正常"),"检查管网、阀门、卫生间、冷却塔及夜间最小流量",IF(AND($H93="電気",$N93&lt;&gt;"正常"),"检查空调、照明、生产设备、PeakOff-peak时段与待机功耗",IF(AND($H93="ガス",$N93&lt;&gt;"正常"),"检查燃ガス阀门、锅炉/厨房设备与泄漏风险","核查设备工况、排班、产量与计量数据")))))</f>
        <v/>
      </c>
      <c r="R93" s="102">
        <f>IF($H93="","",IFERROR(VLOOKUP($H93,'基本設定'!$A$13:$K$19,11,FALSE),"Energy management owner"))</f>
        <v/>
      </c>
      <c r="S93" s="102">
        <f>IF($N93="","",IF($N93="正常","対応不要","未対応"))</f>
        <v/>
      </c>
      <c r="T93" s="141">
        <f>IF(OR($B93="",$N93="正常"),"",WORKDAY($B93,IF($O93="重大",1,IF($O93="高",2,3))))</f>
        <v/>
      </c>
      <c r="U93" s="102">
        <f>IF($T93="","",IF(AND($S93&lt;&gt;"完了",TODAY()&gt;$T93),"期限超過","期限内"))</f>
        <v/>
      </c>
      <c r="V93" s="102" t="n"/>
      <c r="W93" s="141" t="n"/>
      <c r="X93" s="102" t="n"/>
    </row>
    <row r="94">
      <c r="A94" s="102">
        <f>IF('エネルギーデータ入力'!$A94="","","AL-"&amp;TEXT(ROW()-5,"0000"))</f>
        <v/>
      </c>
      <c r="B94" s="141">
        <f>IF('エネルギーデータ入力'!$B94="","",'エネルギーデータ入力'!$B94)</f>
        <v/>
      </c>
      <c r="C94" s="102">
        <f>IF('エネルギーデータ入力'!$C94="","",'エネルギーデータ入力'!$C94)</f>
        <v/>
      </c>
      <c r="D94" s="102">
        <f>IF('エネルギーデータ入力'!$D94="","",'エネルギーデータ入力'!$D94)</f>
        <v/>
      </c>
      <c r="E94" s="102">
        <f>IF('エネルギーデータ入力'!$E94="","",'エネルギーデータ入力'!$E94)</f>
        <v/>
      </c>
      <c r="F94" s="102">
        <f>IF('エネルギーデータ入力'!$G94="","",'エネルギーデータ入力'!$G94)</f>
        <v/>
      </c>
      <c r="G94" s="102">
        <f>IF('エネルギーデータ入力'!$H94="","",'エネルギーデータ入力'!$H94)</f>
        <v/>
      </c>
      <c r="H94" s="102">
        <f>IF('エネルギーデータ入力'!$J94="","",'エネルギーデータ入力'!$J94)</f>
        <v/>
      </c>
      <c r="I94" s="142">
        <f>IF('エネルギーデータ入力'!$N94="","",'エネルギーデータ入力'!$N94)</f>
        <v/>
      </c>
      <c r="J94" s="142">
        <f>IF($B94="","",IFERROR(AVERAGEIFS('エネルギーデータ入力'!$N$6:$N$205,'エネルギーデータ入力'!$B$6:$B$205,"&gt;="&amp;$B94-7,'エネルギーデータ入力'!$B$6:$B$205,"&lt;"&amp;$B94,'エネルギーデータ入力'!$H$6:$H$205,$G94,'エネルギーデータ入力'!$J$6:$J$205,$H94),$I94))</f>
        <v/>
      </c>
      <c r="K94" s="143">
        <f>IFERROR(($I94-$J94)/$J94,"")</f>
        <v/>
      </c>
      <c r="L94" s="102">
        <f>IF('エネルギーデータ入力'!$V94="","",'エネルギーデータ入力'!$V94)</f>
        <v/>
      </c>
      <c r="M94" s="102">
        <f>IF($H94="","",IFERROR(VLOOKUP($H94,'基本設定'!$A$13:$K$19,5,FALSE),0.2))</f>
        <v/>
      </c>
      <c r="N94" s="102">
        <f>IF($B94="","",IF('エネルギーデータ入力'!$L94="","Missing reading",IF($I94=0,"Stalled reading / possibly offline",IF($K94&gt;=IFERROR(VLOOKUP($H94,'基本設定'!$A$13:$K$19,6,FALSE),0.5),"Severe spike",IF($K94&gt;=$M94,"Usage spike",IF($K94&lt;=-IFERROR(VLOOKUP($H94,'基本設定'!$A$13:$K$19,7,FALSE),0.3),"Usage drop",IF($L94&gt;IFERROR(VLOOKUP($H94,'基本設定'!$A$13:$K$19,8,FALSE),999999),"Area intensity overrun","正常")))))))</f>
        <v/>
      </c>
      <c r="O94" s="102">
        <f>IF($N94="","",IF($N94="正常","正常",IF(OR($N94="Severe spike",$K94&gt;=IFERROR(VLOOKUP($H94,'基本設定'!$A$13:$K$19,6,FALSE),0.5)),"重大",IF(OR($N94="Usage spike",$N94="Usage drop"),"高","中"))))</f>
        <v/>
      </c>
      <c r="P94" s="144">
        <f>IF(OR($N94="",$N94="正常"),0,ABS($I94-$J94)*'エネルギーデータ入力'!$O94)</f>
        <v/>
      </c>
      <c r="Q94" s="102">
        <f>IF($N94="正常","",IF($N94="Stalled reading / possibly offline","核查表计通信/電気池/网关/阀门Status",IF(AND($H94="水道",$N94&lt;&gt;"正常"),"检查管网、阀门、卫生间、冷却塔及夜间最小流量",IF(AND($H94="電気",$N94&lt;&gt;"正常"),"检查空调、照明、生产设备、PeakOff-peak时段与待机功耗",IF(AND($H94="ガス",$N94&lt;&gt;"正常"),"检查燃ガス阀门、锅炉/厨房设备与泄漏风险","核查设备工况、排班、产量与计量数据")))))</f>
        <v/>
      </c>
      <c r="R94" s="102">
        <f>IF($H94="","",IFERROR(VLOOKUP($H94,'基本設定'!$A$13:$K$19,11,FALSE),"Energy management owner"))</f>
        <v/>
      </c>
      <c r="S94" s="102">
        <f>IF($N94="","",IF($N94="正常","対応不要","未対応"))</f>
        <v/>
      </c>
      <c r="T94" s="141">
        <f>IF(OR($B94="",$N94="正常"),"",WORKDAY($B94,IF($O94="重大",1,IF($O94="高",2,3))))</f>
        <v/>
      </c>
      <c r="U94" s="102">
        <f>IF($T94="","",IF(AND($S94&lt;&gt;"完了",TODAY()&gt;$T94),"期限超過","期限内"))</f>
        <v/>
      </c>
      <c r="V94" s="102" t="n"/>
      <c r="W94" s="141" t="n"/>
      <c r="X94" s="102" t="n"/>
    </row>
    <row r="95">
      <c r="A95" s="102">
        <f>IF('エネルギーデータ入力'!$A95="","","AL-"&amp;TEXT(ROW()-5,"0000"))</f>
        <v/>
      </c>
      <c r="B95" s="141">
        <f>IF('エネルギーデータ入力'!$B95="","",'エネルギーデータ入力'!$B95)</f>
        <v/>
      </c>
      <c r="C95" s="102">
        <f>IF('エネルギーデータ入力'!$C95="","",'エネルギーデータ入力'!$C95)</f>
        <v/>
      </c>
      <c r="D95" s="102">
        <f>IF('エネルギーデータ入力'!$D95="","",'エネルギーデータ入力'!$D95)</f>
        <v/>
      </c>
      <c r="E95" s="102">
        <f>IF('エネルギーデータ入力'!$E95="","",'エネルギーデータ入力'!$E95)</f>
        <v/>
      </c>
      <c r="F95" s="102">
        <f>IF('エネルギーデータ入力'!$G95="","",'エネルギーデータ入力'!$G95)</f>
        <v/>
      </c>
      <c r="G95" s="102">
        <f>IF('エネルギーデータ入力'!$H95="","",'エネルギーデータ入力'!$H95)</f>
        <v/>
      </c>
      <c r="H95" s="102">
        <f>IF('エネルギーデータ入力'!$J95="","",'エネルギーデータ入力'!$J95)</f>
        <v/>
      </c>
      <c r="I95" s="142">
        <f>IF('エネルギーデータ入力'!$N95="","",'エネルギーデータ入力'!$N95)</f>
        <v/>
      </c>
      <c r="J95" s="142">
        <f>IF($B95="","",IFERROR(AVERAGEIFS('エネルギーデータ入力'!$N$6:$N$205,'エネルギーデータ入力'!$B$6:$B$205,"&gt;="&amp;$B95-7,'エネルギーデータ入力'!$B$6:$B$205,"&lt;"&amp;$B95,'エネルギーデータ入力'!$H$6:$H$205,$G95,'エネルギーデータ入力'!$J$6:$J$205,$H95),$I95))</f>
        <v/>
      </c>
      <c r="K95" s="143">
        <f>IFERROR(($I95-$J95)/$J95,"")</f>
        <v/>
      </c>
      <c r="L95" s="102">
        <f>IF('エネルギーデータ入力'!$V95="","",'エネルギーデータ入力'!$V95)</f>
        <v/>
      </c>
      <c r="M95" s="102">
        <f>IF($H95="","",IFERROR(VLOOKUP($H95,'基本設定'!$A$13:$K$19,5,FALSE),0.2))</f>
        <v/>
      </c>
      <c r="N95" s="102">
        <f>IF($B95="","",IF('エネルギーデータ入力'!$L95="","Missing reading",IF($I95=0,"Stalled reading / possibly offline",IF($K95&gt;=IFERROR(VLOOKUP($H95,'基本設定'!$A$13:$K$19,6,FALSE),0.5),"Severe spike",IF($K95&gt;=$M95,"Usage spike",IF($K95&lt;=-IFERROR(VLOOKUP($H95,'基本設定'!$A$13:$K$19,7,FALSE),0.3),"Usage drop",IF($L95&gt;IFERROR(VLOOKUP($H95,'基本設定'!$A$13:$K$19,8,FALSE),999999),"Area intensity overrun","正常")))))))</f>
        <v/>
      </c>
      <c r="O95" s="102">
        <f>IF($N95="","",IF($N95="正常","正常",IF(OR($N95="Severe spike",$K95&gt;=IFERROR(VLOOKUP($H95,'基本設定'!$A$13:$K$19,6,FALSE),0.5)),"重大",IF(OR($N95="Usage spike",$N95="Usage drop"),"高","中"))))</f>
        <v/>
      </c>
      <c r="P95" s="144">
        <f>IF(OR($N95="",$N95="正常"),0,ABS($I95-$J95)*'エネルギーデータ入力'!$O95)</f>
        <v/>
      </c>
      <c r="Q95" s="102">
        <f>IF($N95="正常","",IF($N95="Stalled reading / possibly offline","核查表计通信/電気池/网关/阀门Status",IF(AND($H95="水道",$N95&lt;&gt;"正常"),"检查管网、阀门、卫生间、冷却塔及夜间最小流量",IF(AND($H95="電気",$N95&lt;&gt;"正常"),"检查空调、照明、生产设备、PeakOff-peak时段与待机功耗",IF(AND($H95="ガス",$N95&lt;&gt;"正常"),"检查燃ガス阀门、锅炉/厨房设备与泄漏风险","核查设备工况、排班、产量与计量数据")))))</f>
        <v/>
      </c>
      <c r="R95" s="102">
        <f>IF($H95="","",IFERROR(VLOOKUP($H95,'基本設定'!$A$13:$K$19,11,FALSE),"Energy management owner"))</f>
        <v/>
      </c>
      <c r="S95" s="102">
        <f>IF($N95="","",IF($N95="正常","対応不要","未対応"))</f>
        <v/>
      </c>
      <c r="T95" s="141">
        <f>IF(OR($B95="",$N95="正常"),"",WORKDAY($B95,IF($O95="重大",1,IF($O95="高",2,3))))</f>
        <v/>
      </c>
      <c r="U95" s="102">
        <f>IF($T95="","",IF(AND($S95&lt;&gt;"完了",TODAY()&gt;$T95),"期限超過","期限内"))</f>
        <v/>
      </c>
      <c r="V95" s="102" t="n"/>
      <c r="W95" s="141" t="n"/>
      <c r="X95" s="102" t="n"/>
    </row>
    <row r="96">
      <c r="A96" s="102">
        <f>IF('エネルギーデータ入力'!$A96="","","AL-"&amp;TEXT(ROW()-5,"0000"))</f>
        <v/>
      </c>
      <c r="B96" s="141">
        <f>IF('エネルギーデータ入力'!$B96="","",'エネルギーデータ入力'!$B96)</f>
        <v/>
      </c>
      <c r="C96" s="102">
        <f>IF('エネルギーデータ入力'!$C96="","",'エネルギーデータ入力'!$C96)</f>
        <v/>
      </c>
      <c r="D96" s="102">
        <f>IF('エネルギーデータ入力'!$D96="","",'エネルギーデータ入力'!$D96)</f>
        <v/>
      </c>
      <c r="E96" s="102">
        <f>IF('エネルギーデータ入力'!$E96="","",'エネルギーデータ入力'!$E96)</f>
        <v/>
      </c>
      <c r="F96" s="102">
        <f>IF('エネルギーデータ入力'!$G96="","",'エネルギーデータ入力'!$G96)</f>
        <v/>
      </c>
      <c r="G96" s="102">
        <f>IF('エネルギーデータ入力'!$H96="","",'エネルギーデータ入力'!$H96)</f>
        <v/>
      </c>
      <c r="H96" s="102">
        <f>IF('エネルギーデータ入力'!$J96="","",'エネルギーデータ入力'!$J96)</f>
        <v/>
      </c>
      <c r="I96" s="142">
        <f>IF('エネルギーデータ入力'!$N96="","",'エネルギーデータ入力'!$N96)</f>
        <v/>
      </c>
      <c r="J96" s="142">
        <f>IF($B96="","",IFERROR(AVERAGEIFS('エネルギーデータ入力'!$N$6:$N$205,'エネルギーデータ入力'!$B$6:$B$205,"&gt;="&amp;$B96-7,'エネルギーデータ入力'!$B$6:$B$205,"&lt;"&amp;$B96,'エネルギーデータ入力'!$H$6:$H$205,$G96,'エネルギーデータ入力'!$J$6:$J$205,$H96),$I96))</f>
        <v/>
      </c>
      <c r="K96" s="143">
        <f>IFERROR(($I96-$J96)/$J96,"")</f>
        <v/>
      </c>
      <c r="L96" s="102">
        <f>IF('エネルギーデータ入力'!$V96="","",'エネルギーデータ入力'!$V96)</f>
        <v/>
      </c>
      <c r="M96" s="102">
        <f>IF($H96="","",IFERROR(VLOOKUP($H96,'基本設定'!$A$13:$K$19,5,FALSE),0.2))</f>
        <v/>
      </c>
      <c r="N96" s="102">
        <f>IF($B96="","",IF('エネルギーデータ入力'!$L96="","Missing reading",IF($I96=0,"Stalled reading / possibly offline",IF($K96&gt;=IFERROR(VLOOKUP($H96,'基本設定'!$A$13:$K$19,6,FALSE),0.5),"Severe spike",IF($K96&gt;=$M96,"Usage spike",IF($K96&lt;=-IFERROR(VLOOKUP($H96,'基本設定'!$A$13:$K$19,7,FALSE),0.3),"Usage drop",IF($L96&gt;IFERROR(VLOOKUP($H96,'基本設定'!$A$13:$K$19,8,FALSE),999999),"Area intensity overrun","正常")))))))</f>
        <v/>
      </c>
      <c r="O96" s="102">
        <f>IF($N96="","",IF($N96="正常","正常",IF(OR($N96="Severe spike",$K96&gt;=IFERROR(VLOOKUP($H96,'基本設定'!$A$13:$K$19,6,FALSE),0.5)),"重大",IF(OR($N96="Usage spike",$N96="Usage drop"),"高","中"))))</f>
        <v/>
      </c>
      <c r="P96" s="144">
        <f>IF(OR($N96="",$N96="正常"),0,ABS($I96-$J96)*'エネルギーデータ入力'!$O96)</f>
        <v/>
      </c>
      <c r="Q96" s="102">
        <f>IF($N96="正常","",IF($N96="Stalled reading / possibly offline","核查表计通信/電気池/网关/阀门Status",IF(AND($H96="水道",$N96&lt;&gt;"正常"),"检查管网、阀门、卫生间、冷却塔及夜间最小流量",IF(AND($H96="電気",$N96&lt;&gt;"正常"),"检查空调、照明、生产设备、PeakOff-peak时段与待机功耗",IF(AND($H96="ガス",$N96&lt;&gt;"正常"),"检查燃ガス阀门、锅炉/厨房设备与泄漏风险","核查设备工况、排班、产量与计量数据")))))</f>
        <v/>
      </c>
      <c r="R96" s="102">
        <f>IF($H96="","",IFERROR(VLOOKUP($H96,'基本設定'!$A$13:$K$19,11,FALSE),"Energy management owner"))</f>
        <v/>
      </c>
      <c r="S96" s="102">
        <f>IF($N96="","",IF($N96="正常","対応不要","未対応"))</f>
        <v/>
      </c>
      <c r="T96" s="141">
        <f>IF(OR($B96="",$N96="正常"),"",WORKDAY($B96,IF($O96="重大",1,IF($O96="高",2,3))))</f>
        <v/>
      </c>
      <c r="U96" s="102">
        <f>IF($T96="","",IF(AND($S96&lt;&gt;"完了",TODAY()&gt;$T96),"期限超過","期限内"))</f>
        <v/>
      </c>
      <c r="V96" s="102" t="n"/>
      <c r="W96" s="141" t="n"/>
      <c r="X96" s="102" t="n"/>
    </row>
    <row r="97">
      <c r="A97" s="102">
        <f>IF('エネルギーデータ入力'!$A97="","","AL-"&amp;TEXT(ROW()-5,"0000"))</f>
        <v/>
      </c>
      <c r="B97" s="141">
        <f>IF('エネルギーデータ入力'!$B97="","",'エネルギーデータ入力'!$B97)</f>
        <v/>
      </c>
      <c r="C97" s="102">
        <f>IF('エネルギーデータ入力'!$C97="","",'エネルギーデータ入力'!$C97)</f>
        <v/>
      </c>
      <c r="D97" s="102">
        <f>IF('エネルギーデータ入力'!$D97="","",'エネルギーデータ入力'!$D97)</f>
        <v/>
      </c>
      <c r="E97" s="102">
        <f>IF('エネルギーデータ入力'!$E97="","",'エネルギーデータ入力'!$E97)</f>
        <v/>
      </c>
      <c r="F97" s="102">
        <f>IF('エネルギーデータ入力'!$G97="","",'エネルギーデータ入力'!$G97)</f>
        <v/>
      </c>
      <c r="G97" s="102">
        <f>IF('エネルギーデータ入力'!$H97="","",'エネルギーデータ入力'!$H97)</f>
        <v/>
      </c>
      <c r="H97" s="102">
        <f>IF('エネルギーデータ入力'!$J97="","",'エネルギーデータ入力'!$J97)</f>
        <v/>
      </c>
      <c r="I97" s="142">
        <f>IF('エネルギーデータ入力'!$N97="","",'エネルギーデータ入力'!$N97)</f>
        <v/>
      </c>
      <c r="J97" s="142">
        <f>IF($B97="","",IFERROR(AVERAGEIFS('エネルギーデータ入力'!$N$6:$N$205,'エネルギーデータ入力'!$B$6:$B$205,"&gt;="&amp;$B97-7,'エネルギーデータ入力'!$B$6:$B$205,"&lt;"&amp;$B97,'エネルギーデータ入力'!$H$6:$H$205,$G97,'エネルギーデータ入力'!$J$6:$J$205,$H97),$I97))</f>
        <v/>
      </c>
      <c r="K97" s="143">
        <f>IFERROR(($I97-$J97)/$J97,"")</f>
        <v/>
      </c>
      <c r="L97" s="102">
        <f>IF('エネルギーデータ入力'!$V97="","",'エネルギーデータ入力'!$V97)</f>
        <v/>
      </c>
      <c r="M97" s="102">
        <f>IF($H97="","",IFERROR(VLOOKUP($H97,'基本設定'!$A$13:$K$19,5,FALSE),0.2))</f>
        <v/>
      </c>
      <c r="N97" s="102">
        <f>IF($B97="","",IF('エネルギーデータ入力'!$L97="","Missing reading",IF($I97=0,"Stalled reading / possibly offline",IF($K97&gt;=IFERROR(VLOOKUP($H97,'基本設定'!$A$13:$K$19,6,FALSE),0.5),"Severe spike",IF($K97&gt;=$M97,"Usage spike",IF($K97&lt;=-IFERROR(VLOOKUP($H97,'基本設定'!$A$13:$K$19,7,FALSE),0.3),"Usage drop",IF($L97&gt;IFERROR(VLOOKUP($H97,'基本設定'!$A$13:$K$19,8,FALSE),999999),"Area intensity overrun","正常")))))))</f>
        <v/>
      </c>
      <c r="O97" s="102">
        <f>IF($N97="","",IF($N97="正常","正常",IF(OR($N97="Severe spike",$K97&gt;=IFERROR(VLOOKUP($H97,'基本設定'!$A$13:$K$19,6,FALSE),0.5)),"重大",IF(OR($N97="Usage spike",$N97="Usage drop"),"高","中"))))</f>
        <v/>
      </c>
      <c r="P97" s="144">
        <f>IF(OR($N97="",$N97="正常"),0,ABS($I97-$J97)*'エネルギーデータ入力'!$O97)</f>
        <v/>
      </c>
      <c r="Q97" s="102">
        <f>IF($N97="正常","",IF($N97="Stalled reading / possibly offline","核查表计通信/電気池/网关/阀门Status",IF(AND($H97="水道",$N97&lt;&gt;"正常"),"检查管网、阀门、卫生间、冷却塔及夜间最小流量",IF(AND($H97="電気",$N97&lt;&gt;"正常"),"检查空调、照明、生产设备、PeakOff-peak时段与待机功耗",IF(AND($H97="ガス",$N97&lt;&gt;"正常"),"检查燃ガス阀门、锅炉/厨房设备与泄漏风险","核查设备工况、排班、产量与计量数据")))))</f>
        <v/>
      </c>
      <c r="R97" s="102">
        <f>IF($H97="","",IFERROR(VLOOKUP($H97,'基本設定'!$A$13:$K$19,11,FALSE),"Energy management owner"))</f>
        <v/>
      </c>
      <c r="S97" s="102">
        <f>IF($N97="","",IF($N97="正常","対応不要","未対応"))</f>
        <v/>
      </c>
      <c r="T97" s="141">
        <f>IF(OR($B97="",$N97="正常"),"",WORKDAY($B97,IF($O97="重大",1,IF($O97="高",2,3))))</f>
        <v/>
      </c>
      <c r="U97" s="102">
        <f>IF($T97="","",IF(AND($S97&lt;&gt;"完了",TODAY()&gt;$T97),"期限超過","期限内"))</f>
        <v/>
      </c>
      <c r="V97" s="102" t="n"/>
      <c r="W97" s="141" t="n"/>
      <c r="X97" s="102" t="n"/>
    </row>
    <row r="98">
      <c r="A98" s="102">
        <f>IF('エネルギーデータ入力'!$A98="","","AL-"&amp;TEXT(ROW()-5,"0000"))</f>
        <v/>
      </c>
      <c r="B98" s="141">
        <f>IF('エネルギーデータ入力'!$B98="","",'エネルギーデータ入力'!$B98)</f>
        <v/>
      </c>
      <c r="C98" s="102">
        <f>IF('エネルギーデータ入力'!$C98="","",'エネルギーデータ入力'!$C98)</f>
        <v/>
      </c>
      <c r="D98" s="102">
        <f>IF('エネルギーデータ入力'!$D98="","",'エネルギーデータ入力'!$D98)</f>
        <v/>
      </c>
      <c r="E98" s="102">
        <f>IF('エネルギーデータ入力'!$E98="","",'エネルギーデータ入力'!$E98)</f>
        <v/>
      </c>
      <c r="F98" s="102">
        <f>IF('エネルギーデータ入力'!$G98="","",'エネルギーデータ入力'!$G98)</f>
        <v/>
      </c>
      <c r="G98" s="102">
        <f>IF('エネルギーデータ入力'!$H98="","",'エネルギーデータ入力'!$H98)</f>
        <v/>
      </c>
      <c r="H98" s="102">
        <f>IF('エネルギーデータ入力'!$J98="","",'エネルギーデータ入力'!$J98)</f>
        <v/>
      </c>
      <c r="I98" s="142">
        <f>IF('エネルギーデータ入力'!$N98="","",'エネルギーデータ入力'!$N98)</f>
        <v/>
      </c>
      <c r="J98" s="142">
        <f>IF($B98="","",IFERROR(AVERAGEIFS('エネルギーデータ入力'!$N$6:$N$205,'エネルギーデータ入力'!$B$6:$B$205,"&gt;="&amp;$B98-7,'エネルギーデータ入力'!$B$6:$B$205,"&lt;"&amp;$B98,'エネルギーデータ入力'!$H$6:$H$205,$G98,'エネルギーデータ入力'!$J$6:$J$205,$H98),$I98))</f>
        <v/>
      </c>
      <c r="K98" s="143">
        <f>IFERROR(($I98-$J98)/$J98,"")</f>
        <v/>
      </c>
      <c r="L98" s="102">
        <f>IF('エネルギーデータ入力'!$V98="","",'エネルギーデータ入力'!$V98)</f>
        <v/>
      </c>
      <c r="M98" s="102">
        <f>IF($H98="","",IFERROR(VLOOKUP($H98,'基本設定'!$A$13:$K$19,5,FALSE),0.2))</f>
        <v/>
      </c>
      <c r="N98" s="102">
        <f>IF($B98="","",IF('エネルギーデータ入力'!$L98="","Missing reading",IF($I98=0,"Stalled reading / possibly offline",IF($K98&gt;=IFERROR(VLOOKUP($H98,'基本設定'!$A$13:$K$19,6,FALSE),0.5),"Severe spike",IF($K98&gt;=$M98,"Usage spike",IF($K98&lt;=-IFERROR(VLOOKUP($H98,'基本設定'!$A$13:$K$19,7,FALSE),0.3),"Usage drop",IF($L98&gt;IFERROR(VLOOKUP($H98,'基本設定'!$A$13:$K$19,8,FALSE),999999),"Area intensity overrun","正常")))))))</f>
        <v/>
      </c>
      <c r="O98" s="102">
        <f>IF($N98="","",IF($N98="正常","正常",IF(OR($N98="Severe spike",$K98&gt;=IFERROR(VLOOKUP($H98,'基本設定'!$A$13:$K$19,6,FALSE),0.5)),"重大",IF(OR($N98="Usage spike",$N98="Usage drop"),"高","中"))))</f>
        <v/>
      </c>
      <c r="P98" s="144">
        <f>IF(OR($N98="",$N98="正常"),0,ABS($I98-$J98)*'エネルギーデータ入力'!$O98)</f>
        <v/>
      </c>
      <c r="Q98" s="102">
        <f>IF($N98="正常","",IF($N98="Stalled reading / possibly offline","核查表计通信/電気池/网关/阀门Status",IF(AND($H98="水道",$N98&lt;&gt;"正常"),"检查管网、阀门、卫生间、冷却塔及夜间最小流量",IF(AND($H98="電気",$N98&lt;&gt;"正常"),"检查空调、照明、生产设备、PeakOff-peak时段与待机功耗",IF(AND($H98="ガス",$N98&lt;&gt;"正常"),"检查燃ガス阀门、锅炉/厨房设备与泄漏风险","核查设备工况、排班、产量与计量数据")))))</f>
        <v/>
      </c>
      <c r="R98" s="102">
        <f>IF($H98="","",IFERROR(VLOOKUP($H98,'基本設定'!$A$13:$K$19,11,FALSE),"Energy management owner"))</f>
        <v/>
      </c>
      <c r="S98" s="102">
        <f>IF($N98="","",IF($N98="正常","対応不要","未対応"))</f>
        <v/>
      </c>
      <c r="T98" s="141">
        <f>IF(OR($B98="",$N98="正常"),"",WORKDAY($B98,IF($O98="重大",1,IF($O98="高",2,3))))</f>
        <v/>
      </c>
      <c r="U98" s="102">
        <f>IF($T98="","",IF(AND($S98&lt;&gt;"完了",TODAY()&gt;$T98),"期限超過","期限内"))</f>
        <v/>
      </c>
      <c r="V98" s="102" t="n"/>
      <c r="W98" s="141" t="n"/>
      <c r="X98" s="102" t="n"/>
    </row>
    <row r="99">
      <c r="A99" s="102">
        <f>IF('エネルギーデータ入力'!$A99="","","AL-"&amp;TEXT(ROW()-5,"0000"))</f>
        <v/>
      </c>
      <c r="B99" s="141">
        <f>IF('エネルギーデータ入力'!$B99="","",'エネルギーデータ入力'!$B99)</f>
        <v/>
      </c>
      <c r="C99" s="102">
        <f>IF('エネルギーデータ入力'!$C99="","",'エネルギーデータ入力'!$C99)</f>
        <v/>
      </c>
      <c r="D99" s="102">
        <f>IF('エネルギーデータ入力'!$D99="","",'エネルギーデータ入力'!$D99)</f>
        <v/>
      </c>
      <c r="E99" s="102">
        <f>IF('エネルギーデータ入力'!$E99="","",'エネルギーデータ入力'!$E99)</f>
        <v/>
      </c>
      <c r="F99" s="102">
        <f>IF('エネルギーデータ入力'!$G99="","",'エネルギーデータ入力'!$G99)</f>
        <v/>
      </c>
      <c r="G99" s="102">
        <f>IF('エネルギーデータ入力'!$H99="","",'エネルギーデータ入力'!$H99)</f>
        <v/>
      </c>
      <c r="H99" s="102">
        <f>IF('エネルギーデータ入力'!$J99="","",'エネルギーデータ入力'!$J99)</f>
        <v/>
      </c>
      <c r="I99" s="142">
        <f>IF('エネルギーデータ入力'!$N99="","",'エネルギーデータ入力'!$N99)</f>
        <v/>
      </c>
      <c r="J99" s="142">
        <f>IF($B99="","",IFERROR(AVERAGEIFS('エネルギーデータ入力'!$N$6:$N$205,'エネルギーデータ入力'!$B$6:$B$205,"&gt;="&amp;$B99-7,'エネルギーデータ入力'!$B$6:$B$205,"&lt;"&amp;$B99,'エネルギーデータ入力'!$H$6:$H$205,$G99,'エネルギーデータ入力'!$J$6:$J$205,$H99),$I99))</f>
        <v/>
      </c>
      <c r="K99" s="143">
        <f>IFERROR(($I99-$J99)/$J99,"")</f>
        <v/>
      </c>
      <c r="L99" s="102">
        <f>IF('エネルギーデータ入力'!$V99="","",'エネルギーデータ入力'!$V99)</f>
        <v/>
      </c>
      <c r="M99" s="102">
        <f>IF($H99="","",IFERROR(VLOOKUP($H99,'基本設定'!$A$13:$K$19,5,FALSE),0.2))</f>
        <v/>
      </c>
      <c r="N99" s="102">
        <f>IF($B99="","",IF('エネルギーデータ入力'!$L99="","Missing reading",IF($I99=0,"Stalled reading / possibly offline",IF($K99&gt;=IFERROR(VLOOKUP($H99,'基本設定'!$A$13:$K$19,6,FALSE),0.5),"Severe spike",IF($K99&gt;=$M99,"Usage spike",IF($K99&lt;=-IFERROR(VLOOKUP($H99,'基本設定'!$A$13:$K$19,7,FALSE),0.3),"Usage drop",IF($L99&gt;IFERROR(VLOOKUP($H99,'基本設定'!$A$13:$K$19,8,FALSE),999999),"Area intensity overrun","正常")))))))</f>
        <v/>
      </c>
      <c r="O99" s="102">
        <f>IF($N99="","",IF($N99="正常","正常",IF(OR($N99="Severe spike",$K99&gt;=IFERROR(VLOOKUP($H99,'基本設定'!$A$13:$K$19,6,FALSE),0.5)),"重大",IF(OR($N99="Usage spike",$N99="Usage drop"),"高","中"))))</f>
        <v/>
      </c>
      <c r="P99" s="144">
        <f>IF(OR($N99="",$N99="正常"),0,ABS($I99-$J99)*'エネルギーデータ入力'!$O99)</f>
        <v/>
      </c>
      <c r="Q99" s="102">
        <f>IF($N99="正常","",IF($N99="Stalled reading / possibly offline","核查表计通信/電気池/网关/阀门Status",IF(AND($H99="水道",$N99&lt;&gt;"正常"),"检查管网、阀门、卫生间、冷却塔及夜间最小流量",IF(AND($H99="電気",$N99&lt;&gt;"正常"),"检查空调、照明、生产设备、PeakOff-peak时段与待机功耗",IF(AND($H99="ガス",$N99&lt;&gt;"正常"),"检查燃ガス阀门、锅炉/厨房设备与泄漏风险","核查设备工况、排班、产量与计量数据")))))</f>
        <v/>
      </c>
      <c r="R99" s="102">
        <f>IF($H99="","",IFERROR(VLOOKUP($H99,'基本設定'!$A$13:$K$19,11,FALSE),"Energy management owner"))</f>
        <v/>
      </c>
      <c r="S99" s="102">
        <f>IF($N99="","",IF($N99="正常","対応不要","未対応"))</f>
        <v/>
      </c>
      <c r="T99" s="141">
        <f>IF(OR($B99="",$N99="正常"),"",WORKDAY($B99,IF($O99="重大",1,IF($O99="高",2,3))))</f>
        <v/>
      </c>
      <c r="U99" s="102">
        <f>IF($T99="","",IF(AND($S99&lt;&gt;"完了",TODAY()&gt;$T99),"期限超過","期限内"))</f>
        <v/>
      </c>
      <c r="V99" s="102" t="n"/>
      <c r="W99" s="141" t="n"/>
      <c r="X99" s="102" t="n"/>
    </row>
    <row r="100">
      <c r="A100" s="102">
        <f>IF('エネルギーデータ入力'!$A100="","","AL-"&amp;TEXT(ROW()-5,"0000"))</f>
        <v/>
      </c>
      <c r="B100" s="141">
        <f>IF('エネルギーデータ入力'!$B100="","",'エネルギーデータ入力'!$B100)</f>
        <v/>
      </c>
      <c r="C100" s="102">
        <f>IF('エネルギーデータ入力'!$C100="","",'エネルギーデータ入力'!$C100)</f>
        <v/>
      </c>
      <c r="D100" s="102">
        <f>IF('エネルギーデータ入力'!$D100="","",'エネルギーデータ入力'!$D100)</f>
        <v/>
      </c>
      <c r="E100" s="102">
        <f>IF('エネルギーデータ入力'!$E100="","",'エネルギーデータ入力'!$E100)</f>
        <v/>
      </c>
      <c r="F100" s="102">
        <f>IF('エネルギーデータ入力'!$G100="","",'エネルギーデータ入力'!$G100)</f>
        <v/>
      </c>
      <c r="G100" s="102">
        <f>IF('エネルギーデータ入力'!$H100="","",'エネルギーデータ入力'!$H100)</f>
        <v/>
      </c>
      <c r="H100" s="102">
        <f>IF('エネルギーデータ入力'!$J100="","",'エネルギーデータ入力'!$J100)</f>
        <v/>
      </c>
      <c r="I100" s="142">
        <f>IF('エネルギーデータ入力'!$N100="","",'エネルギーデータ入力'!$N100)</f>
        <v/>
      </c>
      <c r="J100" s="142">
        <f>IF($B100="","",IFERROR(AVERAGEIFS('エネルギーデータ入力'!$N$6:$N$205,'エネルギーデータ入力'!$B$6:$B$205,"&gt;="&amp;$B100-7,'エネルギーデータ入力'!$B$6:$B$205,"&lt;"&amp;$B100,'エネルギーデータ入力'!$H$6:$H$205,$G100,'エネルギーデータ入力'!$J$6:$J$205,$H100),$I100))</f>
        <v/>
      </c>
      <c r="K100" s="143">
        <f>IFERROR(($I100-$J100)/$J100,"")</f>
        <v/>
      </c>
      <c r="L100" s="102">
        <f>IF('エネルギーデータ入力'!$V100="","",'エネルギーデータ入力'!$V100)</f>
        <v/>
      </c>
      <c r="M100" s="102">
        <f>IF($H100="","",IFERROR(VLOOKUP($H100,'基本設定'!$A$13:$K$19,5,FALSE),0.2))</f>
        <v/>
      </c>
      <c r="N100" s="102">
        <f>IF($B100="","",IF('エネルギーデータ入力'!$L100="","Missing reading",IF($I100=0,"Stalled reading / possibly offline",IF($K100&gt;=IFERROR(VLOOKUP($H100,'基本設定'!$A$13:$K$19,6,FALSE),0.5),"Severe spike",IF($K100&gt;=$M100,"Usage spike",IF($K100&lt;=-IFERROR(VLOOKUP($H100,'基本設定'!$A$13:$K$19,7,FALSE),0.3),"Usage drop",IF($L100&gt;IFERROR(VLOOKUP($H100,'基本設定'!$A$13:$K$19,8,FALSE),999999),"Area intensity overrun","正常")))))))</f>
        <v/>
      </c>
      <c r="O100" s="102">
        <f>IF($N100="","",IF($N100="正常","正常",IF(OR($N100="Severe spike",$K100&gt;=IFERROR(VLOOKUP($H100,'基本設定'!$A$13:$K$19,6,FALSE),0.5)),"重大",IF(OR($N100="Usage spike",$N100="Usage drop"),"高","中"))))</f>
        <v/>
      </c>
      <c r="P100" s="144">
        <f>IF(OR($N100="",$N100="正常"),0,ABS($I100-$J100)*'エネルギーデータ入力'!$O100)</f>
        <v/>
      </c>
      <c r="Q100" s="102">
        <f>IF($N100="正常","",IF($N100="Stalled reading / possibly offline","核查表计通信/電気池/网关/阀门Status",IF(AND($H100="水道",$N100&lt;&gt;"正常"),"检查管网、阀门、卫生间、冷却塔及夜间最小流量",IF(AND($H100="電気",$N100&lt;&gt;"正常"),"检查空调、照明、生产设备、PeakOff-peak时段与待机功耗",IF(AND($H100="ガス",$N100&lt;&gt;"正常"),"检查燃ガス阀门、锅炉/厨房设备与泄漏风险","核查设备工况、排班、产量与计量数据")))))</f>
        <v/>
      </c>
      <c r="R100" s="102">
        <f>IF($H100="","",IFERROR(VLOOKUP($H100,'基本設定'!$A$13:$K$19,11,FALSE),"Energy management owner"))</f>
        <v/>
      </c>
      <c r="S100" s="102">
        <f>IF($N100="","",IF($N100="正常","対応不要","未対応"))</f>
        <v/>
      </c>
      <c r="T100" s="141">
        <f>IF(OR($B100="",$N100="正常"),"",WORKDAY($B100,IF($O100="重大",1,IF($O100="高",2,3))))</f>
        <v/>
      </c>
      <c r="U100" s="102">
        <f>IF($T100="","",IF(AND($S100&lt;&gt;"完了",TODAY()&gt;$T100),"期限超過","期限内"))</f>
        <v/>
      </c>
      <c r="V100" s="102" t="n"/>
      <c r="W100" s="141" t="n"/>
      <c r="X100" s="102" t="n"/>
    </row>
    <row r="101">
      <c r="A101" s="102">
        <f>IF('エネルギーデータ入力'!$A101="","","AL-"&amp;TEXT(ROW()-5,"0000"))</f>
        <v/>
      </c>
      <c r="B101" s="141">
        <f>IF('エネルギーデータ入力'!$B101="","",'エネルギーデータ入力'!$B101)</f>
        <v/>
      </c>
      <c r="C101" s="102">
        <f>IF('エネルギーデータ入力'!$C101="","",'エネルギーデータ入力'!$C101)</f>
        <v/>
      </c>
      <c r="D101" s="102">
        <f>IF('エネルギーデータ入力'!$D101="","",'エネルギーデータ入力'!$D101)</f>
        <v/>
      </c>
      <c r="E101" s="102">
        <f>IF('エネルギーデータ入力'!$E101="","",'エネルギーデータ入力'!$E101)</f>
        <v/>
      </c>
      <c r="F101" s="102">
        <f>IF('エネルギーデータ入力'!$G101="","",'エネルギーデータ入力'!$G101)</f>
        <v/>
      </c>
      <c r="G101" s="102">
        <f>IF('エネルギーデータ入力'!$H101="","",'エネルギーデータ入力'!$H101)</f>
        <v/>
      </c>
      <c r="H101" s="102">
        <f>IF('エネルギーデータ入力'!$J101="","",'エネルギーデータ入力'!$J101)</f>
        <v/>
      </c>
      <c r="I101" s="142">
        <f>IF('エネルギーデータ入力'!$N101="","",'エネルギーデータ入力'!$N101)</f>
        <v/>
      </c>
      <c r="J101" s="142">
        <f>IF($B101="","",IFERROR(AVERAGEIFS('エネルギーデータ入力'!$N$6:$N$205,'エネルギーデータ入力'!$B$6:$B$205,"&gt;="&amp;$B101-7,'エネルギーデータ入力'!$B$6:$B$205,"&lt;"&amp;$B101,'エネルギーデータ入力'!$H$6:$H$205,$G101,'エネルギーデータ入力'!$J$6:$J$205,$H101),$I101))</f>
        <v/>
      </c>
      <c r="K101" s="143">
        <f>IFERROR(($I101-$J101)/$J101,"")</f>
        <v/>
      </c>
      <c r="L101" s="102">
        <f>IF('エネルギーデータ入力'!$V101="","",'エネルギーデータ入力'!$V101)</f>
        <v/>
      </c>
      <c r="M101" s="102">
        <f>IF($H101="","",IFERROR(VLOOKUP($H101,'基本設定'!$A$13:$K$19,5,FALSE),0.2))</f>
        <v/>
      </c>
      <c r="N101" s="102">
        <f>IF($B101="","",IF('エネルギーデータ入力'!$L101="","Missing reading",IF($I101=0,"Stalled reading / possibly offline",IF($K101&gt;=IFERROR(VLOOKUP($H101,'基本設定'!$A$13:$K$19,6,FALSE),0.5),"Severe spike",IF($K101&gt;=$M101,"Usage spike",IF($K101&lt;=-IFERROR(VLOOKUP($H101,'基本設定'!$A$13:$K$19,7,FALSE),0.3),"Usage drop",IF($L101&gt;IFERROR(VLOOKUP($H101,'基本設定'!$A$13:$K$19,8,FALSE),999999),"Area intensity overrun","正常")))))))</f>
        <v/>
      </c>
      <c r="O101" s="102">
        <f>IF($N101="","",IF($N101="正常","正常",IF(OR($N101="Severe spike",$K101&gt;=IFERROR(VLOOKUP($H101,'基本設定'!$A$13:$K$19,6,FALSE),0.5)),"重大",IF(OR($N101="Usage spike",$N101="Usage drop"),"高","中"))))</f>
        <v/>
      </c>
      <c r="P101" s="144">
        <f>IF(OR($N101="",$N101="正常"),0,ABS($I101-$J101)*'エネルギーデータ入力'!$O101)</f>
        <v/>
      </c>
      <c r="Q101" s="102">
        <f>IF($N101="正常","",IF($N101="Stalled reading / possibly offline","核查表计通信/電気池/网关/阀门Status",IF(AND($H101="水道",$N101&lt;&gt;"正常"),"检查管网、阀门、卫生间、冷却塔及夜间最小流量",IF(AND($H101="電気",$N101&lt;&gt;"正常"),"检查空调、照明、生产设备、PeakOff-peak时段与待机功耗",IF(AND($H101="ガス",$N101&lt;&gt;"正常"),"检查燃ガス阀门、锅炉/厨房设备与泄漏风险","核查设备工况、排班、产量与计量数据")))))</f>
        <v/>
      </c>
      <c r="R101" s="102">
        <f>IF($H101="","",IFERROR(VLOOKUP($H101,'基本設定'!$A$13:$K$19,11,FALSE),"Energy management owner"))</f>
        <v/>
      </c>
      <c r="S101" s="102">
        <f>IF($N101="","",IF($N101="正常","対応不要","未対応"))</f>
        <v/>
      </c>
      <c r="T101" s="141">
        <f>IF(OR($B101="",$N101="正常"),"",WORKDAY($B101,IF($O101="重大",1,IF($O101="高",2,3))))</f>
        <v/>
      </c>
      <c r="U101" s="102">
        <f>IF($T101="","",IF(AND($S101&lt;&gt;"完了",TODAY()&gt;$T101),"期限超過","期限内"))</f>
        <v/>
      </c>
      <c r="V101" s="102" t="n"/>
      <c r="W101" s="141" t="n"/>
      <c r="X101" s="102" t="n"/>
    </row>
    <row r="102">
      <c r="A102" s="102">
        <f>IF('エネルギーデータ入力'!$A102="","","AL-"&amp;TEXT(ROW()-5,"0000"))</f>
        <v/>
      </c>
      <c r="B102" s="141">
        <f>IF('エネルギーデータ入力'!$B102="","",'エネルギーデータ入力'!$B102)</f>
        <v/>
      </c>
      <c r="C102" s="102">
        <f>IF('エネルギーデータ入力'!$C102="","",'エネルギーデータ入力'!$C102)</f>
        <v/>
      </c>
      <c r="D102" s="102">
        <f>IF('エネルギーデータ入力'!$D102="","",'エネルギーデータ入力'!$D102)</f>
        <v/>
      </c>
      <c r="E102" s="102">
        <f>IF('エネルギーデータ入力'!$E102="","",'エネルギーデータ入力'!$E102)</f>
        <v/>
      </c>
      <c r="F102" s="102">
        <f>IF('エネルギーデータ入力'!$G102="","",'エネルギーデータ入力'!$G102)</f>
        <v/>
      </c>
      <c r="G102" s="102">
        <f>IF('エネルギーデータ入力'!$H102="","",'エネルギーデータ入力'!$H102)</f>
        <v/>
      </c>
      <c r="H102" s="102">
        <f>IF('エネルギーデータ入力'!$J102="","",'エネルギーデータ入力'!$J102)</f>
        <v/>
      </c>
      <c r="I102" s="142">
        <f>IF('エネルギーデータ入力'!$N102="","",'エネルギーデータ入力'!$N102)</f>
        <v/>
      </c>
      <c r="J102" s="142">
        <f>IF($B102="","",IFERROR(AVERAGEIFS('エネルギーデータ入力'!$N$6:$N$205,'エネルギーデータ入力'!$B$6:$B$205,"&gt;="&amp;$B102-7,'エネルギーデータ入力'!$B$6:$B$205,"&lt;"&amp;$B102,'エネルギーデータ入力'!$H$6:$H$205,$G102,'エネルギーデータ入力'!$J$6:$J$205,$H102),$I102))</f>
        <v/>
      </c>
      <c r="K102" s="143">
        <f>IFERROR(($I102-$J102)/$J102,"")</f>
        <v/>
      </c>
      <c r="L102" s="102">
        <f>IF('エネルギーデータ入力'!$V102="","",'エネルギーデータ入力'!$V102)</f>
        <v/>
      </c>
      <c r="M102" s="102">
        <f>IF($H102="","",IFERROR(VLOOKUP($H102,'基本設定'!$A$13:$K$19,5,FALSE),0.2))</f>
        <v/>
      </c>
      <c r="N102" s="102">
        <f>IF($B102="","",IF('エネルギーデータ入力'!$L102="","Missing reading",IF($I102=0,"Stalled reading / possibly offline",IF($K102&gt;=IFERROR(VLOOKUP($H102,'基本設定'!$A$13:$K$19,6,FALSE),0.5),"Severe spike",IF($K102&gt;=$M102,"Usage spike",IF($K102&lt;=-IFERROR(VLOOKUP($H102,'基本設定'!$A$13:$K$19,7,FALSE),0.3),"Usage drop",IF($L102&gt;IFERROR(VLOOKUP($H102,'基本設定'!$A$13:$K$19,8,FALSE),999999),"Area intensity overrun","正常")))))))</f>
        <v/>
      </c>
      <c r="O102" s="102">
        <f>IF($N102="","",IF($N102="正常","正常",IF(OR($N102="Severe spike",$K102&gt;=IFERROR(VLOOKUP($H102,'基本設定'!$A$13:$K$19,6,FALSE),0.5)),"重大",IF(OR($N102="Usage spike",$N102="Usage drop"),"高","中"))))</f>
        <v/>
      </c>
      <c r="P102" s="144">
        <f>IF(OR($N102="",$N102="正常"),0,ABS($I102-$J102)*'エネルギーデータ入力'!$O102)</f>
        <v/>
      </c>
      <c r="Q102" s="102">
        <f>IF($N102="正常","",IF($N102="Stalled reading / possibly offline","核查表计通信/電気池/网关/阀门Status",IF(AND($H102="水道",$N102&lt;&gt;"正常"),"检查管网、阀门、卫生间、冷却塔及夜间最小流量",IF(AND($H102="電気",$N102&lt;&gt;"正常"),"检查空调、照明、生产设备、PeakOff-peak时段与待机功耗",IF(AND($H102="ガス",$N102&lt;&gt;"正常"),"检查燃ガス阀门、锅炉/厨房设备与泄漏风险","核查设备工况、排班、产量与计量数据")))))</f>
        <v/>
      </c>
      <c r="R102" s="102">
        <f>IF($H102="","",IFERROR(VLOOKUP($H102,'基本設定'!$A$13:$K$19,11,FALSE),"Energy management owner"))</f>
        <v/>
      </c>
      <c r="S102" s="102">
        <f>IF($N102="","",IF($N102="正常","対応不要","未対応"))</f>
        <v/>
      </c>
      <c r="T102" s="141">
        <f>IF(OR($B102="",$N102="正常"),"",WORKDAY($B102,IF($O102="重大",1,IF($O102="高",2,3))))</f>
        <v/>
      </c>
      <c r="U102" s="102">
        <f>IF($T102="","",IF(AND($S102&lt;&gt;"完了",TODAY()&gt;$T102),"期限超過","期限内"))</f>
        <v/>
      </c>
      <c r="V102" s="102" t="n"/>
      <c r="W102" s="141" t="n"/>
      <c r="X102" s="102" t="n"/>
    </row>
    <row r="103">
      <c r="A103" s="102">
        <f>IF('エネルギーデータ入力'!$A103="","","AL-"&amp;TEXT(ROW()-5,"0000"))</f>
        <v/>
      </c>
      <c r="B103" s="141">
        <f>IF('エネルギーデータ入力'!$B103="","",'エネルギーデータ入力'!$B103)</f>
        <v/>
      </c>
      <c r="C103" s="102">
        <f>IF('エネルギーデータ入力'!$C103="","",'エネルギーデータ入力'!$C103)</f>
        <v/>
      </c>
      <c r="D103" s="102">
        <f>IF('エネルギーデータ入力'!$D103="","",'エネルギーデータ入力'!$D103)</f>
        <v/>
      </c>
      <c r="E103" s="102">
        <f>IF('エネルギーデータ入力'!$E103="","",'エネルギーデータ入力'!$E103)</f>
        <v/>
      </c>
      <c r="F103" s="102">
        <f>IF('エネルギーデータ入力'!$G103="","",'エネルギーデータ入力'!$G103)</f>
        <v/>
      </c>
      <c r="G103" s="102">
        <f>IF('エネルギーデータ入力'!$H103="","",'エネルギーデータ入力'!$H103)</f>
        <v/>
      </c>
      <c r="H103" s="102">
        <f>IF('エネルギーデータ入力'!$J103="","",'エネルギーデータ入力'!$J103)</f>
        <v/>
      </c>
      <c r="I103" s="142">
        <f>IF('エネルギーデータ入力'!$N103="","",'エネルギーデータ入力'!$N103)</f>
        <v/>
      </c>
      <c r="J103" s="142">
        <f>IF($B103="","",IFERROR(AVERAGEIFS('エネルギーデータ入力'!$N$6:$N$205,'エネルギーデータ入力'!$B$6:$B$205,"&gt;="&amp;$B103-7,'エネルギーデータ入力'!$B$6:$B$205,"&lt;"&amp;$B103,'エネルギーデータ入力'!$H$6:$H$205,$G103,'エネルギーデータ入力'!$J$6:$J$205,$H103),$I103))</f>
        <v/>
      </c>
      <c r="K103" s="143">
        <f>IFERROR(($I103-$J103)/$J103,"")</f>
        <v/>
      </c>
      <c r="L103" s="102">
        <f>IF('エネルギーデータ入力'!$V103="","",'エネルギーデータ入力'!$V103)</f>
        <v/>
      </c>
      <c r="M103" s="102">
        <f>IF($H103="","",IFERROR(VLOOKUP($H103,'基本設定'!$A$13:$K$19,5,FALSE),0.2))</f>
        <v/>
      </c>
      <c r="N103" s="102">
        <f>IF($B103="","",IF('エネルギーデータ入力'!$L103="","Missing reading",IF($I103=0,"Stalled reading / possibly offline",IF($K103&gt;=IFERROR(VLOOKUP($H103,'基本設定'!$A$13:$K$19,6,FALSE),0.5),"Severe spike",IF($K103&gt;=$M103,"Usage spike",IF($K103&lt;=-IFERROR(VLOOKUP($H103,'基本設定'!$A$13:$K$19,7,FALSE),0.3),"Usage drop",IF($L103&gt;IFERROR(VLOOKUP($H103,'基本設定'!$A$13:$K$19,8,FALSE),999999),"Area intensity overrun","正常")))))))</f>
        <v/>
      </c>
      <c r="O103" s="102">
        <f>IF($N103="","",IF($N103="正常","正常",IF(OR($N103="Severe spike",$K103&gt;=IFERROR(VLOOKUP($H103,'基本設定'!$A$13:$K$19,6,FALSE),0.5)),"重大",IF(OR($N103="Usage spike",$N103="Usage drop"),"高","中"))))</f>
        <v/>
      </c>
      <c r="P103" s="144">
        <f>IF(OR($N103="",$N103="正常"),0,ABS($I103-$J103)*'エネルギーデータ入力'!$O103)</f>
        <v/>
      </c>
      <c r="Q103" s="102">
        <f>IF($N103="正常","",IF($N103="Stalled reading / possibly offline","核查表计通信/電気池/网关/阀门Status",IF(AND($H103="水道",$N103&lt;&gt;"正常"),"检查管网、阀门、卫生间、冷却塔及夜间最小流量",IF(AND($H103="電気",$N103&lt;&gt;"正常"),"检查空调、照明、生产设备、PeakOff-peak时段与待机功耗",IF(AND($H103="ガス",$N103&lt;&gt;"正常"),"检查燃ガス阀门、锅炉/厨房设备与泄漏风险","核查设备工况、排班、产量与计量数据")))))</f>
        <v/>
      </c>
      <c r="R103" s="102">
        <f>IF($H103="","",IFERROR(VLOOKUP($H103,'基本設定'!$A$13:$K$19,11,FALSE),"Energy management owner"))</f>
        <v/>
      </c>
      <c r="S103" s="102">
        <f>IF($N103="","",IF($N103="正常","対応不要","未対応"))</f>
        <v/>
      </c>
      <c r="T103" s="141">
        <f>IF(OR($B103="",$N103="正常"),"",WORKDAY($B103,IF($O103="重大",1,IF($O103="高",2,3))))</f>
        <v/>
      </c>
      <c r="U103" s="102">
        <f>IF($T103="","",IF(AND($S103&lt;&gt;"完了",TODAY()&gt;$T103),"期限超過","期限内"))</f>
        <v/>
      </c>
      <c r="V103" s="102" t="n"/>
      <c r="W103" s="141" t="n"/>
      <c r="X103" s="102" t="n"/>
    </row>
    <row r="104">
      <c r="A104" s="102">
        <f>IF('エネルギーデータ入力'!$A104="","","AL-"&amp;TEXT(ROW()-5,"0000"))</f>
        <v/>
      </c>
      <c r="B104" s="141">
        <f>IF('エネルギーデータ入力'!$B104="","",'エネルギーデータ入力'!$B104)</f>
        <v/>
      </c>
      <c r="C104" s="102">
        <f>IF('エネルギーデータ入力'!$C104="","",'エネルギーデータ入力'!$C104)</f>
        <v/>
      </c>
      <c r="D104" s="102">
        <f>IF('エネルギーデータ入力'!$D104="","",'エネルギーデータ入力'!$D104)</f>
        <v/>
      </c>
      <c r="E104" s="102">
        <f>IF('エネルギーデータ入力'!$E104="","",'エネルギーデータ入力'!$E104)</f>
        <v/>
      </c>
      <c r="F104" s="102">
        <f>IF('エネルギーデータ入力'!$G104="","",'エネルギーデータ入力'!$G104)</f>
        <v/>
      </c>
      <c r="G104" s="102">
        <f>IF('エネルギーデータ入力'!$H104="","",'エネルギーデータ入力'!$H104)</f>
        <v/>
      </c>
      <c r="H104" s="102">
        <f>IF('エネルギーデータ入力'!$J104="","",'エネルギーデータ入力'!$J104)</f>
        <v/>
      </c>
      <c r="I104" s="142">
        <f>IF('エネルギーデータ入力'!$N104="","",'エネルギーデータ入力'!$N104)</f>
        <v/>
      </c>
      <c r="J104" s="142">
        <f>IF($B104="","",IFERROR(AVERAGEIFS('エネルギーデータ入力'!$N$6:$N$205,'エネルギーデータ入力'!$B$6:$B$205,"&gt;="&amp;$B104-7,'エネルギーデータ入力'!$B$6:$B$205,"&lt;"&amp;$B104,'エネルギーデータ入力'!$H$6:$H$205,$G104,'エネルギーデータ入力'!$J$6:$J$205,$H104),$I104))</f>
        <v/>
      </c>
      <c r="K104" s="143">
        <f>IFERROR(($I104-$J104)/$J104,"")</f>
        <v/>
      </c>
      <c r="L104" s="102">
        <f>IF('エネルギーデータ入力'!$V104="","",'エネルギーデータ入力'!$V104)</f>
        <v/>
      </c>
      <c r="M104" s="102">
        <f>IF($H104="","",IFERROR(VLOOKUP($H104,'基本設定'!$A$13:$K$19,5,FALSE),0.2))</f>
        <v/>
      </c>
      <c r="N104" s="102">
        <f>IF($B104="","",IF('エネルギーデータ入力'!$L104="","Missing reading",IF($I104=0,"Stalled reading / possibly offline",IF($K104&gt;=IFERROR(VLOOKUP($H104,'基本設定'!$A$13:$K$19,6,FALSE),0.5),"Severe spike",IF($K104&gt;=$M104,"Usage spike",IF($K104&lt;=-IFERROR(VLOOKUP($H104,'基本設定'!$A$13:$K$19,7,FALSE),0.3),"Usage drop",IF($L104&gt;IFERROR(VLOOKUP($H104,'基本設定'!$A$13:$K$19,8,FALSE),999999),"Area intensity overrun","正常")))))))</f>
        <v/>
      </c>
      <c r="O104" s="102">
        <f>IF($N104="","",IF($N104="正常","正常",IF(OR($N104="Severe spike",$K104&gt;=IFERROR(VLOOKUP($H104,'基本設定'!$A$13:$K$19,6,FALSE),0.5)),"重大",IF(OR($N104="Usage spike",$N104="Usage drop"),"高","中"))))</f>
        <v/>
      </c>
      <c r="P104" s="144">
        <f>IF(OR($N104="",$N104="正常"),0,ABS($I104-$J104)*'エネルギーデータ入力'!$O104)</f>
        <v/>
      </c>
      <c r="Q104" s="102">
        <f>IF($N104="正常","",IF($N104="Stalled reading / possibly offline","核查表计通信/電気池/网关/阀门Status",IF(AND($H104="水道",$N104&lt;&gt;"正常"),"检查管网、阀门、卫生间、冷却塔及夜间最小流量",IF(AND($H104="電気",$N104&lt;&gt;"正常"),"检查空调、照明、生产设备、PeakOff-peak时段与待机功耗",IF(AND($H104="ガス",$N104&lt;&gt;"正常"),"检查燃ガス阀门、锅炉/厨房设备与泄漏风险","核查设备工况、排班、产量与计量数据")))))</f>
        <v/>
      </c>
      <c r="R104" s="102">
        <f>IF($H104="","",IFERROR(VLOOKUP($H104,'基本設定'!$A$13:$K$19,11,FALSE),"Energy management owner"))</f>
        <v/>
      </c>
      <c r="S104" s="102">
        <f>IF($N104="","",IF($N104="正常","対応不要","未対応"))</f>
        <v/>
      </c>
      <c r="T104" s="141">
        <f>IF(OR($B104="",$N104="正常"),"",WORKDAY($B104,IF($O104="重大",1,IF($O104="高",2,3))))</f>
        <v/>
      </c>
      <c r="U104" s="102">
        <f>IF($T104="","",IF(AND($S104&lt;&gt;"完了",TODAY()&gt;$T104),"期限超過","期限内"))</f>
        <v/>
      </c>
      <c r="V104" s="102" t="n"/>
      <c r="W104" s="141" t="n"/>
      <c r="X104" s="102" t="n"/>
    </row>
    <row r="105">
      <c r="A105" s="102">
        <f>IF('エネルギーデータ入力'!$A105="","","AL-"&amp;TEXT(ROW()-5,"0000"))</f>
        <v/>
      </c>
      <c r="B105" s="141">
        <f>IF('エネルギーデータ入力'!$B105="","",'エネルギーデータ入力'!$B105)</f>
        <v/>
      </c>
      <c r="C105" s="102">
        <f>IF('エネルギーデータ入力'!$C105="","",'エネルギーデータ入力'!$C105)</f>
        <v/>
      </c>
      <c r="D105" s="102">
        <f>IF('エネルギーデータ入力'!$D105="","",'エネルギーデータ入力'!$D105)</f>
        <v/>
      </c>
      <c r="E105" s="102">
        <f>IF('エネルギーデータ入力'!$E105="","",'エネルギーデータ入力'!$E105)</f>
        <v/>
      </c>
      <c r="F105" s="102">
        <f>IF('エネルギーデータ入力'!$G105="","",'エネルギーデータ入力'!$G105)</f>
        <v/>
      </c>
      <c r="G105" s="102">
        <f>IF('エネルギーデータ入力'!$H105="","",'エネルギーデータ入力'!$H105)</f>
        <v/>
      </c>
      <c r="H105" s="102">
        <f>IF('エネルギーデータ入力'!$J105="","",'エネルギーデータ入力'!$J105)</f>
        <v/>
      </c>
      <c r="I105" s="142">
        <f>IF('エネルギーデータ入力'!$N105="","",'エネルギーデータ入力'!$N105)</f>
        <v/>
      </c>
      <c r="J105" s="142">
        <f>IF($B105="","",IFERROR(AVERAGEIFS('エネルギーデータ入力'!$N$6:$N$205,'エネルギーデータ入力'!$B$6:$B$205,"&gt;="&amp;$B105-7,'エネルギーデータ入力'!$B$6:$B$205,"&lt;"&amp;$B105,'エネルギーデータ入力'!$H$6:$H$205,$G105,'エネルギーデータ入力'!$J$6:$J$205,$H105),$I105))</f>
        <v/>
      </c>
      <c r="K105" s="143">
        <f>IFERROR(($I105-$J105)/$J105,"")</f>
        <v/>
      </c>
      <c r="L105" s="102">
        <f>IF('エネルギーデータ入力'!$V105="","",'エネルギーデータ入力'!$V105)</f>
        <v/>
      </c>
      <c r="M105" s="102">
        <f>IF($H105="","",IFERROR(VLOOKUP($H105,'基本設定'!$A$13:$K$19,5,FALSE),0.2))</f>
        <v/>
      </c>
      <c r="N105" s="102">
        <f>IF($B105="","",IF('エネルギーデータ入力'!$L105="","Missing reading",IF($I105=0,"Stalled reading / possibly offline",IF($K105&gt;=IFERROR(VLOOKUP($H105,'基本設定'!$A$13:$K$19,6,FALSE),0.5),"Severe spike",IF($K105&gt;=$M105,"Usage spike",IF($K105&lt;=-IFERROR(VLOOKUP($H105,'基本設定'!$A$13:$K$19,7,FALSE),0.3),"Usage drop",IF($L105&gt;IFERROR(VLOOKUP($H105,'基本設定'!$A$13:$K$19,8,FALSE),999999),"Area intensity overrun","正常")))))))</f>
        <v/>
      </c>
      <c r="O105" s="102">
        <f>IF($N105="","",IF($N105="正常","正常",IF(OR($N105="Severe spike",$K105&gt;=IFERROR(VLOOKUP($H105,'基本設定'!$A$13:$K$19,6,FALSE),0.5)),"重大",IF(OR($N105="Usage spike",$N105="Usage drop"),"高","中"))))</f>
        <v/>
      </c>
      <c r="P105" s="144">
        <f>IF(OR($N105="",$N105="正常"),0,ABS($I105-$J105)*'エネルギーデータ入力'!$O105)</f>
        <v/>
      </c>
      <c r="Q105" s="102">
        <f>IF($N105="正常","",IF($N105="Stalled reading / possibly offline","核查表计通信/電気池/网关/阀门Status",IF(AND($H105="水道",$N105&lt;&gt;"正常"),"检查管网、阀门、卫生间、冷却塔及夜间最小流量",IF(AND($H105="電気",$N105&lt;&gt;"正常"),"检查空调、照明、生产设备、PeakOff-peak时段与待机功耗",IF(AND($H105="ガス",$N105&lt;&gt;"正常"),"检查燃ガス阀门、锅炉/厨房设备与泄漏风险","核查设备工况、排班、产量与计量数据")))))</f>
        <v/>
      </c>
      <c r="R105" s="102">
        <f>IF($H105="","",IFERROR(VLOOKUP($H105,'基本設定'!$A$13:$K$19,11,FALSE),"Energy management owner"))</f>
        <v/>
      </c>
      <c r="S105" s="102">
        <f>IF($N105="","",IF($N105="正常","対応不要","未対応"))</f>
        <v/>
      </c>
      <c r="T105" s="141">
        <f>IF(OR($B105="",$N105="正常"),"",WORKDAY($B105,IF($O105="重大",1,IF($O105="高",2,3))))</f>
        <v/>
      </c>
      <c r="U105" s="102">
        <f>IF($T105="","",IF(AND($S105&lt;&gt;"完了",TODAY()&gt;$T105),"期限超過","期限内"))</f>
        <v/>
      </c>
      <c r="V105" s="102" t="n"/>
      <c r="W105" s="141" t="n"/>
      <c r="X105" s="102" t="n"/>
    </row>
    <row r="106">
      <c r="A106" s="102">
        <f>IF('エネルギーデータ入力'!$A106="","","AL-"&amp;TEXT(ROW()-5,"0000"))</f>
        <v/>
      </c>
      <c r="B106" s="141">
        <f>IF('エネルギーデータ入力'!$B106="","",'エネルギーデータ入力'!$B106)</f>
        <v/>
      </c>
      <c r="C106" s="102">
        <f>IF('エネルギーデータ入力'!$C106="","",'エネルギーデータ入力'!$C106)</f>
        <v/>
      </c>
      <c r="D106" s="102">
        <f>IF('エネルギーデータ入力'!$D106="","",'エネルギーデータ入力'!$D106)</f>
        <v/>
      </c>
      <c r="E106" s="102">
        <f>IF('エネルギーデータ入力'!$E106="","",'エネルギーデータ入力'!$E106)</f>
        <v/>
      </c>
      <c r="F106" s="102">
        <f>IF('エネルギーデータ入力'!$G106="","",'エネルギーデータ入力'!$G106)</f>
        <v/>
      </c>
      <c r="G106" s="102">
        <f>IF('エネルギーデータ入力'!$H106="","",'エネルギーデータ入力'!$H106)</f>
        <v/>
      </c>
      <c r="H106" s="102">
        <f>IF('エネルギーデータ入力'!$J106="","",'エネルギーデータ入力'!$J106)</f>
        <v/>
      </c>
      <c r="I106" s="142">
        <f>IF('エネルギーデータ入力'!$N106="","",'エネルギーデータ入力'!$N106)</f>
        <v/>
      </c>
      <c r="J106" s="142">
        <f>IF($B106="","",IFERROR(AVERAGEIFS('エネルギーデータ入力'!$N$6:$N$205,'エネルギーデータ入力'!$B$6:$B$205,"&gt;="&amp;$B106-7,'エネルギーデータ入力'!$B$6:$B$205,"&lt;"&amp;$B106,'エネルギーデータ入力'!$H$6:$H$205,$G106,'エネルギーデータ入力'!$J$6:$J$205,$H106),$I106))</f>
        <v/>
      </c>
      <c r="K106" s="143">
        <f>IFERROR(($I106-$J106)/$J106,"")</f>
        <v/>
      </c>
      <c r="L106" s="102">
        <f>IF('エネルギーデータ入力'!$V106="","",'エネルギーデータ入力'!$V106)</f>
        <v/>
      </c>
      <c r="M106" s="102">
        <f>IF($H106="","",IFERROR(VLOOKUP($H106,'基本設定'!$A$13:$K$19,5,FALSE),0.2))</f>
        <v/>
      </c>
      <c r="N106" s="102">
        <f>IF($B106="","",IF('エネルギーデータ入力'!$L106="","Missing reading",IF($I106=0,"Stalled reading / possibly offline",IF($K106&gt;=IFERROR(VLOOKUP($H106,'基本設定'!$A$13:$K$19,6,FALSE),0.5),"Severe spike",IF($K106&gt;=$M106,"Usage spike",IF($K106&lt;=-IFERROR(VLOOKUP($H106,'基本設定'!$A$13:$K$19,7,FALSE),0.3),"Usage drop",IF($L106&gt;IFERROR(VLOOKUP($H106,'基本設定'!$A$13:$K$19,8,FALSE),999999),"Area intensity overrun","正常")))))))</f>
        <v/>
      </c>
      <c r="O106" s="102">
        <f>IF($N106="","",IF($N106="正常","正常",IF(OR($N106="Severe spike",$K106&gt;=IFERROR(VLOOKUP($H106,'基本設定'!$A$13:$K$19,6,FALSE),0.5)),"重大",IF(OR($N106="Usage spike",$N106="Usage drop"),"高","中"))))</f>
        <v/>
      </c>
      <c r="P106" s="144">
        <f>IF(OR($N106="",$N106="正常"),0,ABS($I106-$J106)*'エネルギーデータ入力'!$O106)</f>
        <v/>
      </c>
      <c r="Q106" s="102">
        <f>IF($N106="正常","",IF($N106="Stalled reading / possibly offline","核查表计通信/電気池/网关/阀门Status",IF(AND($H106="水道",$N106&lt;&gt;"正常"),"检查管网、阀门、卫生间、冷却塔及夜间最小流量",IF(AND($H106="電気",$N106&lt;&gt;"正常"),"检查空调、照明、生产设备、PeakOff-peak时段与待机功耗",IF(AND($H106="ガス",$N106&lt;&gt;"正常"),"检查燃ガス阀门、锅炉/厨房设备与泄漏风险","核查设备工况、排班、产量与计量数据")))))</f>
        <v/>
      </c>
      <c r="R106" s="102">
        <f>IF($H106="","",IFERROR(VLOOKUP($H106,'基本設定'!$A$13:$K$19,11,FALSE),"Energy management owner"))</f>
        <v/>
      </c>
      <c r="S106" s="102">
        <f>IF($N106="","",IF($N106="正常","対応不要","未対応"))</f>
        <v/>
      </c>
      <c r="T106" s="141">
        <f>IF(OR($B106="",$N106="正常"),"",WORKDAY($B106,IF($O106="重大",1,IF($O106="高",2,3))))</f>
        <v/>
      </c>
      <c r="U106" s="102">
        <f>IF($T106="","",IF(AND($S106&lt;&gt;"完了",TODAY()&gt;$T106),"期限超過","期限内"))</f>
        <v/>
      </c>
      <c r="V106" s="102" t="n"/>
      <c r="W106" s="141" t="n"/>
      <c r="X106" s="102" t="n"/>
    </row>
    <row r="107">
      <c r="A107" s="102">
        <f>IF('エネルギーデータ入力'!$A107="","","AL-"&amp;TEXT(ROW()-5,"0000"))</f>
        <v/>
      </c>
      <c r="B107" s="141">
        <f>IF('エネルギーデータ入力'!$B107="","",'エネルギーデータ入力'!$B107)</f>
        <v/>
      </c>
      <c r="C107" s="102">
        <f>IF('エネルギーデータ入力'!$C107="","",'エネルギーデータ入力'!$C107)</f>
        <v/>
      </c>
      <c r="D107" s="102">
        <f>IF('エネルギーデータ入力'!$D107="","",'エネルギーデータ入力'!$D107)</f>
        <v/>
      </c>
      <c r="E107" s="102">
        <f>IF('エネルギーデータ入力'!$E107="","",'エネルギーデータ入力'!$E107)</f>
        <v/>
      </c>
      <c r="F107" s="102">
        <f>IF('エネルギーデータ入力'!$G107="","",'エネルギーデータ入力'!$G107)</f>
        <v/>
      </c>
      <c r="G107" s="102">
        <f>IF('エネルギーデータ入力'!$H107="","",'エネルギーデータ入力'!$H107)</f>
        <v/>
      </c>
      <c r="H107" s="102">
        <f>IF('エネルギーデータ入力'!$J107="","",'エネルギーデータ入力'!$J107)</f>
        <v/>
      </c>
      <c r="I107" s="142">
        <f>IF('エネルギーデータ入力'!$N107="","",'エネルギーデータ入力'!$N107)</f>
        <v/>
      </c>
      <c r="J107" s="142">
        <f>IF($B107="","",IFERROR(AVERAGEIFS('エネルギーデータ入力'!$N$6:$N$205,'エネルギーデータ入力'!$B$6:$B$205,"&gt;="&amp;$B107-7,'エネルギーデータ入力'!$B$6:$B$205,"&lt;"&amp;$B107,'エネルギーデータ入力'!$H$6:$H$205,$G107,'エネルギーデータ入力'!$J$6:$J$205,$H107),$I107))</f>
        <v/>
      </c>
      <c r="K107" s="143">
        <f>IFERROR(($I107-$J107)/$J107,"")</f>
        <v/>
      </c>
      <c r="L107" s="102">
        <f>IF('エネルギーデータ入力'!$V107="","",'エネルギーデータ入力'!$V107)</f>
        <v/>
      </c>
      <c r="M107" s="102">
        <f>IF($H107="","",IFERROR(VLOOKUP($H107,'基本設定'!$A$13:$K$19,5,FALSE),0.2))</f>
        <v/>
      </c>
      <c r="N107" s="102">
        <f>IF($B107="","",IF('エネルギーデータ入力'!$L107="","Missing reading",IF($I107=0,"Stalled reading / possibly offline",IF($K107&gt;=IFERROR(VLOOKUP($H107,'基本設定'!$A$13:$K$19,6,FALSE),0.5),"Severe spike",IF($K107&gt;=$M107,"Usage spike",IF($K107&lt;=-IFERROR(VLOOKUP($H107,'基本設定'!$A$13:$K$19,7,FALSE),0.3),"Usage drop",IF($L107&gt;IFERROR(VLOOKUP($H107,'基本設定'!$A$13:$K$19,8,FALSE),999999),"Area intensity overrun","正常")))))))</f>
        <v/>
      </c>
      <c r="O107" s="102">
        <f>IF($N107="","",IF($N107="正常","正常",IF(OR($N107="Severe spike",$K107&gt;=IFERROR(VLOOKUP($H107,'基本設定'!$A$13:$K$19,6,FALSE),0.5)),"重大",IF(OR($N107="Usage spike",$N107="Usage drop"),"高","中"))))</f>
        <v/>
      </c>
      <c r="P107" s="144">
        <f>IF(OR($N107="",$N107="正常"),0,ABS($I107-$J107)*'エネルギーデータ入力'!$O107)</f>
        <v/>
      </c>
      <c r="Q107" s="102">
        <f>IF($N107="正常","",IF($N107="Stalled reading / possibly offline","核查表计通信/電気池/网关/阀门Status",IF(AND($H107="水道",$N107&lt;&gt;"正常"),"检查管网、阀门、卫生间、冷却塔及夜间最小流量",IF(AND($H107="電気",$N107&lt;&gt;"正常"),"检查空调、照明、生产设备、PeakOff-peak时段与待机功耗",IF(AND($H107="ガス",$N107&lt;&gt;"正常"),"检查燃ガス阀门、锅炉/厨房设备与泄漏风险","核查设备工况、排班、产量与计量数据")))))</f>
        <v/>
      </c>
      <c r="R107" s="102">
        <f>IF($H107="","",IFERROR(VLOOKUP($H107,'基本設定'!$A$13:$K$19,11,FALSE),"Energy management owner"))</f>
        <v/>
      </c>
      <c r="S107" s="102">
        <f>IF($N107="","",IF($N107="正常","対応不要","未対応"))</f>
        <v/>
      </c>
      <c r="T107" s="141">
        <f>IF(OR($B107="",$N107="正常"),"",WORKDAY($B107,IF($O107="重大",1,IF($O107="高",2,3))))</f>
        <v/>
      </c>
      <c r="U107" s="102">
        <f>IF($T107="","",IF(AND($S107&lt;&gt;"完了",TODAY()&gt;$T107),"期限超過","期限内"))</f>
        <v/>
      </c>
      <c r="V107" s="102" t="n"/>
      <c r="W107" s="141" t="n"/>
      <c r="X107" s="102" t="n"/>
    </row>
    <row r="108">
      <c r="A108" s="102">
        <f>IF('エネルギーデータ入力'!$A108="","","AL-"&amp;TEXT(ROW()-5,"0000"))</f>
        <v/>
      </c>
      <c r="B108" s="141">
        <f>IF('エネルギーデータ入力'!$B108="","",'エネルギーデータ入力'!$B108)</f>
        <v/>
      </c>
      <c r="C108" s="102">
        <f>IF('エネルギーデータ入力'!$C108="","",'エネルギーデータ入力'!$C108)</f>
        <v/>
      </c>
      <c r="D108" s="102">
        <f>IF('エネルギーデータ入力'!$D108="","",'エネルギーデータ入力'!$D108)</f>
        <v/>
      </c>
      <c r="E108" s="102">
        <f>IF('エネルギーデータ入力'!$E108="","",'エネルギーデータ入力'!$E108)</f>
        <v/>
      </c>
      <c r="F108" s="102">
        <f>IF('エネルギーデータ入力'!$G108="","",'エネルギーデータ入力'!$G108)</f>
        <v/>
      </c>
      <c r="G108" s="102">
        <f>IF('エネルギーデータ入力'!$H108="","",'エネルギーデータ入力'!$H108)</f>
        <v/>
      </c>
      <c r="H108" s="102">
        <f>IF('エネルギーデータ入力'!$J108="","",'エネルギーデータ入力'!$J108)</f>
        <v/>
      </c>
      <c r="I108" s="142">
        <f>IF('エネルギーデータ入力'!$N108="","",'エネルギーデータ入力'!$N108)</f>
        <v/>
      </c>
      <c r="J108" s="142">
        <f>IF($B108="","",IFERROR(AVERAGEIFS('エネルギーデータ入力'!$N$6:$N$205,'エネルギーデータ入力'!$B$6:$B$205,"&gt;="&amp;$B108-7,'エネルギーデータ入力'!$B$6:$B$205,"&lt;"&amp;$B108,'エネルギーデータ入力'!$H$6:$H$205,$G108,'エネルギーデータ入力'!$J$6:$J$205,$H108),$I108))</f>
        <v/>
      </c>
      <c r="K108" s="143">
        <f>IFERROR(($I108-$J108)/$J108,"")</f>
        <v/>
      </c>
      <c r="L108" s="102">
        <f>IF('エネルギーデータ入力'!$V108="","",'エネルギーデータ入力'!$V108)</f>
        <v/>
      </c>
      <c r="M108" s="102">
        <f>IF($H108="","",IFERROR(VLOOKUP($H108,'基本設定'!$A$13:$K$19,5,FALSE),0.2))</f>
        <v/>
      </c>
      <c r="N108" s="102">
        <f>IF($B108="","",IF('エネルギーデータ入力'!$L108="","Missing reading",IF($I108=0,"Stalled reading / possibly offline",IF($K108&gt;=IFERROR(VLOOKUP($H108,'基本設定'!$A$13:$K$19,6,FALSE),0.5),"Severe spike",IF($K108&gt;=$M108,"Usage spike",IF($K108&lt;=-IFERROR(VLOOKUP($H108,'基本設定'!$A$13:$K$19,7,FALSE),0.3),"Usage drop",IF($L108&gt;IFERROR(VLOOKUP($H108,'基本設定'!$A$13:$K$19,8,FALSE),999999),"Area intensity overrun","正常")))))))</f>
        <v/>
      </c>
      <c r="O108" s="102">
        <f>IF($N108="","",IF($N108="正常","正常",IF(OR($N108="Severe spike",$K108&gt;=IFERROR(VLOOKUP($H108,'基本設定'!$A$13:$K$19,6,FALSE),0.5)),"重大",IF(OR($N108="Usage spike",$N108="Usage drop"),"高","中"))))</f>
        <v/>
      </c>
      <c r="P108" s="144">
        <f>IF(OR($N108="",$N108="正常"),0,ABS($I108-$J108)*'エネルギーデータ入力'!$O108)</f>
        <v/>
      </c>
      <c r="Q108" s="102">
        <f>IF($N108="正常","",IF($N108="Stalled reading / possibly offline","核查表计通信/電気池/网关/阀门Status",IF(AND($H108="水道",$N108&lt;&gt;"正常"),"检查管网、阀门、卫生间、冷却塔及夜间最小流量",IF(AND($H108="電気",$N108&lt;&gt;"正常"),"检查空调、照明、生产设备、PeakOff-peak时段与待机功耗",IF(AND($H108="ガス",$N108&lt;&gt;"正常"),"检查燃ガス阀门、锅炉/厨房设备与泄漏风险","核查设备工况、排班、产量与计量数据")))))</f>
        <v/>
      </c>
      <c r="R108" s="102">
        <f>IF($H108="","",IFERROR(VLOOKUP($H108,'基本設定'!$A$13:$K$19,11,FALSE),"Energy management owner"))</f>
        <v/>
      </c>
      <c r="S108" s="102">
        <f>IF($N108="","",IF($N108="正常","対応不要","未対応"))</f>
        <v/>
      </c>
      <c r="T108" s="141">
        <f>IF(OR($B108="",$N108="正常"),"",WORKDAY($B108,IF($O108="重大",1,IF($O108="高",2,3))))</f>
        <v/>
      </c>
      <c r="U108" s="102">
        <f>IF($T108="","",IF(AND($S108&lt;&gt;"完了",TODAY()&gt;$T108),"期限超過","期限内"))</f>
        <v/>
      </c>
      <c r="V108" s="102" t="n"/>
      <c r="W108" s="141" t="n"/>
      <c r="X108" s="102" t="n"/>
    </row>
    <row r="109">
      <c r="A109" s="102">
        <f>IF('エネルギーデータ入力'!$A109="","","AL-"&amp;TEXT(ROW()-5,"0000"))</f>
        <v/>
      </c>
      <c r="B109" s="141">
        <f>IF('エネルギーデータ入力'!$B109="","",'エネルギーデータ入力'!$B109)</f>
        <v/>
      </c>
      <c r="C109" s="102">
        <f>IF('エネルギーデータ入力'!$C109="","",'エネルギーデータ入力'!$C109)</f>
        <v/>
      </c>
      <c r="D109" s="102">
        <f>IF('エネルギーデータ入力'!$D109="","",'エネルギーデータ入力'!$D109)</f>
        <v/>
      </c>
      <c r="E109" s="102">
        <f>IF('エネルギーデータ入力'!$E109="","",'エネルギーデータ入力'!$E109)</f>
        <v/>
      </c>
      <c r="F109" s="102">
        <f>IF('エネルギーデータ入力'!$G109="","",'エネルギーデータ入力'!$G109)</f>
        <v/>
      </c>
      <c r="G109" s="102">
        <f>IF('エネルギーデータ入力'!$H109="","",'エネルギーデータ入力'!$H109)</f>
        <v/>
      </c>
      <c r="H109" s="102">
        <f>IF('エネルギーデータ入力'!$J109="","",'エネルギーデータ入力'!$J109)</f>
        <v/>
      </c>
      <c r="I109" s="142">
        <f>IF('エネルギーデータ入力'!$N109="","",'エネルギーデータ入力'!$N109)</f>
        <v/>
      </c>
      <c r="J109" s="142">
        <f>IF($B109="","",IFERROR(AVERAGEIFS('エネルギーデータ入力'!$N$6:$N$205,'エネルギーデータ入力'!$B$6:$B$205,"&gt;="&amp;$B109-7,'エネルギーデータ入力'!$B$6:$B$205,"&lt;"&amp;$B109,'エネルギーデータ入力'!$H$6:$H$205,$G109,'エネルギーデータ入力'!$J$6:$J$205,$H109),$I109))</f>
        <v/>
      </c>
      <c r="K109" s="143">
        <f>IFERROR(($I109-$J109)/$J109,"")</f>
        <v/>
      </c>
      <c r="L109" s="102">
        <f>IF('エネルギーデータ入力'!$V109="","",'エネルギーデータ入力'!$V109)</f>
        <v/>
      </c>
      <c r="M109" s="102">
        <f>IF($H109="","",IFERROR(VLOOKUP($H109,'基本設定'!$A$13:$K$19,5,FALSE),0.2))</f>
        <v/>
      </c>
      <c r="N109" s="102">
        <f>IF($B109="","",IF('エネルギーデータ入力'!$L109="","Missing reading",IF($I109=0,"Stalled reading / possibly offline",IF($K109&gt;=IFERROR(VLOOKUP($H109,'基本設定'!$A$13:$K$19,6,FALSE),0.5),"Severe spike",IF($K109&gt;=$M109,"Usage spike",IF($K109&lt;=-IFERROR(VLOOKUP($H109,'基本設定'!$A$13:$K$19,7,FALSE),0.3),"Usage drop",IF($L109&gt;IFERROR(VLOOKUP($H109,'基本設定'!$A$13:$K$19,8,FALSE),999999),"Area intensity overrun","正常")))))))</f>
        <v/>
      </c>
      <c r="O109" s="102">
        <f>IF($N109="","",IF($N109="正常","正常",IF(OR($N109="Severe spike",$K109&gt;=IFERROR(VLOOKUP($H109,'基本設定'!$A$13:$K$19,6,FALSE),0.5)),"重大",IF(OR($N109="Usage spike",$N109="Usage drop"),"高","中"))))</f>
        <v/>
      </c>
      <c r="P109" s="144">
        <f>IF(OR($N109="",$N109="正常"),0,ABS($I109-$J109)*'エネルギーデータ入力'!$O109)</f>
        <v/>
      </c>
      <c r="Q109" s="102">
        <f>IF($N109="正常","",IF($N109="Stalled reading / possibly offline","核查表计通信/電気池/网关/阀门Status",IF(AND($H109="水道",$N109&lt;&gt;"正常"),"检查管网、阀门、卫生间、冷却塔及夜间最小流量",IF(AND($H109="電気",$N109&lt;&gt;"正常"),"检查空调、照明、生产设备、PeakOff-peak时段与待机功耗",IF(AND($H109="ガス",$N109&lt;&gt;"正常"),"检查燃ガス阀门、锅炉/厨房设备与泄漏风险","核查设备工况、排班、产量与计量数据")))))</f>
        <v/>
      </c>
      <c r="R109" s="102">
        <f>IF($H109="","",IFERROR(VLOOKUP($H109,'基本設定'!$A$13:$K$19,11,FALSE),"Energy management owner"))</f>
        <v/>
      </c>
      <c r="S109" s="102">
        <f>IF($N109="","",IF($N109="正常","対応不要","未対応"))</f>
        <v/>
      </c>
      <c r="T109" s="141">
        <f>IF(OR($B109="",$N109="正常"),"",WORKDAY($B109,IF($O109="重大",1,IF($O109="高",2,3))))</f>
        <v/>
      </c>
      <c r="U109" s="102">
        <f>IF($T109="","",IF(AND($S109&lt;&gt;"完了",TODAY()&gt;$T109),"期限超過","期限内"))</f>
        <v/>
      </c>
      <c r="V109" s="102" t="n"/>
      <c r="W109" s="141" t="n"/>
      <c r="X109" s="102" t="n"/>
    </row>
    <row r="110">
      <c r="A110" s="102">
        <f>IF('エネルギーデータ入力'!$A110="","","AL-"&amp;TEXT(ROW()-5,"0000"))</f>
        <v/>
      </c>
      <c r="B110" s="141">
        <f>IF('エネルギーデータ入力'!$B110="","",'エネルギーデータ入力'!$B110)</f>
        <v/>
      </c>
      <c r="C110" s="102">
        <f>IF('エネルギーデータ入力'!$C110="","",'エネルギーデータ入力'!$C110)</f>
        <v/>
      </c>
      <c r="D110" s="102">
        <f>IF('エネルギーデータ入力'!$D110="","",'エネルギーデータ入力'!$D110)</f>
        <v/>
      </c>
      <c r="E110" s="102">
        <f>IF('エネルギーデータ入力'!$E110="","",'エネルギーデータ入力'!$E110)</f>
        <v/>
      </c>
      <c r="F110" s="102">
        <f>IF('エネルギーデータ入力'!$G110="","",'エネルギーデータ入力'!$G110)</f>
        <v/>
      </c>
      <c r="G110" s="102">
        <f>IF('エネルギーデータ入力'!$H110="","",'エネルギーデータ入力'!$H110)</f>
        <v/>
      </c>
      <c r="H110" s="102">
        <f>IF('エネルギーデータ入力'!$J110="","",'エネルギーデータ入力'!$J110)</f>
        <v/>
      </c>
      <c r="I110" s="142">
        <f>IF('エネルギーデータ入力'!$N110="","",'エネルギーデータ入力'!$N110)</f>
        <v/>
      </c>
      <c r="J110" s="142">
        <f>IF($B110="","",IFERROR(AVERAGEIFS('エネルギーデータ入力'!$N$6:$N$205,'エネルギーデータ入力'!$B$6:$B$205,"&gt;="&amp;$B110-7,'エネルギーデータ入力'!$B$6:$B$205,"&lt;"&amp;$B110,'エネルギーデータ入力'!$H$6:$H$205,$G110,'エネルギーデータ入力'!$J$6:$J$205,$H110),$I110))</f>
        <v/>
      </c>
      <c r="K110" s="143">
        <f>IFERROR(($I110-$J110)/$J110,"")</f>
        <v/>
      </c>
      <c r="L110" s="102">
        <f>IF('エネルギーデータ入力'!$V110="","",'エネルギーデータ入力'!$V110)</f>
        <v/>
      </c>
      <c r="M110" s="102">
        <f>IF($H110="","",IFERROR(VLOOKUP($H110,'基本設定'!$A$13:$K$19,5,FALSE),0.2))</f>
        <v/>
      </c>
      <c r="N110" s="102">
        <f>IF($B110="","",IF('エネルギーデータ入力'!$L110="","Missing reading",IF($I110=0,"Stalled reading / possibly offline",IF($K110&gt;=IFERROR(VLOOKUP($H110,'基本設定'!$A$13:$K$19,6,FALSE),0.5),"Severe spike",IF($K110&gt;=$M110,"Usage spike",IF($K110&lt;=-IFERROR(VLOOKUP($H110,'基本設定'!$A$13:$K$19,7,FALSE),0.3),"Usage drop",IF($L110&gt;IFERROR(VLOOKUP($H110,'基本設定'!$A$13:$K$19,8,FALSE),999999),"Area intensity overrun","正常")))))))</f>
        <v/>
      </c>
      <c r="O110" s="102">
        <f>IF($N110="","",IF($N110="正常","正常",IF(OR($N110="Severe spike",$K110&gt;=IFERROR(VLOOKUP($H110,'基本設定'!$A$13:$K$19,6,FALSE),0.5)),"重大",IF(OR($N110="Usage spike",$N110="Usage drop"),"高","中"))))</f>
        <v/>
      </c>
      <c r="P110" s="144">
        <f>IF(OR($N110="",$N110="正常"),0,ABS($I110-$J110)*'エネルギーデータ入力'!$O110)</f>
        <v/>
      </c>
      <c r="Q110" s="102">
        <f>IF($N110="正常","",IF($N110="Stalled reading / possibly offline","核查表计通信/電気池/网关/阀门Status",IF(AND($H110="水道",$N110&lt;&gt;"正常"),"检查管网、阀门、卫生间、冷却塔及夜间最小流量",IF(AND($H110="電気",$N110&lt;&gt;"正常"),"检查空调、照明、生产设备、PeakOff-peak时段与待机功耗",IF(AND($H110="ガス",$N110&lt;&gt;"正常"),"检查燃ガス阀门、锅炉/厨房设备与泄漏风险","核查设备工况、排班、产量与计量数据")))))</f>
        <v/>
      </c>
      <c r="R110" s="102">
        <f>IF($H110="","",IFERROR(VLOOKUP($H110,'基本設定'!$A$13:$K$19,11,FALSE),"Energy management owner"))</f>
        <v/>
      </c>
      <c r="S110" s="102">
        <f>IF($N110="","",IF($N110="正常","対応不要","未対応"))</f>
        <v/>
      </c>
      <c r="T110" s="141">
        <f>IF(OR($B110="",$N110="正常"),"",WORKDAY($B110,IF($O110="重大",1,IF($O110="高",2,3))))</f>
        <v/>
      </c>
      <c r="U110" s="102">
        <f>IF($T110="","",IF(AND($S110&lt;&gt;"完了",TODAY()&gt;$T110),"期限超過","期限内"))</f>
        <v/>
      </c>
      <c r="V110" s="102" t="n"/>
      <c r="W110" s="141" t="n"/>
      <c r="X110" s="102" t="n"/>
    </row>
    <row r="111">
      <c r="A111" s="102">
        <f>IF('エネルギーデータ入力'!$A111="","","AL-"&amp;TEXT(ROW()-5,"0000"))</f>
        <v/>
      </c>
      <c r="B111" s="141">
        <f>IF('エネルギーデータ入力'!$B111="","",'エネルギーデータ入力'!$B111)</f>
        <v/>
      </c>
      <c r="C111" s="102">
        <f>IF('エネルギーデータ入力'!$C111="","",'エネルギーデータ入力'!$C111)</f>
        <v/>
      </c>
      <c r="D111" s="102">
        <f>IF('エネルギーデータ入力'!$D111="","",'エネルギーデータ入力'!$D111)</f>
        <v/>
      </c>
      <c r="E111" s="102">
        <f>IF('エネルギーデータ入力'!$E111="","",'エネルギーデータ入力'!$E111)</f>
        <v/>
      </c>
      <c r="F111" s="102">
        <f>IF('エネルギーデータ入力'!$G111="","",'エネルギーデータ入力'!$G111)</f>
        <v/>
      </c>
      <c r="G111" s="102">
        <f>IF('エネルギーデータ入力'!$H111="","",'エネルギーデータ入力'!$H111)</f>
        <v/>
      </c>
      <c r="H111" s="102">
        <f>IF('エネルギーデータ入力'!$J111="","",'エネルギーデータ入力'!$J111)</f>
        <v/>
      </c>
      <c r="I111" s="142">
        <f>IF('エネルギーデータ入力'!$N111="","",'エネルギーデータ入力'!$N111)</f>
        <v/>
      </c>
      <c r="J111" s="142">
        <f>IF($B111="","",IFERROR(AVERAGEIFS('エネルギーデータ入力'!$N$6:$N$205,'エネルギーデータ入力'!$B$6:$B$205,"&gt;="&amp;$B111-7,'エネルギーデータ入力'!$B$6:$B$205,"&lt;"&amp;$B111,'エネルギーデータ入力'!$H$6:$H$205,$G111,'エネルギーデータ入力'!$J$6:$J$205,$H111),$I111))</f>
        <v/>
      </c>
      <c r="K111" s="143">
        <f>IFERROR(($I111-$J111)/$J111,"")</f>
        <v/>
      </c>
      <c r="L111" s="102">
        <f>IF('エネルギーデータ入力'!$V111="","",'エネルギーデータ入力'!$V111)</f>
        <v/>
      </c>
      <c r="M111" s="102">
        <f>IF($H111="","",IFERROR(VLOOKUP($H111,'基本設定'!$A$13:$K$19,5,FALSE),0.2))</f>
        <v/>
      </c>
      <c r="N111" s="102">
        <f>IF($B111="","",IF('エネルギーデータ入力'!$L111="","Missing reading",IF($I111=0,"Stalled reading / possibly offline",IF($K111&gt;=IFERROR(VLOOKUP($H111,'基本設定'!$A$13:$K$19,6,FALSE),0.5),"Severe spike",IF($K111&gt;=$M111,"Usage spike",IF($K111&lt;=-IFERROR(VLOOKUP($H111,'基本設定'!$A$13:$K$19,7,FALSE),0.3),"Usage drop",IF($L111&gt;IFERROR(VLOOKUP($H111,'基本設定'!$A$13:$K$19,8,FALSE),999999),"Area intensity overrun","正常")))))))</f>
        <v/>
      </c>
      <c r="O111" s="102">
        <f>IF($N111="","",IF($N111="正常","正常",IF(OR($N111="Severe spike",$K111&gt;=IFERROR(VLOOKUP($H111,'基本設定'!$A$13:$K$19,6,FALSE),0.5)),"重大",IF(OR($N111="Usage spike",$N111="Usage drop"),"高","中"))))</f>
        <v/>
      </c>
      <c r="P111" s="144">
        <f>IF(OR($N111="",$N111="正常"),0,ABS($I111-$J111)*'エネルギーデータ入力'!$O111)</f>
        <v/>
      </c>
      <c r="Q111" s="102">
        <f>IF($N111="正常","",IF($N111="Stalled reading / possibly offline","核查表计通信/電気池/网关/阀门Status",IF(AND($H111="水道",$N111&lt;&gt;"正常"),"检查管网、阀门、卫生间、冷却塔及夜间最小流量",IF(AND($H111="電気",$N111&lt;&gt;"正常"),"检查空调、照明、生产设备、PeakOff-peak时段与待机功耗",IF(AND($H111="ガス",$N111&lt;&gt;"正常"),"检查燃ガス阀门、锅炉/厨房设备与泄漏风险","核查设备工况、排班、产量与计量数据")))))</f>
        <v/>
      </c>
      <c r="R111" s="102">
        <f>IF($H111="","",IFERROR(VLOOKUP($H111,'基本設定'!$A$13:$K$19,11,FALSE),"Energy management owner"))</f>
        <v/>
      </c>
      <c r="S111" s="102">
        <f>IF($N111="","",IF($N111="正常","対応不要","未対応"))</f>
        <v/>
      </c>
      <c r="T111" s="141">
        <f>IF(OR($B111="",$N111="正常"),"",WORKDAY($B111,IF($O111="重大",1,IF($O111="高",2,3))))</f>
        <v/>
      </c>
      <c r="U111" s="102">
        <f>IF($T111="","",IF(AND($S111&lt;&gt;"完了",TODAY()&gt;$T111),"期限超過","期限内"))</f>
        <v/>
      </c>
      <c r="V111" s="102" t="n"/>
      <c r="W111" s="141" t="n"/>
      <c r="X111" s="102" t="n"/>
    </row>
    <row r="112">
      <c r="A112" s="102">
        <f>IF('エネルギーデータ入力'!$A112="","","AL-"&amp;TEXT(ROW()-5,"0000"))</f>
        <v/>
      </c>
      <c r="B112" s="141">
        <f>IF('エネルギーデータ入力'!$B112="","",'エネルギーデータ入力'!$B112)</f>
        <v/>
      </c>
      <c r="C112" s="102">
        <f>IF('エネルギーデータ入力'!$C112="","",'エネルギーデータ入力'!$C112)</f>
        <v/>
      </c>
      <c r="D112" s="102">
        <f>IF('エネルギーデータ入力'!$D112="","",'エネルギーデータ入力'!$D112)</f>
        <v/>
      </c>
      <c r="E112" s="102">
        <f>IF('エネルギーデータ入力'!$E112="","",'エネルギーデータ入力'!$E112)</f>
        <v/>
      </c>
      <c r="F112" s="102">
        <f>IF('エネルギーデータ入力'!$G112="","",'エネルギーデータ入力'!$G112)</f>
        <v/>
      </c>
      <c r="G112" s="102">
        <f>IF('エネルギーデータ入力'!$H112="","",'エネルギーデータ入力'!$H112)</f>
        <v/>
      </c>
      <c r="H112" s="102">
        <f>IF('エネルギーデータ入力'!$J112="","",'エネルギーデータ入力'!$J112)</f>
        <v/>
      </c>
      <c r="I112" s="142">
        <f>IF('エネルギーデータ入力'!$N112="","",'エネルギーデータ入力'!$N112)</f>
        <v/>
      </c>
      <c r="J112" s="142">
        <f>IF($B112="","",IFERROR(AVERAGEIFS('エネルギーデータ入力'!$N$6:$N$205,'エネルギーデータ入力'!$B$6:$B$205,"&gt;="&amp;$B112-7,'エネルギーデータ入力'!$B$6:$B$205,"&lt;"&amp;$B112,'エネルギーデータ入力'!$H$6:$H$205,$G112,'エネルギーデータ入力'!$J$6:$J$205,$H112),$I112))</f>
        <v/>
      </c>
      <c r="K112" s="143">
        <f>IFERROR(($I112-$J112)/$J112,"")</f>
        <v/>
      </c>
      <c r="L112" s="102">
        <f>IF('エネルギーデータ入力'!$V112="","",'エネルギーデータ入力'!$V112)</f>
        <v/>
      </c>
      <c r="M112" s="102">
        <f>IF($H112="","",IFERROR(VLOOKUP($H112,'基本設定'!$A$13:$K$19,5,FALSE),0.2))</f>
        <v/>
      </c>
      <c r="N112" s="102">
        <f>IF($B112="","",IF('エネルギーデータ入力'!$L112="","Missing reading",IF($I112=0,"Stalled reading / possibly offline",IF($K112&gt;=IFERROR(VLOOKUP($H112,'基本設定'!$A$13:$K$19,6,FALSE),0.5),"Severe spike",IF($K112&gt;=$M112,"Usage spike",IF($K112&lt;=-IFERROR(VLOOKUP($H112,'基本設定'!$A$13:$K$19,7,FALSE),0.3),"Usage drop",IF($L112&gt;IFERROR(VLOOKUP($H112,'基本設定'!$A$13:$K$19,8,FALSE),999999),"Area intensity overrun","正常")))))))</f>
        <v/>
      </c>
      <c r="O112" s="102">
        <f>IF($N112="","",IF($N112="正常","正常",IF(OR($N112="Severe spike",$K112&gt;=IFERROR(VLOOKUP($H112,'基本設定'!$A$13:$K$19,6,FALSE),0.5)),"重大",IF(OR($N112="Usage spike",$N112="Usage drop"),"高","中"))))</f>
        <v/>
      </c>
      <c r="P112" s="144">
        <f>IF(OR($N112="",$N112="正常"),0,ABS($I112-$J112)*'エネルギーデータ入力'!$O112)</f>
        <v/>
      </c>
      <c r="Q112" s="102">
        <f>IF($N112="正常","",IF($N112="Stalled reading / possibly offline","核查表计通信/電気池/网关/阀门Status",IF(AND($H112="水道",$N112&lt;&gt;"正常"),"检查管网、阀门、卫生间、冷却塔及夜间最小流量",IF(AND($H112="電気",$N112&lt;&gt;"正常"),"检查空调、照明、生产设备、PeakOff-peak时段与待机功耗",IF(AND($H112="ガス",$N112&lt;&gt;"正常"),"检查燃ガス阀门、锅炉/厨房设备与泄漏风险","核查设备工况、排班、产量与计量数据")))))</f>
        <v/>
      </c>
      <c r="R112" s="102">
        <f>IF($H112="","",IFERROR(VLOOKUP($H112,'基本設定'!$A$13:$K$19,11,FALSE),"Energy management owner"))</f>
        <v/>
      </c>
      <c r="S112" s="102">
        <f>IF($N112="","",IF($N112="正常","対応不要","未対応"))</f>
        <v/>
      </c>
      <c r="T112" s="141">
        <f>IF(OR($B112="",$N112="正常"),"",WORKDAY($B112,IF($O112="重大",1,IF($O112="高",2,3))))</f>
        <v/>
      </c>
      <c r="U112" s="102">
        <f>IF($T112="","",IF(AND($S112&lt;&gt;"完了",TODAY()&gt;$T112),"期限超過","期限内"))</f>
        <v/>
      </c>
      <c r="V112" s="102" t="n"/>
      <c r="W112" s="141" t="n"/>
      <c r="X112" s="102" t="n"/>
    </row>
    <row r="113">
      <c r="A113" s="102">
        <f>IF('エネルギーデータ入力'!$A113="","","AL-"&amp;TEXT(ROW()-5,"0000"))</f>
        <v/>
      </c>
      <c r="B113" s="141">
        <f>IF('エネルギーデータ入力'!$B113="","",'エネルギーデータ入力'!$B113)</f>
        <v/>
      </c>
      <c r="C113" s="102">
        <f>IF('エネルギーデータ入力'!$C113="","",'エネルギーデータ入力'!$C113)</f>
        <v/>
      </c>
      <c r="D113" s="102">
        <f>IF('エネルギーデータ入力'!$D113="","",'エネルギーデータ入力'!$D113)</f>
        <v/>
      </c>
      <c r="E113" s="102">
        <f>IF('エネルギーデータ入力'!$E113="","",'エネルギーデータ入力'!$E113)</f>
        <v/>
      </c>
      <c r="F113" s="102">
        <f>IF('エネルギーデータ入力'!$G113="","",'エネルギーデータ入力'!$G113)</f>
        <v/>
      </c>
      <c r="G113" s="102">
        <f>IF('エネルギーデータ入力'!$H113="","",'エネルギーデータ入力'!$H113)</f>
        <v/>
      </c>
      <c r="H113" s="102">
        <f>IF('エネルギーデータ入力'!$J113="","",'エネルギーデータ入力'!$J113)</f>
        <v/>
      </c>
      <c r="I113" s="142">
        <f>IF('エネルギーデータ入力'!$N113="","",'エネルギーデータ入力'!$N113)</f>
        <v/>
      </c>
      <c r="J113" s="142">
        <f>IF($B113="","",IFERROR(AVERAGEIFS('エネルギーデータ入力'!$N$6:$N$205,'エネルギーデータ入力'!$B$6:$B$205,"&gt;="&amp;$B113-7,'エネルギーデータ入力'!$B$6:$B$205,"&lt;"&amp;$B113,'エネルギーデータ入力'!$H$6:$H$205,$G113,'エネルギーデータ入力'!$J$6:$J$205,$H113),$I113))</f>
        <v/>
      </c>
      <c r="K113" s="143">
        <f>IFERROR(($I113-$J113)/$J113,"")</f>
        <v/>
      </c>
      <c r="L113" s="102">
        <f>IF('エネルギーデータ入力'!$V113="","",'エネルギーデータ入力'!$V113)</f>
        <v/>
      </c>
      <c r="M113" s="102">
        <f>IF($H113="","",IFERROR(VLOOKUP($H113,'基本設定'!$A$13:$K$19,5,FALSE),0.2))</f>
        <v/>
      </c>
      <c r="N113" s="102">
        <f>IF($B113="","",IF('エネルギーデータ入力'!$L113="","Missing reading",IF($I113=0,"Stalled reading / possibly offline",IF($K113&gt;=IFERROR(VLOOKUP($H113,'基本設定'!$A$13:$K$19,6,FALSE),0.5),"Severe spike",IF($K113&gt;=$M113,"Usage spike",IF($K113&lt;=-IFERROR(VLOOKUP($H113,'基本設定'!$A$13:$K$19,7,FALSE),0.3),"Usage drop",IF($L113&gt;IFERROR(VLOOKUP($H113,'基本設定'!$A$13:$K$19,8,FALSE),999999),"Area intensity overrun","正常")))))))</f>
        <v/>
      </c>
      <c r="O113" s="102">
        <f>IF($N113="","",IF($N113="正常","正常",IF(OR($N113="Severe spike",$K113&gt;=IFERROR(VLOOKUP($H113,'基本設定'!$A$13:$K$19,6,FALSE),0.5)),"重大",IF(OR($N113="Usage spike",$N113="Usage drop"),"高","中"))))</f>
        <v/>
      </c>
      <c r="P113" s="144">
        <f>IF(OR($N113="",$N113="正常"),0,ABS($I113-$J113)*'エネルギーデータ入力'!$O113)</f>
        <v/>
      </c>
      <c r="Q113" s="102">
        <f>IF($N113="正常","",IF($N113="Stalled reading / possibly offline","核查表计通信/電気池/网关/阀门Status",IF(AND($H113="水道",$N113&lt;&gt;"正常"),"检查管网、阀门、卫生间、冷却塔及夜间最小流量",IF(AND($H113="電気",$N113&lt;&gt;"正常"),"检查空调、照明、生产设备、PeakOff-peak时段与待机功耗",IF(AND($H113="ガス",$N113&lt;&gt;"正常"),"检查燃ガス阀门、锅炉/厨房设备与泄漏风险","核查设备工况、排班、产量与计量数据")))))</f>
        <v/>
      </c>
      <c r="R113" s="102">
        <f>IF($H113="","",IFERROR(VLOOKUP($H113,'基本設定'!$A$13:$K$19,11,FALSE),"Energy management owner"))</f>
        <v/>
      </c>
      <c r="S113" s="102">
        <f>IF($N113="","",IF($N113="正常","対応不要","未対応"))</f>
        <v/>
      </c>
      <c r="T113" s="141">
        <f>IF(OR($B113="",$N113="正常"),"",WORKDAY($B113,IF($O113="重大",1,IF($O113="高",2,3))))</f>
        <v/>
      </c>
      <c r="U113" s="102">
        <f>IF($T113="","",IF(AND($S113&lt;&gt;"完了",TODAY()&gt;$T113),"期限超過","期限内"))</f>
        <v/>
      </c>
      <c r="V113" s="102" t="n"/>
      <c r="W113" s="141" t="n"/>
      <c r="X113" s="102" t="n"/>
    </row>
    <row r="114">
      <c r="A114" s="102">
        <f>IF('エネルギーデータ入力'!$A114="","","AL-"&amp;TEXT(ROW()-5,"0000"))</f>
        <v/>
      </c>
      <c r="B114" s="141">
        <f>IF('エネルギーデータ入力'!$B114="","",'エネルギーデータ入力'!$B114)</f>
        <v/>
      </c>
      <c r="C114" s="102">
        <f>IF('エネルギーデータ入力'!$C114="","",'エネルギーデータ入力'!$C114)</f>
        <v/>
      </c>
      <c r="D114" s="102">
        <f>IF('エネルギーデータ入力'!$D114="","",'エネルギーデータ入力'!$D114)</f>
        <v/>
      </c>
      <c r="E114" s="102">
        <f>IF('エネルギーデータ入力'!$E114="","",'エネルギーデータ入力'!$E114)</f>
        <v/>
      </c>
      <c r="F114" s="102">
        <f>IF('エネルギーデータ入力'!$G114="","",'エネルギーデータ入力'!$G114)</f>
        <v/>
      </c>
      <c r="G114" s="102">
        <f>IF('エネルギーデータ入力'!$H114="","",'エネルギーデータ入力'!$H114)</f>
        <v/>
      </c>
      <c r="H114" s="102">
        <f>IF('エネルギーデータ入力'!$J114="","",'エネルギーデータ入力'!$J114)</f>
        <v/>
      </c>
      <c r="I114" s="142">
        <f>IF('エネルギーデータ入力'!$N114="","",'エネルギーデータ入力'!$N114)</f>
        <v/>
      </c>
      <c r="J114" s="142">
        <f>IF($B114="","",IFERROR(AVERAGEIFS('エネルギーデータ入力'!$N$6:$N$205,'エネルギーデータ入力'!$B$6:$B$205,"&gt;="&amp;$B114-7,'エネルギーデータ入力'!$B$6:$B$205,"&lt;"&amp;$B114,'エネルギーデータ入力'!$H$6:$H$205,$G114,'エネルギーデータ入力'!$J$6:$J$205,$H114),$I114))</f>
        <v/>
      </c>
      <c r="K114" s="143">
        <f>IFERROR(($I114-$J114)/$J114,"")</f>
        <v/>
      </c>
      <c r="L114" s="102">
        <f>IF('エネルギーデータ入力'!$V114="","",'エネルギーデータ入力'!$V114)</f>
        <v/>
      </c>
      <c r="M114" s="102">
        <f>IF($H114="","",IFERROR(VLOOKUP($H114,'基本設定'!$A$13:$K$19,5,FALSE),0.2))</f>
        <v/>
      </c>
      <c r="N114" s="102">
        <f>IF($B114="","",IF('エネルギーデータ入力'!$L114="","Missing reading",IF($I114=0,"Stalled reading / possibly offline",IF($K114&gt;=IFERROR(VLOOKUP($H114,'基本設定'!$A$13:$K$19,6,FALSE),0.5),"Severe spike",IF($K114&gt;=$M114,"Usage spike",IF($K114&lt;=-IFERROR(VLOOKUP($H114,'基本設定'!$A$13:$K$19,7,FALSE),0.3),"Usage drop",IF($L114&gt;IFERROR(VLOOKUP($H114,'基本設定'!$A$13:$K$19,8,FALSE),999999),"Area intensity overrun","正常")))))))</f>
        <v/>
      </c>
      <c r="O114" s="102">
        <f>IF($N114="","",IF($N114="正常","正常",IF(OR($N114="Severe spike",$K114&gt;=IFERROR(VLOOKUP($H114,'基本設定'!$A$13:$K$19,6,FALSE),0.5)),"重大",IF(OR($N114="Usage spike",$N114="Usage drop"),"高","中"))))</f>
        <v/>
      </c>
      <c r="P114" s="144">
        <f>IF(OR($N114="",$N114="正常"),0,ABS($I114-$J114)*'エネルギーデータ入力'!$O114)</f>
        <v/>
      </c>
      <c r="Q114" s="102">
        <f>IF($N114="正常","",IF($N114="Stalled reading / possibly offline","核查表计通信/電気池/网关/阀门Status",IF(AND($H114="水道",$N114&lt;&gt;"正常"),"检查管网、阀门、卫生间、冷却塔及夜间最小流量",IF(AND($H114="電気",$N114&lt;&gt;"正常"),"检查空调、照明、生产设备、PeakOff-peak时段与待机功耗",IF(AND($H114="ガス",$N114&lt;&gt;"正常"),"检查燃ガス阀门、锅炉/厨房设备与泄漏风险","核查设备工况、排班、产量与计量数据")))))</f>
        <v/>
      </c>
      <c r="R114" s="102">
        <f>IF($H114="","",IFERROR(VLOOKUP($H114,'基本設定'!$A$13:$K$19,11,FALSE),"Energy management owner"))</f>
        <v/>
      </c>
      <c r="S114" s="102">
        <f>IF($N114="","",IF($N114="正常","対応不要","未対応"))</f>
        <v/>
      </c>
      <c r="T114" s="141">
        <f>IF(OR($B114="",$N114="正常"),"",WORKDAY($B114,IF($O114="重大",1,IF($O114="高",2,3))))</f>
        <v/>
      </c>
      <c r="U114" s="102">
        <f>IF($T114="","",IF(AND($S114&lt;&gt;"完了",TODAY()&gt;$T114),"期限超過","期限内"))</f>
        <v/>
      </c>
      <c r="V114" s="102" t="n"/>
      <c r="W114" s="141" t="n"/>
      <c r="X114" s="102" t="n"/>
    </row>
    <row r="115">
      <c r="A115" s="102">
        <f>IF('エネルギーデータ入力'!$A115="","","AL-"&amp;TEXT(ROW()-5,"0000"))</f>
        <v/>
      </c>
      <c r="B115" s="141">
        <f>IF('エネルギーデータ入力'!$B115="","",'エネルギーデータ入力'!$B115)</f>
        <v/>
      </c>
      <c r="C115" s="102">
        <f>IF('エネルギーデータ入力'!$C115="","",'エネルギーデータ入力'!$C115)</f>
        <v/>
      </c>
      <c r="D115" s="102">
        <f>IF('エネルギーデータ入力'!$D115="","",'エネルギーデータ入力'!$D115)</f>
        <v/>
      </c>
      <c r="E115" s="102">
        <f>IF('エネルギーデータ入力'!$E115="","",'エネルギーデータ入力'!$E115)</f>
        <v/>
      </c>
      <c r="F115" s="102">
        <f>IF('エネルギーデータ入力'!$G115="","",'エネルギーデータ入力'!$G115)</f>
        <v/>
      </c>
      <c r="G115" s="102">
        <f>IF('エネルギーデータ入力'!$H115="","",'エネルギーデータ入力'!$H115)</f>
        <v/>
      </c>
      <c r="H115" s="102">
        <f>IF('エネルギーデータ入力'!$J115="","",'エネルギーデータ入力'!$J115)</f>
        <v/>
      </c>
      <c r="I115" s="142">
        <f>IF('エネルギーデータ入力'!$N115="","",'エネルギーデータ入力'!$N115)</f>
        <v/>
      </c>
      <c r="J115" s="142">
        <f>IF($B115="","",IFERROR(AVERAGEIFS('エネルギーデータ入力'!$N$6:$N$205,'エネルギーデータ入力'!$B$6:$B$205,"&gt;="&amp;$B115-7,'エネルギーデータ入力'!$B$6:$B$205,"&lt;"&amp;$B115,'エネルギーデータ入力'!$H$6:$H$205,$G115,'エネルギーデータ入力'!$J$6:$J$205,$H115),$I115))</f>
        <v/>
      </c>
      <c r="K115" s="143">
        <f>IFERROR(($I115-$J115)/$J115,"")</f>
        <v/>
      </c>
      <c r="L115" s="102">
        <f>IF('エネルギーデータ入力'!$V115="","",'エネルギーデータ入力'!$V115)</f>
        <v/>
      </c>
      <c r="M115" s="102">
        <f>IF($H115="","",IFERROR(VLOOKUP($H115,'基本設定'!$A$13:$K$19,5,FALSE),0.2))</f>
        <v/>
      </c>
      <c r="N115" s="102">
        <f>IF($B115="","",IF('エネルギーデータ入力'!$L115="","Missing reading",IF($I115=0,"Stalled reading / possibly offline",IF($K115&gt;=IFERROR(VLOOKUP($H115,'基本設定'!$A$13:$K$19,6,FALSE),0.5),"Severe spike",IF($K115&gt;=$M115,"Usage spike",IF($K115&lt;=-IFERROR(VLOOKUP($H115,'基本設定'!$A$13:$K$19,7,FALSE),0.3),"Usage drop",IF($L115&gt;IFERROR(VLOOKUP($H115,'基本設定'!$A$13:$K$19,8,FALSE),999999),"Area intensity overrun","正常")))))))</f>
        <v/>
      </c>
      <c r="O115" s="102">
        <f>IF($N115="","",IF($N115="正常","正常",IF(OR($N115="Severe spike",$K115&gt;=IFERROR(VLOOKUP($H115,'基本設定'!$A$13:$K$19,6,FALSE),0.5)),"重大",IF(OR($N115="Usage spike",$N115="Usage drop"),"高","中"))))</f>
        <v/>
      </c>
      <c r="P115" s="144">
        <f>IF(OR($N115="",$N115="正常"),0,ABS($I115-$J115)*'エネルギーデータ入力'!$O115)</f>
        <v/>
      </c>
      <c r="Q115" s="102">
        <f>IF($N115="正常","",IF($N115="Stalled reading / possibly offline","核查表计通信/電気池/网关/阀门Status",IF(AND($H115="水道",$N115&lt;&gt;"正常"),"检查管网、阀门、卫生间、冷却塔及夜间最小流量",IF(AND($H115="電気",$N115&lt;&gt;"正常"),"检查空调、照明、生产设备、PeakOff-peak时段与待机功耗",IF(AND($H115="ガス",$N115&lt;&gt;"正常"),"检查燃ガス阀门、锅炉/厨房设备与泄漏风险","核查设备工况、排班、产量与计量数据")))))</f>
        <v/>
      </c>
      <c r="R115" s="102">
        <f>IF($H115="","",IFERROR(VLOOKUP($H115,'基本設定'!$A$13:$K$19,11,FALSE),"Energy management owner"))</f>
        <v/>
      </c>
      <c r="S115" s="102">
        <f>IF($N115="","",IF($N115="正常","対応不要","未対応"))</f>
        <v/>
      </c>
      <c r="T115" s="141">
        <f>IF(OR($B115="",$N115="正常"),"",WORKDAY($B115,IF($O115="重大",1,IF($O115="高",2,3))))</f>
        <v/>
      </c>
      <c r="U115" s="102">
        <f>IF($T115="","",IF(AND($S115&lt;&gt;"完了",TODAY()&gt;$T115),"期限超過","期限内"))</f>
        <v/>
      </c>
      <c r="V115" s="102" t="n"/>
      <c r="W115" s="141" t="n"/>
      <c r="X115" s="102" t="n"/>
    </row>
    <row r="116">
      <c r="A116" s="102">
        <f>IF('エネルギーデータ入力'!$A116="","","AL-"&amp;TEXT(ROW()-5,"0000"))</f>
        <v/>
      </c>
      <c r="B116" s="141">
        <f>IF('エネルギーデータ入力'!$B116="","",'エネルギーデータ入力'!$B116)</f>
        <v/>
      </c>
      <c r="C116" s="102">
        <f>IF('エネルギーデータ入力'!$C116="","",'エネルギーデータ入力'!$C116)</f>
        <v/>
      </c>
      <c r="D116" s="102">
        <f>IF('エネルギーデータ入力'!$D116="","",'エネルギーデータ入力'!$D116)</f>
        <v/>
      </c>
      <c r="E116" s="102">
        <f>IF('エネルギーデータ入力'!$E116="","",'エネルギーデータ入力'!$E116)</f>
        <v/>
      </c>
      <c r="F116" s="102">
        <f>IF('エネルギーデータ入力'!$G116="","",'エネルギーデータ入力'!$G116)</f>
        <v/>
      </c>
      <c r="G116" s="102">
        <f>IF('エネルギーデータ入力'!$H116="","",'エネルギーデータ入力'!$H116)</f>
        <v/>
      </c>
      <c r="H116" s="102">
        <f>IF('エネルギーデータ入力'!$J116="","",'エネルギーデータ入力'!$J116)</f>
        <v/>
      </c>
      <c r="I116" s="142">
        <f>IF('エネルギーデータ入力'!$N116="","",'エネルギーデータ入力'!$N116)</f>
        <v/>
      </c>
      <c r="J116" s="142">
        <f>IF($B116="","",IFERROR(AVERAGEIFS('エネルギーデータ入力'!$N$6:$N$205,'エネルギーデータ入力'!$B$6:$B$205,"&gt;="&amp;$B116-7,'エネルギーデータ入力'!$B$6:$B$205,"&lt;"&amp;$B116,'エネルギーデータ入力'!$H$6:$H$205,$G116,'エネルギーデータ入力'!$J$6:$J$205,$H116),$I116))</f>
        <v/>
      </c>
      <c r="K116" s="143">
        <f>IFERROR(($I116-$J116)/$J116,"")</f>
        <v/>
      </c>
      <c r="L116" s="102">
        <f>IF('エネルギーデータ入力'!$V116="","",'エネルギーデータ入力'!$V116)</f>
        <v/>
      </c>
      <c r="M116" s="102">
        <f>IF($H116="","",IFERROR(VLOOKUP($H116,'基本設定'!$A$13:$K$19,5,FALSE),0.2))</f>
        <v/>
      </c>
      <c r="N116" s="102">
        <f>IF($B116="","",IF('エネルギーデータ入力'!$L116="","Missing reading",IF($I116=0,"Stalled reading / possibly offline",IF($K116&gt;=IFERROR(VLOOKUP($H116,'基本設定'!$A$13:$K$19,6,FALSE),0.5),"Severe spike",IF($K116&gt;=$M116,"Usage spike",IF($K116&lt;=-IFERROR(VLOOKUP($H116,'基本設定'!$A$13:$K$19,7,FALSE),0.3),"Usage drop",IF($L116&gt;IFERROR(VLOOKUP($H116,'基本設定'!$A$13:$K$19,8,FALSE),999999),"Area intensity overrun","正常")))))))</f>
        <v/>
      </c>
      <c r="O116" s="102">
        <f>IF($N116="","",IF($N116="正常","正常",IF(OR($N116="Severe spike",$K116&gt;=IFERROR(VLOOKUP($H116,'基本設定'!$A$13:$K$19,6,FALSE),0.5)),"重大",IF(OR($N116="Usage spike",$N116="Usage drop"),"高","中"))))</f>
        <v/>
      </c>
      <c r="P116" s="144">
        <f>IF(OR($N116="",$N116="正常"),0,ABS($I116-$J116)*'エネルギーデータ入力'!$O116)</f>
        <v/>
      </c>
      <c r="Q116" s="102">
        <f>IF($N116="正常","",IF($N116="Stalled reading / possibly offline","核查表计通信/電気池/网关/阀门Status",IF(AND($H116="水道",$N116&lt;&gt;"正常"),"检查管网、阀门、卫生间、冷却塔及夜间最小流量",IF(AND($H116="電気",$N116&lt;&gt;"正常"),"检查空调、照明、生产设备、PeakOff-peak时段与待机功耗",IF(AND($H116="ガス",$N116&lt;&gt;"正常"),"检查燃ガス阀门、锅炉/厨房设备与泄漏风险","核查设备工况、排班、产量与计量数据")))))</f>
        <v/>
      </c>
      <c r="R116" s="102">
        <f>IF($H116="","",IFERROR(VLOOKUP($H116,'基本設定'!$A$13:$K$19,11,FALSE),"Energy management owner"))</f>
        <v/>
      </c>
      <c r="S116" s="102">
        <f>IF($N116="","",IF($N116="正常","対応不要","未対応"))</f>
        <v/>
      </c>
      <c r="T116" s="141">
        <f>IF(OR($B116="",$N116="正常"),"",WORKDAY($B116,IF($O116="重大",1,IF($O116="高",2,3))))</f>
        <v/>
      </c>
      <c r="U116" s="102">
        <f>IF($T116="","",IF(AND($S116&lt;&gt;"完了",TODAY()&gt;$T116),"期限超過","期限内"))</f>
        <v/>
      </c>
      <c r="V116" s="102" t="n"/>
      <c r="W116" s="141" t="n"/>
      <c r="X116" s="102" t="n"/>
    </row>
    <row r="117">
      <c r="A117" s="102">
        <f>IF('エネルギーデータ入力'!$A117="","","AL-"&amp;TEXT(ROW()-5,"0000"))</f>
        <v/>
      </c>
      <c r="B117" s="141">
        <f>IF('エネルギーデータ入力'!$B117="","",'エネルギーデータ入力'!$B117)</f>
        <v/>
      </c>
      <c r="C117" s="102">
        <f>IF('エネルギーデータ入力'!$C117="","",'エネルギーデータ入力'!$C117)</f>
        <v/>
      </c>
      <c r="D117" s="102">
        <f>IF('エネルギーデータ入力'!$D117="","",'エネルギーデータ入力'!$D117)</f>
        <v/>
      </c>
      <c r="E117" s="102">
        <f>IF('エネルギーデータ入力'!$E117="","",'エネルギーデータ入力'!$E117)</f>
        <v/>
      </c>
      <c r="F117" s="102">
        <f>IF('エネルギーデータ入力'!$G117="","",'エネルギーデータ入力'!$G117)</f>
        <v/>
      </c>
      <c r="G117" s="102">
        <f>IF('エネルギーデータ入力'!$H117="","",'エネルギーデータ入力'!$H117)</f>
        <v/>
      </c>
      <c r="H117" s="102">
        <f>IF('エネルギーデータ入力'!$J117="","",'エネルギーデータ入力'!$J117)</f>
        <v/>
      </c>
      <c r="I117" s="142">
        <f>IF('エネルギーデータ入力'!$N117="","",'エネルギーデータ入力'!$N117)</f>
        <v/>
      </c>
      <c r="J117" s="142">
        <f>IF($B117="","",IFERROR(AVERAGEIFS('エネルギーデータ入力'!$N$6:$N$205,'エネルギーデータ入力'!$B$6:$B$205,"&gt;="&amp;$B117-7,'エネルギーデータ入力'!$B$6:$B$205,"&lt;"&amp;$B117,'エネルギーデータ入力'!$H$6:$H$205,$G117,'エネルギーデータ入力'!$J$6:$J$205,$H117),$I117))</f>
        <v/>
      </c>
      <c r="K117" s="143">
        <f>IFERROR(($I117-$J117)/$J117,"")</f>
        <v/>
      </c>
      <c r="L117" s="102">
        <f>IF('エネルギーデータ入力'!$V117="","",'エネルギーデータ入力'!$V117)</f>
        <v/>
      </c>
      <c r="M117" s="102">
        <f>IF($H117="","",IFERROR(VLOOKUP($H117,'基本設定'!$A$13:$K$19,5,FALSE),0.2))</f>
        <v/>
      </c>
      <c r="N117" s="102">
        <f>IF($B117="","",IF('エネルギーデータ入力'!$L117="","Missing reading",IF($I117=0,"Stalled reading / possibly offline",IF($K117&gt;=IFERROR(VLOOKUP($H117,'基本設定'!$A$13:$K$19,6,FALSE),0.5),"Severe spike",IF($K117&gt;=$M117,"Usage spike",IF($K117&lt;=-IFERROR(VLOOKUP($H117,'基本設定'!$A$13:$K$19,7,FALSE),0.3),"Usage drop",IF($L117&gt;IFERROR(VLOOKUP($H117,'基本設定'!$A$13:$K$19,8,FALSE),999999),"Area intensity overrun","正常")))))))</f>
        <v/>
      </c>
      <c r="O117" s="102">
        <f>IF($N117="","",IF($N117="正常","正常",IF(OR($N117="Severe spike",$K117&gt;=IFERROR(VLOOKUP($H117,'基本設定'!$A$13:$K$19,6,FALSE),0.5)),"重大",IF(OR($N117="Usage spike",$N117="Usage drop"),"高","中"))))</f>
        <v/>
      </c>
      <c r="P117" s="144">
        <f>IF(OR($N117="",$N117="正常"),0,ABS($I117-$J117)*'エネルギーデータ入力'!$O117)</f>
        <v/>
      </c>
      <c r="Q117" s="102">
        <f>IF($N117="正常","",IF($N117="Stalled reading / possibly offline","核查表计通信/電気池/网关/阀门Status",IF(AND($H117="水道",$N117&lt;&gt;"正常"),"检查管网、阀门、卫生间、冷却塔及夜间最小流量",IF(AND($H117="電気",$N117&lt;&gt;"正常"),"检查空调、照明、生产设备、PeakOff-peak时段与待机功耗",IF(AND($H117="ガス",$N117&lt;&gt;"正常"),"检查燃ガス阀门、锅炉/厨房设备与泄漏风险","核查设备工况、排班、产量与计量数据")))))</f>
        <v/>
      </c>
      <c r="R117" s="102">
        <f>IF($H117="","",IFERROR(VLOOKUP($H117,'基本設定'!$A$13:$K$19,11,FALSE),"Energy management owner"))</f>
        <v/>
      </c>
      <c r="S117" s="102">
        <f>IF($N117="","",IF($N117="正常","対応不要","未対応"))</f>
        <v/>
      </c>
      <c r="T117" s="141">
        <f>IF(OR($B117="",$N117="正常"),"",WORKDAY($B117,IF($O117="重大",1,IF($O117="高",2,3))))</f>
        <v/>
      </c>
      <c r="U117" s="102">
        <f>IF($T117="","",IF(AND($S117&lt;&gt;"完了",TODAY()&gt;$T117),"期限超過","期限内"))</f>
        <v/>
      </c>
      <c r="V117" s="102" t="n"/>
      <c r="W117" s="141" t="n"/>
      <c r="X117" s="102" t="n"/>
    </row>
    <row r="118">
      <c r="A118" s="102">
        <f>IF('エネルギーデータ入力'!$A118="","","AL-"&amp;TEXT(ROW()-5,"0000"))</f>
        <v/>
      </c>
      <c r="B118" s="141">
        <f>IF('エネルギーデータ入力'!$B118="","",'エネルギーデータ入力'!$B118)</f>
        <v/>
      </c>
      <c r="C118" s="102">
        <f>IF('エネルギーデータ入力'!$C118="","",'エネルギーデータ入力'!$C118)</f>
        <v/>
      </c>
      <c r="D118" s="102">
        <f>IF('エネルギーデータ入力'!$D118="","",'エネルギーデータ入力'!$D118)</f>
        <v/>
      </c>
      <c r="E118" s="102">
        <f>IF('エネルギーデータ入力'!$E118="","",'エネルギーデータ入力'!$E118)</f>
        <v/>
      </c>
      <c r="F118" s="102">
        <f>IF('エネルギーデータ入力'!$G118="","",'エネルギーデータ入力'!$G118)</f>
        <v/>
      </c>
      <c r="G118" s="102">
        <f>IF('エネルギーデータ入力'!$H118="","",'エネルギーデータ入力'!$H118)</f>
        <v/>
      </c>
      <c r="H118" s="102">
        <f>IF('エネルギーデータ入力'!$J118="","",'エネルギーデータ入力'!$J118)</f>
        <v/>
      </c>
      <c r="I118" s="142">
        <f>IF('エネルギーデータ入力'!$N118="","",'エネルギーデータ入力'!$N118)</f>
        <v/>
      </c>
      <c r="J118" s="142">
        <f>IF($B118="","",IFERROR(AVERAGEIFS('エネルギーデータ入力'!$N$6:$N$205,'エネルギーデータ入力'!$B$6:$B$205,"&gt;="&amp;$B118-7,'エネルギーデータ入力'!$B$6:$B$205,"&lt;"&amp;$B118,'エネルギーデータ入力'!$H$6:$H$205,$G118,'エネルギーデータ入力'!$J$6:$J$205,$H118),$I118))</f>
        <v/>
      </c>
      <c r="K118" s="143">
        <f>IFERROR(($I118-$J118)/$J118,"")</f>
        <v/>
      </c>
      <c r="L118" s="102">
        <f>IF('エネルギーデータ入力'!$V118="","",'エネルギーデータ入力'!$V118)</f>
        <v/>
      </c>
      <c r="M118" s="102">
        <f>IF($H118="","",IFERROR(VLOOKUP($H118,'基本設定'!$A$13:$K$19,5,FALSE),0.2))</f>
        <v/>
      </c>
      <c r="N118" s="102">
        <f>IF($B118="","",IF('エネルギーデータ入力'!$L118="","Missing reading",IF($I118=0,"Stalled reading / possibly offline",IF($K118&gt;=IFERROR(VLOOKUP($H118,'基本設定'!$A$13:$K$19,6,FALSE),0.5),"Severe spike",IF($K118&gt;=$M118,"Usage spike",IF($K118&lt;=-IFERROR(VLOOKUP($H118,'基本設定'!$A$13:$K$19,7,FALSE),0.3),"Usage drop",IF($L118&gt;IFERROR(VLOOKUP($H118,'基本設定'!$A$13:$K$19,8,FALSE),999999),"Area intensity overrun","正常")))))))</f>
        <v/>
      </c>
      <c r="O118" s="102">
        <f>IF($N118="","",IF($N118="正常","正常",IF(OR($N118="Severe spike",$K118&gt;=IFERROR(VLOOKUP($H118,'基本設定'!$A$13:$K$19,6,FALSE),0.5)),"重大",IF(OR($N118="Usage spike",$N118="Usage drop"),"高","中"))))</f>
        <v/>
      </c>
      <c r="P118" s="144">
        <f>IF(OR($N118="",$N118="正常"),0,ABS($I118-$J118)*'エネルギーデータ入力'!$O118)</f>
        <v/>
      </c>
      <c r="Q118" s="102">
        <f>IF($N118="正常","",IF($N118="Stalled reading / possibly offline","核查表计通信/電気池/网关/阀门Status",IF(AND($H118="水道",$N118&lt;&gt;"正常"),"检查管网、阀门、卫生间、冷却塔及夜间最小流量",IF(AND($H118="電気",$N118&lt;&gt;"正常"),"检查空调、照明、生产设备、PeakOff-peak时段与待机功耗",IF(AND($H118="ガス",$N118&lt;&gt;"正常"),"检查燃ガス阀门、锅炉/厨房设备与泄漏风险","核查设备工况、排班、产量与计量数据")))))</f>
        <v/>
      </c>
      <c r="R118" s="102">
        <f>IF($H118="","",IFERROR(VLOOKUP($H118,'基本設定'!$A$13:$K$19,11,FALSE),"Energy management owner"))</f>
        <v/>
      </c>
      <c r="S118" s="102">
        <f>IF($N118="","",IF($N118="正常","対応不要","未対応"))</f>
        <v/>
      </c>
      <c r="T118" s="141">
        <f>IF(OR($B118="",$N118="正常"),"",WORKDAY($B118,IF($O118="重大",1,IF($O118="高",2,3))))</f>
        <v/>
      </c>
      <c r="U118" s="102">
        <f>IF($T118="","",IF(AND($S118&lt;&gt;"完了",TODAY()&gt;$T118),"期限超過","期限内"))</f>
        <v/>
      </c>
      <c r="V118" s="102" t="n"/>
      <c r="W118" s="141" t="n"/>
      <c r="X118" s="102" t="n"/>
    </row>
    <row r="119">
      <c r="A119" s="102">
        <f>IF('エネルギーデータ入力'!$A119="","","AL-"&amp;TEXT(ROW()-5,"0000"))</f>
        <v/>
      </c>
      <c r="B119" s="141">
        <f>IF('エネルギーデータ入力'!$B119="","",'エネルギーデータ入力'!$B119)</f>
        <v/>
      </c>
      <c r="C119" s="102">
        <f>IF('エネルギーデータ入力'!$C119="","",'エネルギーデータ入力'!$C119)</f>
        <v/>
      </c>
      <c r="D119" s="102">
        <f>IF('エネルギーデータ入力'!$D119="","",'エネルギーデータ入力'!$D119)</f>
        <v/>
      </c>
      <c r="E119" s="102">
        <f>IF('エネルギーデータ入力'!$E119="","",'エネルギーデータ入力'!$E119)</f>
        <v/>
      </c>
      <c r="F119" s="102">
        <f>IF('エネルギーデータ入力'!$G119="","",'エネルギーデータ入力'!$G119)</f>
        <v/>
      </c>
      <c r="G119" s="102">
        <f>IF('エネルギーデータ入力'!$H119="","",'エネルギーデータ入力'!$H119)</f>
        <v/>
      </c>
      <c r="H119" s="102">
        <f>IF('エネルギーデータ入力'!$J119="","",'エネルギーデータ入力'!$J119)</f>
        <v/>
      </c>
      <c r="I119" s="142">
        <f>IF('エネルギーデータ入力'!$N119="","",'エネルギーデータ入力'!$N119)</f>
        <v/>
      </c>
      <c r="J119" s="142">
        <f>IF($B119="","",IFERROR(AVERAGEIFS('エネルギーデータ入力'!$N$6:$N$205,'エネルギーデータ入力'!$B$6:$B$205,"&gt;="&amp;$B119-7,'エネルギーデータ入力'!$B$6:$B$205,"&lt;"&amp;$B119,'エネルギーデータ入力'!$H$6:$H$205,$G119,'エネルギーデータ入力'!$J$6:$J$205,$H119),$I119))</f>
        <v/>
      </c>
      <c r="K119" s="143">
        <f>IFERROR(($I119-$J119)/$J119,"")</f>
        <v/>
      </c>
      <c r="L119" s="102">
        <f>IF('エネルギーデータ入力'!$V119="","",'エネルギーデータ入力'!$V119)</f>
        <v/>
      </c>
      <c r="M119" s="102">
        <f>IF($H119="","",IFERROR(VLOOKUP($H119,'基本設定'!$A$13:$K$19,5,FALSE),0.2))</f>
        <v/>
      </c>
      <c r="N119" s="102">
        <f>IF($B119="","",IF('エネルギーデータ入力'!$L119="","Missing reading",IF($I119=0,"Stalled reading / possibly offline",IF($K119&gt;=IFERROR(VLOOKUP($H119,'基本設定'!$A$13:$K$19,6,FALSE),0.5),"Severe spike",IF($K119&gt;=$M119,"Usage spike",IF($K119&lt;=-IFERROR(VLOOKUP($H119,'基本設定'!$A$13:$K$19,7,FALSE),0.3),"Usage drop",IF($L119&gt;IFERROR(VLOOKUP($H119,'基本設定'!$A$13:$K$19,8,FALSE),999999),"Area intensity overrun","正常")))))))</f>
        <v/>
      </c>
      <c r="O119" s="102">
        <f>IF($N119="","",IF($N119="正常","正常",IF(OR($N119="Severe spike",$K119&gt;=IFERROR(VLOOKUP($H119,'基本設定'!$A$13:$K$19,6,FALSE),0.5)),"重大",IF(OR($N119="Usage spike",$N119="Usage drop"),"高","中"))))</f>
        <v/>
      </c>
      <c r="P119" s="144">
        <f>IF(OR($N119="",$N119="正常"),0,ABS($I119-$J119)*'エネルギーデータ入力'!$O119)</f>
        <v/>
      </c>
      <c r="Q119" s="102">
        <f>IF($N119="正常","",IF($N119="Stalled reading / possibly offline","核查表计通信/電気池/网关/阀门Status",IF(AND($H119="水道",$N119&lt;&gt;"正常"),"检查管网、阀门、卫生间、冷却塔及夜间最小流量",IF(AND($H119="電気",$N119&lt;&gt;"正常"),"检查空调、照明、生产设备、PeakOff-peak时段与待机功耗",IF(AND($H119="ガス",$N119&lt;&gt;"正常"),"检查燃ガス阀门、锅炉/厨房设备与泄漏风险","核查设备工况、排班、产量与计量数据")))))</f>
        <v/>
      </c>
      <c r="R119" s="102">
        <f>IF($H119="","",IFERROR(VLOOKUP($H119,'基本設定'!$A$13:$K$19,11,FALSE),"Energy management owner"))</f>
        <v/>
      </c>
      <c r="S119" s="102">
        <f>IF($N119="","",IF($N119="正常","対応不要","未対応"))</f>
        <v/>
      </c>
      <c r="T119" s="141">
        <f>IF(OR($B119="",$N119="正常"),"",WORKDAY($B119,IF($O119="重大",1,IF($O119="高",2,3))))</f>
        <v/>
      </c>
      <c r="U119" s="102">
        <f>IF($T119="","",IF(AND($S119&lt;&gt;"完了",TODAY()&gt;$T119),"期限超過","期限内"))</f>
        <v/>
      </c>
      <c r="V119" s="102" t="n"/>
      <c r="W119" s="141" t="n"/>
      <c r="X119" s="102" t="n"/>
    </row>
    <row r="120">
      <c r="A120" s="102">
        <f>IF('エネルギーデータ入力'!$A120="","","AL-"&amp;TEXT(ROW()-5,"0000"))</f>
        <v/>
      </c>
      <c r="B120" s="141">
        <f>IF('エネルギーデータ入力'!$B120="","",'エネルギーデータ入力'!$B120)</f>
        <v/>
      </c>
      <c r="C120" s="102">
        <f>IF('エネルギーデータ入力'!$C120="","",'エネルギーデータ入力'!$C120)</f>
        <v/>
      </c>
      <c r="D120" s="102">
        <f>IF('エネルギーデータ入力'!$D120="","",'エネルギーデータ入力'!$D120)</f>
        <v/>
      </c>
      <c r="E120" s="102">
        <f>IF('エネルギーデータ入力'!$E120="","",'エネルギーデータ入力'!$E120)</f>
        <v/>
      </c>
      <c r="F120" s="102">
        <f>IF('エネルギーデータ入力'!$G120="","",'エネルギーデータ入力'!$G120)</f>
        <v/>
      </c>
      <c r="G120" s="102">
        <f>IF('エネルギーデータ入力'!$H120="","",'エネルギーデータ入力'!$H120)</f>
        <v/>
      </c>
      <c r="H120" s="102">
        <f>IF('エネルギーデータ入力'!$J120="","",'エネルギーデータ入力'!$J120)</f>
        <v/>
      </c>
      <c r="I120" s="142">
        <f>IF('エネルギーデータ入力'!$N120="","",'エネルギーデータ入力'!$N120)</f>
        <v/>
      </c>
      <c r="J120" s="142">
        <f>IF($B120="","",IFERROR(AVERAGEIFS('エネルギーデータ入力'!$N$6:$N$205,'エネルギーデータ入力'!$B$6:$B$205,"&gt;="&amp;$B120-7,'エネルギーデータ入力'!$B$6:$B$205,"&lt;"&amp;$B120,'エネルギーデータ入力'!$H$6:$H$205,$G120,'エネルギーデータ入力'!$J$6:$J$205,$H120),$I120))</f>
        <v/>
      </c>
      <c r="K120" s="143">
        <f>IFERROR(($I120-$J120)/$J120,"")</f>
        <v/>
      </c>
      <c r="L120" s="102">
        <f>IF('エネルギーデータ入力'!$V120="","",'エネルギーデータ入力'!$V120)</f>
        <v/>
      </c>
      <c r="M120" s="102">
        <f>IF($H120="","",IFERROR(VLOOKUP($H120,'基本設定'!$A$13:$K$19,5,FALSE),0.2))</f>
        <v/>
      </c>
      <c r="N120" s="102">
        <f>IF($B120="","",IF('エネルギーデータ入力'!$L120="","Missing reading",IF($I120=0,"Stalled reading / possibly offline",IF($K120&gt;=IFERROR(VLOOKUP($H120,'基本設定'!$A$13:$K$19,6,FALSE),0.5),"Severe spike",IF($K120&gt;=$M120,"Usage spike",IF($K120&lt;=-IFERROR(VLOOKUP($H120,'基本設定'!$A$13:$K$19,7,FALSE),0.3),"Usage drop",IF($L120&gt;IFERROR(VLOOKUP($H120,'基本設定'!$A$13:$K$19,8,FALSE),999999),"Area intensity overrun","正常")))))))</f>
        <v/>
      </c>
      <c r="O120" s="102">
        <f>IF($N120="","",IF($N120="正常","正常",IF(OR($N120="Severe spike",$K120&gt;=IFERROR(VLOOKUP($H120,'基本設定'!$A$13:$K$19,6,FALSE),0.5)),"重大",IF(OR($N120="Usage spike",$N120="Usage drop"),"高","中"))))</f>
        <v/>
      </c>
      <c r="P120" s="144">
        <f>IF(OR($N120="",$N120="正常"),0,ABS($I120-$J120)*'エネルギーデータ入力'!$O120)</f>
        <v/>
      </c>
      <c r="Q120" s="102">
        <f>IF($N120="正常","",IF($N120="Stalled reading / possibly offline","核查表计通信/電気池/网关/阀门Status",IF(AND($H120="水道",$N120&lt;&gt;"正常"),"检查管网、阀门、卫生间、冷却塔及夜间最小流量",IF(AND($H120="電気",$N120&lt;&gt;"正常"),"检查空调、照明、生产设备、PeakOff-peak时段与待机功耗",IF(AND($H120="ガス",$N120&lt;&gt;"正常"),"检查燃ガス阀门、锅炉/厨房设备与泄漏风险","核查设备工况、排班、产量与计量数据")))))</f>
        <v/>
      </c>
      <c r="R120" s="102">
        <f>IF($H120="","",IFERROR(VLOOKUP($H120,'基本設定'!$A$13:$K$19,11,FALSE),"Energy management owner"))</f>
        <v/>
      </c>
      <c r="S120" s="102">
        <f>IF($N120="","",IF($N120="正常","対応不要","未対応"))</f>
        <v/>
      </c>
      <c r="T120" s="141">
        <f>IF(OR($B120="",$N120="正常"),"",WORKDAY($B120,IF($O120="重大",1,IF($O120="高",2,3))))</f>
        <v/>
      </c>
      <c r="U120" s="102">
        <f>IF($T120="","",IF(AND($S120&lt;&gt;"完了",TODAY()&gt;$T120),"期限超過","期限内"))</f>
        <v/>
      </c>
      <c r="V120" s="102" t="n"/>
      <c r="W120" s="141" t="n"/>
      <c r="X120" s="102" t="n"/>
    </row>
    <row r="121">
      <c r="A121" s="102">
        <f>IF('エネルギーデータ入力'!$A121="","","AL-"&amp;TEXT(ROW()-5,"0000"))</f>
        <v/>
      </c>
      <c r="B121" s="141">
        <f>IF('エネルギーデータ入力'!$B121="","",'エネルギーデータ入力'!$B121)</f>
        <v/>
      </c>
      <c r="C121" s="102">
        <f>IF('エネルギーデータ入力'!$C121="","",'エネルギーデータ入力'!$C121)</f>
        <v/>
      </c>
      <c r="D121" s="102">
        <f>IF('エネルギーデータ入力'!$D121="","",'エネルギーデータ入力'!$D121)</f>
        <v/>
      </c>
      <c r="E121" s="102">
        <f>IF('エネルギーデータ入力'!$E121="","",'エネルギーデータ入力'!$E121)</f>
        <v/>
      </c>
      <c r="F121" s="102">
        <f>IF('エネルギーデータ入力'!$G121="","",'エネルギーデータ入力'!$G121)</f>
        <v/>
      </c>
      <c r="G121" s="102">
        <f>IF('エネルギーデータ入力'!$H121="","",'エネルギーデータ入力'!$H121)</f>
        <v/>
      </c>
      <c r="H121" s="102">
        <f>IF('エネルギーデータ入力'!$J121="","",'エネルギーデータ入力'!$J121)</f>
        <v/>
      </c>
      <c r="I121" s="142">
        <f>IF('エネルギーデータ入力'!$N121="","",'エネルギーデータ入力'!$N121)</f>
        <v/>
      </c>
      <c r="J121" s="142">
        <f>IF($B121="","",IFERROR(AVERAGEIFS('エネルギーデータ入力'!$N$6:$N$205,'エネルギーデータ入力'!$B$6:$B$205,"&gt;="&amp;$B121-7,'エネルギーデータ入力'!$B$6:$B$205,"&lt;"&amp;$B121,'エネルギーデータ入力'!$H$6:$H$205,$G121,'エネルギーデータ入力'!$J$6:$J$205,$H121),$I121))</f>
        <v/>
      </c>
      <c r="K121" s="143">
        <f>IFERROR(($I121-$J121)/$J121,"")</f>
        <v/>
      </c>
      <c r="L121" s="102">
        <f>IF('エネルギーデータ入力'!$V121="","",'エネルギーデータ入力'!$V121)</f>
        <v/>
      </c>
      <c r="M121" s="102">
        <f>IF($H121="","",IFERROR(VLOOKUP($H121,'基本設定'!$A$13:$K$19,5,FALSE),0.2))</f>
        <v/>
      </c>
      <c r="N121" s="102">
        <f>IF($B121="","",IF('エネルギーデータ入力'!$L121="","Missing reading",IF($I121=0,"Stalled reading / possibly offline",IF($K121&gt;=IFERROR(VLOOKUP($H121,'基本設定'!$A$13:$K$19,6,FALSE),0.5),"Severe spike",IF($K121&gt;=$M121,"Usage spike",IF($K121&lt;=-IFERROR(VLOOKUP($H121,'基本設定'!$A$13:$K$19,7,FALSE),0.3),"Usage drop",IF($L121&gt;IFERROR(VLOOKUP($H121,'基本設定'!$A$13:$K$19,8,FALSE),999999),"Area intensity overrun","正常")))))))</f>
        <v/>
      </c>
      <c r="O121" s="102">
        <f>IF($N121="","",IF($N121="正常","正常",IF(OR($N121="Severe spike",$K121&gt;=IFERROR(VLOOKUP($H121,'基本設定'!$A$13:$K$19,6,FALSE),0.5)),"重大",IF(OR($N121="Usage spike",$N121="Usage drop"),"高","中"))))</f>
        <v/>
      </c>
      <c r="P121" s="144">
        <f>IF(OR($N121="",$N121="正常"),0,ABS($I121-$J121)*'エネルギーデータ入力'!$O121)</f>
        <v/>
      </c>
      <c r="Q121" s="102">
        <f>IF($N121="正常","",IF($N121="Stalled reading / possibly offline","核查表计通信/電気池/网关/阀门Status",IF(AND($H121="水道",$N121&lt;&gt;"正常"),"检查管网、阀门、卫生间、冷却塔及夜间最小流量",IF(AND($H121="電気",$N121&lt;&gt;"正常"),"检查空调、照明、生产设备、PeakOff-peak时段与待机功耗",IF(AND($H121="ガス",$N121&lt;&gt;"正常"),"检查燃ガス阀门、锅炉/厨房设备与泄漏风险","核查设备工况、排班、产量与计量数据")))))</f>
        <v/>
      </c>
      <c r="R121" s="102">
        <f>IF($H121="","",IFERROR(VLOOKUP($H121,'基本設定'!$A$13:$K$19,11,FALSE),"Energy management owner"))</f>
        <v/>
      </c>
      <c r="S121" s="102">
        <f>IF($N121="","",IF($N121="正常","対応不要","未対応"))</f>
        <v/>
      </c>
      <c r="T121" s="141">
        <f>IF(OR($B121="",$N121="正常"),"",WORKDAY($B121,IF($O121="重大",1,IF($O121="高",2,3))))</f>
        <v/>
      </c>
      <c r="U121" s="102">
        <f>IF($T121="","",IF(AND($S121&lt;&gt;"完了",TODAY()&gt;$T121),"期限超過","期限内"))</f>
        <v/>
      </c>
      <c r="V121" s="102" t="n"/>
      <c r="W121" s="141" t="n"/>
      <c r="X121" s="102" t="n"/>
    </row>
    <row r="122">
      <c r="A122" s="102">
        <f>IF('エネルギーデータ入力'!$A122="","","AL-"&amp;TEXT(ROW()-5,"0000"))</f>
        <v/>
      </c>
      <c r="B122" s="141">
        <f>IF('エネルギーデータ入力'!$B122="","",'エネルギーデータ入力'!$B122)</f>
        <v/>
      </c>
      <c r="C122" s="102">
        <f>IF('エネルギーデータ入力'!$C122="","",'エネルギーデータ入力'!$C122)</f>
        <v/>
      </c>
      <c r="D122" s="102">
        <f>IF('エネルギーデータ入力'!$D122="","",'エネルギーデータ入力'!$D122)</f>
        <v/>
      </c>
      <c r="E122" s="102">
        <f>IF('エネルギーデータ入力'!$E122="","",'エネルギーデータ入力'!$E122)</f>
        <v/>
      </c>
      <c r="F122" s="102">
        <f>IF('エネルギーデータ入力'!$G122="","",'エネルギーデータ入力'!$G122)</f>
        <v/>
      </c>
      <c r="G122" s="102">
        <f>IF('エネルギーデータ入力'!$H122="","",'エネルギーデータ入力'!$H122)</f>
        <v/>
      </c>
      <c r="H122" s="102">
        <f>IF('エネルギーデータ入力'!$J122="","",'エネルギーデータ入力'!$J122)</f>
        <v/>
      </c>
      <c r="I122" s="142">
        <f>IF('エネルギーデータ入力'!$N122="","",'エネルギーデータ入力'!$N122)</f>
        <v/>
      </c>
      <c r="J122" s="142">
        <f>IF($B122="","",IFERROR(AVERAGEIFS('エネルギーデータ入力'!$N$6:$N$205,'エネルギーデータ入力'!$B$6:$B$205,"&gt;="&amp;$B122-7,'エネルギーデータ入力'!$B$6:$B$205,"&lt;"&amp;$B122,'エネルギーデータ入力'!$H$6:$H$205,$G122,'エネルギーデータ入力'!$J$6:$J$205,$H122),$I122))</f>
        <v/>
      </c>
      <c r="K122" s="143">
        <f>IFERROR(($I122-$J122)/$J122,"")</f>
        <v/>
      </c>
      <c r="L122" s="102">
        <f>IF('エネルギーデータ入力'!$V122="","",'エネルギーデータ入力'!$V122)</f>
        <v/>
      </c>
      <c r="M122" s="102">
        <f>IF($H122="","",IFERROR(VLOOKUP($H122,'基本設定'!$A$13:$K$19,5,FALSE),0.2))</f>
        <v/>
      </c>
      <c r="N122" s="102">
        <f>IF($B122="","",IF('エネルギーデータ入力'!$L122="","Missing reading",IF($I122=0,"Stalled reading / possibly offline",IF($K122&gt;=IFERROR(VLOOKUP($H122,'基本設定'!$A$13:$K$19,6,FALSE),0.5),"Severe spike",IF($K122&gt;=$M122,"Usage spike",IF($K122&lt;=-IFERROR(VLOOKUP($H122,'基本設定'!$A$13:$K$19,7,FALSE),0.3),"Usage drop",IF($L122&gt;IFERROR(VLOOKUP($H122,'基本設定'!$A$13:$K$19,8,FALSE),999999),"Area intensity overrun","正常")))))))</f>
        <v/>
      </c>
      <c r="O122" s="102">
        <f>IF($N122="","",IF($N122="正常","正常",IF(OR($N122="Severe spike",$K122&gt;=IFERROR(VLOOKUP($H122,'基本設定'!$A$13:$K$19,6,FALSE),0.5)),"重大",IF(OR($N122="Usage spike",$N122="Usage drop"),"高","中"))))</f>
        <v/>
      </c>
      <c r="P122" s="144">
        <f>IF(OR($N122="",$N122="正常"),0,ABS($I122-$J122)*'エネルギーデータ入力'!$O122)</f>
        <v/>
      </c>
      <c r="Q122" s="102">
        <f>IF($N122="正常","",IF($N122="Stalled reading / possibly offline","核查表计通信/電気池/网关/阀门Status",IF(AND($H122="水道",$N122&lt;&gt;"正常"),"检查管网、阀门、卫生间、冷却塔及夜间最小流量",IF(AND($H122="電気",$N122&lt;&gt;"正常"),"检查空调、照明、生产设备、PeakOff-peak时段与待机功耗",IF(AND($H122="ガス",$N122&lt;&gt;"正常"),"检查燃ガス阀门、锅炉/厨房设备与泄漏风险","核查设备工况、排班、产量与计量数据")))))</f>
        <v/>
      </c>
      <c r="R122" s="102">
        <f>IF($H122="","",IFERROR(VLOOKUP($H122,'基本設定'!$A$13:$K$19,11,FALSE),"Energy management owner"))</f>
        <v/>
      </c>
      <c r="S122" s="102">
        <f>IF($N122="","",IF($N122="正常","対応不要","未対応"))</f>
        <v/>
      </c>
      <c r="T122" s="141">
        <f>IF(OR($B122="",$N122="正常"),"",WORKDAY($B122,IF($O122="重大",1,IF($O122="高",2,3))))</f>
        <v/>
      </c>
      <c r="U122" s="102">
        <f>IF($T122="","",IF(AND($S122&lt;&gt;"完了",TODAY()&gt;$T122),"期限超過","期限内"))</f>
        <v/>
      </c>
      <c r="V122" s="102" t="n"/>
      <c r="W122" s="141" t="n"/>
      <c r="X122" s="102" t="n"/>
    </row>
    <row r="123">
      <c r="A123" s="102">
        <f>IF('エネルギーデータ入力'!$A123="","","AL-"&amp;TEXT(ROW()-5,"0000"))</f>
        <v/>
      </c>
      <c r="B123" s="141">
        <f>IF('エネルギーデータ入力'!$B123="","",'エネルギーデータ入力'!$B123)</f>
        <v/>
      </c>
      <c r="C123" s="102">
        <f>IF('エネルギーデータ入力'!$C123="","",'エネルギーデータ入力'!$C123)</f>
        <v/>
      </c>
      <c r="D123" s="102">
        <f>IF('エネルギーデータ入力'!$D123="","",'エネルギーデータ入力'!$D123)</f>
        <v/>
      </c>
      <c r="E123" s="102">
        <f>IF('エネルギーデータ入力'!$E123="","",'エネルギーデータ入力'!$E123)</f>
        <v/>
      </c>
      <c r="F123" s="102">
        <f>IF('エネルギーデータ入力'!$G123="","",'エネルギーデータ入力'!$G123)</f>
        <v/>
      </c>
      <c r="G123" s="102">
        <f>IF('エネルギーデータ入力'!$H123="","",'エネルギーデータ入力'!$H123)</f>
        <v/>
      </c>
      <c r="H123" s="102">
        <f>IF('エネルギーデータ入力'!$J123="","",'エネルギーデータ入力'!$J123)</f>
        <v/>
      </c>
      <c r="I123" s="142">
        <f>IF('エネルギーデータ入力'!$N123="","",'エネルギーデータ入力'!$N123)</f>
        <v/>
      </c>
      <c r="J123" s="142">
        <f>IF($B123="","",IFERROR(AVERAGEIFS('エネルギーデータ入力'!$N$6:$N$205,'エネルギーデータ入力'!$B$6:$B$205,"&gt;="&amp;$B123-7,'エネルギーデータ入力'!$B$6:$B$205,"&lt;"&amp;$B123,'エネルギーデータ入力'!$H$6:$H$205,$G123,'エネルギーデータ入力'!$J$6:$J$205,$H123),$I123))</f>
        <v/>
      </c>
      <c r="K123" s="143">
        <f>IFERROR(($I123-$J123)/$J123,"")</f>
        <v/>
      </c>
      <c r="L123" s="102">
        <f>IF('エネルギーデータ入力'!$V123="","",'エネルギーデータ入力'!$V123)</f>
        <v/>
      </c>
      <c r="M123" s="102">
        <f>IF($H123="","",IFERROR(VLOOKUP($H123,'基本設定'!$A$13:$K$19,5,FALSE),0.2))</f>
        <v/>
      </c>
      <c r="N123" s="102">
        <f>IF($B123="","",IF('エネルギーデータ入力'!$L123="","Missing reading",IF($I123=0,"Stalled reading / possibly offline",IF($K123&gt;=IFERROR(VLOOKUP($H123,'基本設定'!$A$13:$K$19,6,FALSE),0.5),"Severe spike",IF($K123&gt;=$M123,"Usage spike",IF($K123&lt;=-IFERROR(VLOOKUP($H123,'基本設定'!$A$13:$K$19,7,FALSE),0.3),"Usage drop",IF($L123&gt;IFERROR(VLOOKUP($H123,'基本設定'!$A$13:$K$19,8,FALSE),999999),"Area intensity overrun","正常")))))))</f>
        <v/>
      </c>
      <c r="O123" s="102">
        <f>IF($N123="","",IF($N123="正常","正常",IF(OR($N123="Severe spike",$K123&gt;=IFERROR(VLOOKUP($H123,'基本設定'!$A$13:$K$19,6,FALSE),0.5)),"重大",IF(OR($N123="Usage spike",$N123="Usage drop"),"高","中"))))</f>
        <v/>
      </c>
      <c r="P123" s="144">
        <f>IF(OR($N123="",$N123="正常"),0,ABS($I123-$J123)*'エネルギーデータ入力'!$O123)</f>
        <v/>
      </c>
      <c r="Q123" s="102">
        <f>IF($N123="正常","",IF($N123="Stalled reading / possibly offline","核查表计通信/電気池/网关/阀门Status",IF(AND($H123="水道",$N123&lt;&gt;"正常"),"检查管网、阀门、卫生间、冷却塔及夜间最小流量",IF(AND($H123="電気",$N123&lt;&gt;"正常"),"检查空调、照明、生产设备、PeakOff-peak时段与待机功耗",IF(AND($H123="ガス",$N123&lt;&gt;"正常"),"检查燃ガス阀门、锅炉/厨房设备与泄漏风险","核查设备工况、排班、产量与计量数据")))))</f>
        <v/>
      </c>
      <c r="R123" s="102">
        <f>IF($H123="","",IFERROR(VLOOKUP($H123,'基本設定'!$A$13:$K$19,11,FALSE),"Energy management owner"))</f>
        <v/>
      </c>
      <c r="S123" s="102">
        <f>IF($N123="","",IF($N123="正常","対応不要","未対応"))</f>
        <v/>
      </c>
      <c r="T123" s="141">
        <f>IF(OR($B123="",$N123="正常"),"",WORKDAY($B123,IF($O123="重大",1,IF($O123="高",2,3))))</f>
        <v/>
      </c>
      <c r="U123" s="102">
        <f>IF($T123="","",IF(AND($S123&lt;&gt;"完了",TODAY()&gt;$T123),"期限超過","期限内"))</f>
        <v/>
      </c>
      <c r="V123" s="102" t="n"/>
      <c r="W123" s="141" t="n"/>
      <c r="X123" s="102" t="n"/>
    </row>
    <row r="124">
      <c r="A124" s="102">
        <f>IF('エネルギーデータ入力'!$A124="","","AL-"&amp;TEXT(ROW()-5,"0000"))</f>
        <v/>
      </c>
      <c r="B124" s="141">
        <f>IF('エネルギーデータ入力'!$B124="","",'エネルギーデータ入力'!$B124)</f>
        <v/>
      </c>
      <c r="C124" s="102">
        <f>IF('エネルギーデータ入力'!$C124="","",'エネルギーデータ入力'!$C124)</f>
        <v/>
      </c>
      <c r="D124" s="102">
        <f>IF('エネルギーデータ入力'!$D124="","",'エネルギーデータ入力'!$D124)</f>
        <v/>
      </c>
      <c r="E124" s="102">
        <f>IF('エネルギーデータ入力'!$E124="","",'エネルギーデータ入力'!$E124)</f>
        <v/>
      </c>
      <c r="F124" s="102">
        <f>IF('エネルギーデータ入力'!$G124="","",'エネルギーデータ入力'!$G124)</f>
        <v/>
      </c>
      <c r="G124" s="102">
        <f>IF('エネルギーデータ入力'!$H124="","",'エネルギーデータ入力'!$H124)</f>
        <v/>
      </c>
      <c r="H124" s="102">
        <f>IF('エネルギーデータ入力'!$J124="","",'エネルギーデータ入力'!$J124)</f>
        <v/>
      </c>
      <c r="I124" s="142">
        <f>IF('エネルギーデータ入力'!$N124="","",'エネルギーデータ入力'!$N124)</f>
        <v/>
      </c>
      <c r="J124" s="142">
        <f>IF($B124="","",IFERROR(AVERAGEIFS('エネルギーデータ入力'!$N$6:$N$205,'エネルギーデータ入力'!$B$6:$B$205,"&gt;="&amp;$B124-7,'エネルギーデータ入力'!$B$6:$B$205,"&lt;"&amp;$B124,'エネルギーデータ入力'!$H$6:$H$205,$G124,'エネルギーデータ入力'!$J$6:$J$205,$H124),$I124))</f>
        <v/>
      </c>
      <c r="K124" s="143">
        <f>IFERROR(($I124-$J124)/$J124,"")</f>
        <v/>
      </c>
      <c r="L124" s="102">
        <f>IF('エネルギーデータ入力'!$V124="","",'エネルギーデータ入力'!$V124)</f>
        <v/>
      </c>
      <c r="M124" s="102">
        <f>IF($H124="","",IFERROR(VLOOKUP($H124,'基本設定'!$A$13:$K$19,5,FALSE),0.2))</f>
        <v/>
      </c>
      <c r="N124" s="102">
        <f>IF($B124="","",IF('エネルギーデータ入力'!$L124="","Missing reading",IF($I124=0,"Stalled reading / possibly offline",IF($K124&gt;=IFERROR(VLOOKUP($H124,'基本設定'!$A$13:$K$19,6,FALSE),0.5),"Severe spike",IF($K124&gt;=$M124,"Usage spike",IF($K124&lt;=-IFERROR(VLOOKUP($H124,'基本設定'!$A$13:$K$19,7,FALSE),0.3),"Usage drop",IF($L124&gt;IFERROR(VLOOKUP($H124,'基本設定'!$A$13:$K$19,8,FALSE),999999),"Area intensity overrun","正常")))))))</f>
        <v/>
      </c>
      <c r="O124" s="102">
        <f>IF($N124="","",IF($N124="正常","正常",IF(OR($N124="Severe spike",$K124&gt;=IFERROR(VLOOKUP($H124,'基本設定'!$A$13:$K$19,6,FALSE),0.5)),"重大",IF(OR($N124="Usage spike",$N124="Usage drop"),"高","中"))))</f>
        <v/>
      </c>
      <c r="P124" s="144">
        <f>IF(OR($N124="",$N124="正常"),0,ABS($I124-$J124)*'エネルギーデータ入力'!$O124)</f>
        <v/>
      </c>
      <c r="Q124" s="102">
        <f>IF($N124="正常","",IF($N124="Stalled reading / possibly offline","核查表计通信/電気池/网关/阀门Status",IF(AND($H124="水道",$N124&lt;&gt;"正常"),"检查管网、阀门、卫生间、冷却塔及夜间最小流量",IF(AND($H124="電気",$N124&lt;&gt;"正常"),"检查空调、照明、生产设备、PeakOff-peak时段与待机功耗",IF(AND($H124="ガス",$N124&lt;&gt;"正常"),"检查燃ガス阀门、锅炉/厨房设备与泄漏风险","核查设备工况、排班、产量与计量数据")))))</f>
        <v/>
      </c>
      <c r="R124" s="102">
        <f>IF($H124="","",IFERROR(VLOOKUP($H124,'基本設定'!$A$13:$K$19,11,FALSE),"Energy management owner"))</f>
        <v/>
      </c>
      <c r="S124" s="102">
        <f>IF($N124="","",IF($N124="正常","対応不要","未対応"))</f>
        <v/>
      </c>
      <c r="T124" s="141">
        <f>IF(OR($B124="",$N124="正常"),"",WORKDAY($B124,IF($O124="重大",1,IF($O124="高",2,3))))</f>
        <v/>
      </c>
      <c r="U124" s="102">
        <f>IF($T124="","",IF(AND($S124&lt;&gt;"完了",TODAY()&gt;$T124),"期限超過","期限内"))</f>
        <v/>
      </c>
      <c r="V124" s="102" t="n"/>
      <c r="W124" s="141" t="n"/>
      <c r="X124" s="102" t="n"/>
    </row>
    <row r="125">
      <c r="A125" s="102">
        <f>IF('エネルギーデータ入力'!$A125="","","AL-"&amp;TEXT(ROW()-5,"0000"))</f>
        <v/>
      </c>
      <c r="B125" s="141">
        <f>IF('エネルギーデータ入力'!$B125="","",'エネルギーデータ入力'!$B125)</f>
        <v/>
      </c>
      <c r="C125" s="102">
        <f>IF('エネルギーデータ入力'!$C125="","",'エネルギーデータ入力'!$C125)</f>
        <v/>
      </c>
      <c r="D125" s="102">
        <f>IF('エネルギーデータ入力'!$D125="","",'エネルギーデータ入力'!$D125)</f>
        <v/>
      </c>
      <c r="E125" s="102">
        <f>IF('エネルギーデータ入力'!$E125="","",'エネルギーデータ入力'!$E125)</f>
        <v/>
      </c>
      <c r="F125" s="102">
        <f>IF('エネルギーデータ入力'!$G125="","",'エネルギーデータ入力'!$G125)</f>
        <v/>
      </c>
      <c r="G125" s="102">
        <f>IF('エネルギーデータ入力'!$H125="","",'エネルギーデータ入力'!$H125)</f>
        <v/>
      </c>
      <c r="H125" s="102">
        <f>IF('エネルギーデータ入力'!$J125="","",'エネルギーデータ入力'!$J125)</f>
        <v/>
      </c>
      <c r="I125" s="142">
        <f>IF('エネルギーデータ入力'!$N125="","",'エネルギーデータ入力'!$N125)</f>
        <v/>
      </c>
      <c r="J125" s="142">
        <f>IF($B125="","",IFERROR(AVERAGEIFS('エネルギーデータ入力'!$N$6:$N$205,'エネルギーデータ入力'!$B$6:$B$205,"&gt;="&amp;$B125-7,'エネルギーデータ入力'!$B$6:$B$205,"&lt;"&amp;$B125,'エネルギーデータ入力'!$H$6:$H$205,$G125,'エネルギーデータ入力'!$J$6:$J$205,$H125),$I125))</f>
        <v/>
      </c>
      <c r="K125" s="143">
        <f>IFERROR(($I125-$J125)/$J125,"")</f>
        <v/>
      </c>
      <c r="L125" s="102">
        <f>IF('エネルギーデータ入力'!$V125="","",'エネルギーデータ入力'!$V125)</f>
        <v/>
      </c>
      <c r="M125" s="102">
        <f>IF($H125="","",IFERROR(VLOOKUP($H125,'基本設定'!$A$13:$K$19,5,FALSE),0.2))</f>
        <v/>
      </c>
      <c r="N125" s="102">
        <f>IF($B125="","",IF('エネルギーデータ入力'!$L125="","Missing reading",IF($I125=0,"Stalled reading / possibly offline",IF($K125&gt;=IFERROR(VLOOKUP($H125,'基本設定'!$A$13:$K$19,6,FALSE),0.5),"Severe spike",IF($K125&gt;=$M125,"Usage spike",IF($K125&lt;=-IFERROR(VLOOKUP($H125,'基本設定'!$A$13:$K$19,7,FALSE),0.3),"Usage drop",IF($L125&gt;IFERROR(VLOOKUP($H125,'基本設定'!$A$13:$K$19,8,FALSE),999999),"Area intensity overrun","正常")))))))</f>
        <v/>
      </c>
      <c r="O125" s="102">
        <f>IF($N125="","",IF($N125="正常","正常",IF(OR($N125="Severe spike",$K125&gt;=IFERROR(VLOOKUP($H125,'基本設定'!$A$13:$K$19,6,FALSE),0.5)),"重大",IF(OR($N125="Usage spike",$N125="Usage drop"),"高","中"))))</f>
        <v/>
      </c>
      <c r="P125" s="144">
        <f>IF(OR($N125="",$N125="正常"),0,ABS($I125-$J125)*'エネルギーデータ入力'!$O125)</f>
        <v/>
      </c>
      <c r="Q125" s="102">
        <f>IF($N125="正常","",IF($N125="Stalled reading / possibly offline","核查表计通信/電気池/网关/阀门Status",IF(AND($H125="水道",$N125&lt;&gt;"正常"),"检查管网、阀门、卫生间、冷却塔及夜间最小流量",IF(AND($H125="電気",$N125&lt;&gt;"正常"),"检查空调、照明、生产设备、PeakOff-peak时段与待机功耗",IF(AND($H125="ガス",$N125&lt;&gt;"正常"),"检查燃ガス阀门、锅炉/厨房设备与泄漏风险","核查设备工况、排班、产量与计量数据")))))</f>
        <v/>
      </c>
      <c r="R125" s="102">
        <f>IF($H125="","",IFERROR(VLOOKUP($H125,'基本設定'!$A$13:$K$19,11,FALSE),"Energy management owner"))</f>
        <v/>
      </c>
      <c r="S125" s="102">
        <f>IF($N125="","",IF($N125="正常","対応不要","未対応"))</f>
        <v/>
      </c>
      <c r="T125" s="141">
        <f>IF(OR($B125="",$N125="正常"),"",WORKDAY($B125,IF($O125="重大",1,IF($O125="高",2,3))))</f>
        <v/>
      </c>
      <c r="U125" s="102">
        <f>IF($T125="","",IF(AND($S125&lt;&gt;"完了",TODAY()&gt;$T125),"期限超過","期限内"))</f>
        <v/>
      </c>
      <c r="V125" s="102" t="n"/>
      <c r="W125" s="141" t="n"/>
      <c r="X125" s="102" t="n"/>
    </row>
    <row r="126">
      <c r="A126" s="102">
        <f>IF('エネルギーデータ入力'!$A126="","","AL-"&amp;TEXT(ROW()-5,"0000"))</f>
        <v/>
      </c>
      <c r="B126" s="141">
        <f>IF('エネルギーデータ入力'!$B126="","",'エネルギーデータ入力'!$B126)</f>
        <v/>
      </c>
      <c r="C126" s="102">
        <f>IF('エネルギーデータ入力'!$C126="","",'エネルギーデータ入力'!$C126)</f>
        <v/>
      </c>
      <c r="D126" s="102">
        <f>IF('エネルギーデータ入力'!$D126="","",'エネルギーデータ入力'!$D126)</f>
        <v/>
      </c>
      <c r="E126" s="102">
        <f>IF('エネルギーデータ入力'!$E126="","",'エネルギーデータ入力'!$E126)</f>
        <v/>
      </c>
      <c r="F126" s="102">
        <f>IF('エネルギーデータ入力'!$G126="","",'エネルギーデータ入力'!$G126)</f>
        <v/>
      </c>
      <c r="G126" s="102">
        <f>IF('エネルギーデータ入力'!$H126="","",'エネルギーデータ入力'!$H126)</f>
        <v/>
      </c>
      <c r="H126" s="102">
        <f>IF('エネルギーデータ入力'!$J126="","",'エネルギーデータ入力'!$J126)</f>
        <v/>
      </c>
      <c r="I126" s="142">
        <f>IF('エネルギーデータ入力'!$N126="","",'エネルギーデータ入力'!$N126)</f>
        <v/>
      </c>
      <c r="J126" s="142">
        <f>IF($B126="","",IFERROR(AVERAGEIFS('エネルギーデータ入力'!$N$6:$N$205,'エネルギーデータ入力'!$B$6:$B$205,"&gt;="&amp;$B126-7,'エネルギーデータ入力'!$B$6:$B$205,"&lt;"&amp;$B126,'エネルギーデータ入力'!$H$6:$H$205,$G126,'エネルギーデータ入力'!$J$6:$J$205,$H126),$I126))</f>
        <v/>
      </c>
      <c r="K126" s="143">
        <f>IFERROR(($I126-$J126)/$J126,"")</f>
        <v/>
      </c>
      <c r="L126" s="102">
        <f>IF('エネルギーデータ入力'!$V126="","",'エネルギーデータ入力'!$V126)</f>
        <v/>
      </c>
      <c r="M126" s="102">
        <f>IF($H126="","",IFERROR(VLOOKUP($H126,'基本設定'!$A$13:$K$19,5,FALSE),0.2))</f>
        <v/>
      </c>
      <c r="N126" s="102">
        <f>IF($B126="","",IF('エネルギーデータ入力'!$L126="","Missing reading",IF($I126=0,"Stalled reading / possibly offline",IF($K126&gt;=IFERROR(VLOOKUP($H126,'基本設定'!$A$13:$K$19,6,FALSE),0.5),"Severe spike",IF($K126&gt;=$M126,"Usage spike",IF($K126&lt;=-IFERROR(VLOOKUP($H126,'基本設定'!$A$13:$K$19,7,FALSE),0.3),"Usage drop",IF($L126&gt;IFERROR(VLOOKUP($H126,'基本設定'!$A$13:$K$19,8,FALSE),999999),"Area intensity overrun","正常")))))))</f>
        <v/>
      </c>
      <c r="O126" s="102">
        <f>IF($N126="","",IF($N126="正常","正常",IF(OR($N126="Severe spike",$K126&gt;=IFERROR(VLOOKUP($H126,'基本設定'!$A$13:$K$19,6,FALSE),0.5)),"重大",IF(OR($N126="Usage spike",$N126="Usage drop"),"高","中"))))</f>
        <v/>
      </c>
      <c r="P126" s="144">
        <f>IF(OR($N126="",$N126="正常"),0,ABS($I126-$J126)*'エネルギーデータ入力'!$O126)</f>
        <v/>
      </c>
      <c r="Q126" s="102">
        <f>IF($N126="正常","",IF($N126="Stalled reading / possibly offline","核查表计通信/電気池/网关/阀门Status",IF(AND($H126="水道",$N126&lt;&gt;"正常"),"检查管网、阀门、卫生间、冷却塔及夜间最小流量",IF(AND($H126="電気",$N126&lt;&gt;"正常"),"检查空调、照明、生产设备、PeakOff-peak时段与待机功耗",IF(AND($H126="ガス",$N126&lt;&gt;"正常"),"检查燃ガス阀门、锅炉/厨房设备与泄漏风险","核查设备工况、排班、产量与计量数据")))))</f>
        <v/>
      </c>
      <c r="R126" s="102">
        <f>IF($H126="","",IFERROR(VLOOKUP($H126,'基本設定'!$A$13:$K$19,11,FALSE),"Energy management owner"))</f>
        <v/>
      </c>
      <c r="S126" s="102">
        <f>IF($N126="","",IF($N126="正常","対応不要","未対応"))</f>
        <v/>
      </c>
      <c r="T126" s="141">
        <f>IF(OR($B126="",$N126="正常"),"",WORKDAY($B126,IF($O126="重大",1,IF($O126="高",2,3))))</f>
        <v/>
      </c>
      <c r="U126" s="102">
        <f>IF($T126="","",IF(AND($S126&lt;&gt;"完了",TODAY()&gt;$T126),"期限超過","期限内"))</f>
        <v/>
      </c>
      <c r="V126" s="102" t="n"/>
      <c r="W126" s="141" t="n"/>
      <c r="X126" s="102" t="n"/>
    </row>
    <row r="127">
      <c r="A127" s="102">
        <f>IF('エネルギーデータ入力'!$A127="","","AL-"&amp;TEXT(ROW()-5,"0000"))</f>
        <v/>
      </c>
      <c r="B127" s="141">
        <f>IF('エネルギーデータ入力'!$B127="","",'エネルギーデータ入力'!$B127)</f>
        <v/>
      </c>
      <c r="C127" s="102">
        <f>IF('エネルギーデータ入力'!$C127="","",'エネルギーデータ入力'!$C127)</f>
        <v/>
      </c>
      <c r="D127" s="102">
        <f>IF('エネルギーデータ入力'!$D127="","",'エネルギーデータ入力'!$D127)</f>
        <v/>
      </c>
      <c r="E127" s="102">
        <f>IF('エネルギーデータ入力'!$E127="","",'エネルギーデータ入力'!$E127)</f>
        <v/>
      </c>
      <c r="F127" s="102">
        <f>IF('エネルギーデータ入力'!$G127="","",'エネルギーデータ入力'!$G127)</f>
        <v/>
      </c>
      <c r="G127" s="102">
        <f>IF('エネルギーデータ入力'!$H127="","",'エネルギーデータ入力'!$H127)</f>
        <v/>
      </c>
      <c r="H127" s="102">
        <f>IF('エネルギーデータ入力'!$J127="","",'エネルギーデータ入力'!$J127)</f>
        <v/>
      </c>
      <c r="I127" s="142">
        <f>IF('エネルギーデータ入力'!$N127="","",'エネルギーデータ入力'!$N127)</f>
        <v/>
      </c>
      <c r="J127" s="142">
        <f>IF($B127="","",IFERROR(AVERAGEIFS('エネルギーデータ入力'!$N$6:$N$205,'エネルギーデータ入力'!$B$6:$B$205,"&gt;="&amp;$B127-7,'エネルギーデータ入力'!$B$6:$B$205,"&lt;"&amp;$B127,'エネルギーデータ入力'!$H$6:$H$205,$G127,'エネルギーデータ入力'!$J$6:$J$205,$H127),$I127))</f>
        <v/>
      </c>
      <c r="K127" s="143">
        <f>IFERROR(($I127-$J127)/$J127,"")</f>
        <v/>
      </c>
      <c r="L127" s="102">
        <f>IF('エネルギーデータ入力'!$V127="","",'エネルギーデータ入力'!$V127)</f>
        <v/>
      </c>
      <c r="M127" s="102">
        <f>IF($H127="","",IFERROR(VLOOKUP($H127,'基本設定'!$A$13:$K$19,5,FALSE),0.2))</f>
        <v/>
      </c>
      <c r="N127" s="102">
        <f>IF($B127="","",IF('エネルギーデータ入力'!$L127="","Missing reading",IF($I127=0,"Stalled reading / possibly offline",IF($K127&gt;=IFERROR(VLOOKUP($H127,'基本設定'!$A$13:$K$19,6,FALSE),0.5),"Severe spike",IF($K127&gt;=$M127,"Usage spike",IF($K127&lt;=-IFERROR(VLOOKUP($H127,'基本設定'!$A$13:$K$19,7,FALSE),0.3),"Usage drop",IF($L127&gt;IFERROR(VLOOKUP($H127,'基本設定'!$A$13:$K$19,8,FALSE),999999),"Area intensity overrun","正常")))))))</f>
        <v/>
      </c>
      <c r="O127" s="102">
        <f>IF($N127="","",IF($N127="正常","正常",IF(OR($N127="Severe spike",$K127&gt;=IFERROR(VLOOKUP($H127,'基本設定'!$A$13:$K$19,6,FALSE),0.5)),"重大",IF(OR($N127="Usage spike",$N127="Usage drop"),"高","中"))))</f>
        <v/>
      </c>
      <c r="P127" s="144">
        <f>IF(OR($N127="",$N127="正常"),0,ABS($I127-$J127)*'エネルギーデータ入力'!$O127)</f>
        <v/>
      </c>
      <c r="Q127" s="102">
        <f>IF($N127="正常","",IF($N127="Stalled reading / possibly offline","核查表计通信/電気池/网关/阀门Status",IF(AND($H127="水道",$N127&lt;&gt;"正常"),"检查管网、阀门、卫生间、冷却塔及夜间最小流量",IF(AND($H127="電気",$N127&lt;&gt;"正常"),"检查空调、照明、生产设备、PeakOff-peak时段与待机功耗",IF(AND($H127="ガス",$N127&lt;&gt;"正常"),"检查燃ガス阀门、锅炉/厨房设备与泄漏风险","核查设备工况、排班、产量与计量数据")))))</f>
        <v/>
      </c>
      <c r="R127" s="102">
        <f>IF($H127="","",IFERROR(VLOOKUP($H127,'基本設定'!$A$13:$K$19,11,FALSE),"Energy management owner"))</f>
        <v/>
      </c>
      <c r="S127" s="102">
        <f>IF($N127="","",IF($N127="正常","対応不要","未対応"))</f>
        <v/>
      </c>
      <c r="T127" s="141">
        <f>IF(OR($B127="",$N127="正常"),"",WORKDAY($B127,IF($O127="重大",1,IF($O127="高",2,3))))</f>
        <v/>
      </c>
      <c r="U127" s="102">
        <f>IF($T127="","",IF(AND($S127&lt;&gt;"完了",TODAY()&gt;$T127),"期限超過","期限内"))</f>
        <v/>
      </c>
      <c r="V127" s="102" t="n"/>
      <c r="W127" s="141" t="n"/>
      <c r="X127" s="102" t="n"/>
    </row>
    <row r="128">
      <c r="A128" s="102">
        <f>IF('エネルギーデータ入力'!$A128="","","AL-"&amp;TEXT(ROW()-5,"0000"))</f>
        <v/>
      </c>
      <c r="B128" s="141">
        <f>IF('エネルギーデータ入力'!$B128="","",'エネルギーデータ入力'!$B128)</f>
        <v/>
      </c>
      <c r="C128" s="102">
        <f>IF('エネルギーデータ入力'!$C128="","",'エネルギーデータ入力'!$C128)</f>
        <v/>
      </c>
      <c r="D128" s="102">
        <f>IF('エネルギーデータ入力'!$D128="","",'エネルギーデータ入力'!$D128)</f>
        <v/>
      </c>
      <c r="E128" s="102">
        <f>IF('エネルギーデータ入力'!$E128="","",'エネルギーデータ入力'!$E128)</f>
        <v/>
      </c>
      <c r="F128" s="102">
        <f>IF('エネルギーデータ入力'!$G128="","",'エネルギーデータ入力'!$G128)</f>
        <v/>
      </c>
      <c r="G128" s="102">
        <f>IF('エネルギーデータ入力'!$H128="","",'エネルギーデータ入力'!$H128)</f>
        <v/>
      </c>
      <c r="H128" s="102">
        <f>IF('エネルギーデータ入力'!$J128="","",'エネルギーデータ入力'!$J128)</f>
        <v/>
      </c>
      <c r="I128" s="142">
        <f>IF('エネルギーデータ入力'!$N128="","",'エネルギーデータ入力'!$N128)</f>
        <v/>
      </c>
      <c r="J128" s="142">
        <f>IF($B128="","",IFERROR(AVERAGEIFS('エネルギーデータ入力'!$N$6:$N$205,'エネルギーデータ入力'!$B$6:$B$205,"&gt;="&amp;$B128-7,'エネルギーデータ入力'!$B$6:$B$205,"&lt;"&amp;$B128,'エネルギーデータ入力'!$H$6:$H$205,$G128,'エネルギーデータ入力'!$J$6:$J$205,$H128),$I128))</f>
        <v/>
      </c>
      <c r="K128" s="143">
        <f>IFERROR(($I128-$J128)/$J128,"")</f>
        <v/>
      </c>
      <c r="L128" s="102">
        <f>IF('エネルギーデータ入力'!$V128="","",'エネルギーデータ入力'!$V128)</f>
        <v/>
      </c>
      <c r="M128" s="102">
        <f>IF($H128="","",IFERROR(VLOOKUP($H128,'基本設定'!$A$13:$K$19,5,FALSE),0.2))</f>
        <v/>
      </c>
      <c r="N128" s="102">
        <f>IF($B128="","",IF('エネルギーデータ入力'!$L128="","Missing reading",IF($I128=0,"Stalled reading / possibly offline",IF($K128&gt;=IFERROR(VLOOKUP($H128,'基本設定'!$A$13:$K$19,6,FALSE),0.5),"Severe spike",IF($K128&gt;=$M128,"Usage spike",IF($K128&lt;=-IFERROR(VLOOKUP($H128,'基本設定'!$A$13:$K$19,7,FALSE),0.3),"Usage drop",IF($L128&gt;IFERROR(VLOOKUP($H128,'基本設定'!$A$13:$K$19,8,FALSE),999999),"Area intensity overrun","正常")))))))</f>
        <v/>
      </c>
      <c r="O128" s="102">
        <f>IF($N128="","",IF($N128="正常","正常",IF(OR($N128="Severe spike",$K128&gt;=IFERROR(VLOOKUP($H128,'基本設定'!$A$13:$K$19,6,FALSE),0.5)),"重大",IF(OR($N128="Usage spike",$N128="Usage drop"),"高","中"))))</f>
        <v/>
      </c>
      <c r="P128" s="144">
        <f>IF(OR($N128="",$N128="正常"),0,ABS($I128-$J128)*'エネルギーデータ入力'!$O128)</f>
        <v/>
      </c>
      <c r="Q128" s="102">
        <f>IF($N128="正常","",IF($N128="Stalled reading / possibly offline","核查表计通信/電気池/网关/阀门Status",IF(AND($H128="水道",$N128&lt;&gt;"正常"),"检查管网、阀门、卫生间、冷却塔及夜间最小流量",IF(AND($H128="電気",$N128&lt;&gt;"正常"),"检查空调、照明、生产设备、PeakOff-peak时段与待机功耗",IF(AND($H128="ガス",$N128&lt;&gt;"正常"),"检查燃ガス阀门、锅炉/厨房设备与泄漏风险","核查设备工况、排班、产量与计量数据")))))</f>
        <v/>
      </c>
      <c r="R128" s="102">
        <f>IF($H128="","",IFERROR(VLOOKUP($H128,'基本設定'!$A$13:$K$19,11,FALSE),"Energy management owner"))</f>
        <v/>
      </c>
      <c r="S128" s="102">
        <f>IF($N128="","",IF($N128="正常","対応不要","未対応"))</f>
        <v/>
      </c>
      <c r="T128" s="141">
        <f>IF(OR($B128="",$N128="正常"),"",WORKDAY($B128,IF($O128="重大",1,IF($O128="高",2,3))))</f>
        <v/>
      </c>
      <c r="U128" s="102">
        <f>IF($T128="","",IF(AND($S128&lt;&gt;"完了",TODAY()&gt;$T128),"期限超過","期限内"))</f>
        <v/>
      </c>
      <c r="V128" s="102" t="n"/>
      <c r="W128" s="141" t="n"/>
      <c r="X128" s="102" t="n"/>
    </row>
    <row r="129">
      <c r="A129" s="102">
        <f>IF('エネルギーデータ入力'!$A129="","","AL-"&amp;TEXT(ROW()-5,"0000"))</f>
        <v/>
      </c>
      <c r="B129" s="141">
        <f>IF('エネルギーデータ入力'!$B129="","",'エネルギーデータ入力'!$B129)</f>
        <v/>
      </c>
      <c r="C129" s="102">
        <f>IF('エネルギーデータ入力'!$C129="","",'エネルギーデータ入力'!$C129)</f>
        <v/>
      </c>
      <c r="D129" s="102">
        <f>IF('エネルギーデータ入力'!$D129="","",'エネルギーデータ入力'!$D129)</f>
        <v/>
      </c>
      <c r="E129" s="102">
        <f>IF('エネルギーデータ入力'!$E129="","",'エネルギーデータ入力'!$E129)</f>
        <v/>
      </c>
      <c r="F129" s="102">
        <f>IF('エネルギーデータ入力'!$G129="","",'エネルギーデータ入力'!$G129)</f>
        <v/>
      </c>
      <c r="G129" s="102">
        <f>IF('エネルギーデータ入力'!$H129="","",'エネルギーデータ入力'!$H129)</f>
        <v/>
      </c>
      <c r="H129" s="102">
        <f>IF('エネルギーデータ入力'!$J129="","",'エネルギーデータ入力'!$J129)</f>
        <v/>
      </c>
      <c r="I129" s="142">
        <f>IF('エネルギーデータ入力'!$N129="","",'エネルギーデータ入力'!$N129)</f>
        <v/>
      </c>
      <c r="J129" s="142">
        <f>IF($B129="","",IFERROR(AVERAGEIFS('エネルギーデータ入力'!$N$6:$N$205,'エネルギーデータ入力'!$B$6:$B$205,"&gt;="&amp;$B129-7,'エネルギーデータ入力'!$B$6:$B$205,"&lt;"&amp;$B129,'エネルギーデータ入力'!$H$6:$H$205,$G129,'エネルギーデータ入力'!$J$6:$J$205,$H129),$I129))</f>
        <v/>
      </c>
      <c r="K129" s="143">
        <f>IFERROR(($I129-$J129)/$J129,"")</f>
        <v/>
      </c>
      <c r="L129" s="102">
        <f>IF('エネルギーデータ入力'!$V129="","",'エネルギーデータ入力'!$V129)</f>
        <v/>
      </c>
      <c r="M129" s="102">
        <f>IF($H129="","",IFERROR(VLOOKUP($H129,'基本設定'!$A$13:$K$19,5,FALSE),0.2))</f>
        <v/>
      </c>
      <c r="N129" s="102">
        <f>IF($B129="","",IF('エネルギーデータ入力'!$L129="","Missing reading",IF($I129=0,"Stalled reading / possibly offline",IF($K129&gt;=IFERROR(VLOOKUP($H129,'基本設定'!$A$13:$K$19,6,FALSE),0.5),"Severe spike",IF($K129&gt;=$M129,"Usage spike",IF($K129&lt;=-IFERROR(VLOOKUP($H129,'基本設定'!$A$13:$K$19,7,FALSE),0.3),"Usage drop",IF($L129&gt;IFERROR(VLOOKUP($H129,'基本設定'!$A$13:$K$19,8,FALSE),999999),"Area intensity overrun","正常")))))))</f>
        <v/>
      </c>
      <c r="O129" s="102">
        <f>IF($N129="","",IF($N129="正常","正常",IF(OR($N129="Severe spike",$K129&gt;=IFERROR(VLOOKUP($H129,'基本設定'!$A$13:$K$19,6,FALSE),0.5)),"重大",IF(OR($N129="Usage spike",$N129="Usage drop"),"高","中"))))</f>
        <v/>
      </c>
      <c r="P129" s="144">
        <f>IF(OR($N129="",$N129="正常"),0,ABS($I129-$J129)*'エネルギーデータ入力'!$O129)</f>
        <v/>
      </c>
      <c r="Q129" s="102">
        <f>IF($N129="正常","",IF($N129="Stalled reading / possibly offline","核查表计通信/電気池/网关/阀门Status",IF(AND($H129="水道",$N129&lt;&gt;"正常"),"检查管网、阀门、卫生间、冷却塔及夜间最小流量",IF(AND($H129="電気",$N129&lt;&gt;"正常"),"检查空调、照明、生产设备、PeakOff-peak时段与待机功耗",IF(AND($H129="ガス",$N129&lt;&gt;"正常"),"检查燃ガス阀门、锅炉/厨房设备与泄漏风险","核查设备工况、排班、产量与计量数据")))))</f>
        <v/>
      </c>
      <c r="R129" s="102">
        <f>IF($H129="","",IFERROR(VLOOKUP($H129,'基本設定'!$A$13:$K$19,11,FALSE),"Energy management owner"))</f>
        <v/>
      </c>
      <c r="S129" s="102">
        <f>IF($N129="","",IF($N129="正常","対応不要","未対応"))</f>
        <v/>
      </c>
      <c r="T129" s="141">
        <f>IF(OR($B129="",$N129="正常"),"",WORKDAY($B129,IF($O129="重大",1,IF($O129="高",2,3))))</f>
        <v/>
      </c>
      <c r="U129" s="102">
        <f>IF($T129="","",IF(AND($S129&lt;&gt;"完了",TODAY()&gt;$T129),"期限超過","期限内"))</f>
        <v/>
      </c>
      <c r="V129" s="102" t="n"/>
      <c r="W129" s="141" t="n"/>
      <c r="X129" s="102" t="n"/>
    </row>
    <row r="130">
      <c r="A130" s="102">
        <f>IF('エネルギーデータ入力'!$A130="","","AL-"&amp;TEXT(ROW()-5,"0000"))</f>
        <v/>
      </c>
      <c r="B130" s="141">
        <f>IF('エネルギーデータ入力'!$B130="","",'エネルギーデータ入力'!$B130)</f>
        <v/>
      </c>
      <c r="C130" s="102">
        <f>IF('エネルギーデータ入力'!$C130="","",'エネルギーデータ入力'!$C130)</f>
        <v/>
      </c>
      <c r="D130" s="102">
        <f>IF('エネルギーデータ入力'!$D130="","",'エネルギーデータ入力'!$D130)</f>
        <v/>
      </c>
      <c r="E130" s="102">
        <f>IF('エネルギーデータ入力'!$E130="","",'エネルギーデータ入力'!$E130)</f>
        <v/>
      </c>
      <c r="F130" s="102">
        <f>IF('エネルギーデータ入力'!$G130="","",'エネルギーデータ入力'!$G130)</f>
        <v/>
      </c>
      <c r="G130" s="102">
        <f>IF('エネルギーデータ入力'!$H130="","",'エネルギーデータ入力'!$H130)</f>
        <v/>
      </c>
      <c r="H130" s="102">
        <f>IF('エネルギーデータ入力'!$J130="","",'エネルギーデータ入力'!$J130)</f>
        <v/>
      </c>
      <c r="I130" s="142">
        <f>IF('エネルギーデータ入力'!$N130="","",'エネルギーデータ入力'!$N130)</f>
        <v/>
      </c>
      <c r="J130" s="142">
        <f>IF($B130="","",IFERROR(AVERAGEIFS('エネルギーデータ入力'!$N$6:$N$205,'エネルギーデータ入力'!$B$6:$B$205,"&gt;="&amp;$B130-7,'エネルギーデータ入力'!$B$6:$B$205,"&lt;"&amp;$B130,'エネルギーデータ入力'!$H$6:$H$205,$G130,'エネルギーデータ入力'!$J$6:$J$205,$H130),$I130))</f>
        <v/>
      </c>
      <c r="K130" s="143">
        <f>IFERROR(($I130-$J130)/$J130,"")</f>
        <v/>
      </c>
      <c r="L130" s="102">
        <f>IF('エネルギーデータ入力'!$V130="","",'エネルギーデータ入力'!$V130)</f>
        <v/>
      </c>
      <c r="M130" s="102">
        <f>IF($H130="","",IFERROR(VLOOKUP($H130,'基本設定'!$A$13:$K$19,5,FALSE),0.2))</f>
        <v/>
      </c>
      <c r="N130" s="102">
        <f>IF($B130="","",IF('エネルギーデータ入力'!$L130="","Missing reading",IF($I130=0,"Stalled reading / possibly offline",IF($K130&gt;=IFERROR(VLOOKUP($H130,'基本設定'!$A$13:$K$19,6,FALSE),0.5),"Severe spike",IF($K130&gt;=$M130,"Usage spike",IF($K130&lt;=-IFERROR(VLOOKUP($H130,'基本設定'!$A$13:$K$19,7,FALSE),0.3),"Usage drop",IF($L130&gt;IFERROR(VLOOKUP($H130,'基本設定'!$A$13:$K$19,8,FALSE),999999),"Area intensity overrun","正常")))))))</f>
        <v/>
      </c>
      <c r="O130" s="102">
        <f>IF($N130="","",IF($N130="正常","正常",IF(OR($N130="Severe spike",$K130&gt;=IFERROR(VLOOKUP($H130,'基本設定'!$A$13:$K$19,6,FALSE),0.5)),"重大",IF(OR($N130="Usage spike",$N130="Usage drop"),"高","中"))))</f>
        <v/>
      </c>
      <c r="P130" s="144">
        <f>IF(OR($N130="",$N130="正常"),0,ABS($I130-$J130)*'エネルギーデータ入力'!$O130)</f>
        <v/>
      </c>
      <c r="Q130" s="102">
        <f>IF($N130="正常","",IF($N130="Stalled reading / possibly offline","核查表计通信/電気池/网关/阀门Status",IF(AND($H130="水道",$N130&lt;&gt;"正常"),"检查管网、阀门、卫生间、冷却塔及夜间最小流量",IF(AND($H130="電気",$N130&lt;&gt;"正常"),"检查空调、照明、生产设备、PeakOff-peak时段与待机功耗",IF(AND($H130="ガス",$N130&lt;&gt;"正常"),"检查燃ガス阀门、锅炉/厨房设备与泄漏风险","核查设备工况、排班、产量与计量数据")))))</f>
        <v/>
      </c>
      <c r="R130" s="102">
        <f>IF($H130="","",IFERROR(VLOOKUP($H130,'基本設定'!$A$13:$K$19,11,FALSE),"Energy management owner"))</f>
        <v/>
      </c>
      <c r="S130" s="102">
        <f>IF($N130="","",IF($N130="正常","対応不要","未対応"))</f>
        <v/>
      </c>
      <c r="T130" s="141">
        <f>IF(OR($B130="",$N130="正常"),"",WORKDAY($B130,IF($O130="重大",1,IF($O130="高",2,3))))</f>
        <v/>
      </c>
      <c r="U130" s="102">
        <f>IF($T130="","",IF(AND($S130&lt;&gt;"完了",TODAY()&gt;$T130),"期限超過","期限内"))</f>
        <v/>
      </c>
      <c r="V130" s="102" t="n"/>
      <c r="W130" s="141" t="n"/>
      <c r="X130" s="102" t="n"/>
    </row>
    <row r="131">
      <c r="A131" s="102">
        <f>IF('エネルギーデータ入力'!$A131="","","AL-"&amp;TEXT(ROW()-5,"0000"))</f>
        <v/>
      </c>
      <c r="B131" s="141">
        <f>IF('エネルギーデータ入力'!$B131="","",'エネルギーデータ入力'!$B131)</f>
        <v/>
      </c>
      <c r="C131" s="102">
        <f>IF('エネルギーデータ入力'!$C131="","",'エネルギーデータ入力'!$C131)</f>
        <v/>
      </c>
      <c r="D131" s="102">
        <f>IF('エネルギーデータ入力'!$D131="","",'エネルギーデータ入力'!$D131)</f>
        <v/>
      </c>
      <c r="E131" s="102">
        <f>IF('エネルギーデータ入力'!$E131="","",'エネルギーデータ入力'!$E131)</f>
        <v/>
      </c>
      <c r="F131" s="102">
        <f>IF('エネルギーデータ入力'!$G131="","",'エネルギーデータ入力'!$G131)</f>
        <v/>
      </c>
      <c r="G131" s="102">
        <f>IF('エネルギーデータ入力'!$H131="","",'エネルギーデータ入力'!$H131)</f>
        <v/>
      </c>
      <c r="H131" s="102">
        <f>IF('エネルギーデータ入力'!$J131="","",'エネルギーデータ入力'!$J131)</f>
        <v/>
      </c>
      <c r="I131" s="142">
        <f>IF('エネルギーデータ入力'!$N131="","",'エネルギーデータ入力'!$N131)</f>
        <v/>
      </c>
      <c r="J131" s="142">
        <f>IF($B131="","",IFERROR(AVERAGEIFS('エネルギーデータ入力'!$N$6:$N$205,'エネルギーデータ入力'!$B$6:$B$205,"&gt;="&amp;$B131-7,'エネルギーデータ入力'!$B$6:$B$205,"&lt;"&amp;$B131,'エネルギーデータ入力'!$H$6:$H$205,$G131,'エネルギーデータ入力'!$J$6:$J$205,$H131),$I131))</f>
        <v/>
      </c>
      <c r="K131" s="143">
        <f>IFERROR(($I131-$J131)/$J131,"")</f>
        <v/>
      </c>
      <c r="L131" s="102">
        <f>IF('エネルギーデータ入力'!$V131="","",'エネルギーデータ入力'!$V131)</f>
        <v/>
      </c>
      <c r="M131" s="102">
        <f>IF($H131="","",IFERROR(VLOOKUP($H131,'基本設定'!$A$13:$K$19,5,FALSE),0.2))</f>
        <v/>
      </c>
      <c r="N131" s="102">
        <f>IF($B131="","",IF('エネルギーデータ入力'!$L131="","Missing reading",IF($I131=0,"Stalled reading / possibly offline",IF($K131&gt;=IFERROR(VLOOKUP($H131,'基本設定'!$A$13:$K$19,6,FALSE),0.5),"Severe spike",IF($K131&gt;=$M131,"Usage spike",IF($K131&lt;=-IFERROR(VLOOKUP($H131,'基本設定'!$A$13:$K$19,7,FALSE),0.3),"Usage drop",IF($L131&gt;IFERROR(VLOOKUP($H131,'基本設定'!$A$13:$K$19,8,FALSE),999999),"Area intensity overrun","正常")))))))</f>
        <v/>
      </c>
      <c r="O131" s="102">
        <f>IF($N131="","",IF($N131="正常","正常",IF(OR($N131="Severe spike",$K131&gt;=IFERROR(VLOOKUP($H131,'基本設定'!$A$13:$K$19,6,FALSE),0.5)),"重大",IF(OR($N131="Usage spike",$N131="Usage drop"),"高","中"))))</f>
        <v/>
      </c>
      <c r="P131" s="144">
        <f>IF(OR($N131="",$N131="正常"),0,ABS($I131-$J131)*'エネルギーデータ入力'!$O131)</f>
        <v/>
      </c>
      <c r="Q131" s="102">
        <f>IF($N131="正常","",IF($N131="Stalled reading / possibly offline","核查表计通信/電気池/网关/阀门Status",IF(AND($H131="水道",$N131&lt;&gt;"正常"),"检查管网、阀门、卫生间、冷却塔及夜间最小流量",IF(AND($H131="電気",$N131&lt;&gt;"正常"),"检查空调、照明、生产设备、PeakOff-peak时段与待机功耗",IF(AND($H131="ガス",$N131&lt;&gt;"正常"),"检查燃ガス阀门、锅炉/厨房设备与泄漏风险","核查设备工况、排班、产量与计量数据")))))</f>
        <v/>
      </c>
      <c r="R131" s="102">
        <f>IF($H131="","",IFERROR(VLOOKUP($H131,'基本設定'!$A$13:$K$19,11,FALSE),"Energy management owner"))</f>
        <v/>
      </c>
      <c r="S131" s="102">
        <f>IF($N131="","",IF($N131="正常","対応不要","未対応"))</f>
        <v/>
      </c>
      <c r="T131" s="141">
        <f>IF(OR($B131="",$N131="正常"),"",WORKDAY($B131,IF($O131="重大",1,IF($O131="高",2,3))))</f>
        <v/>
      </c>
      <c r="U131" s="102">
        <f>IF($T131="","",IF(AND($S131&lt;&gt;"完了",TODAY()&gt;$T131),"期限超過","期限内"))</f>
        <v/>
      </c>
      <c r="V131" s="102" t="n"/>
      <c r="W131" s="141" t="n"/>
      <c r="X131" s="102" t="n"/>
    </row>
    <row r="132">
      <c r="A132" s="102">
        <f>IF('エネルギーデータ入力'!$A132="","","AL-"&amp;TEXT(ROW()-5,"0000"))</f>
        <v/>
      </c>
      <c r="B132" s="141">
        <f>IF('エネルギーデータ入力'!$B132="","",'エネルギーデータ入力'!$B132)</f>
        <v/>
      </c>
      <c r="C132" s="102">
        <f>IF('エネルギーデータ入力'!$C132="","",'エネルギーデータ入力'!$C132)</f>
        <v/>
      </c>
      <c r="D132" s="102">
        <f>IF('エネルギーデータ入力'!$D132="","",'エネルギーデータ入力'!$D132)</f>
        <v/>
      </c>
      <c r="E132" s="102">
        <f>IF('エネルギーデータ入力'!$E132="","",'エネルギーデータ入力'!$E132)</f>
        <v/>
      </c>
      <c r="F132" s="102">
        <f>IF('エネルギーデータ入力'!$G132="","",'エネルギーデータ入力'!$G132)</f>
        <v/>
      </c>
      <c r="G132" s="102">
        <f>IF('エネルギーデータ入力'!$H132="","",'エネルギーデータ入力'!$H132)</f>
        <v/>
      </c>
      <c r="H132" s="102">
        <f>IF('エネルギーデータ入力'!$J132="","",'エネルギーデータ入力'!$J132)</f>
        <v/>
      </c>
      <c r="I132" s="142">
        <f>IF('エネルギーデータ入力'!$N132="","",'エネルギーデータ入力'!$N132)</f>
        <v/>
      </c>
      <c r="J132" s="142">
        <f>IF($B132="","",IFERROR(AVERAGEIFS('エネルギーデータ入力'!$N$6:$N$205,'エネルギーデータ入力'!$B$6:$B$205,"&gt;="&amp;$B132-7,'エネルギーデータ入力'!$B$6:$B$205,"&lt;"&amp;$B132,'エネルギーデータ入力'!$H$6:$H$205,$G132,'エネルギーデータ入力'!$J$6:$J$205,$H132),$I132))</f>
        <v/>
      </c>
      <c r="K132" s="143">
        <f>IFERROR(($I132-$J132)/$J132,"")</f>
        <v/>
      </c>
      <c r="L132" s="102">
        <f>IF('エネルギーデータ入力'!$V132="","",'エネルギーデータ入力'!$V132)</f>
        <v/>
      </c>
      <c r="M132" s="102">
        <f>IF($H132="","",IFERROR(VLOOKUP($H132,'基本設定'!$A$13:$K$19,5,FALSE),0.2))</f>
        <v/>
      </c>
      <c r="N132" s="102">
        <f>IF($B132="","",IF('エネルギーデータ入力'!$L132="","Missing reading",IF($I132=0,"Stalled reading / possibly offline",IF($K132&gt;=IFERROR(VLOOKUP($H132,'基本設定'!$A$13:$K$19,6,FALSE),0.5),"Severe spike",IF($K132&gt;=$M132,"Usage spike",IF($K132&lt;=-IFERROR(VLOOKUP($H132,'基本設定'!$A$13:$K$19,7,FALSE),0.3),"Usage drop",IF($L132&gt;IFERROR(VLOOKUP($H132,'基本設定'!$A$13:$K$19,8,FALSE),999999),"Area intensity overrun","正常")))))))</f>
        <v/>
      </c>
      <c r="O132" s="102">
        <f>IF($N132="","",IF($N132="正常","正常",IF(OR($N132="Severe spike",$K132&gt;=IFERROR(VLOOKUP($H132,'基本設定'!$A$13:$K$19,6,FALSE),0.5)),"重大",IF(OR($N132="Usage spike",$N132="Usage drop"),"高","中"))))</f>
        <v/>
      </c>
      <c r="P132" s="144">
        <f>IF(OR($N132="",$N132="正常"),0,ABS($I132-$J132)*'エネルギーデータ入力'!$O132)</f>
        <v/>
      </c>
      <c r="Q132" s="102">
        <f>IF($N132="正常","",IF($N132="Stalled reading / possibly offline","核查表计通信/電気池/网关/阀门Status",IF(AND($H132="水道",$N132&lt;&gt;"正常"),"检查管网、阀门、卫生间、冷却塔及夜间最小流量",IF(AND($H132="電気",$N132&lt;&gt;"正常"),"检查空调、照明、生产设备、PeakOff-peak时段与待机功耗",IF(AND($H132="ガス",$N132&lt;&gt;"正常"),"检查燃ガス阀门、锅炉/厨房设备与泄漏风险","核查设备工况、排班、产量与计量数据")))))</f>
        <v/>
      </c>
      <c r="R132" s="102">
        <f>IF($H132="","",IFERROR(VLOOKUP($H132,'基本設定'!$A$13:$K$19,11,FALSE),"Energy management owner"))</f>
        <v/>
      </c>
      <c r="S132" s="102">
        <f>IF($N132="","",IF($N132="正常","対応不要","未対応"))</f>
        <v/>
      </c>
      <c r="T132" s="141">
        <f>IF(OR($B132="",$N132="正常"),"",WORKDAY($B132,IF($O132="重大",1,IF($O132="高",2,3))))</f>
        <v/>
      </c>
      <c r="U132" s="102">
        <f>IF($T132="","",IF(AND($S132&lt;&gt;"完了",TODAY()&gt;$T132),"期限超過","期限内"))</f>
        <v/>
      </c>
      <c r="V132" s="102" t="n"/>
      <c r="W132" s="141" t="n"/>
      <c r="X132" s="102" t="n"/>
    </row>
    <row r="133">
      <c r="A133" s="102">
        <f>IF('エネルギーデータ入力'!$A133="","","AL-"&amp;TEXT(ROW()-5,"0000"))</f>
        <v/>
      </c>
      <c r="B133" s="141">
        <f>IF('エネルギーデータ入力'!$B133="","",'エネルギーデータ入力'!$B133)</f>
        <v/>
      </c>
      <c r="C133" s="102">
        <f>IF('エネルギーデータ入力'!$C133="","",'エネルギーデータ入力'!$C133)</f>
        <v/>
      </c>
      <c r="D133" s="102">
        <f>IF('エネルギーデータ入力'!$D133="","",'エネルギーデータ入力'!$D133)</f>
        <v/>
      </c>
      <c r="E133" s="102">
        <f>IF('エネルギーデータ入力'!$E133="","",'エネルギーデータ入力'!$E133)</f>
        <v/>
      </c>
      <c r="F133" s="102">
        <f>IF('エネルギーデータ入力'!$G133="","",'エネルギーデータ入力'!$G133)</f>
        <v/>
      </c>
      <c r="G133" s="102">
        <f>IF('エネルギーデータ入力'!$H133="","",'エネルギーデータ入力'!$H133)</f>
        <v/>
      </c>
      <c r="H133" s="102">
        <f>IF('エネルギーデータ入力'!$J133="","",'エネルギーデータ入力'!$J133)</f>
        <v/>
      </c>
      <c r="I133" s="142">
        <f>IF('エネルギーデータ入力'!$N133="","",'エネルギーデータ入力'!$N133)</f>
        <v/>
      </c>
      <c r="J133" s="142">
        <f>IF($B133="","",IFERROR(AVERAGEIFS('エネルギーデータ入力'!$N$6:$N$205,'エネルギーデータ入力'!$B$6:$B$205,"&gt;="&amp;$B133-7,'エネルギーデータ入力'!$B$6:$B$205,"&lt;"&amp;$B133,'エネルギーデータ入力'!$H$6:$H$205,$G133,'エネルギーデータ入力'!$J$6:$J$205,$H133),$I133))</f>
        <v/>
      </c>
      <c r="K133" s="143">
        <f>IFERROR(($I133-$J133)/$J133,"")</f>
        <v/>
      </c>
      <c r="L133" s="102">
        <f>IF('エネルギーデータ入力'!$V133="","",'エネルギーデータ入力'!$V133)</f>
        <v/>
      </c>
      <c r="M133" s="102">
        <f>IF($H133="","",IFERROR(VLOOKUP($H133,'基本設定'!$A$13:$K$19,5,FALSE),0.2))</f>
        <v/>
      </c>
      <c r="N133" s="102">
        <f>IF($B133="","",IF('エネルギーデータ入力'!$L133="","Missing reading",IF($I133=0,"Stalled reading / possibly offline",IF($K133&gt;=IFERROR(VLOOKUP($H133,'基本設定'!$A$13:$K$19,6,FALSE),0.5),"Severe spike",IF($K133&gt;=$M133,"Usage spike",IF($K133&lt;=-IFERROR(VLOOKUP($H133,'基本設定'!$A$13:$K$19,7,FALSE),0.3),"Usage drop",IF($L133&gt;IFERROR(VLOOKUP($H133,'基本設定'!$A$13:$K$19,8,FALSE),999999),"Area intensity overrun","正常")))))))</f>
        <v/>
      </c>
      <c r="O133" s="102">
        <f>IF($N133="","",IF($N133="正常","正常",IF(OR($N133="Severe spike",$K133&gt;=IFERROR(VLOOKUP($H133,'基本設定'!$A$13:$K$19,6,FALSE),0.5)),"重大",IF(OR($N133="Usage spike",$N133="Usage drop"),"高","中"))))</f>
        <v/>
      </c>
      <c r="P133" s="144">
        <f>IF(OR($N133="",$N133="正常"),0,ABS($I133-$J133)*'エネルギーデータ入力'!$O133)</f>
        <v/>
      </c>
      <c r="Q133" s="102">
        <f>IF($N133="正常","",IF($N133="Stalled reading / possibly offline","核查表计通信/電気池/网关/阀门Status",IF(AND($H133="水道",$N133&lt;&gt;"正常"),"检查管网、阀门、卫生间、冷却塔及夜间最小流量",IF(AND($H133="電気",$N133&lt;&gt;"正常"),"检查空调、照明、生产设备、PeakOff-peak时段与待机功耗",IF(AND($H133="ガス",$N133&lt;&gt;"正常"),"检查燃ガス阀门、锅炉/厨房设备与泄漏风险","核查设备工况、排班、产量与计量数据")))))</f>
        <v/>
      </c>
      <c r="R133" s="102">
        <f>IF($H133="","",IFERROR(VLOOKUP($H133,'基本設定'!$A$13:$K$19,11,FALSE),"Energy management owner"))</f>
        <v/>
      </c>
      <c r="S133" s="102">
        <f>IF($N133="","",IF($N133="正常","対応不要","未対応"))</f>
        <v/>
      </c>
      <c r="T133" s="141">
        <f>IF(OR($B133="",$N133="正常"),"",WORKDAY($B133,IF($O133="重大",1,IF($O133="高",2,3))))</f>
        <v/>
      </c>
      <c r="U133" s="102">
        <f>IF($T133="","",IF(AND($S133&lt;&gt;"完了",TODAY()&gt;$T133),"期限超過","期限内"))</f>
        <v/>
      </c>
      <c r="V133" s="102" t="n"/>
      <c r="W133" s="141" t="n"/>
      <c r="X133" s="102" t="n"/>
    </row>
    <row r="134">
      <c r="A134" s="102">
        <f>IF('エネルギーデータ入力'!$A134="","","AL-"&amp;TEXT(ROW()-5,"0000"))</f>
        <v/>
      </c>
      <c r="B134" s="141">
        <f>IF('エネルギーデータ入力'!$B134="","",'エネルギーデータ入力'!$B134)</f>
        <v/>
      </c>
      <c r="C134" s="102">
        <f>IF('エネルギーデータ入力'!$C134="","",'エネルギーデータ入力'!$C134)</f>
        <v/>
      </c>
      <c r="D134" s="102">
        <f>IF('エネルギーデータ入力'!$D134="","",'エネルギーデータ入力'!$D134)</f>
        <v/>
      </c>
      <c r="E134" s="102">
        <f>IF('エネルギーデータ入力'!$E134="","",'エネルギーデータ入力'!$E134)</f>
        <v/>
      </c>
      <c r="F134" s="102">
        <f>IF('エネルギーデータ入力'!$G134="","",'エネルギーデータ入力'!$G134)</f>
        <v/>
      </c>
      <c r="G134" s="102">
        <f>IF('エネルギーデータ入力'!$H134="","",'エネルギーデータ入力'!$H134)</f>
        <v/>
      </c>
      <c r="H134" s="102">
        <f>IF('エネルギーデータ入力'!$J134="","",'エネルギーデータ入力'!$J134)</f>
        <v/>
      </c>
      <c r="I134" s="142">
        <f>IF('エネルギーデータ入力'!$N134="","",'エネルギーデータ入力'!$N134)</f>
        <v/>
      </c>
      <c r="J134" s="142">
        <f>IF($B134="","",IFERROR(AVERAGEIFS('エネルギーデータ入力'!$N$6:$N$205,'エネルギーデータ入力'!$B$6:$B$205,"&gt;="&amp;$B134-7,'エネルギーデータ入力'!$B$6:$B$205,"&lt;"&amp;$B134,'エネルギーデータ入力'!$H$6:$H$205,$G134,'エネルギーデータ入力'!$J$6:$J$205,$H134),$I134))</f>
        <v/>
      </c>
      <c r="K134" s="143">
        <f>IFERROR(($I134-$J134)/$J134,"")</f>
        <v/>
      </c>
      <c r="L134" s="102">
        <f>IF('エネルギーデータ入力'!$V134="","",'エネルギーデータ入力'!$V134)</f>
        <v/>
      </c>
      <c r="M134" s="102">
        <f>IF($H134="","",IFERROR(VLOOKUP($H134,'基本設定'!$A$13:$K$19,5,FALSE),0.2))</f>
        <v/>
      </c>
      <c r="N134" s="102">
        <f>IF($B134="","",IF('エネルギーデータ入力'!$L134="","Missing reading",IF($I134=0,"Stalled reading / possibly offline",IF($K134&gt;=IFERROR(VLOOKUP($H134,'基本設定'!$A$13:$K$19,6,FALSE),0.5),"Severe spike",IF($K134&gt;=$M134,"Usage spike",IF($K134&lt;=-IFERROR(VLOOKUP($H134,'基本設定'!$A$13:$K$19,7,FALSE),0.3),"Usage drop",IF($L134&gt;IFERROR(VLOOKUP($H134,'基本設定'!$A$13:$K$19,8,FALSE),999999),"Area intensity overrun","正常")))))))</f>
        <v/>
      </c>
      <c r="O134" s="102">
        <f>IF($N134="","",IF($N134="正常","正常",IF(OR($N134="Severe spike",$K134&gt;=IFERROR(VLOOKUP($H134,'基本設定'!$A$13:$K$19,6,FALSE),0.5)),"重大",IF(OR($N134="Usage spike",$N134="Usage drop"),"高","中"))))</f>
        <v/>
      </c>
      <c r="P134" s="144">
        <f>IF(OR($N134="",$N134="正常"),0,ABS($I134-$J134)*'エネルギーデータ入力'!$O134)</f>
        <v/>
      </c>
      <c r="Q134" s="102">
        <f>IF($N134="正常","",IF($N134="Stalled reading / possibly offline","核查表计通信/電気池/网关/阀门Status",IF(AND($H134="水道",$N134&lt;&gt;"正常"),"检查管网、阀门、卫生间、冷却塔及夜间最小流量",IF(AND($H134="電気",$N134&lt;&gt;"正常"),"检查空调、照明、生产设备、PeakOff-peak时段与待机功耗",IF(AND($H134="ガス",$N134&lt;&gt;"正常"),"检查燃ガス阀门、锅炉/厨房设备与泄漏风险","核查设备工况、排班、产量与计量数据")))))</f>
        <v/>
      </c>
      <c r="R134" s="102">
        <f>IF($H134="","",IFERROR(VLOOKUP($H134,'基本設定'!$A$13:$K$19,11,FALSE),"Energy management owner"))</f>
        <v/>
      </c>
      <c r="S134" s="102">
        <f>IF($N134="","",IF($N134="正常","対応不要","未対応"))</f>
        <v/>
      </c>
      <c r="T134" s="141">
        <f>IF(OR($B134="",$N134="正常"),"",WORKDAY($B134,IF($O134="重大",1,IF($O134="高",2,3))))</f>
        <v/>
      </c>
      <c r="U134" s="102">
        <f>IF($T134="","",IF(AND($S134&lt;&gt;"完了",TODAY()&gt;$T134),"期限超過","期限内"))</f>
        <v/>
      </c>
      <c r="V134" s="102" t="n"/>
      <c r="W134" s="141" t="n"/>
      <c r="X134" s="102" t="n"/>
    </row>
    <row r="135">
      <c r="A135" s="102">
        <f>IF('エネルギーデータ入力'!$A135="","","AL-"&amp;TEXT(ROW()-5,"0000"))</f>
        <v/>
      </c>
      <c r="B135" s="141">
        <f>IF('エネルギーデータ入力'!$B135="","",'エネルギーデータ入力'!$B135)</f>
        <v/>
      </c>
      <c r="C135" s="102">
        <f>IF('エネルギーデータ入力'!$C135="","",'エネルギーデータ入力'!$C135)</f>
        <v/>
      </c>
      <c r="D135" s="102">
        <f>IF('エネルギーデータ入力'!$D135="","",'エネルギーデータ入力'!$D135)</f>
        <v/>
      </c>
      <c r="E135" s="102">
        <f>IF('エネルギーデータ入力'!$E135="","",'エネルギーデータ入力'!$E135)</f>
        <v/>
      </c>
      <c r="F135" s="102">
        <f>IF('エネルギーデータ入力'!$G135="","",'エネルギーデータ入力'!$G135)</f>
        <v/>
      </c>
      <c r="G135" s="102">
        <f>IF('エネルギーデータ入力'!$H135="","",'エネルギーデータ入力'!$H135)</f>
        <v/>
      </c>
      <c r="H135" s="102">
        <f>IF('エネルギーデータ入力'!$J135="","",'エネルギーデータ入力'!$J135)</f>
        <v/>
      </c>
      <c r="I135" s="142">
        <f>IF('エネルギーデータ入力'!$N135="","",'エネルギーデータ入力'!$N135)</f>
        <v/>
      </c>
      <c r="J135" s="142">
        <f>IF($B135="","",IFERROR(AVERAGEIFS('エネルギーデータ入力'!$N$6:$N$205,'エネルギーデータ入力'!$B$6:$B$205,"&gt;="&amp;$B135-7,'エネルギーデータ入力'!$B$6:$B$205,"&lt;"&amp;$B135,'エネルギーデータ入力'!$H$6:$H$205,$G135,'エネルギーデータ入力'!$J$6:$J$205,$H135),$I135))</f>
        <v/>
      </c>
      <c r="K135" s="143">
        <f>IFERROR(($I135-$J135)/$J135,"")</f>
        <v/>
      </c>
      <c r="L135" s="102">
        <f>IF('エネルギーデータ入力'!$V135="","",'エネルギーデータ入力'!$V135)</f>
        <v/>
      </c>
      <c r="M135" s="102">
        <f>IF($H135="","",IFERROR(VLOOKUP($H135,'基本設定'!$A$13:$K$19,5,FALSE),0.2))</f>
        <v/>
      </c>
      <c r="N135" s="102">
        <f>IF($B135="","",IF('エネルギーデータ入力'!$L135="","Missing reading",IF($I135=0,"Stalled reading / possibly offline",IF($K135&gt;=IFERROR(VLOOKUP($H135,'基本設定'!$A$13:$K$19,6,FALSE),0.5),"Severe spike",IF($K135&gt;=$M135,"Usage spike",IF($K135&lt;=-IFERROR(VLOOKUP($H135,'基本設定'!$A$13:$K$19,7,FALSE),0.3),"Usage drop",IF($L135&gt;IFERROR(VLOOKUP($H135,'基本設定'!$A$13:$K$19,8,FALSE),999999),"Area intensity overrun","正常")))))))</f>
        <v/>
      </c>
      <c r="O135" s="102">
        <f>IF($N135="","",IF($N135="正常","正常",IF(OR($N135="Severe spike",$K135&gt;=IFERROR(VLOOKUP($H135,'基本設定'!$A$13:$K$19,6,FALSE),0.5)),"重大",IF(OR($N135="Usage spike",$N135="Usage drop"),"高","中"))))</f>
        <v/>
      </c>
      <c r="P135" s="144">
        <f>IF(OR($N135="",$N135="正常"),0,ABS($I135-$J135)*'エネルギーデータ入力'!$O135)</f>
        <v/>
      </c>
      <c r="Q135" s="102">
        <f>IF($N135="正常","",IF($N135="Stalled reading / possibly offline","核查表计通信/電気池/网关/阀门Status",IF(AND($H135="水道",$N135&lt;&gt;"正常"),"检查管网、阀门、卫生间、冷却塔及夜间最小流量",IF(AND($H135="電気",$N135&lt;&gt;"正常"),"检查空调、照明、生产设备、PeakOff-peak时段与待机功耗",IF(AND($H135="ガス",$N135&lt;&gt;"正常"),"检查燃ガス阀门、锅炉/厨房设备与泄漏风险","核查设备工况、排班、产量与计量数据")))))</f>
        <v/>
      </c>
      <c r="R135" s="102">
        <f>IF($H135="","",IFERROR(VLOOKUP($H135,'基本設定'!$A$13:$K$19,11,FALSE),"Energy management owner"))</f>
        <v/>
      </c>
      <c r="S135" s="102">
        <f>IF($N135="","",IF($N135="正常","対応不要","未対応"))</f>
        <v/>
      </c>
      <c r="T135" s="141">
        <f>IF(OR($B135="",$N135="正常"),"",WORKDAY($B135,IF($O135="重大",1,IF($O135="高",2,3))))</f>
        <v/>
      </c>
      <c r="U135" s="102">
        <f>IF($T135="","",IF(AND($S135&lt;&gt;"完了",TODAY()&gt;$T135),"期限超過","期限内"))</f>
        <v/>
      </c>
      <c r="V135" s="102" t="n"/>
      <c r="W135" s="141" t="n"/>
      <c r="X135" s="102" t="n"/>
    </row>
    <row r="136">
      <c r="A136" s="102">
        <f>IF('エネルギーデータ入力'!$A136="","","AL-"&amp;TEXT(ROW()-5,"0000"))</f>
        <v/>
      </c>
      <c r="B136" s="141">
        <f>IF('エネルギーデータ入力'!$B136="","",'エネルギーデータ入力'!$B136)</f>
        <v/>
      </c>
      <c r="C136" s="102">
        <f>IF('エネルギーデータ入力'!$C136="","",'エネルギーデータ入力'!$C136)</f>
        <v/>
      </c>
      <c r="D136" s="102">
        <f>IF('エネルギーデータ入力'!$D136="","",'エネルギーデータ入力'!$D136)</f>
        <v/>
      </c>
      <c r="E136" s="102">
        <f>IF('エネルギーデータ入力'!$E136="","",'エネルギーデータ入力'!$E136)</f>
        <v/>
      </c>
      <c r="F136" s="102">
        <f>IF('エネルギーデータ入力'!$G136="","",'エネルギーデータ入力'!$G136)</f>
        <v/>
      </c>
      <c r="G136" s="102">
        <f>IF('エネルギーデータ入力'!$H136="","",'エネルギーデータ入力'!$H136)</f>
        <v/>
      </c>
      <c r="H136" s="102">
        <f>IF('エネルギーデータ入力'!$J136="","",'エネルギーデータ入力'!$J136)</f>
        <v/>
      </c>
      <c r="I136" s="142">
        <f>IF('エネルギーデータ入力'!$N136="","",'エネルギーデータ入力'!$N136)</f>
        <v/>
      </c>
      <c r="J136" s="142">
        <f>IF($B136="","",IFERROR(AVERAGEIFS('エネルギーデータ入力'!$N$6:$N$205,'エネルギーデータ入力'!$B$6:$B$205,"&gt;="&amp;$B136-7,'エネルギーデータ入力'!$B$6:$B$205,"&lt;"&amp;$B136,'エネルギーデータ入力'!$H$6:$H$205,$G136,'エネルギーデータ入力'!$J$6:$J$205,$H136),$I136))</f>
        <v/>
      </c>
      <c r="K136" s="143">
        <f>IFERROR(($I136-$J136)/$J136,"")</f>
        <v/>
      </c>
      <c r="L136" s="102">
        <f>IF('エネルギーデータ入力'!$V136="","",'エネルギーデータ入力'!$V136)</f>
        <v/>
      </c>
      <c r="M136" s="102">
        <f>IF($H136="","",IFERROR(VLOOKUP($H136,'基本設定'!$A$13:$K$19,5,FALSE),0.2))</f>
        <v/>
      </c>
      <c r="N136" s="102">
        <f>IF($B136="","",IF('エネルギーデータ入力'!$L136="","Missing reading",IF($I136=0,"Stalled reading / possibly offline",IF($K136&gt;=IFERROR(VLOOKUP($H136,'基本設定'!$A$13:$K$19,6,FALSE),0.5),"Severe spike",IF($K136&gt;=$M136,"Usage spike",IF($K136&lt;=-IFERROR(VLOOKUP($H136,'基本設定'!$A$13:$K$19,7,FALSE),0.3),"Usage drop",IF($L136&gt;IFERROR(VLOOKUP($H136,'基本設定'!$A$13:$K$19,8,FALSE),999999),"Area intensity overrun","正常")))))))</f>
        <v/>
      </c>
      <c r="O136" s="102">
        <f>IF($N136="","",IF($N136="正常","正常",IF(OR($N136="Severe spike",$K136&gt;=IFERROR(VLOOKUP($H136,'基本設定'!$A$13:$K$19,6,FALSE),0.5)),"重大",IF(OR($N136="Usage spike",$N136="Usage drop"),"高","中"))))</f>
        <v/>
      </c>
      <c r="P136" s="144">
        <f>IF(OR($N136="",$N136="正常"),0,ABS($I136-$J136)*'エネルギーデータ入力'!$O136)</f>
        <v/>
      </c>
      <c r="Q136" s="102">
        <f>IF($N136="正常","",IF($N136="Stalled reading / possibly offline","核查表计通信/電気池/网关/阀门Status",IF(AND($H136="水道",$N136&lt;&gt;"正常"),"检查管网、阀门、卫生间、冷却塔及夜间最小流量",IF(AND($H136="電気",$N136&lt;&gt;"正常"),"检查空调、照明、生产设备、PeakOff-peak时段与待机功耗",IF(AND($H136="ガス",$N136&lt;&gt;"正常"),"检查燃ガス阀门、锅炉/厨房设备与泄漏风险","核查设备工况、排班、产量与计量数据")))))</f>
        <v/>
      </c>
      <c r="R136" s="102">
        <f>IF($H136="","",IFERROR(VLOOKUP($H136,'基本設定'!$A$13:$K$19,11,FALSE),"Energy management owner"))</f>
        <v/>
      </c>
      <c r="S136" s="102">
        <f>IF($N136="","",IF($N136="正常","対応不要","未対応"))</f>
        <v/>
      </c>
      <c r="T136" s="141">
        <f>IF(OR($B136="",$N136="正常"),"",WORKDAY($B136,IF($O136="重大",1,IF($O136="高",2,3))))</f>
        <v/>
      </c>
      <c r="U136" s="102">
        <f>IF($T136="","",IF(AND($S136&lt;&gt;"完了",TODAY()&gt;$T136),"期限超過","期限内"))</f>
        <v/>
      </c>
      <c r="V136" s="102" t="n"/>
      <c r="W136" s="141" t="n"/>
      <c r="X136" s="102" t="n"/>
    </row>
    <row r="137">
      <c r="A137" s="102">
        <f>IF('エネルギーデータ入力'!$A137="","","AL-"&amp;TEXT(ROW()-5,"0000"))</f>
        <v/>
      </c>
      <c r="B137" s="141">
        <f>IF('エネルギーデータ入力'!$B137="","",'エネルギーデータ入力'!$B137)</f>
        <v/>
      </c>
      <c r="C137" s="102">
        <f>IF('エネルギーデータ入力'!$C137="","",'エネルギーデータ入力'!$C137)</f>
        <v/>
      </c>
      <c r="D137" s="102">
        <f>IF('エネルギーデータ入力'!$D137="","",'エネルギーデータ入力'!$D137)</f>
        <v/>
      </c>
      <c r="E137" s="102">
        <f>IF('エネルギーデータ入力'!$E137="","",'エネルギーデータ入力'!$E137)</f>
        <v/>
      </c>
      <c r="F137" s="102">
        <f>IF('エネルギーデータ入力'!$G137="","",'エネルギーデータ入力'!$G137)</f>
        <v/>
      </c>
      <c r="G137" s="102">
        <f>IF('エネルギーデータ入力'!$H137="","",'エネルギーデータ入力'!$H137)</f>
        <v/>
      </c>
      <c r="H137" s="102">
        <f>IF('エネルギーデータ入力'!$J137="","",'エネルギーデータ入力'!$J137)</f>
        <v/>
      </c>
      <c r="I137" s="142">
        <f>IF('エネルギーデータ入力'!$N137="","",'エネルギーデータ入力'!$N137)</f>
        <v/>
      </c>
      <c r="J137" s="142">
        <f>IF($B137="","",IFERROR(AVERAGEIFS('エネルギーデータ入力'!$N$6:$N$205,'エネルギーデータ入力'!$B$6:$B$205,"&gt;="&amp;$B137-7,'エネルギーデータ入力'!$B$6:$B$205,"&lt;"&amp;$B137,'エネルギーデータ入力'!$H$6:$H$205,$G137,'エネルギーデータ入力'!$J$6:$J$205,$H137),$I137))</f>
        <v/>
      </c>
      <c r="K137" s="143">
        <f>IFERROR(($I137-$J137)/$J137,"")</f>
        <v/>
      </c>
      <c r="L137" s="102">
        <f>IF('エネルギーデータ入力'!$V137="","",'エネルギーデータ入力'!$V137)</f>
        <v/>
      </c>
      <c r="M137" s="102">
        <f>IF($H137="","",IFERROR(VLOOKUP($H137,'基本設定'!$A$13:$K$19,5,FALSE),0.2))</f>
        <v/>
      </c>
      <c r="N137" s="102">
        <f>IF($B137="","",IF('エネルギーデータ入力'!$L137="","Missing reading",IF($I137=0,"Stalled reading / possibly offline",IF($K137&gt;=IFERROR(VLOOKUP($H137,'基本設定'!$A$13:$K$19,6,FALSE),0.5),"Severe spike",IF($K137&gt;=$M137,"Usage spike",IF($K137&lt;=-IFERROR(VLOOKUP($H137,'基本設定'!$A$13:$K$19,7,FALSE),0.3),"Usage drop",IF($L137&gt;IFERROR(VLOOKUP($H137,'基本設定'!$A$13:$K$19,8,FALSE),999999),"Area intensity overrun","正常")))))))</f>
        <v/>
      </c>
      <c r="O137" s="102">
        <f>IF($N137="","",IF($N137="正常","正常",IF(OR($N137="Severe spike",$K137&gt;=IFERROR(VLOOKUP($H137,'基本設定'!$A$13:$K$19,6,FALSE),0.5)),"重大",IF(OR($N137="Usage spike",$N137="Usage drop"),"高","中"))))</f>
        <v/>
      </c>
      <c r="P137" s="144">
        <f>IF(OR($N137="",$N137="正常"),0,ABS($I137-$J137)*'エネルギーデータ入力'!$O137)</f>
        <v/>
      </c>
      <c r="Q137" s="102">
        <f>IF($N137="正常","",IF($N137="Stalled reading / possibly offline","核查表计通信/電気池/网关/阀门Status",IF(AND($H137="水道",$N137&lt;&gt;"正常"),"检查管网、阀门、卫生间、冷却塔及夜间最小流量",IF(AND($H137="電気",$N137&lt;&gt;"正常"),"检查空调、照明、生产设备、PeakOff-peak时段与待机功耗",IF(AND($H137="ガス",$N137&lt;&gt;"正常"),"检查燃ガス阀门、锅炉/厨房设备与泄漏风险","核查设备工况、排班、产量与计量数据")))))</f>
        <v/>
      </c>
      <c r="R137" s="102">
        <f>IF($H137="","",IFERROR(VLOOKUP($H137,'基本設定'!$A$13:$K$19,11,FALSE),"Energy management owner"))</f>
        <v/>
      </c>
      <c r="S137" s="102">
        <f>IF($N137="","",IF($N137="正常","対応不要","未対応"))</f>
        <v/>
      </c>
      <c r="T137" s="141">
        <f>IF(OR($B137="",$N137="正常"),"",WORKDAY($B137,IF($O137="重大",1,IF($O137="高",2,3))))</f>
        <v/>
      </c>
      <c r="U137" s="102">
        <f>IF($T137="","",IF(AND($S137&lt;&gt;"完了",TODAY()&gt;$T137),"期限超過","期限内"))</f>
        <v/>
      </c>
      <c r="V137" s="102" t="n"/>
      <c r="W137" s="141" t="n"/>
      <c r="X137" s="102" t="n"/>
    </row>
    <row r="138">
      <c r="A138" s="102">
        <f>IF('エネルギーデータ入力'!$A138="","","AL-"&amp;TEXT(ROW()-5,"0000"))</f>
        <v/>
      </c>
      <c r="B138" s="141">
        <f>IF('エネルギーデータ入力'!$B138="","",'エネルギーデータ入力'!$B138)</f>
        <v/>
      </c>
      <c r="C138" s="102">
        <f>IF('エネルギーデータ入力'!$C138="","",'エネルギーデータ入力'!$C138)</f>
        <v/>
      </c>
      <c r="D138" s="102">
        <f>IF('エネルギーデータ入力'!$D138="","",'エネルギーデータ入力'!$D138)</f>
        <v/>
      </c>
      <c r="E138" s="102">
        <f>IF('エネルギーデータ入力'!$E138="","",'エネルギーデータ入力'!$E138)</f>
        <v/>
      </c>
      <c r="F138" s="102">
        <f>IF('エネルギーデータ入力'!$G138="","",'エネルギーデータ入力'!$G138)</f>
        <v/>
      </c>
      <c r="G138" s="102">
        <f>IF('エネルギーデータ入力'!$H138="","",'エネルギーデータ入力'!$H138)</f>
        <v/>
      </c>
      <c r="H138" s="102">
        <f>IF('エネルギーデータ入力'!$J138="","",'エネルギーデータ入力'!$J138)</f>
        <v/>
      </c>
      <c r="I138" s="142">
        <f>IF('エネルギーデータ入力'!$N138="","",'エネルギーデータ入力'!$N138)</f>
        <v/>
      </c>
      <c r="J138" s="142">
        <f>IF($B138="","",IFERROR(AVERAGEIFS('エネルギーデータ入力'!$N$6:$N$205,'エネルギーデータ入力'!$B$6:$B$205,"&gt;="&amp;$B138-7,'エネルギーデータ入力'!$B$6:$B$205,"&lt;"&amp;$B138,'エネルギーデータ入力'!$H$6:$H$205,$G138,'エネルギーデータ入力'!$J$6:$J$205,$H138),$I138))</f>
        <v/>
      </c>
      <c r="K138" s="143">
        <f>IFERROR(($I138-$J138)/$J138,"")</f>
        <v/>
      </c>
      <c r="L138" s="102">
        <f>IF('エネルギーデータ入力'!$V138="","",'エネルギーデータ入力'!$V138)</f>
        <v/>
      </c>
      <c r="M138" s="102">
        <f>IF($H138="","",IFERROR(VLOOKUP($H138,'基本設定'!$A$13:$K$19,5,FALSE),0.2))</f>
        <v/>
      </c>
      <c r="N138" s="102">
        <f>IF($B138="","",IF('エネルギーデータ入力'!$L138="","Missing reading",IF($I138=0,"Stalled reading / possibly offline",IF($K138&gt;=IFERROR(VLOOKUP($H138,'基本設定'!$A$13:$K$19,6,FALSE),0.5),"Severe spike",IF($K138&gt;=$M138,"Usage spike",IF($K138&lt;=-IFERROR(VLOOKUP($H138,'基本設定'!$A$13:$K$19,7,FALSE),0.3),"Usage drop",IF($L138&gt;IFERROR(VLOOKUP($H138,'基本設定'!$A$13:$K$19,8,FALSE),999999),"Area intensity overrun","正常")))))))</f>
        <v/>
      </c>
      <c r="O138" s="102">
        <f>IF($N138="","",IF($N138="正常","正常",IF(OR($N138="Severe spike",$K138&gt;=IFERROR(VLOOKUP($H138,'基本設定'!$A$13:$K$19,6,FALSE),0.5)),"重大",IF(OR($N138="Usage spike",$N138="Usage drop"),"高","中"))))</f>
        <v/>
      </c>
      <c r="P138" s="144">
        <f>IF(OR($N138="",$N138="正常"),0,ABS($I138-$J138)*'エネルギーデータ入力'!$O138)</f>
        <v/>
      </c>
      <c r="Q138" s="102">
        <f>IF($N138="正常","",IF($N138="Stalled reading / possibly offline","核查表计通信/電気池/网关/阀门Status",IF(AND($H138="水道",$N138&lt;&gt;"正常"),"检查管网、阀门、卫生间、冷却塔及夜间最小流量",IF(AND($H138="電気",$N138&lt;&gt;"正常"),"检查空调、照明、生产设备、PeakOff-peak时段与待机功耗",IF(AND($H138="ガス",$N138&lt;&gt;"正常"),"检查燃ガス阀门、锅炉/厨房设备与泄漏风险","核查设备工况、排班、产量与计量数据")))))</f>
        <v/>
      </c>
      <c r="R138" s="102">
        <f>IF($H138="","",IFERROR(VLOOKUP($H138,'基本設定'!$A$13:$K$19,11,FALSE),"Energy management owner"))</f>
        <v/>
      </c>
      <c r="S138" s="102">
        <f>IF($N138="","",IF($N138="正常","対応不要","未対応"))</f>
        <v/>
      </c>
      <c r="T138" s="141">
        <f>IF(OR($B138="",$N138="正常"),"",WORKDAY($B138,IF($O138="重大",1,IF($O138="高",2,3))))</f>
        <v/>
      </c>
      <c r="U138" s="102">
        <f>IF($T138="","",IF(AND($S138&lt;&gt;"完了",TODAY()&gt;$T138),"期限超過","期限内"))</f>
        <v/>
      </c>
      <c r="V138" s="102" t="n"/>
      <c r="W138" s="141" t="n"/>
      <c r="X138" s="102" t="n"/>
    </row>
    <row r="139">
      <c r="A139" s="102">
        <f>IF('エネルギーデータ入力'!$A139="","","AL-"&amp;TEXT(ROW()-5,"0000"))</f>
        <v/>
      </c>
      <c r="B139" s="141">
        <f>IF('エネルギーデータ入力'!$B139="","",'エネルギーデータ入力'!$B139)</f>
        <v/>
      </c>
      <c r="C139" s="102">
        <f>IF('エネルギーデータ入力'!$C139="","",'エネルギーデータ入力'!$C139)</f>
        <v/>
      </c>
      <c r="D139" s="102">
        <f>IF('エネルギーデータ入力'!$D139="","",'エネルギーデータ入力'!$D139)</f>
        <v/>
      </c>
      <c r="E139" s="102">
        <f>IF('エネルギーデータ入力'!$E139="","",'エネルギーデータ入力'!$E139)</f>
        <v/>
      </c>
      <c r="F139" s="102">
        <f>IF('エネルギーデータ入力'!$G139="","",'エネルギーデータ入力'!$G139)</f>
        <v/>
      </c>
      <c r="G139" s="102">
        <f>IF('エネルギーデータ入力'!$H139="","",'エネルギーデータ入力'!$H139)</f>
        <v/>
      </c>
      <c r="H139" s="102">
        <f>IF('エネルギーデータ入力'!$J139="","",'エネルギーデータ入力'!$J139)</f>
        <v/>
      </c>
      <c r="I139" s="142">
        <f>IF('エネルギーデータ入力'!$N139="","",'エネルギーデータ入力'!$N139)</f>
        <v/>
      </c>
      <c r="J139" s="142">
        <f>IF($B139="","",IFERROR(AVERAGEIFS('エネルギーデータ入力'!$N$6:$N$205,'エネルギーデータ入力'!$B$6:$B$205,"&gt;="&amp;$B139-7,'エネルギーデータ入力'!$B$6:$B$205,"&lt;"&amp;$B139,'エネルギーデータ入力'!$H$6:$H$205,$G139,'エネルギーデータ入力'!$J$6:$J$205,$H139),$I139))</f>
        <v/>
      </c>
      <c r="K139" s="143">
        <f>IFERROR(($I139-$J139)/$J139,"")</f>
        <v/>
      </c>
      <c r="L139" s="102">
        <f>IF('エネルギーデータ入力'!$V139="","",'エネルギーデータ入力'!$V139)</f>
        <v/>
      </c>
      <c r="M139" s="102">
        <f>IF($H139="","",IFERROR(VLOOKUP($H139,'基本設定'!$A$13:$K$19,5,FALSE),0.2))</f>
        <v/>
      </c>
      <c r="N139" s="102">
        <f>IF($B139="","",IF('エネルギーデータ入力'!$L139="","Missing reading",IF($I139=0,"Stalled reading / possibly offline",IF($K139&gt;=IFERROR(VLOOKUP($H139,'基本設定'!$A$13:$K$19,6,FALSE),0.5),"Severe spike",IF($K139&gt;=$M139,"Usage spike",IF($K139&lt;=-IFERROR(VLOOKUP($H139,'基本設定'!$A$13:$K$19,7,FALSE),0.3),"Usage drop",IF($L139&gt;IFERROR(VLOOKUP($H139,'基本設定'!$A$13:$K$19,8,FALSE),999999),"Area intensity overrun","正常")))))))</f>
        <v/>
      </c>
      <c r="O139" s="102">
        <f>IF($N139="","",IF($N139="正常","正常",IF(OR($N139="Severe spike",$K139&gt;=IFERROR(VLOOKUP($H139,'基本設定'!$A$13:$K$19,6,FALSE),0.5)),"重大",IF(OR($N139="Usage spike",$N139="Usage drop"),"高","中"))))</f>
        <v/>
      </c>
      <c r="P139" s="144">
        <f>IF(OR($N139="",$N139="正常"),0,ABS($I139-$J139)*'エネルギーデータ入力'!$O139)</f>
        <v/>
      </c>
      <c r="Q139" s="102">
        <f>IF($N139="正常","",IF($N139="Stalled reading / possibly offline","核查表计通信/電気池/网关/阀门Status",IF(AND($H139="水道",$N139&lt;&gt;"正常"),"检查管网、阀门、卫生间、冷却塔及夜间最小流量",IF(AND($H139="電気",$N139&lt;&gt;"正常"),"检查空调、照明、生产设备、PeakOff-peak时段与待机功耗",IF(AND($H139="ガス",$N139&lt;&gt;"正常"),"检查燃ガス阀门、锅炉/厨房设备与泄漏风险","核查设备工况、排班、产量与计量数据")))))</f>
        <v/>
      </c>
      <c r="R139" s="102">
        <f>IF($H139="","",IFERROR(VLOOKUP($H139,'基本設定'!$A$13:$K$19,11,FALSE),"Energy management owner"))</f>
        <v/>
      </c>
      <c r="S139" s="102">
        <f>IF($N139="","",IF($N139="正常","対応不要","未対応"))</f>
        <v/>
      </c>
      <c r="T139" s="141">
        <f>IF(OR($B139="",$N139="正常"),"",WORKDAY($B139,IF($O139="重大",1,IF($O139="高",2,3))))</f>
        <v/>
      </c>
      <c r="U139" s="102">
        <f>IF($T139="","",IF(AND($S139&lt;&gt;"完了",TODAY()&gt;$T139),"期限超過","期限内"))</f>
        <v/>
      </c>
      <c r="V139" s="102" t="n"/>
      <c r="W139" s="141" t="n"/>
      <c r="X139" s="102" t="n"/>
    </row>
    <row r="140">
      <c r="A140" s="102">
        <f>IF('エネルギーデータ入力'!$A140="","","AL-"&amp;TEXT(ROW()-5,"0000"))</f>
        <v/>
      </c>
      <c r="B140" s="141">
        <f>IF('エネルギーデータ入力'!$B140="","",'エネルギーデータ入力'!$B140)</f>
        <v/>
      </c>
      <c r="C140" s="102">
        <f>IF('エネルギーデータ入力'!$C140="","",'エネルギーデータ入力'!$C140)</f>
        <v/>
      </c>
      <c r="D140" s="102">
        <f>IF('エネルギーデータ入力'!$D140="","",'エネルギーデータ入力'!$D140)</f>
        <v/>
      </c>
      <c r="E140" s="102">
        <f>IF('エネルギーデータ入力'!$E140="","",'エネルギーデータ入力'!$E140)</f>
        <v/>
      </c>
      <c r="F140" s="102">
        <f>IF('エネルギーデータ入力'!$G140="","",'エネルギーデータ入力'!$G140)</f>
        <v/>
      </c>
      <c r="G140" s="102">
        <f>IF('エネルギーデータ入力'!$H140="","",'エネルギーデータ入力'!$H140)</f>
        <v/>
      </c>
      <c r="H140" s="102">
        <f>IF('エネルギーデータ入力'!$J140="","",'エネルギーデータ入力'!$J140)</f>
        <v/>
      </c>
      <c r="I140" s="142">
        <f>IF('エネルギーデータ入力'!$N140="","",'エネルギーデータ入力'!$N140)</f>
        <v/>
      </c>
      <c r="J140" s="142">
        <f>IF($B140="","",IFERROR(AVERAGEIFS('エネルギーデータ入力'!$N$6:$N$205,'エネルギーデータ入力'!$B$6:$B$205,"&gt;="&amp;$B140-7,'エネルギーデータ入力'!$B$6:$B$205,"&lt;"&amp;$B140,'エネルギーデータ入力'!$H$6:$H$205,$G140,'エネルギーデータ入力'!$J$6:$J$205,$H140),$I140))</f>
        <v/>
      </c>
      <c r="K140" s="143">
        <f>IFERROR(($I140-$J140)/$J140,"")</f>
        <v/>
      </c>
      <c r="L140" s="102">
        <f>IF('エネルギーデータ入力'!$V140="","",'エネルギーデータ入力'!$V140)</f>
        <v/>
      </c>
      <c r="M140" s="102">
        <f>IF($H140="","",IFERROR(VLOOKUP($H140,'基本設定'!$A$13:$K$19,5,FALSE),0.2))</f>
        <v/>
      </c>
      <c r="N140" s="102">
        <f>IF($B140="","",IF('エネルギーデータ入力'!$L140="","Missing reading",IF($I140=0,"Stalled reading / possibly offline",IF($K140&gt;=IFERROR(VLOOKUP($H140,'基本設定'!$A$13:$K$19,6,FALSE),0.5),"Severe spike",IF($K140&gt;=$M140,"Usage spike",IF($K140&lt;=-IFERROR(VLOOKUP($H140,'基本設定'!$A$13:$K$19,7,FALSE),0.3),"Usage drop",IF($L140&gt;IFERROR(VLOOKUP($H140,'基本設定'!$A$13:$K$19,8,FALSE),999999),"Area intensity overrun","正常")))))))</f>
        <v/>
      </c>
      <c r="O140" s="102">
        <f>IF($N140="","",IF($N140="正常","正常",IF(OR($N140="Severe spike",$K140&gt;=IFERROR(VLOOKUP($H140,'基本設定'!$A$13:$K$19,6,FALSE),0.5)),"重大",IF(OR($N140="Usage spike",$N140="Usage drop"),"高","中"))))</f>
        <v/>
      </c>
      <c r="P140" s="144">
        <f>IF(OR($N140="",$N140="正常"),0,ABS($I140-$J140)*'エネルギーデータ入力'!$O140)</f>
        <v/>
      </c>
      <c r="Q140" s="102">
        <f>IF($N140="正常","",IF($N140="Stalled reading / possibly offline","核查表计通信/電気池/网关/阀门Status",IF(AND($H140="水道",$N140&lt;&gt;"正常"),"检查管网、阀门、卫生间、冷却塔及夜间最小流量",IF(AND($H140="電気",$N140&lt;&gt;"正常"),"检查空调、照明、生产设备、PeakOff-peak时段与待机功耗",IF(AND($H140="ガス",$N140&lt;&gt;"正常"),"检查燃ガス阀门、锅炉/厨房设备与泄漏风险","核查设备工况、排班、产量与计量数据")))))</f>
        <v/>
      </c>
      <c r="R140" s="102">
        <f>IF($H140="","",IFERROR(VLOOKUP($H140,'基本設定'!$A$13:$K$19,11,FALSE),"Energy management owner"))</f>
        <v/>
      </c>
      <c r="S140" s="102">
        <f>IF($N140="","",IF($N140="正常","対応不要","未対応"))</f>
        <v/>
      </c>
      <c r="T140" s="141">
        <f>IF(OR($B140="",$N140="正常"),"",WORKDAY($B140,IF($O140="重大",1,IF($O140="高",2,3))))</f>
        <v/>
      </c>
      <c r="U140" s="102">
        <f>IF($T140="","",IF(AND($S140&lt;&gt;"完了",TODAY()&gt;$T140),"期限超過","期限内"))</f>
        <v/>
      </c>
      <c r="V140" s="102" t="n"/>
      <c r="W140" s="141" t="n"/>
      <c r="X140" s="102" t="n"/>
    </row>
    <row r="141">
      <c r="A141" s="102">
        <f>IF('エネルギーデータ入力'!$A141="","","AL-"&amp;TEXT(ROW()-5,"0000"))</f>
        <v/>
      </c>
      <c r="B141" s="141">
        <f>IF('エネルギーデータ入力'!$B141="","",'エネルギーデータ入力'!$B141)</f>
        <v/>
      </c>
      <c r="C141" s="102">
        <f>IF('エネルギーデータ入力'!$C141="","",'エネルギーデータ入力'!$C141)</f>
        <v/>
      </c>
      <c r="D141" s="102">
        <f>IF('エネルギーデータ入力'!$D141="","",'エネルギーデータ入力'!$D141)</f>
        <v/>
      </c>
      <c r="E141" s="102">
        <f>IF('エネルギーデータ入力'!$E141="","",'エネルギーデータ入力'!$E141)</f>
        <v/>
      </c>
      <c r="F141" s="102">
        <f>IF('エネルギーデータ入力'!$G141="","",'エネルギーデータ入力'!$G141)</f>
        <v/>
      </c>
      <c r="G141" s="102">
        <f>IF('エネルギーデータ入力'!$H141="","",'エネルギーデータ入力'!$H141)</f>
        <v/>
      </c>
      <c r="H141" s="102">
        <f>IF('エネルギーデータ入力'!$J141="","",'エネルギーデータ入力'!$J141)</f>
        <v/>
      </c>
      <c r="I141" s="142">
        <f>IF('エネルギーデータ入力'!$N141="","",'エネルギーデータ入力'!$N141)</f>
        <v/>
      </c>
      <c r="J141" s="142">
        <f>IF($B141="","",IFERROR(AVERAGEIFS('エネルギーデータ入力'!$N$6:$N$205,'エネルギーデータ入力'!$B$6:$B$205,"&gt;="&amp;$B141-7,'エネルギーデータ入力'!$B$6:$B$205,"&lt;"&amp;$B141,'エネルギーデータ入力'!$H$6:$H$205,$G141,'エネルギーデータ入力'!$J$6:$J$205,$H141),$I141))</f>
        <v/>
      </c>
      <c r="K141" s="143">
        <f>IFERROR(($I141-$J141)/$J141,"")</f>
        <v/>
      </c>
      <c r="L141" s="102">
        <f>IF('エネルギーデータ入力'!$V141="","",'エネルギーデータ入力'!$V141)</f>
        <v/>
      </c>
      <c r="M141" s="102">
        <f>IF($H141="","",IFERROR(VLOOKUP($H141,'基本設定'!$A$13:$K$19,5,FALSE),0.2))</f>
        <v/>
      </c>
      <c r="N141" s="102">
        <f>IF($B141="","",IF('エネルギーデータ入力'!$L141="","Missing reading",IF($I141=0,"Stalled reading / possibly offline",IF($K141&gt;=IFERROR(VLOOKUP($H141,'基本設定'!$A$13:$K$19,6,FALSE),0.5),"Severe spike",IF($K141&gt;=$M141,"Usage spike",IF($K141&lt;=-IFERROR(VLOOKUP($H141,'基本設定'!$A$13:$K$19,7,FALSE),0.3),"Usage drop",IF($L141&gt;IFERROR(VLOOKUP($H141,'基本設定'!$A$13:$K$19,8,FALSE),999999),"Area intensity overrun","正常")))))))</f>
        <v/>
      </c>
      <c r="O141" s="102">
        <f>IF($N141="","",IF($N141="正常","正常",IF(OR($N141="Severe spike",$K141&gt;=IFERROR(VLOOKUP($H141,'基本設定'!$A$13:$K$19,6,FALSE),0.5)),"重大",IF(OR($N141="Usage spike",$N141="Usage drop"),"高","中"))))</f>
        <v/>
      </c>
      <c r="P141" s="144">
        <f>IF(OR($N141="",$N141="正常"),0,ABS($I141-$J141)*'エネルギーデータ入力'!$O141)</f>
        <v/>
      </c>
      <c r="Q141" s="102">
        <f>IF($N141="正常","",IF($N141="Stalled reading / possibly offline","核查表计通信/電気池/网关/阀门Status",IF(AND($H141="水道",$N141&lt;&gt;"正常"),"检查管网、阀门、卫生间、冷却塔及夜间最小流量",IF(AND($H141="電気",$N141&lt;&gt;"正常"),"检查空调、照明、生产设备、PeakOff-peak时段与待机功耗",IF(AND($H141="ガス",$N141&lt;&gt;"正常"),"检查燃ガス阀门、锅炉/厨房设备与泄漏风险","核查设备工况、排班、产量与计量数据")))))</f>
        <v/>
      </c>
      <c r="R141" s="102">
        <f>IF($H141="","",IFERROR(VLOOKUP($H141,'基本設定'!$A$13:$K$19,11,FALSE),"Energy management owner"))</f>
        <v/>
      </c>
      <c r="S141" s="102">
        <f>IF($N141="","",IF($N141="正常","対応不要","未対応"))</f>
        <v/>
      </c>
      <c r="T141" s="141">
        <f>IF(OR($B141="",$N141="正常"),"",WORKDAY($B141,IF($O141="重大",1,IF($O141="高",2,3))))</f>
        <v/>
      </c>
      <c r="U141" s="102">
        <f>IF($T141="","",IF(AND($S141&lt;&gt;"完了",TODAY()&gt;$T141),"期限超過","期限内"))</f>
        <v/>
      </c>
      <c r="V141" s="102" t="n"/>
      <c r="W141" s="141" t="n"/>
      <c r="X141" s="102" t="n"/>
    </row>
    <row r="142">
      <c r="A142" s="102">
        <f>IF('エネルギーデータ入力'!$A142="","","AL-"&amp;TEXT(ROW()-5,"0000"))</f>
        <v/>
      </c>
      <c r="B142" s="141">
        <f>IF('エネルギーデータ入力'!$B142="","",'エネルギーデータ入力'!$B142)</f>
        <v/>
      </c>
      <c r="C142" s="102">
        <f>IF('エネルギーデータ入力'!$C142="","",'エネルギーデータ入力'!$C142)</f>
        <v/>
      </c>
      <c r="D142" s="102">
        <f>IF('エネルギーデータ入力'!$D142="","",'エネルギーデータ入力'!$D142)</f>
        <v/>
      </c>
      <c r="E142" s="102">
        <f>IF('エネルギーデータ入力'!$E142="","",'エネルギーデータ入力'!$E142)</f>
        <v/>
      </c>
      <c r="F142" s="102">
        <f>IF('エネルギーデータ入力'!$G142="","",'エネルギーデータ入力'!$G142)</f>
        <v/>
      </c>
      <c r="G142" s="102">
        <f>IF('エネルギーデータ入力'!$H142="","",'エネルギーデータ入力'!$H142)</f>
        <v/>
      </c>
      <c r="H142" s="102">
        <f>IF('エネルギーデータ入力'!$J142="","",'エネルギーデータ入力'!$J142)</f>
        <v/>
      </c>
      <c r="I142" s="142">
        <f>IF('エネルギーデータ入力'!$N142="","",'エネルギーデータ入力'!$N142)</f>
        <v/>
      </c>
      <c r="J142" s="142">
        <f>IF($B142="","",IFERROR(AVERAGEIFS('エネルギーデータ入力'!$N$6:$N$205,'エネルギーデータ入力'!$B$6:$B$205,"&gt;="&amp;$B142-7,'エネルギーデータ入力'!$B$6:$B$205,"&lt;"&amp;$B142,'エネルギーデータ入力'!$H$6:$H$205,$G142,'エネルギーデータ入力'!$J$6:$J$205,$H142),$I142))</f>
        <v/>
      </c>
      <c r="K142" s="143">
        <f>IFERROR(($I142-$J142)/$J142,"")</f>
        <v/>
      </c>
      <c r="L142" s="102">
        <f>IF('エネルギーデータ入力'!$V142="","",'エネルギーデータ入力'!$V142)</f>
        <v/>
      </c>
      <c r="M142" s="102">
        <f>IF($H142="","",IFERROR(VLOOKUP($H142,'基本設定'!$A$13:$K$19,5,FALSE),0.2))</f>
        <v/>
      </c>
      <c r="N142" s="102">
        <f>IF($B142="","",IF('エネルギーデータ入力'!$L142="","Missing reading",IF($I142=0,"Stalled reading / possibly offline",IF($K142&gt;=IFERROR(VLOOKUP($H142,'基本設定'!$A$13:$K$19,6,FALSE),0.5),"Severe spike",IF($K142&gt;=$M142,"Usage spike",IF($K142&lt;=-IFERROR(VLOOKUP($H142,'基本設定'!$A$13:$K$19,7,FALSE),0.3),"Usage drop",IF($L142&gt;IFERROR(VLOOKUP($H142,'基本設定'!$A$13:$K$19,8,FALSE),999999),"Area intensity overrun","正常")))))))</f>
        <v/>
      </c>
      <c r="O142" s="102">
        <f>IF($N142="","",IF($N142="正常","正常",IF(OR($N142="Severe spike",$K142&gt;=IFERROR(VLOOKUP($H142,'基本設定'!$A$13:$K$19,6,FALSE),0.5)),"重大",IF(OR($N142="Usage spike",$N142="Usage drop"),"高","中"))))</f>
        <v/>
      </c>
      <c r="P142" s="144">
        <f>IF(OR($N142="",$N142="正常"),0,ABS($I142-$J142)*'エネルギーデータ入力'!$O142)</f>
        <v/>
      </c>
      <c r="Q142" s="102">
        <f>IF($N142="正常","",IF($N142="Stalled reading / possibly offline","核查表计通信/電気池/网关/阀门Status",IF(AND($H142="水道",$N142&lt;&gt;"正常"),"检查管网、阀门、卫生间、冷却塔及夜间最小流量",IF(AND($H142="電気",$N142&lt;&gt;"正常"),"检查空调、照明、生产设备、PeakOff-peak时段与待机功耗",IF(AND($H142="ガス",$N142&lt;&gt;"正常"),"检查燃ガス阀门、锅炉/厨房设备与泄漏风险","核查设备工况、排班、产量与计量数据")))))</f>
        <v/>
      </c>
      <c r="R142" s="102">
        <f>IF($H142="","",IFERROR(VLOOKUP($H142,'基本設定'!$A$13:$K$19,11,FALSE),"Energy management owner"))</f>
        <v/>
      </c>
      <c r="S142" s="102">
        <f>IF($N142="","",IF($N142="正常","対応不要","未対応"))</f>
        <v/>
      </c>
      <c r="T142" s="141">
        <f>IF(OR($B142="",$N142="正常"),"",WORKDAY($B142,IF($O142="重大",1,IF($O142="高",2,3))))</f>
        <v/>
      </c>
      <c r="U142" s="102">
        <f>IF($T142="","",IF(AND($S142&lt;&gt;"完了",TODAY()&gt;$T142),"期限超過","期限内"))</f>
        <v/>
      </c>
      <c r="V142" s="102" t="n"/>
      <c r="W142" s="141" t="n"/>
      <c r="X142" s="102" t="n"/>
    </row>
    <row r="143">
      <c r="A143" s="102">
        <f>IF('エネルギーデータ入力'!$A143="","","AL-"&amp;TEXT(ROW()-5,"0000"))</f>
        <v/>
      </c>
      <c r="B143" s="141">
        <f>IF('エネルギーデータ入力'!$B143="","",'エネルギーデータ入力'!$B143)</f>
        <v/>
      </c>
      <c r="C143" s="102">
        <f>IF('エネルギーデータ入力'!$C143="","",'エネルギーデータ入力'!$C143)</f>
        <v/>
      </c>
      <c r="D143" s="102">
        <f>IF('エネルギーデータ入力'!$D143="","",'エネルギーデータ入力'!$D143)</f>
        <v/>
      </c>
      <c r="E143" s="102">
        <f>IF('エネルギーデータ入力'!$E143="","",'エネルギーデータ入力'!$E143)</f>
        <v/>
      </c>
      <c r="F143" s="102">
        <f>IF('エネルギーデータ入力'!$G143="","",'エネルギーデータ入力'!$G143)</f>
        <v/>
      </c>
      <c r="G143" s="102">
        <f>IF('エネルギーデータ入力'!$H143="","",'エネルギーデータ入力'!$H143)</f>
        <v/>
      </c>
      <c r="H143" s="102">
        <f>IF('エネルギーデータ入力'!$J143="","",'エネルギーデータ入力'!$J143)</f>
        <v/>
      </c>
      <c r="I143" s="142">
        <f>IF('エネルギーデータ入力'!$N143="","",'エネルギーデータ入力'!$N143)</f>
        <v/>
      </c>
      <c r="J143" s="142">
        <f>IF($B143="","",IFERROR(AVERAGEIFS('エネルギーデータ入力'!$N$6:$N$205,'エネルギーデータ入力'!$B$6:$B$205,"&gt;="&amp;$B143-7,'エネルギーデータ入力'!$B$6:$B$205,"&lt;"&amp;$B143,'エネルギーデータ入力'!$H$6:$H$205,$G143,'エネルギーデータ入力'!$J$6:$J$205,$H143),$I143))</f>
        <v/>
      </c>
      <c r="K143" s="143">
        <f>IFERROR(($I143-$J143)/$J143,"")</f>
        <v/>
      </c>
      <c r="L143" s="102">
        <f>IF('エネルギーデータ入力'!$V143="","",'エネルギーデータ入力'!$V143)</f>
        <v/>
      </c>
      <c r="M143" s="102">
        <f>IF($H143="","",IFERROR(VLOOKUP($H143,'基本設定'!$A$13:$K$19,5,FALSE),0.2))</f>
        <v/>
      </c>
      <c r="N143" s="102">
        <f>IF($B143="","",IF('エネルギーデータ入力'!$L143="","Missing reading",IF($I143=0,"Stalled reading / possibly offline",IF($K143&gt;=IFERROR(VLOOKUP($H143,'基本設定'!$A$13:$K$19,6,FALSE),0.5),"Severe spike",IF($K143&gt;=$M143,"Usage spike",IF($K143&lt;=-IFERROR(VLOOKUP($H143,'基本設定'!$A$13:$K$19,7,FALSE),0.3),"Usage drop",IF($L143&gt;IFERROR(VLOOKUP($H143,'基本設定'!$A$13:$K$19,8,FALSE),999999),"Area intensity overrun","正常")))))))</f>
        <v/>
      </c>
      <c r="O143" s="102">
        <f>IF($N143="","",IF($N143="正常","正常",IF(OR($N143="Severe spike",$K143&gt;=IFERROR(VLOOKUP($H143,'基本設定'!$A$13:$K$19,6,FALSE),0.5)),"重大",IF(OR($N143="Usage spike",$N143="Usage drop"),"高","中"))))</f>
        <v/>
      </c>
      <c r="P143" s="144">
        <f>IF(OR($N143="",$N143="正常"),0,ABS($I143-$J143)*'エネルギーデータ入力'!$O143)</f>
        <v/>
      </c>
      <c r="Q143" s="102">
        <f>IF($N143="正常","",IF($N143="Stalled reading / possibly offline","核查表计通信/電気池/网关/阀门Status",IF(AND($H143="水道",$N143&lt;&gt;"正常"),"检查管网、阀门、卫生间、冷却塔及夜间最小流量",IF(AND($H143="電気",$N143&lt;&gt;"正常"),"检查空调、照明、生产设备、PeakOff-peak时段与待机功耗",IF(AND($H143="ガス",$N143&lt;&gt;"正常"),"检查燃ガス阀门、锅炉/厨房设备与泄漏风险","核查设备工况、排班、产量与计量数据")))))</f>
        <v/>
      </c>
      <c r="R143" s="102">
        <f>IF($H143="","",IFERROR(VLOOKUP($H143,'基本設定'!$A$13:$K$19,11,FALSE),"Energy management owner"))</f>
        <v/>
      </c>
      <c r="S143" s="102">
        <f>IF($N143="","",IF($N143="正常","対応不要","未対応"))</f>
        <v/>
      </c>
      <c r="T143" s="141">
        <f>IF(OR($B143="",$N143="正常"),"",WORKDAY($B143,IF($O143="重大",1,IF($O143="高",2,3))))</f>
        <v/>
      </c>
      <c r="U143" s="102">
        <f>IF($T143="","",IF(AND($S143&lt;&gt;"完了",TODAY()&gt;$T143),"期限超過","期限内"))</f>
        <v/>
      </c>
      <c r="V143" s="102" t="n"/>
      <c r="W143" s="141" t="n"/>
      <c r="X143" s="102" t="n"/>
    </row>
    <row r="144">
      <c r="A144" s="102">
        <f>IF('エネルギーデータ入力'!$A144="","","AL-"&amp;TEXT(ROW()-5,"0000"))</f>
        <v/>
      </c>
      <c r="B144" s="141">
        <f>IF('エネルギーデータ入力'!$B144="","",'エネルギーデータ入力'!$B144)</f>
        <v/>
      </c>
      <c r="C144" s="102">
        <f>IF('エネルギーデータ入力'!$C144="","",'エネルギーデータ入力'!$C144)</f>
        <v/>
      </c>
      <c r="D144" s="102">
        <f>IF('エネルギーデータ入力'!$D144="","",'エネルギーデータ入力'!$D144)</f>
        <v/>
      </c>
      <c r="E144" s="102">
        <f>IF('エネルギーデータ入力'!$E144="","",'エネルギーデータ入力'!$E144)</f>
        <v/>
      </c>
      <c r="F144" s="102">
        <f>IF('エネルギーデータ入力'!$G144="","",'エネルギーデータ入力'!$G144)</f>
        <v/>
      </c>
      <c r="G144" s="102">
        <f>IF('エネルギーデータ入力'!$H144="","",'エネルギーデータ入力'!$H144)</f>
        <v/>
      </c>
      <c r="H144" s="102">
        <f>IF('エネルギーデータ入力'!$J144="","",'エネルギーデータ入力'!$J144)</f>
        <v/>
      </c>
      <c r="I144" s="142">
        <f>IF('エネルギーデータ入力'!$N144="","",'エネルギーデータ入力'!$N144)</f>
        <v/>
      </c>
      <c r="J144" s="142">
        <f>IF($B144="","",IFERROR(AVERAGEIFS('エネルギーデータ入力'!$N$6:$N$205,'エネルギーデータ入力'!$B$6:$B$205,"&gt;="&amp;$B144-7,'エネルギーデータ入力'!$B$6:$B$205,"&lt;"&amp;$B144,'エネルギーデータ入力'!$H$6:$H$205,$G144,'エネルギーデータ入力'!$J$6:$J$205,$H144),$I144))</f>
        <v/>
      </c>
      <c r="K144" s="143">
        <f>IFERROR(($I144-$J144)/$J144,"")</f>
        <v/>
      </c>
      <c r="L144" s="102">
        <f>IF('エネルギーデータ入力'!$V144="","",'エネルギーデータ入力'!$V144)</f>
        <v/>
      </c>
      <c r="M144" s="102">
        <f>IF($H144="","",IFERROR(VLOOKUP($H144,'基本設定'!$A$13:$K$19,5,FALSE),0.2))</f>
        <v/>
      </c>
      <c r="N144" s="102">
        <f>IF($B144="","",IF('エネルギーデータ入力'!$L144="","Missing reading",IF($I144=0,"Stalled reading / possibly offline",IF($K144&gt;=IFERROR(VLOOKUP($H144,'基本設定'!$A$13:$K$19,6,FALSE),0.5),"Severe spike",IF($K144&gt;=$M144,"Usage spike",IF($K144&lt;=-IFERROR(VLOOKUP($H144,'基本設定'!$A$13:$K$19,7,FALSE),0.3),"Usage drop",IF($L144&gt;IFERROR(VLOOKUP($H144,'基本設定'!$A$13:$K$19,8,FALSE),999999),"Area intensity overrun","正常")))))))</f>
        <v/>
      </c>
      <c r="O144" s="102">
        <f>IF($N144="","",IF($N144="正常","正常",IF(OR($N144="Severe spike",$K144&gt;=IFERROR(VLOOKUP($H144,'基本設定'!$A$13:$K$19,6,FALSE),0.5)),"重大",IF(OR($N144="Usage spike",$N144="Usage drop"),"高","中"))))</f>
        <v/>
      </c>
      <c r="P144" s="144">
        <f>IF(OR($N144="",$N144="正常"),0,ABS($I144-$J144)*'エネルギーデータ入力'!$O144)</f>
        <v/>
      </c>
      <c r="Q144" s="102">
        <f>IF($N144="正常","",IF($N144="Stalled reading / possibly offline","核查表计通信/電気池/网关/阀门Status",IF(AND($H144="水道",$N144&lt;&gt;"正常"),"检查管网、阀门、卫生间、冷却塔及夜间最小流量",IF(AND($H144="電気",$N144&lt;&gt;"正常"),"检查空调、照明、生产设备、PeakOff-peak时段与待机功耗",IF(AND($H144="ガス",$N144&lt;&gt;"正常"),"检查燃ガス阀门、锅炉/厨房设备与泄漏风险","核查设备工况、排班、产量与计量数据")))))</f>
        <v/>
      </c>
      <c r="R144" s="102">
        <f>IF($H144="","",IFERROR(VLOOKUP($H144,'基本設定'!$A$13:$K$19,11,FALSE),"Energy management owner"))</f>
        <v/>
      </c>
      <c r="S144" s="102">
        <f>IF($N144="","",IF($N144="正常","対応不要","未対応"))</f>
        <v/>
      </c>
      <c r="T144" s="141">
        <f>IF(OR($B144="",$N144="正常"),"",WORKDAY($B144,IF($O144="重大",1,IF($O144="高",2,3))))</f>
        <v/>
      </c>
      <c r="U144" s="102">
        <f>IF($T144="","",IF(AND($S144&lt;&gt;"完了",TODAY()&gt;$T144),"期限超過","期限内"))</f>
        <v/>
      </c>
      <c r="V144" s="102" t="n"/>
      <c r="W144" s="141" t="n"/>
      <c r="X144" s="102" t="n"/>
    </row>
    <row r="145">
      <c r="A145" s="102">
        <f>IF('エネルギーデータ入力'!$A145="","","AL-"&amp;TEXT(ROW()-5,"0000"))</f>
        <v/>
      </c>
      <c r="B145" s="141">
        <f>IF('エネルギーデータ入力'!$B145="","",'エネルギーデータ入力'!$B145)</f>
        <v/>
      </c>
      <c r="C145" s="102">
        <f>IF('エネルギーデータ入力'!$C145="","",'エネルギーデータ入力'!$C145)</f>
        <v/>
      </c>
      <c r="D145" s="102">
        <f>IF('エネルギーデータ入力'!$D145="","",'エネルギーデータ入力'!$D145)</f>
        <v/>
      </c>
      <c r="E145" s="102">
        <f>IF('エネルギーデータ入力'!$E145="","",'エネルギーデータ入力'!$E145)</f>
        <v/>
      </c>
      <c r="F145" s="102">
        <f>IF('エネルギーデータ入力'!$G145="","",'エネルギーデータ入力'!$G145)</f>
        <v/>
      </c>
      <c r="G145" s="102">
        <f>IF('エネルギーデータ入力'!$H145="","",'エネルギーデータ入力'!$H145)</f>
        <v/>
      </c>
      <c r="H145" s="102">
        <f>IF('エネルギーデータ入力'!$J145="","",'エネルギーデータ入力'!$J145)</f>
        <v/>
      </c>
      <c r="I145" s="142">
        <f>IF('エネルギーデータ入力'!$N145="","",'エネルギーデータ入力'!$N145)</f>
        <v/>
      </c>
      <c r="J145" s="142">
        <f>IF($B145="","",IFERROR(AVERAGEIFS('エネルギーデータ入力'!$N$6:$N$205,'エネルギーデータ入力'!$B$6:$B$205,"&gt;="&amp;$B145-7,'エネルギーデータ入力'!$B$6:$B$205,"&lt;"&amp;$B145,'エネルギーデータ入力'!$H$6:$H$205,$G145,'エネルギーデータ入力'!$J$6:$J$205,$H145),$I145))</f>
        <v/>
      </c>
      <c r="K145" s="143">
        <f>IFERROR(($I145-$J145)/$J145,"")</f>
        <v/>
      </c>
      <c r="L145" s="102">
        <f>IF('エネルギーデータ入力'!$V145="","",'エネルギーデータ入力'!$V145)</f>
        <v/>
      </c>
      <c r="M145" s="102">
        <f>IF($H145="","",IFERROR(VLOOKUP($H145,'基本設定'!$A$13:$K$19,5,FALSE),0.2))</f>
        <v/>
      </c>
      <c r="N145" s="102">
        <f>IF($B145="","",IF('エネルギーデータ入力'!$L145="","Missing reading",IF($I145=0,"Stalled reading / possibly offline",IF($K145&gt;=IFERROR(VLOOKUP($H145,'基本設定'!$A$13:$K$19,6,FALSE),0.5),"Severe spike",IF($K145&gt;=$M145,"Usage spike",IF($K145&lt;=-IFERROR(VLOOKUP($H145,'基本設定'!$A$13:$K$19,7,FALSE),0.3),"Usage drop",IF($L145&gt;IFERROR(VLOOKUP($H145,'基本設定'!$A$13:$K$19,8,FALSE),999999),"Area intensity overrun","正常")))))))</f>
        <v/>
      </c>
      <c r="O145" s="102">
        <f>IF($N145="","",IF($N145="正常","正常",IF(OR($N145="Severe spike",$K145&gt;=IFERROR(VLOOKUP($H145,'基本設定'!$A$13:$K$19,6,FALSE),0.5)),"重大",IF(OR($N145="Usage spike",$N145="Usage drop"),"高","中"))))</f>
        <v/>
      </c>
      <c r="P145" s="144">
        <f>IF(OR($N145="",$N145="正常"),0,ABS($I145-$J145)*'エネルギーデータ入力'!$O145)</f>
        <v/>
      </c>
      <c r="Q145" s="102">
        <f>IF($N145="正常","",IF($N145="Stalled reading / possibly offline","核查表计通信/電気池/网关/阀门Status",IF(AND($H145="水道",$N145&lt;&gt;"正常"),"检查管网、阀门、卫生间、冷却塔及夜间最小流量",IF(AND($H145="電気",$N145&lt;&gt;"正常"),"检查空调、照明、生产设备、PeakOff-peak时段与待机功耗",IF(AND($H145="ガス",$N145&lt;&gt;"正常"),"检查燃ガス阀门、锅炉/厨房设备与泄漏风险","核查设备工况、排班、产量与计量数据")))))</f>
        <v/>
      </c>
      <c r="R145" s="102">
        <f>IF($H145="","",IFERROR(VLOOKUP($H145,'基本設定'!$A$13:$K$19,11,FALSE),"Energy management owner"))</f>
        <v/>
      </c>
      <c r="S145" s="102">
        <f>IF($N145="","",IF($N145="正常","対応不要","未対応"))</f>
        <v/>
      </c>
      <c r="T145" s="141">
        <f>IF(OR($B145="",$N145="正常"),"",WORKDAY($B145,IF($O145="重大",1,IF($O145="高",2,3))))</f>
        <v/>
      </c>
      <c r="U145" s="102">
        <f>IF($T145="","",IF(AND($S145&lt;&gt;"完了",TODAY()&gt;$T145),"期限超過","期限内"))</f>
        <v/>
      </c>
      <c r="V145" s="102" t="n"/>
      <c r="W145" s="141" t="n"/>
      <c r="X145" s="102" t="n"/>
    </row>
    <row r="146">
      <c r="A146" s="102">
        <f>IF('エネルギーデータ入力'!$A146="","","AL-"&amp;TEXT(ROW()-5,"0000"))</f>
        <v/>
      </c>
      <c r="B146" s="141">
        <f>IF('エネルギーデータ入力'!$B146="","",'エネルギーデータ入力'!$B146)</f>
        <v/>
      </c>
      <c r="C146" s="102">
        <f>IF('エネルギーデータ入力'!$C146="","",'エネルギーデータ入力'!$C146)</f>
        <v/>
      </c>
      <c r="D146" s="102">
        <f>IF('エネルギーデータ入力'!$D146="","",'エネルギーデータ入力'!$D146)</f>
        <v/>
      </c>
      <c r="E146" s="102">
        <f>IF('エネルギーデータ入力'!$E146="","",'エネルギーデータ入力'!$E146)</f>
        <v/>
      </c>
      <c r="F146" s="102">
        <f>IF('エネルギーデータ入力'!$G146="","",'エネルギーデータ入力'!$G146)</f>
        <v/>
      </c>
      <c r="G146" s="102">
        <f>IF('エネルギーデータ入力'!$H146="","",'エネルギーデータ入力'!$H146)</f>
        <v/>
      </c>
      <c r="H146" s="102">
        <f>IF('エネルギーデータ入力'!$J146="","",'エネルギーデータ入力'!$J146)</f>
        <v/>
      </c>
      <c r="I146" s="142">
        <f>IF('エネルギーデータ入力'!$N146="","",'エネルギーデータ入力'!$N146)</f>
        <v/>
      </c>
      <c r="J146" s="142">
        <f>IF($B146="","",IFERROR(AVERAGEIFS('エネルギーデータ入力'!$N$6:$N$205,'エネルギーデータ入力'!$B$6:$B$205,"&gt;="&amp;$B146-7,'エネルギーデータ入力'!$B$6:$B$205,"&lt;"&amp;$B146,'エネルギーデータ入力'!$H$6:$H$205,$G146,'エネルギーデータ入力'!$J$6:$J$205,$H146),$I146))</f>
        <v/>
      </c>
      <c r="K146" s="143">
        <f>IFERROR(($I146-$J146)/$J146,"")</f>
        <v/>
      </c>
      <c r="L146" s="102">
        <f>IF('エネルギーデータ入力'!$V146="","",'エネルギーデータ入力'!$V146)</f>
        <v/>
      </c>
      <c r="M146" s="102">
        <f>IF($H146="","",IFERROR(VLOOKUP($H146,'基本設定'!$A$13:$K$19,5,FALSE),0.2))</f>
        <v/>
      </c>
      <c r="N146" s="102">
        <f>IF($B146="","",IF('エネルギーデータ入力'!$L146="","Missing reading",IF($I146=0,"Stalled reading / possibly offline",IF($K146&gt;=IFERROR(VLOOKUP($H146,'基本設定'!$A$13:$K$19,6,FALSE),0.5),"Severe spike",IF($K146&gt;=$M146,"Usage spike",IF($K146&lt;=-IFERROR(VLOOKUP($H146,'基本設定'!$A$13:$K$19,7,FALSE),0.3),"Usage drop",IF($L146&gt;IFERROR(VLOOKUP($H146,'基本設定'!$A$13:$K$19,8,FALSE),999999),"Area intensity overrun","正常")))))))</f>
        <v/>
      </c>
      <c r="O146" s="102">
        <f>IF($N146="","",IF($N146="正常","正常",IF(OR($N146="Severe spike",$K146&gt;=IFERROR(VLOOKUP($H146,'基本設定'!$A$13:$K$19,6,FALSE),0.5)),"重大",IF(OR($N146="Usage spike",$N146="Usage drop"),"高","中"))))</f>
        <v/>
      </c>
      <c r="P146" s="144">
        <f>IF(OR($N146="",$N146="正常"),0,ABS($I146-$J146)*'エネルギーデータ入力'!$O146)</f>
        <v/>
      </c>
      <c r="Q146" s="102">
        <f>IF($N146="正常","",IF($N146="Stalled reading / possibly offline","核查表计通信/電気池/网关/阀门Status",IF(AND($H146="水道",$N146&lt;&gt;"正常"),"检查管网、阀门、卫生间、冷却塔及夜间最小流量",IF(AND($H146="電気",$N146&lt;&gt;"正常"),"检查空调、照明、生产设备、PeakOff-peak时段与待机功耗",IF(AND($H146="ガス",$N146&lt;&gt;"正常"),"检查燃ガス阀门、锅炉/厨房设备与泄漏风险","核查设备工况、排班、产量与计量数据")))))</f>
        <v/>
      </c>
      <c r="R146" s="102">
        <f>IF($H146="","",IFERROR(VLOOKUP($H146,'基本設定'!$A$13:$K$19,11,FALSE),"Energy management owner"))</f>
        <v/>
      </c>
      <c r="S146" s="102">
        <f>IF($N146="","",IF($N146="正常","対応不要","未対応"))</f>
        <v/>
      </c>
      <c r="T146" s="141">
        <f>IF(OR($B146="",$N146="正常"),"",WORKDAY($B146,IF($O146="重大",1,IF($O146="高",2,3))))</f>
        <v/>
      </c>
      <c r="U146" s="102">
        <f>IF($T146="","",IF(AND($S146&lt;&gt;"完了",TODAY()&gt;$T146),"期限超過","期限内"))</f>
        <v/>
      </c>
      <c r="V146" s="102" t="n"/>
      <c r="W146" s="141" t="n"/>
      <c r="X146" s="102" t="n"/>
    </row>
    <row r="147">
      <c r="A147" s="102">
        <f>IF('エネルギーデータ入力'!$A147="","","AL-"&amp;TEXT(ROW()-5,"0000"))</f>
        <v/>
      </c>
      <c r="B147" s="141">
        <f>IF('エネルギーデータ入力'!$B147="","",'エネルギーデータ入力'!$B147)</f>
        <v/>
      </c>
      <c r="C147" s="102">
        <f>IF('エネルギーデータ入力'!$C147="","",'エネルギーデータ入力'!$C147)</f>
        <v/>
      </c>
      <c r="D147" s="102">
        <f>IF('エネルギーデータ入力'!$D147="","",'エネルギーデータ入力'!$D147)</f>
        <v/>
      </c>
      <c r="E147" s="102">
        <f>IF('エネルギーデータ入力'!$E147="","",'エネルギーデータ入力'!$E147)</f>
        <v/>
      </c>
      <c r="F147" s="102">
        <f>IF('エネルギーデータ入力'!$G147="","",'エネルギーデータ入力'!$G147)</f>
        <v/>
      </c>
      <c r="G147" s="102">
        <f>IF('エネルギーデータ入力'!$H147="","",'エネルギーデータ入力'!$H147)</f>
        <v/>
      </c>
      <c r="H147" s="102">
        <f>IF('エネルギーデータ入力'!$J147="","",'エネルギーデータ入力'!$J147)</f>
        <v/>
      </c>
      <c r="I147" s="142">
        <f>IF('エネルギーデータ入力'!$N147="","",'エネルギーデータ入力'!$N147)</f>
        <v/>
      </c>
      <c r="J147" s="142">
        <f>IF($B147="","",IFERROR(AVERAGEIFS('エネルギーデータ入力'!$N$6:$N$205,'エネルギーデータ入力'!$B$6:$B$205,"&gt;="&amp;$B147-7,'エネルギーデータ入力'!$B$6:$B$205,"&lt;"&amp;$B147,'エネルギーデータ入力'!$H$6:$H$205,$G147,'エネルギーデータ入力'!$J$6:$J$205,$H147),$I147))</f>
        <v/>
      </c>
      <c r="K147" s="143">
        <f>IFERROR(($I147-$J147)/$J147,"")</f>
        <v/>
      </c>
      <c r="L147" s="102">
        <f>IF('エネルギーデータ入力'!$V147="","",'エネルギーデータ入力'!$V147)</f>
        <v/>
      </c>
      <c r="M147" s="102">
        <f>IF($H147="","",IFERROR(VLOOKUP($H147,'基本設定'!$A$13:$K$19,5,FALSE),0.2))</f>
        <v/>
      </c>
      <c r="N147" s="102">
        <f>IF($B147="","",IF('エネルギーデータ入力'!$L147="","Missing reading",IF($I147=0,"Stalled reading / possibly offline",IF($K147&gt;=IFERROR(VLOOKUP($H147,'基本設定'!$A$13:$K$19,6,FALSE),0.5),"Severe spike",IF($K147&gt;=$M147,"Usage spike",IF($K147&lt;=-IFERROR(VLOOKUP($H147,'基本設定'!$A$13:$K$19,7,FALSE),0.3),"Usage drop",IF($L147&gt;IFERROR(VLOOKUP($H147,'基本設定'!$A$13:$K$19,8,FALSE),999999),"Area intensity overrun","正常")))))))</f>
        <v/>
      </c>
      <c r="O147" s="102">
        <f>IF($N147="","",IF($N147="正常","正常",IF(OR($N147="Severe spike",$K147&gt;=IFERROR(VLOOKUP($H147,'基本設定'!$A$13:$K$19,6,FALSE),0.5)),"重大",IF(OR($N147="Usage spike",$N147="Usage drop"),"高","中"))))</f>
        <v/>
      </c>
      <c r="P147" s="144">
        <f>IF(OR($N147="",$N147="正常"),0,ABS($I147-$J147)*'エネルギーデータ入力'!$O147)</f>
        <v/>
      </c>
      <c r="Q147" s="102">
        <f>IF($N147="正常","",IF($N147="Stalled reading / possibly offline","核查表计通信/電気池/网关/阀门Status",IF(AND($H147="水道",$N147&lt;&gt;"正常"),"检查管网、阀门、卫生间、冷却塔及夜间最小流量",IF(AND($H147="電気",$N147&lt;&gt;"正常"),"检查空调、照明、生产设备、PeakOff-peak时段与待机功耗",IF(AND($H147="ガス",$N147&lt;&gt;"正常"),"检查燃ガス阀门、锅炉/厨房设备与泄漏风险","核查设备工况、排班、产量与计量数据")))))</f>
        <v/>
      </c>
      <c r="R147" s="102">
        <f>IF($H147="","",IFERROR(VLOOKUP($H147,'基本設定'!$A$13:$K$19,11,FALSE),"Energy management owner"))</f>
        <v/>
      </c>
      <c r="S147" s="102">
        <f>IF($N147="","",IF($N147="正常","対応不要","未対応"))</f>
        <v/>
      </c>
      <c r="T147" s="141">
        <f>IF(OR($B147="",$N147="正常"),"",WORKDAY($B147,IF($O147="重大",1,IF($O147="高",2,3))))</f>
        <v/>
      </c>
      <c r="U147" s="102">
        <f>IF($T147="","",IF(AND($S147&lt;&gt;"完了",TODAY()&gt;$T147),"期限超過","期限内"))</f>
        <v/>
      </c>
      <c r="V147" s="102" t="n"/>
      <c r="W147" s="141" t="n"/>
      <c r="X147" s="102" t="n"/>
    </row>
    <row r="148">
      <c r="A148" s="102">
        <f>IF('エネルギーデータ入力'!$A148="","","AL-"&amp;TEXT(ROW()-5,"0000"))</f>
        <v/>
      </c>
      <c r="B148" s="141">
        <f>IF('エネルギーデータ入力'!$B148="","",'エネルギーデータ入力'!$B148)</f>
        <v/>
      </c>
      <c r="C148" s="102">
        <f>IF('エネルギーデータ入力'!$C148="","",'エネルギーデータ入力'!$C148)</f>
        <v/>
      </c>
      <c r="D148" s="102">
        <f>IF('エネルギーデータ入力'!$D148="","",'エネルギーデータ入力'!$D148)</f>
        <v/>
      </c>
      <c r="E148" s="102">
        <f>IF('エネルギーデータ入力'!$E148="","",'エネルギーデータ入力'!$E148)</f>
        <v/>
      </c>
      <c r="F148" s="102">
        <f>IF('エネルギーデータ入力'!$G148="","",'エネルギーデータ入力'!$G148)</f>
        <v/>
      </c>
      <c r="G148" s="102">
        <f>IF('エネルギーデータ入力'!$H148="","",'エネルギーデータ入力'!$H148)</f>
        <v/>
      </c>
      <c r="H148" s="102">
        <f>IF('エネルギーデータ入力'!$J148="","",'エネルギーデータ入力'!$J148)</f>
        <v/>
      </c>
      <c r="I148" s="142">
        <f>IF('エネルギーデータ入力'!$N148="","",'エネルギーデータ入力'!$N148)</f>
        <v/>
      </c>
      <c r="J148" s="142">
        <f>IF($B148="","",IFERROR(AVERAGEIFS('エネルギーデータ入力'!$N$6:$N$205,'エネルギーデータ入力'!$B$6:$B$205,"&gt;="&amp;$B148-7,'エネルギーデータ入力'!$B$6:$B$205,"&lt;"&amp;$B148,'エネルギーデータ入力'!$H$6:$H$205,$G148,'エネルギーデータ入力'!$J$6:$J$205,$H148),$I148))</f>
        <v/>
      </c>
      <c r="K148" s="143">
        <f>IFERROR(($I148-$J148)/$J148,"")</f>
        <v/>
      </c>
      <c r="L148" s="102">
        <f>IF('エネルギーデータ入力'!$V148="","",'エネルギーデータ入力'!$V148)</f>
        <v/>
      </c>
      <c r="M148" s="102">
        <f>IF($H148="","",IFERROR(VLOOKUP($H148,'基本設定'!$A$13:$K$19,5,FALSE),0.2))</f>
        <v/>
      </c>
      <c r="N148" s="102">
        <f>IF($B148="","",IF('エネルギーデータ入力'!$L148="","Missing reading",IF($I148=0,"Stalled reading / possibly offline",IF($K148&gt;=IFERROR(VLOOKUP($H148,'基本設定'!$A$13:$K$19,6,FALSE),0.5),"Severe spike",IF($K148&gt;=$M148,"Usage spike",IF($K148&lt;=-IFERROR(VLOOKUP($H148,'基本設定'!$A$13:$K$19,7,FALSE),0.3),"Usage drop",IF($L148&gt;IFERROR(VLOOKUP($H148,'基本設定'!$A$13:$K$19,8,FALSE),999999),"Area intensity overrun","正常")))))))</f>
        <v/>
      </c>
      <c r="O148" s="102">
        <f>IF($N148="","",IF($N148="正常","正常",IF(OR($N148="Severe spike",$K148&gt;=IFERROR(VLOOKUP($H148,'基本設定'!$A$13:$K$19,6,FALSE),0.5)),"重大",IF(OR($N148="Usage spike",$N148="Usage drop"),"高","中"))))</f>
        <v/>
      </c>
      <c r="P148" s="144">
        <f>IF(OR($N148="",$N148="正常"),0,ABS($I148-$J148)*'エネルギーデータ入力'!$O148)</f>
        <v/>
      </c>
      <c r="Q148" s="102">
        <f>IF($N148="正常","",IF($N148="Stalled reading / possibly offline","核查表计通信/電気池/网关/阀门Status",IF(AND($H148="水道",$N148&lt;&gt;"正常"),"检查管网、阀门、卫生间、冷却塔及夜间最小流量",IF(AND($H148="電気",$N148&lt;&gt;"正常"),"检查空调、照明、生产设备、PeakOff-peak时段与待机功耗",IF(AND($H148="ガス",$N148&lt;&gt;"正常"),"检查燃ガス阀门、锅炉/厨房设备与泄漏风险","核查设备工况、排班、产量与计量数据")))))</f>
        <v/>
      </c>
      <c r="R148" s="102">
        <f>IF($H148="","",IFERROR(VLOOKUP($H148,'基本設定'!$A$13:$K$19,11,FALSE),"Energy management owner"))</f>
        <v/>
      </c>
      <c r="S148" s="102">
        <f>IF($N148="","",IF($N148="正常","対応不要","未対応"))</f>
        <v/>
      </c>
      <c r="T148" s="141">
        <f>IF(OR($B148="",$N148="正常"),"",WORKDAY($B148,IF($O148="重大",1,IF($O148="高",2,3))))</f>
        <v/>
      </c>
      <c r="U148" s="102">
        <f>IF($T148="","",IF(AND($S148&lt;&gt;"完了",TODAY()&gt;$T148),"期限超過","期限内"))</f>
        <v/>
      </c>
      <c r="V148" s="102" t="n"/>
      <c r="W148" s="141" t="n"/>
      <c r="X148" s="102" t="n"/>
    </row>
    <row r="149">
      <c r="A149" s="102">
        <f>IF('エネルギーデータ入力'!$A149="","","AL-"&amp;TEXT(ROW()-5,"0000"))</f>
        <v/>
      </c>
      <c r="B149" s="141">
        <f>IF('エネルギーデータ入力'!$B149="","",'エネルギーデータ入力'!$B149)</f>
        <v/>
      </c>
      <c r="C149" s="102">
        <f>IF('エネルギーデータ入力'!$C149="","",'エネルギーデータ入力'!$C149)</f>
        <v/>
      </c>
      <c r="D149" s="102">
        <f>IF('エネルギーデータ入力'!$D149="","",'エネルギーデータ入力'!$D149)</f>
        <v/>
      </c>
      <c r="E149" s="102">
        <f>IF('エネルギーデータ入力'!$E149="","",'エネルギーデータ入力'!$E149)</f>
        <v/>
      </c>
      <c r="F149" s="102">
        <f>IF('エネルギーデータ入力'!$G149="","",'エネルギーデータ入力'!$G149)</f>
        <v/>
      </c>
      <c r="G149" s="102">
        <f>IF('エネルギーデータ入力'!$H149="","",'エネルギーデータ入力'!$H149)</f>
        <v/>
      </c>
      <c r="H149" s="102">
        <f>IF('エネルギーデータ入力'!$J149="","",'エネルギーデータ入力'!$J149)</f>
        <v/>
      </c>
      <c r="I149" s="142">
        <f>IF('エネルギーデータ入力'!$N149="","",'エネルギーデータ入力'!$N149)</f>
        <v/>
      </c>
      <c r="J149" s="142">
        <f>IF($B149="","",IFERROR(AVERAGEIFS('エネルギーデータ入力'!$N$6:$N$205,'エネルギーデータ入力'!$B$6:$B$205,"&gt;="&amp;$B149-7,'エネルギーデータ入力'!$B$6:$B$205,"&lt;"&amp;$B149,'エネルギーデータ入力'!$H$6:$H$205,$G149,'エネルギーデータ入力'!$J$6:$J$205,$H149),$I149))</f>
        <v/>
      </c>
      <c r="K149" s="143">
        <f>IFERROR(($I149-$J149)/$J149,"")</f>
        <v/>
      </c>
      <c r="L149" s="102">
        <f>IF('エネルギーデータ入力'!$V149="","",'エネルギーデータ入力'!$V149)</f>
        <v/>
      </c>
      <c r="M149" s="102">
        <f>IF($H149="","",IFERROR(VLOOKUP($H149,'基本設定'!$A$13:$K$19,5,FALSE),0.2))</f>
        <v/>
      </c>
      <c r="N149" s="102">
        <f>IF($B149="","",IF('エネルギーデータ入力'!$L149="","Missing reading",IF($I149=0,"Stalled reading / possibly offline",IF($K149&gt;=IFERROR(VLOOKUP($H149,'基本設定'!$A$13:$K$19,6,FALSE),0.5),"Severe spike",IF($K149&gt;=$M149,"Usage spike",IF($K149&lt;=-IFERROR(VLOOKUP($H149,'基本設定'!$A$13:$K$19,7,FALSE),0.3),"Usage drop",IF($L149&gt;IFERROR(VLOOKUP($H149,'基本設定'!$A$13:$K$19,8,FALSE),999999),"Area intensity overrun","正常")))))))</f>
        <v/>
      </c>
      <c r="O149" s="102">
        <f>IF($N149="","",IF($N149="正常","正常",IF(OR($N149="Severe spike",$K149&gt;=IFERROR(VLOOKUP($H149,'基本設定'!$A$13:$K$19,6,FALSE),0.5)),"重大",IF(OR($N149="Usage spike",$N149="Usage drop"),"高","中"))))</f>
        <v/>
      </c>
      <c r="P149" s="144">
        <f>IF(OR($N149="",$N149="正常"),0,ABS($I149-$J149)*'エネルギーデータ入力'!$O149)</f>
        <v/>
      </c>
      <c r="Q149" s="102">
        <f>IF($N149="正常","",IF($N149="Stalled reading / possibly offline","核查表计通信/電気池/网关/阀门Status",IF(AND($H149="水道",$N149&lt;&gt;"正常"),"检查管网、阀门、卫生间、冷却塔及夜间最小流量",IF(AND($H149="電気",$N149&lt;&gt;"正常"),"检查空调、照明、生产设备、PeakOff-peak时段与待机功耗",IF(AND($H149="ガス",$N149&lt;&gt;"正常"),"检查燃ガス阀门、锅炉/厨房设备与泄漏风险","核查设备工况、排班、产量与计量数据")))))</f>
        <v/>
      </c>
      <c r="R149" s="102">
        <f>IF($H149="","",IFERROR(VLOOKUP($H149,'基本設定'!$A$13:$K$19,11,FALSE),"Energy management owner"))</f>
        <v/>
      </c>
      <c r="S149" s="102">
        <f>IF($N149="","",IF($N149="正常","対応不要","未対応"))</f>
        <v/>
      </c>
      <c r="T149" s="141">
        <f>IF(OR($B149="",$N149="正常"),"",WORKDAY($B149,IF($O149="重大",1,IF($O149="高",2,3))))</f>
        <v/>
      </c>
      <c r="U149" s="102">
        <f>IF($T149="","",IF(AND($S149&lt;&gt;"完了",TODAY()&gt;$T149),"期限超過","期限内"))</f>
        <v/>
      </c>
      <c r="V149" s="102" t="n"/>
      <c r="W149" s="141" t="n"/>
      <c r="X149" s="102" t="n"/>
    </row>
    <row r="150">
      <c r="A150" s="102">
        <f>IF('エネルギーデータ入力'!$A150="","","AL-"&amp;TEXT(ROW()-5,"0000"))</f>
        <v/>
      </c>
      <c r="B150" s="141">
        <f>IF('エネルギーデータ入力'!$B150="","",'エネルギーデータ入力'!$B150)</f>
        <v/>
      </c>
      <c r="C150" s="102">
        <f>IF('エネルギーデータ入力'!$C150="","",'エネルギーデータ入力'!$C150)</f>
        <v/>
      </c>
      <c r="D150" s="102">
        <f>IF('エネルギーデータ入力'!$D150="","",'エネルギーデータ入力'!$D150)</f>
        <v/>
      </c>
      <c r="E150" s="102">
        <f>IF('エネルギーデータ入力'!$E150="","",'エネルギーデータ入力'!$E150)</f>
        <v/>
      </c>
      <c r="F150" s="102">
        <f>IF('エネルギーデータ入力'!$G150="","",'エネルギーデータ入力'!$G150)</f>
        <v/>
      </c>
      <c r="G150" s="102">
        <f>IF('エネルギーデータ入力'!$H150="","",'エネルギーデータ入力'!$H150)</f>
        <v/>
      </c>
      <c r="H150" s="102">
        <f>IF('エネルギーデータ入力'!$J150="","",'エネルギーデータ入力'!$J150)</f>
        <v/>
      </c>
      <c r="I150" s="142">
        <f>IF('エネルギーデータ入力'!$N150="","",'エネルギーデータ入力'!$N150)</f>
        <v/>
      </c>
      <c r="J150" s="142">
        <f>IF($B150="","",IFERROR(AVERAGEIFS('エネルギーデータ入力'!$N$6:$N$205,'エネルギーデータ入力'!$B$6:$B$205,"&gt;="&amp;$B150-7,'エネルギーデータ入力'!$B$6:$B$205,"&lt;"&amp;$B150,'エネルギーデータ入力'!$H$6:$H$205,$G150,'エネルギーデータ入力'!$J$6:$J$205,$H150),$I150))</f>
        <v/>
      </c>
      <c r="K150" s="143">
        <f>IFERROR(($I150-$J150)/$J150,"")</f>
        <v/>
      </c>
      <c r="L150" s="102">
        <f>IF('エネルギーデータ入力'!$V150="","",'エネルギーデータ入力'!$V150)</f>
        <v/>
      </c>
      <c r="M150" s="102">
        <f>IF($H150="","",IFERROR(VLOOKUP($H150,'基本設定'!$A$13:$K$19,5,FALSE),0.2))</f>
        <v/>
      </c>
      <c r="N150" s="102">
        <f>IF($B150="","",IF('エネルギーデータ入力'!$L150="","Missing reading",IF($I150=0,"Stalled reading / possibly offline",IF($K150&gt;=IFERROR(VLOOKUP($H150,'基本設定'!$A$13:$K$19,6,FALSE),0.5),"Severe spike",IF($K150&gt;=$M150,"Usage spike",IF($K150&lt;=-IFERROR(VLOOKUP($H150,'基本設定'!$A$13:$K$19,7,FALSE),0.3),"Usage drop",IF($L150&gt;IFERROR(VLOOKUP($H150,'基本設定'!$A$13:$K$19,8,FALSE),999999),"Area intensity overrun","正常")))))))</f>
        <v/>
      </c>
      <c r="O150" s="102">
        <f>IF($N150="","",IF($N150="正常","正常",IF(OR($N150="Severe spike",$K150&gt;=IFERROR(VLOOKUP($H150,'基本設定'!$A$13:$K$19,6,FALSE),0.5)),"重大",IF(OR($N150="Usage spike",$N150="Usage drop"),"高","中"))))</f>
        <v/>
      </c>
      <c r="P150" s="144">
        <f>IF(OR($N150="",$N150="正常"),0,ABS($I150-$J150)*'エネルギーデータ入力'!$O150)</f>
        <v/>
      </c>
      <c r="Q150" s="102">
        <f>IF($N150="正常","",IF($N150="Stalled reading / possibly offline","核查表计通信/電気池/网关/阀门Status",IF(AND($H150="水道",$N150&lt;&gt;"正常"),"检查管网、阀门、卫生间、冷却塔及夜间最小流量",IF(AND($H150="電気",$N150&lt;&gt;"正常"),"检查空调、照明、生产设备、PeakOff-peak时段与待机功耗",IF(AND($H150="ガス",$N150&lt;&gt;"正常"),"检查燃ガス阀门、锅炉/厨房设备与泄漏风险","核查设备工况、排班、产量与计量数据")))))</f>
        <v/>
      </c>
      <c r="R150" s="102">
        <f>IF($H150="","",IFERROR(VLOOKUP($H150,'基本設定'!$A$13:$K$19,11,FALSE),"Energy management owner"))</f>
        <v/>
      </c>
      <c r="S150" s="102">
        <f>IF($N150="","",IF($N150="正常","対応不要","未対応"))</f>
        <v/>
      </c>
      <c r="T150" s="141">
        <f>IF(OR($B150="",$N150="正常"),"",WORKDAY($B150,IF($O150="重大",1,IF($O150="高",2,3))))</f>
        <v/>
      </c>
      <c r="U150" s="102">
        <f>IF($T150="","",IF(AND($S150&lt;&gt;"完了",TODAY()&gt;$T150),"期限超過","期限内"))</f>
        <v/>
      </c>
      <c r="V150" s="102" t="n"/>
      <c r="W150" s="141" t="n"/>
      <c r="X150" s="102" t="n"/>
    </row>
    <row r="151">
      <c r="A151" s="102">
        <f>IF('エネルギーデータ入力'!$A151="","","AL-"&amp;TEXT(ROW()-5,"0000"))</f>
        <v/>
      </c>
      <c r="B151" s="141">
        <f>IF('エネルギーデータ入力'!$B151="","",'エネルギーデータ入力'!$B151)</f>
        <v/>
      </c>
      <c r="C151" s="102">
        <f>IF('エネルギーデータ入力'!$C151="","",'エネルギーデータ入力'!$C151)</f>
        <v/>
      </c>
      <c r="D151" s="102">
        <f>IF('エネルギーデータ入力'!$D151="","",'エネルギーデータ入力'!$D151)</f>
        <v/>
      </c>
      <c r="E151" s="102">
        <f>IF('エネルギーデータ入力'!$E151="","",'エネルギーデータ入力'!$E151)</f>
        <v/>
      </c>
      <c r="F151" s="102">
        <f>IF('エネルギーデータ入力'!$G151="","",'エネルギーデータ入力'!$G151)</f>
        <v/>
      </c>
      <c r="G151" s="102">
        <f>IF('エネルギーデータ入力'!$H151="","",'エネルギーデータ入力'!$H151)</f>
        <v/>
      </c>
      <c r="H151" s="102">
        <f>IF('エネルギーデータ入力'!$J151="","",'エネルギーデータ入力'!$J151)</f>
        <v/>
      </c>
      <c r="I151" s="142">
        <f>IF('エネルギーデータ入力'!$N151="","",'エネルギーデータ入力'!$N151)</f>
        <v/>
      </c>
      <c r="J151" s="142">
        <f>IF($B151="","",IFERROR(AVERAGEIFS('エネルギーデータ入力'!$N$6:$N$205,'エネルギーデータ入力'!$B$6:$B$205,"&gt;="&amp;$B151-7,'エネルギーデータ入力'!$B$6:$B$205,"&lt;"&amp;$B151,'エネルギーデータ入力'!$H$6:$H$205,$G151,'エネルギーデータ入力'!$J$6:$J$205,$H151),$I151))</f>
        <v/>
      </c>
      <c r="K151" s="143">
        <f>IFERROR(($I151-$J151)/$J151,"")</f>
        <v/>
      </c>
      <c r="L151" s="102">
        <f>IF('エネルギーデータ入力'!$V151="","",'エネルギーデータ入力'!$V151)</f>
        <v/>
      </c>
      <c r="M151" s="102">
        <f>IF($H151="","",IFERROR(VLOOKUP($H151,'基本設定'!$A$13:$K$19,5,FALSE),0.2))</f>
        <v/>
      </c>
      <c r="N151" s="102">
        <f>IF($B151="","",IF('エネルギーデータ入力'!$L151="","Missing reading",IF($I151=0,"Stalled reading / possibly offline",IF($K151&gt;=IFERROR(VLOOKUP($H151,'基本設定'!$A$13:$K$19,6,FALSE),0.5),"Severe spike",IF($K151&gt;=$M151,"Usage spike",IF($K151&lt;=-IFERROR(VLOOKUP($H151,'基本設定'!$A$13:$K$19,7,FALSE),0.3),"Usage drop",IF($L151&gt;IFERROR(VLOOKUP($H151,'基本設定'!$A$13:$K$19,8,FALSE),999999),"Area intensity overrun","正常")))))))</f>
        <v/>
      </c>
      <c r="O151" s="102">
        <f>IF($N151="","",IF($N151="正常","正常",IF(OR($N151="Severe spike",$K151&gt;=IFERROR(VLOOKUP($H151,'基本設定'!$A$13:$K$19,6,FALSE),0.5)),"重大",IF(OR($N151="Usage spike",$N151="Usage drop"),"高","中"))))</f>
        <v/>
      </c>
      <c r="P151" s="144">
        <f>IF(OR($N151="",$N151="正常"),0,ABS($I151-$J151)*'エネルギーデータ入力'!$O151)</f>
        <v/>
      </c>
      <c r="Q151" s="102">
        <f>IF($N151="正常","",IF($N151="Stalled reading / possibly offline","核查表计通信/電気池/网关/阀门Status",IF(AND($H151="水道",$N151&lt;&gt;"正常"),"检查管网、阀门、卫生间、冷却塔及夜间最小流量",IF(AND($H151="電気",$N151&lt;&gt;"正常"),"检查空调、照明、生产设备、PeakOff-peak时段与待机功耗",IF(AND($H151="ガス",$N151&lt;&gt;"正常"),"检查燃ガス阀门、锅炉/厨房设备与泄漏风险","核查设备工况、排班、产量与计量数据")))))</f>
        <v/>
      </c>
      <c r="R151" s="102">
        <f>IF($H151="","",IFERROR(VLOOKUP($H151,'基本設定'!$A$13:$K$19,11,FALSE),"Energy management owner"))</f>
        <v/>
      </c>
      <c r="S151" s="102">
        <f>IF($N151="","",IF($N151="正常","対応不要","未対応"))</f>
        <v/>
      </c>
      <c r="T151" s="141">
        <f>IF(OR($B151="",$N151="正常"),"",WORKDAY($B151,IF($O151="重大",1,IF($O151="高",2,3))))</f>
        <v/>
      </c>
      <c r="U151" s="102">
        <f>IF($T151="","",IF(AND($S151&lt;&gt;"完了",TODAY()&gt;$T151),"期限超過","期限内"))</f>
        <v/>
      </c>
      <c r="V151" s="102" t="n"/>
      <c r="W151" s="141" t="n"/>
      <c r="X151" s="102" t="n"/>
    </row>
    <row r="152">
      <c r="A152" s="102">
        <f>IF('エネルギーデータ入力'!$A152="","","AL-"&amp;TEXT(ROW()-5,"0000"))</f>
        <v/>
      </c>
      <c r="B152" s="141">
        <f>IF('エネルギーデータ入力'!$B152="","",'エネルギーデータ入力'!$B152)</f>
        <v/>
      </c>
      <c r="C152" s="102">
        <f>IF('エネルギーデータ入力'!$C152="","",'エネルギーデータ入力'!$C152)</f>
        <v/>
      </c>
      <c r="D152" s="102">
        <f>IF('エネルギーデータ入力'!$D152="","",'エネルギーデータ入力'!$D152)</f>
        <v/>
      </c>
      <c r="E152" s="102">
        <f>IF('エネルギーデータ入力'!$E152="","",'エネルギーデータ入力'!$E152)</f>
        <v/>
      </c>
      <c r="F152" s="102">
        <f>IF('エネルギーデータ入力'!$G152="","",'エネルギーデータ入力'!$G152)</f>
        <v/>
      </c>
      <c r="G152" s="102">
        <f>IF('エネルギーデータ入力'!$H152="","",'エネルギーデータ入力'!$H152)</f>
        <v/>
      </c>
      <c r="H152" s="102">
        <f>IF('エネルギーデータ入力'!$J152="","",'エネルギーデータ入力'!$J152)</f>
        <v/>
      </c>
      <c r="I152" s="142">
        <f>IF('エネルギーデータ入力'!$N152="","",'エネルギーデータ入力'!$N152)</f>
        <v/>
      </c>
      <c r="J152" s="142">
        <f>IF($B152="","",IFERROR(AVERAGEIFS('エネルギーデータ入力'!$N$6:$N$205,'エネルギーデータ入力'!$B$6:$B$205,"&gt;="&amp;$B152-7,'エネルギーデータ入力'!$B$6:$B$205,"&lt;"&amp;$B152,'エネルギーデータ入力'!$H$6:$H$205,$G152,'エネルギーデータ入力'!$J$6:$J$205,$H152),$I152))</f>
        <v/>
      </c>
      <c r="K152" s="143">
        <f>IFERROR(($I152-$J152)/$J152,"")</f>
        <v/>
      </c>
      <c r="L152" s="102">
        <f>IF('エネルギーデータ入力'!$V152="","",'エネルギーデータ入力'!$V152)</f>
        <v/>
      </c>
      <c r="M152" s="102">
        <f>IF($H152="","",IFERROR(VLOOKUP($H152,'基本設定'!$A$13:$K$19,5,FALSE),0.2))</f>
        <v/>
      </c>
      <c r="N152" s="102">
        <f>IF($B152="","",IF('エネルギーデータ入力'!$L152="","Missing reading",IF($I152=0,"Stalled reading / possibly offline",IF($K152&gt;=IFERROR(VLOOKUP($H152,'基本設定'!$A$13:$K$19,6,FALSE),0.5),"Severe spike",IF($K152&gt;=$M152,"Usage spike",IF($K152&lt;=-IFERROR(VLOOKUP($H152,'基本設定'!$A$13:$K$19,7,FALSE),0.3),"Usage drop",IF($L152&gt;IFERROR(VLOOKUP($H152,'基本設定'!$A$13:$K$19,8,FALSE),999999),"Area intensity overrun","正常")))))))</f>
        <v/>
      </c>
      <c r="O152" s="102">
        <f>IF($N152="","",IF($N152="正常","正常",IF(OR($N152="Severe spike",$K152&gt;=IFERROR(VLOOKUP($H152,'基本設定'!$A$13:$K$19,6,FALSE),0.5)),"重大",IF(OR($N152="Usage spike",$N152="Usage drop"),"高","中"))))</f>
        <v/>
      </c>
      <c r="P152" s="144">
        <f>IF(OR($N152="",$N152="正常"),0,ABS($I152-$J152)*'エネルギーデータ入力'!$O152)</f>
        <v/>
      </c>
      <c r="Q152" s="102">
        <f>IF($N152="正常","",IF($N152="Stalled reading / possibly offline","核查表计通信/電気池/网关/阀门Status",IF(AND($H152="水道",$N152&lt;&gt;"正常"),"检查管网、阀门、卫生间、冷却塔及夜间最小流量",IF(AND($H152="電気",$N152&lt;&gt;"正常"),"检查空调、照明、生产设备、PeakOff-peak时段与待机功耗",IF(AND($H152="ガス",$N152&lt;&gt;"正常"),"检查燃ガス阀门、锅炉/厨房设备与泄漏风险","核查设备工况、排班、产量与计量数据")))))</f>
        <v/>
      </c>
      <c r="R152" s="102">
        <f>IF($H152="","",IFERROR(VLOOKUP($H152,'基本設定'!$A$13:$K$19,11,FALSE),"Energy management owner"))</f>
        <v/>
      </c>
      <c r="S152" s="102">
        <f>IF($N152="","",IF($N152="正常","対応不要","未対応"))</f>
        <v/>
      </c>
      <c r="T152" s="141">
        <f>IF(OR($B152="",$N152="正常"),"",WORKDAY($B152,IF($O152="重大",1,IF($O152="高",2,3))))</f>
        <v/>
      </c>
      <c r="U152" s="102">
        <f>IF($T152="","",IF(AND($S152&lt;&gt;"完了",TODAY()&gt;$T152),"期限超過","期限内"))</f>
        <v/>
      </c>
      <c r="V152" s="102" t="n"/>
      <c r="W152" s="141" t="n"/>
      <c r="X152" s="102" t="n"/>
    </row>
    <row r="153">
      <c r="A153" s="102">
        <f>IF('エネルギーデータ入力'!$A153="","","AL-"&amp;TEXT(ROW()-5,"0000"))</f>
        <v/>
      </c>
      <c r="B153" s="141">
        <f>IF('エネルギーデータ入力'!$B153="","",'エネルギーデータ入力'!$B153)</f>
        <v/>
      </c>
      <c r="C153" s="102">
        <f>IF('エネルギーデータ入力'!$C153="","",'エネルギーデータ入力'!$C153)</f>
        <v/>
      </c>
      <c r="D153" s="102">
        <f>IF('エネルギーデータ入力'!$D153="","",'エネルギーデータ入力'!$D153)</f>
        <v/>
      </c>
      <c r="E153" s="102">
        <f>IF('エネルギーデータ入力'!$E153="","",'エネルギーデータ入力'!$E153)</f>
        <v/>
      </c>
      <c r="F153" s="102">
        <f>IF('エネルギーデータ入力'!$G153="","",'エネルギーデータ入力'!$G153)</f>
        <v/>
      </c>
      <c r="G153" s="102">
        <f>IF('エネルギーデータ入力'!$H153="","",'エネルギーデータ入力'!$H153)</f>
        <v/>
      </c>
      <c r="H153" s="102">
        <f>IF('エネルギーデータ入力'!$J153="","",'エネルギーデータ入力'!$J153)</f>
        <v/>
      </c>
      <c r="I153" s="142">
        <f>IF('エネルギーデータ入力'!$N153="","",'エネルギーデータ入力'!$N153)</f>
        <v/>
      </c>
      <c r="J153" s="142">
        <f>IF($B153="","",IFERROR(AVERAGEIFS('エネルギーデータ入力'!$N$6:$N$205,'エネルギーデータ入力'!$B$6:$B$205,"&gt;="&amp;$B153-7,'エネルギーデータ入力'!$B$6:$B$205,"&lt;"&amp;$B153,'エネルギーデータ入力'!$H$6:$H$205,$G153,'エネルギーデータ入力'!$J$6:$J$205,$H153),$I153))</f>
        <v/>
      </c>
      <c r="K153" s="143">
        <f>IFERROR(($I153-$J153)/$J153,"")</f>
        <v/>
      </c>
      <c r="L153" s="102">
        <f>IF('エネルギーデータ入力'!$V153="","",'エネルギーデータ入力'!$V153)</f>
        <v/>
      </c>
      <c r="M153" s="102">
        <f>IF($H153="","",IFERROR(VLOOKUP($H153,'基本設定'!$A$13:$K$19,5,FALSE),0.2))</f>
        <v/>
      </c>
      <c r="N153" s="102">
        <f>IF($B153="","",IF('エネルギーデータ入力'!$L153="","Missing reading",IF($I153=0,"Stalled reading / possibly offline",IF($K153&gt;=IFERROR(VLOOKUP($H153,'基本設定'!$A$13:$K$19,6,FALSE),0.5),"Severe spike",IF($K153&gt;=$M153,"Usage spike",IF($K153&lt;=-IFERROR(VLOOKUP($H153,'基本設定'!$A$13:$K$19,7,FALSE),0.3),"Usage drop",IF($L153&gt;IFERROR(VLOOKUP($H153,'基本設定'!$A$13:$K$19,8,FALSE),999999),"Area intensity overrun","正常")))))))</f>
        <v/>
      </c>
      <c r="O153" s="102">
        <f>IF($N153="","",IF($N153="正常","正常",IF(OR($N153="Severe spike",$K153&gt;=IFERROR(VLOOKUP($H153,'基本設定'!$A$13:$K$19,6,FALSE),0.5)),"重大",IF(OR($N153="Usage spike",$N153="Usage drop"),"高","中"))))</f>
        <v/>
      </c>
      <c r="P153" s="144">
        <f>IF(OR($N153="",$N153="正常"),0,ABS($I153-$J153)*'エネルギーデータ入力'!$O153)</f>
        <v/>
      </c>
      <c r="Q153" s="102">
        <f>IF($N153="正常","",IF($N153="Stalled reading / possibly offline","核查表计通信/電気池/网关/阀门Status",IF(AND($H153="水道",$N153&lt;&gt;"正常"),"检查管网、阀门、卫生间、冷却塔及夜间最小流量",IF(AND($H153="電気",$N153&lt;&gt;"正常"),"检查空调、照明、生产设备、PeakOff-peak时段与待机功耗",IF(AND($H153="ガス",$N153&lt;&gt;"正常"),"检查燃ガス阀门、锅炉/厨房设备与泄漏风险","核查设备工况、排班、产量与计量数据")))))</f>
        <v/>
      </c>
      <c r="R153" s="102">
        <f>IF($H153="","",IFERROR(VLOOKUP($H153,'基本設定'!$A$13:$K$19,11,FALSE),"Energy management owner"))</f>
        <v/>
      </c>
      <c r="S153" s="102">
        <f>IF($N153="","",IF($N153="正常","対応不要","未対応"))</f>
        <v/>
      </c>
      <c r="T153" s="141">
        <f>IF(OR($B153="",$N153="正常"),"",WORKDAY($B153,IF($O153="重大",1,IF($O153="高",2,3))))</f>
        <v/>
      </c>
      <c r="U153" s="102">
        <f>IF($T153="","",IF(AND($S153&lt;&gt;"完了",TODAY()&gt;$T153),"期限超過","期限内"))</f>
        <v/>
      </c>
      <c r="V153" s="102" t="n"/>
      <c r="W153" s="141" t="n"/>
      <c r="X153" s="102" t="n"/>
    </row>
    <row r="154">
      <c r="A154" s="102">
        <f>IF('エネルギーデータ入力'!$A154="","","AL-"&amp;TEXT(ROW()-5,"0000"))</f>
        <v/>
      </c>
      <c r="B154" s="141">
        <f>IF('エネルギーデータ入力'!$B154="","",'エネルギーデータ入力'!$B154)</f>
        <v/>
      </c>
      <c r="C154" s="102">
        <f>IF('エネルギーデータ入力'!$C154="","",'エネルギーデータ入力'!$C154)</f>
        <v/>
      </c>
      <c r="D154" s="102">
        <f>IF('エネルギーデータ入力'!$D154="","",'エネルギーデータ入力'!$D154)</f>
        <v/>
      </c>
      <c r="E154" s="102">
        <f>IF('エネルギーデータ入力'!$E154="","",'エネルギーデータ入力'!$E154)</f>
        <v/>
      </c>
      <c r="F154" s="102">
        <f>IF('エネルギーデータ入力'!$G154="","",'エネルギーデータ入力'!$G154)</f>
        <v/>
      </c>
      <c r="G154" s="102">
        <f>IF('エネルギーデータ入力'!$H154="","",'エネルギーデータ入力'!$H154)</f>
        <v/>
      </c>
      <c r="H154" s="102">
        <f>IF('エネルギーデータ入力'!$J154="","",'エネルギーデータ入力'!$J154)</f>
        <v/>
      </c>
      <c r="I154" s="142">
        <f>IF('エネルギーデータ入力'!$N154="","",'エネルギーデータ入力'!$N154)</f>
        <v/>
      </c>
      <c r="J154" s="142">
        <f>IF($B154="","",IFERROR(AVERAGEIFS('エネルギーデータ入力'!$N$6:$N$205,'エネルギーデータ入力'!$B$6:$B$205,"&gt;="&amp;$B154-7,'エネルギーデータ入力'!$B$6:$B$205,"&lt;"&amp;$B154,'エネルギーデータ入力'!$H$6:$H$205,$G154,'エネルギーデータ入力'!$J$6:$J$205,$H154),$I154))</f>
        <v/>
      </c>
      <c r="K154" s="143">
        <f>IFERROR(($I154-$J154)/$J154,"")</f>
        <v/>
      </c>
      <c r="L154" s="102">
        <f>IF('エネルギーデータ入力'!$V154="","",'エネルギーデータ入力'!$V154)</f>
        <v/>
      </c>
      <c r="M154" s="102">
        <f>IF($H154="","",IFERROR(VLOOKUP($H154,'基本設定'!$A$13:$K$19,5,FALSE),0.2))</f>
        <v/>
      </c>
      <c r="N154" s="102">
        <f>IF($B154="","",IF('エネルギーデータ入力'!$L154="","Missing reading",IF($I154=0,"Stalled reading / possibly offline",IF($K154&gt;=IFERROR(VLOOKUP($H154,'基本設定'!$A$13:$K$19,6,FALSE),0.5),"Severe spike",IF($K154&gt;=$M154,"Usage spike",IF($K154&lt;=-IFERROR(VLOOKUP($H154,'基本設定'!$A$13:$K$19,7,FALSE),0.3),"Usage drop",IF($L154&gt;IFERROR(VLOOKUP($H154,'基本設定'!$A$13:$K$19,8,FALSE),999999),"Area intensity overrun","正常")))))))</f>
        <v/>
      </c>
      <c r="O154" s="102">
        <f>IF($N154="","",IF($N154="正常","正常",IF(OR($N154="Severe spike",$K154&gt;=IFERROR(VLOOKUP($H154,'基本設定'!$A$13:$K$19,6,FALSE),0.5)),"重大",IF(OR($N154="Usage spike",$N154="Usage drop"),"高","中"))))</f>
        <v/>
      </c>
      <c r="P154" s="144">
        <f>IF(OR($N154="",$N154="正常"),0,ABS($I154-$J154)*'エネルギーデータ入力'!$O154)</f>
        <v/>
      </c>
      <c r="Q154" s="102">
        <f>IF($N154="正常","",IF($N154="Stalled reading / possibly offline","核查表计通信/電気池/网关/阀门Status",IF(AND($H154="水道",$N154&lt;&gt;"正常"),"检查管网、阀门、卫生间、冷却塔及夜间最小流量",IF(AND($H154="電気",$N154&lt;&gt;"正常"),"检查空调、照明、生产设备、PeakOff-peak时段与待机功耗",IF(AND($H154="ガス",$N154&lt;&gt;"正常"),"检查燃ガス阀门、锅炉/厨房设备与泄漏风险","核查设备工况、排班、产量与计量数据")))))</f>
        <v/>
      </c>
      <c r="R154" s="102">
        <f>IF($H154="","",IFERROR(VLOOKUP($H154,'基本設定'!$A$13:$K$19,11,FALSE),"Energy management owner"))</f>
        <v/>
      </c>
      <c r="S154" s="102">
        <f>IF($N154="","",IF($N154="正常","対応不要","未対応"))</f>
        <v/>
      </c>
      <c r="T154" s="141">
        <f>IF(OR($B154="",$N154="正常"),"",WORKDAY($B154,IF($O154="重大",1,IF($O154="高",2,3))))</f>
        <v/>
      </c>
      <c r="U154" s="102">
        <f>IF($T154="","",IF(AND($S154&lt;&gt;"完了",TODAY()&gt;$T154),"期限超過","期限内"))</f>
        <v/>
      </c>
      <c r="V154" s="102" t="n"/>
      <c r="W154" s="141" t="n"/>
      <c r="X154" s="102" t="n"/>
    </row>
    <row r="155">
      <c r="A155" s="102">
        <f>IF('エネルギーデータ入力'!$A155="","","AL-"&amp;TEXT(ROW()-5,"0000"))</f>
        <v/>
      </c>
      <c r="B155" s="141">
        <f>IF('エネルギーデータ入力'!$B155="","",'エネルギーデータ入力'!$B155)</f>
        <v/>
      </c>
      <c r="C155" s="102">
        <f>IF('エネルギーデータ入力'!$C155="","",'エネルギーデータ入力'!$C155)</f>
        <v/>
      </c>
      <c r="D155" s="102">
        <f>IF('エネルギーデータ入力'!$D155="","",'エネルギーデータ入力'!$D155)</f>
        <v/>
      </c>
      <c r="E155" s="102">
        <f>IF('エネルギーデータ入力'!$E155="","",'エネルギーデータ入力'!$E155)</f>
        <v/>
      </c>
      <c r="F155" s="102">
        <f>IF('エネルギーデータ入力'!$G155="","",'エネルギーデータ入力'!$G155)</f>
        <v/>
      </c>
      <c r="G155" s="102">
        <f>IF('エネルギーデータ入力'!$H155="","",'エネルギーデータ入力'!$H155)</f>
        <v/>
      </c>
      <c r="H155" s="102">
        <f>IF('エネルギーデータ入力'!$J155="","",'エネルギーデータ入力'!$J155)</f>
        <v/>
      </c>
      <c r="I155" s="142">
        <f>IF('エネルギーデータ入力'!$N155="","",'エネルギーデータ入力'!$N155)</f>
        <v/>
      </c>
      <c r="J155" s="142">
        <f>IF($B155="","",IFERROR(AVERAGEIFS('エネルギーデータ入力'!$N$6:$N$205,'エネルギーデータ入力'!$B$6:$B$205,"&gt;="&amp;$B155-7,'エネルギーデータ入力'!$B$6:$B$205,"&lt;"&amp;$B155,'エネルギーデータ入力'!$H$6:$H$205,$G155,'エネルギーデータ入力'!$J$6:$J$205,$H155),$I155))</f>
        <v/>
      </c>
      <c r="K155" s="143">
        <f>IFERROR(($I155-$J155)/$J155,"")</f>
        <v/>
      </c>
      <c r="L155" s="102">
        <f>IF('エネルギーデータ入力'!$V155="","",'エネルギーデータ入力'!$V155)</f>
        <v/>
      </c>
      <c r="M155" s="102">
        <f>IF($H155="","",IFERROR(VLOOKUP($H155,'基本設定'!$A$13:$K$19,5,FALSE),0.2))</f>
        <v/>
      </c>
      <c r="N155" s="102">
        <f>IF($B155="","",IF('エネルギーデータ入力'!$L155="","Missing reading",IF($I155=0,"Stalled reading / possibly offline",IF($K155&gt;=IFERROR(VLOOKUP($H155,'基本設定'!$A$13:$K$19,6,FALSE),0.5),"Severe spike",IF($K155&gt;=$M155,"Usage spike",IF($K155&lt;=-IFERROR(VLOOKUP($H155,'基本設定'!$A$13:$K$19,7,FALSE),0.3),"Usage drop",IF($L155&gt;IFERROR(VLOOKUP($H155,'基本設定'!$A$13:$K$19,8,FALSE),999999),"Area intensity overrun","正常")))))))</f>
        <v/>
      </c>
      <c r="O155" s="102">
        <f>IF($N155="","",IF($N155="正常","正常",IF(OR($N155="Severe spike",$K155&gt;=IFERROR(VLOOKUP($H155,'基本設定'!$A$13:$K$19,6,FALSE),0.5)),"重大",IF(OR($N155="Usage spike",$N155="Usage drop"),"高","中"))))</f>
        <v/>
      </c>
      <c r="P155" s="144">
        <f>IF(OR($N155="",$N155="正常"),0,ABS($I155-$J155)*'エネルギーデータ入力'!$O155)</f>
        <v/>
      </c>
      <c r="Q155" s="102">
        <f>IF($N155="正常","",IF($N155="Stalled reading / possibly offline","核查表计通信/電気池/网关/阀门Status",IF(AND($H155="水道",$N155&lt;&gt;"正常"),"检查管网、阀门、卫生间、冷却塔及夜间最小流量",IF(AND($H155="電気",$N155&lt;&gt;"正常"),"检查空调、照明、生产设备、PeakOff-peak时段与待机功耗",IF(AND($H155="ガス",$N155&lt;&gt;"正常"),"检查燃ガス阀门、锅炉/厨房设备与泄漏风险","核查设备工况、排班、产量与计量数据")))))</f>
        <v/>
      </c>
      <c r="R155" s="102">
        <f>IF($H155="","",IFERROR(VLOOKUP($H155,'基本設定'!$A$13:$K$19,11,FALSE),"Energy management owner"))</f>
        <v/>
      </c>
      <c r="S155" s="102">
        <f>IF($N155="","",IF($N155="正常","対応不要","未対応"))</f>
        <v/>
      </c>
      <c r="T155" s="141">
        <f>IF(OR($B155="",$N155="正常"),"",WORKDAY($B155,IF($O155="重大",1,IF($O155="高",2,3))))</f>
        <v/>
      </c>
      <c r="U155" s="102">
        <f>IF($T155="","",IF(AND($S155&lt;&gt;"完了",TODAY()&gt;$T155),"期限超過","期限内"))</f>
        <v/>
      </c>
      <c r="V155" s="102" t="n"/>
      <c r="W155" s="141" t="n"/>
      <c r="X155" s="102" t="n"/>
    </row>
    <row r="156">
      <c r="A156" s="102">
        <f>IF('エネルギーデータ入力'!$A156="","","AL-"&amp;TEXT(ROW()-5,"0000"))</f>
        <v/>
      </c>
      <c r="B156" s="141">
        <f>IF('エネルギーデータ入力'!$B156="","",'エネルギーデータ入力'!$B156)</f>
        <v/>
      </c>
      <c r="C156" s="102">
        <f>IF('エネルギーデータ入力'!$C156="","",'エネルギーデータ入力'!$C156)</f>
        <v/>
      </c>
      <c r="D156" s="102">
        <f>IF('エネルギーデータ入力'!$D156="","",'エネルギーデータ入力'!$D156)</f>
        <v/>
      </c>
      <c r="E156" s="102">
        <f>IF('エネルギーデータ入力'!$E156="","",'エネルギーデータ入力'!$E156)</f>
        <v/>
      </c>
      <c r="F156" s="102">
        <f>IF('エネルギーデータ入力'!$G156="","",'エネルギーデータ入力'!$G156)</f>
        <v/>
      </c>
      <c r="G156" s="102">
        <f>IF('エネルギーデータ入力'!$H156="","",'エネルギーデータ入力'!$H156)</f>
        <v/>
      </c>
      <c r="H156" s="102">
        <f>IF('エネルギーデータ入力'!$J156="","",'エネルギーデータ入力'!$J156)</f>
        <v/>
      </c>
      <c r="I156" s="142">
        <f>IF('エネルギーデータ入力'!$N156="","",'エネルギーデータ入力'!$N156)</f>
        <v/>
      </c>
      <c r="J156" s="142">
        <f>IF($B156="","",IFERROR(AVERAGEIFS('エネルギーデータ入力'!$N$6:$N$205,'エネルギーデータ入力'!$B$6:$B$205,"&gt;="&amp;$B156-7,'エネルギーデータ入力'!$B$6:$B$205,"&lt;"&amp;$B156,'エネルギーデータ入力'!$H$6:$H$205,$G156,'エネルギーデータ入力'!$J$6:$J$205,$H156),$I156))</f>
        <v/>
      </c>
      <c r="K156" s="143">
        <f>IFERROR(($I156-$J156)/$J156,"")</f>
        <v/>
      </c>
      <c r="L156" s="102">
        <f>IF('エネルギーデータ入力'!$V156="","",'エネルギーデータ入力'!$V156)</f>
        <v/>
      </c>
      <c r="M156" s="102">
        <f>IF($H156="","",IFERROR(VLOOKUP($H156,'基本設定'!$A$13:$K$19,5,FALSE),0.2))</f>
        <v/>
      </c>
      <c r="N156" s="102">
        <f>IF($B156="","",IF('エネルギーデータ入力'!$L156="","Missing reading",IF($I156=0,"Stalled reading / possibly offline",IF($K156&gt;=IFERROR(VLOOKUP($H156,'基本設定'!$A$13:$K$19,6,FALSE),0.5),"Severe spike",IF($K156&gt;=$M156,"Usage spike",IF($K156&lt;=-IFERROR(VLOOKUP($H156,'基本設定'!$A$13:$K$19,7,FALSE),0.3),"Usage drop",IF($L156&gt;IFERROR(VLOOKUP($H156,'基本設定'!$A$13:$K$19,8,FALSE),999999),"Area intensity overrun","正常")))))))</f>
        <v/>
      </c>
      <c r="O156" s="102">
        <f>IF($N156="","",IF($N156="正常","正常",IF(OR($N156="Severe spike",$K156&gt;=IFERROR(VLOOKUP($H156,'基本設定'!$A$13:$K$19,6,FALSE),0.5)),"重大",IF(OR($N156="Usage spike",$N156="Usage drop"),"高","中"))))</f>
        <v/>
      </c>
      <c r="P156" s="144">
        <f>IF(OR($N156="",$N156="正常"),0,ABS($I156-$J156)*'エネルギーデータ入力'!$O156)</f>
        <v/>
      </c>
      <c r="Q156" s="102">
        <f>IF($N156="正常","",IF($N156="Stalled reading / possibly offline","核查表计通信/電気池/网关/阀门Status",IF(AND($H156="水道",$N156&lt;&gt;"正常"),"检查管网、阀门、卫生间、冷却塔及夜间最小流量",IF(AND($H156="電気",$N156&lt;&gt;"正常"),"检查空调、照明、生产设备、PeakOff-peak时段与待机功耗",IF(AND($H156="ガス",$N156&lt;&gt;"正常"),"检查燃ガス阀门、锅炉/厨房设备与泄漏风险","核查设备工况、排班、产量与计量数据")))))</f>
        <v/>
      </c>
      <c r="R156" s="102">
        <f>IF($H156="","",IFERROR(VLOOKUP($H156,'基本設定'!$A$13:$K$19,11,FALSE),"Energy management owner"))</f>
        <v/>
      </c>
      <c r="S156" s="102">
        <f>IF($N156="","",IF($N156="正常","対応不要","未対応"))</f>
        <v/>
      </c>
      <c r="T156" s="141">
        <f>IF(OR($B156="",$N156="正常"),"",WORKDAY($B156,IF($O156="重大",1,IF($O156="高",2,3))))</f>
        <v/>
      </c>
      <c r="U156" s="102">
        <f>IF($T156="","",IF(AND($S156&lt;&gt;"完了",TODAY()&gt;$T156),"期限超過","期限内"))</f>
        <v/>
      </c>
      <c r="V156" s="102" t="n"/>
      <c r="W156" s="141" t="n"/>
      <c r="X156" s="102" t="n"/>
    </row>
    <row r="157">
      <c r="A157" s="102">
        <f>IF('エネルギーデータ入力'!$A157="","","AL-"&amp;TEXT(ROW()-5,"0000"))</f>
        <v/>
      </c>
      <c r="B157" s="141">
        <f>IF('エネルギーデータ入力'!$B157="","",'エネルギーデータ入力'!$B157)</f>
        <v/>
      </c>
      <c r="C157" s="102">
        <f>IF('エネルギーデータ入力'!$C157="","",'エネルギーデータ入力'!$C157)</f>
        <v/>
      </c>
      <c r="D157" s="102">
        <f>IF('エネルギーデータ入力'!$D157="","",'エネルギーデータ入力'!$D157)</f>
        <v/>
      </c>
      <c r="E157" s="102">
        <f>IF('エネルギーデータ入力'!$E157="","",'エネルギーデータ入力'!$E157)</f>
        <v/>
      </c>
      <c r="F157" s="102">
        <f>IF('エネルギーデータ入力'!$G157="","",'エネルギーデータ入力'!$G157)</f>
        <v/>
      </c>
      <c r="G157" s="102">
        <f>IF('エネルギーデータ入力'!$H157="","",'エネルギーデータ入力'!$H157)</f>
        <v/>
      </c>
      <c r="H157" s="102">
        <f>IF('エネルギーデータ入力'!$J157="","",'エネルギーデータ入力'!$J157)</f>
        <v/>
      </c>
      <c r="I157" s="142">
        <f>IF('エネルギーデータ入力'!$N157="","",'エネルギーデータ入力'!$N157)</f>
        <v/>
      </c>
      <c r="J157" s="142">
        <f>IF($B157="","",IFERROR(AVERAGEIFS('エネルギーデータ入力'!$N$6:$N$205,'エネルギーデータ入力'!$B$6:$B$205,"&gt;="&amp;$B157-7,'エネルギーデータ入力'!$B$6:$B$205,"&lt;"&amp;$B157,'エネルギーデータ入力'!$H$6:$H$205,$G157,'エネルギーデータ入力'!$J$6:$J$205,$H157),$I157))</f>
        <v/>
      </c>
      <c r="K157" s="143">
        <f>IFERROR(($I157-$J157)/$J157,"")</f>
        <v/>
      </c>
      <c r="L157" s="102">
        <f>IF('エネルギーデータ入力'!$V157="","",'エネルギーデータ入力'!$V157)</f>
        <v/>
      </c>
      <c r="M157" s="102">
        <f>IF($H157="","",IFERROR(VLOOKUP($H157,'基本設定'!$A$13:$K$19,5,FALSE),0.2))</f>
        <v/>
      </c>
      <c r="N157" s="102">
        <f>IF($B157="","",IF('エネルギーデータ入力'!$L157="","Missing reading",IF($I157=0,"Stalled reading / possibly offline",IF($K157&gt;=IFERROR(VLOOKUP($H157,'基本設定'!$A$13:$K$19,6,FALSE),0.5),"Severe spike",IF($K157&gt;=$M157,"Usage spike",IF($K157&lt;=-IFERROR(VLOOKUP($H157,'基本設定'!$A$13:$K$19,7,FALSE),0.3),"Usage drop",IF($L157&gt;IFERROR(VLOOKUP($H157,'基本設定'!$A$13:$K$19,8,FALSE),999999),"Area intensity overrun","正常")))))))</f>
        <v/>
      </c>
      <c r="O157" s="102">
        <f>IF($N157="","",IF($N157="正常","正常",IF(OR($N157="Severe spike",$K157&gt;=IFERROR(VLOOKUP($H157,'基本設定'!$A$13:$K$19,6,FALSE),0.5)),"重大",IF(OR($N157="Usage spike",$N157="Usage drop"),"高","中"))))</f>
        <v/>
      </c>
      <c r="P157" s="144">
        <f>IF(OR($N157="",$N157="正常"),0,ABS($I157-$J157)*'エネルギーデータ入力'!$O157)</f>
        <v/>
      </c>
      <c r="Q157" s="102">
        <f>IF($N157="正常","",IF($N157="Stalled reading / possibly offline","核查表计通信/電気池/网关/阀门Status",IF(AND($H157="水道",$N157&lt;&gt;"正常"),"检查管网、阀门、卫生间、冷却塔及夜间最小流量",IF(AND($H157="電気",$N157&lt;&gt;"正常"),"检查空调、照明、生产设备、PeakOff-peak时段与待机功耗",IF(AND($H157="ガス",$N157&lt;&gt;"正常"),"检查燃ガス阀门、锅炉/厨房设备与泄漏风险","核查设备工况、排班、产量与计量数据")))))</f>
        <v/>
      </c>
      <c r="R157" s="102">
        <f>IF($H157="","",IFERROR(VLOOKUP($H157,'基本設定'!$A$13:$K$19,11,FALSE),"Energy management owner"))</f>
        <v/>
      </c>
      <c r="S157" s="102">
        <f>IF($N157="","",IF($N157="正常","対応不要","未対応"))</f>
        <v/>
      </c>
      <c r="T157" s="141">
        <f>IF(OR($B157="",$N157="正常"),"",WORKDAY($B157,IF($O157="重大",1,IF($O157="高",2,3))))</f>
        <v/>
      </c>
      <c r="U157" s="102">
        <f>IF($T157="","",IF(AND($S157&lt;&gt;"完了",TODAY()&gt;$T157),"期限超過","期限内"))</f>
        <v/>
      </c>
      <c r="V157" s="102" t="n"/>
      <c r="W157" s="141" t="n"/>
      <c r="X157" s="102" t="n"/>
    </row>
    <row r="158">
      <c r="A158" s="102">
        <f>IF('エネルギーデータ入力'!$A158="","","AL-"&amp;TEXT(ROW()-5,"0000"))</f>
        <v/>
      </c>
      <c r="B158" s="141">
        <f>IF('エネルギーデータ入力'!$B158="","",'エネルギーデータ入力'!$B158)</f>
        <v/>
      </c>
      <c r="C158" s="102">
        <f>IF('エネルギーデータ入力'!$C158="","",'エネルギーデータ入力'!$C158)</f>
        <v/>
      </c>
      <c r="D158" s="102">
        <f>IF('エネルギーデータ入力'!$D158="","",'エネルギーデータ入力'!$D158)</f>
        <v/>
      </c>
      <c r="E158" s="102">
        <f>IF('エネルギーデータ入力'!$E158="","",'エネルギーデータ入力'!$E158)</f>
        <v/>
      </c>
      <c r="F158" s="102">
        <f>IF('エネルギーデータ入力'!$G158="","",'エネルギーデータ入力'!$G158)</f>
        <v/>
      </c>
      <c r="G158" s="102">
        <f>IF('エネルギーデータ入力'!$H158="","",'エネルギーデータ入力'!$H158)</f>
        <v/>
      </c>
      <c r="H158" s="102">
        <f>IF('エネルギーデータ入力'!$J158="","",'エネルギーデータ入力'!$J158)</f>
        <v/>
      </c>
      <c r="I158" s="142">
        <f>IF('エネルギーデータ入力'!$N158="","",'エネルギーデータ入力'!$N158)</f>
        <v/>
      </c>
      <c r="J158" s="142">
        <f>IF($B158="","",IFERROR(AVERAGEIFS('エネルギーデータ入力'!$N$6:$N$205,'エネルギーデータ入力'!$B$6:$B$205,"&gt;="&amp;$B158-7,'エネルギーデータ入力'!$B$6:$B$205,"&lt;"&amp;$B158,'エネルギーデータ入力'!$H$6:$H$205,$G158,'エネルギーデータ入力'!$J$6:$J$205,$H158),$I158))</f>
        <v/>
      </c>
      <c r="K158" s="143">
        <f>IFERROR(($I158-$J158)/$J158,"")</f>
        <v/>
      </c>
      <c r="L158" s="102">
        <f>IF('エネルギーデータ入力'!$V158="","",'エネルギーデータ入力'!$V158)</f>
        <v/>
      </c>
      <c r="M158" s="102">
        <f>IF($H158="","",IFERROR(VLOOKUP($H158,'基本設定'!$A$13:$K$19,5,FALSE),0.2))</f>
        <v/>
      </c>
      <c r="N158" s="102">
        <f>IF($B158="","",IF('エネルギーデータ入力'!$L158="","Missing reading",IF($I158=0,"Stalled reading / possibly offline",IF($K158&gt;=IFERROR(VLOOKUP($H158,'基本設定'!$A$13:$K$19,6,FALSE),0.5),"Severe spike",IF($K158&gt;=$M158,"Usage spike",IF($K158&lt;=-IFERROR(VLOOKUP($H158,'基本設定'!$A$13:$K$19,7,FALSE),0.3),"Usage drop",IF($L158&gt;IFERROR(VLOOKUP($H158,'基本設定'!$A$13:$K$19,8,FALSE),999999),"Area intensity overrun","正常")))))))</f>
        <v/>
      </c>
      <c r="O158" s="102">
        <f>IF($N158="","",IF($N158="正常","正常",IF(OR($N158="Severe spike",$K158&gt;=IFERROR(VLOOKUP($H158,'基本設定'!$A$13:$K$19,6,FALSE),0.5)),"重大",IF(OR($N158="Usage spike",$N158="Usage drop"),"高","中"))))</f>
        <v/>
      </c>
      <c r="P158" s="144">
        <f>IF(OR($N158="",$N158="正常"),0,ABS($I158-$J158)*'エネルギーデータ入力'!$O158)</f>
        <v/>
      </c>
      <c r="Q158" s="102">
        <f>IF($N158="正常","",IF($N158="Stalled reading / possibly offline","核查表计通信/電気池/网关/阀门Status",IF(AND($H158="水道",$N158&lt;&gt;"正常"),"检查管网、阀门、卫生间、冷却塔及夜间最小流量",IF(AND($H158="電気",$N158&lt;&gt;"正常"),"检查空调、照明、生产设备、PeakOff-peak时段与待机功耗",IF(AND($H158="ガス",$N158&lt;&gt;"正常"),"检查燃ガス阀门、锅炉/厨房设备与泄漏风险","核查设备工况、排班、产量与计量数据")))))</f>
        <v/>
      </c>
      <c r="R158" s="102">
        <f>IF($H158="","",IFERROR(VLOOKUP($H158,'基本設定'!$A$13:$K$19,11,FALSE),"Energy management owner"))</f>
        <v/>
      </c>
      <c r="S158" s="102">
        <f>IF($N158="","",IF($N158="正常","対応不要","未対応"))</f>
        <v/>
      </c>
      <c r="T158" s="141">
        <f>IF(OR($B158="",$N158="正常"),"",WORKDAY($B158,IF($O158="重大",1,IF($O158="高",2,3))))</f>
        <v/>
      </c>
      <c r="U158" s="102">
        <f>IF($T158="","",IF(AND($S158&lt;&gt;"完了",TODAY()&gt;$T158),"期限超過","期限内"))</f>
        <v/>
      </c>
      <c r="V158" s="102" t="n"/>
      <c r="W158" s="141" t="n"/>
      <c r="X158" s="102" t="n"/>
    </row>
    <row r="159">
      <c r="A159" s="102">
        <f>IF('エネルギーデータ入力'!$A159="","","AL-"&amp;TEXT(ROW()-5,"0000"))</f>
        <v/>
      </c>
      <c r="B159" s="141">
        <f>IF('エネルギーデータ入力'!$B159="","",'エネルギーデータ入力'!$B159)</f>
        <v/>
      </c>
      <c r="C159" s="102">
        <f>IF('エネルギーデータ入力'!$C159="","",'エネルギーデータ入力'!$C159)</f>
        <v/>
      </c>
      <c r="D159" s="102">
        <f>IF('エネルギーデータ入力'!$D159="","",'エネルギーデータ入力'!$D159)</f>
        <v/>
      </c>
      <c r="E159" s="102">
        <f>IF('エネルギーデータ入力'!$E159="","",'エネルギーデータ入力'!$E159)</f>
        <v/>
      </c>
      <c r="F159" s="102">
        <f>IF('エネルギーデータ入力'!$G159="","",'エネルギーデータ入力'!$G159)</f>
        <v/>
      </c>
      <c r="G159" s="102">
        <f>IF('エネルギーデータ入力'!$H159="","",'エネルギーデータ入力'!$H159)</f>
        <v/>
      </c>
      <c r="H159" s="102">
        <f>IF('エネルギーデータ入力'!$J159="","",'エネルギーデータ入力'!$J159)</f>
        <v/>
      </c>
      <c r="I159" s="142">
        <f>IF('エネルギーデータ入力'!$N159="","",'エネルギーデータ入力'!$N159)</f>
        <v/>
      </c>
      <c r="J159" s="142">
        <f>IF($B159="","",IFERROR(AVERAGEIFS('エネルギーデータ入力'!$N$6:$N$205,'エネルギーデータ入力'!$B$6:$B$205,"&gt;="&amp;$B159-7,'エネルギーデータ入力'!$B$6:$B$205,"&lt;"&amp;$B159,'エネルギーデータ入力'!$H$6:$H$205,$G159,'エネルギーデータ入力'!$J$6:$J$205,$H159),$I159))</f>
        <v/>
      </c>
      <c r="K159" s="143">
        <f>IFERROR(($I159-$J159)/$J159,"")</f>
        <v/>
      </c>
      <c r="L159" s="102">
        <f>IF('エネルギーデータ入力'!$V159="","",'エネルギーデータ入力'!$V159)</f>
        <v/>
      </c>
      <c r="M159" s="102">
        <f>IF($H159="","",IFERROR(VLOOKUP($H159,'基本設定'!$A$13:$K$19,5,FALSE),0.2))</f>
        <v/>
      </c>
      <c r="N159" s="102">
        <f>IF($B159="","",IF('エネルギーデータ入力'!$L159="","Missing reading",IF($I159=0,"Stalled reading / possibly offline",IF($K159&gt;=IFERROR(VLOOKUP($H159,'基本設定'!$A$13:$K$19,6,FALSE),0.5),"Severe spike",IF($K159&gt;=$M159,"Usage spike",IF($K159&lt;=-IFERROR(VLOOKUP($H159,'基本設定'!$A$13:$K$19,7,FALSE),0.3),"Usage drop",IF($L159&gt;IFERROR(VLOOKUP($H159,'基本設定'!$A$13:$K$19,8,FALSE),999999),"Area intensity overrun","正常")))))))</f>
        <v/>
      </c>
      <c r="O159" s="102">
        <f>IF($N159="","",IF($N159="正常","正常",IF(OR($N159="Severe spike",$K159&gt;=IFERROR(VLOOKUP($H159,'基本設定'!$A$13:$K$19,6,FALSE),0.5)),"重大",IF(OR($N159="Usage spike",$N159="Usage drop"),"高","中"))))</f>
        <v/>
      </c>
      <c r="P159" s="144">
        <f>IF(OR($N159="",$N159="正常"),0,ABS($I159-$J159)*'エネルギーデータ入力'!$O159)</f>
        <v/>
      </c>
      <c r="Q159" s="102">
        <f>IF($N159="正常","",IF($N159="Stalled reading / possibly offline","核查表计通信/電気池/网关/阀门Status",IF(AND($H159="水道",$N159&lt;&gt;"正常"),"检查管网、阀门、卫生间、冷却塔及夜间最小流量",IF(AND($H159="電気",$N159&lt;&gt;"正常"),"检查空调、照明、生产设备、PeakOff-peak时段与待机功耗",IF(AND($H159="ガス",$N159&lt;&gt;"正常"),"检查燃ガス阀门、锅炉/厨房设备与泄漏风险","核查设备工况、排班、产量与计量数据")))))</f>
        <v/>
      </c>
      <c r="R159" s="102">
        <f>IF($H159="","",IFERROR(VLOOKUP($H159,'基本設定'!$A$13:$K$19,11,FALSE),"Energy management owner"))</f>
        <v/>
      </c>
      <c r="S159" s="102">
        <f>IF($N159="","",IF($N159="正常","対応不要","未対応"))</f>
        <v/>
      </c>
      <c r="T159" s="141">
        <f>IF(OR($B159="",$N159="正常"),"",WORKDAY($B159,IF($O159="重大",1,IF($O159="高",2,3))))</f>
        <v/>
      </c>
      <c r="U159" s="102">
        <f>IF($T159="","",IF(AND($S159&lt;&gt;"完了",TODAY()&gt;$T159),"期限超過","期限内"))</f>
        <v/>
      </c>
      <c r="V159" s="102" t="n"/>
      <c r="W159" s="141" t="n"/>
      <c r="X159" s="102" t="n"/>
    </row>
    <row r="160">
      <c r="A160" s="102">
        <f>IF('エネルギーデータ入力'!$A160="","","AL-"&amp;TEXT(ROW()-5,"0000"))</f>
        <v/>
      </c>
      <c r="B160" s="141">
        <f>IF('エネルギーデータ入力'!$B160="","",'エネルギーデータ入力'!$B160)</f>
        <v/>
      </c>
      <c r="C160" s="102">
        <f>IF('エネルギーデータ入力'!$C160="","",'エネルギーデータ入力'!$C160)</f>
        <v/>
      </c>
      <c r="D160" s="102">
        <f>IF('エネルギーデータ入力'!$D160="","",'エネルギーデータ入力'!$D160)</f>
        <v/>
      </c>
      <c r="E160" s="102">
        <f>IF('エネルギーデータ入力'!$E160="","",'エネルギーデータ入力'!$E160)</f>
        <v/>
      </c>
      <c r="F160" s="102">
        <f>IF('エネルギーデータ入力'!$G160="","",'エネルギーデータ入力'!$G160)</f>
        <v/>
      </c>
      <c r="G160" s="102">
        <f>IF('エネルギーデータ入力'!$H160="","",'エネルギーデータ入力'!$H160)</f>
        <v/>
      </c>
      <c r="H160" s="102">
        <f>IF('エネルギーデータ入力'!$J160="","",'エネルギーデータ入力'!$J160)</f>
        <v/>
      </c>
      <c r="I160" s="142">
        <f>IF('エネルギーデータ入力'!$N160="","",'エネルギーデータ入力'!$N160)</f>
        <v/>
      </c>
      <c r="J160" s="142">
        <f>IF($B160="","",IFERROR(AVERAGEIFS('エネルギーデータ入力'!$N$6:$N$205,'エネルギーデータ入力'!$B$6:$B$205,"&gt;="&amp;$B160-7,'エネルギーデータ入力'!$B$6:$B$205,"&lt;"&amp;$B160,'エネルギーデータ入力'!$H$6:$H$205,$G160,'エネルギーデータ入力'!$J$6:$J$205,$H160),$I160))</f>
        <v/>
      </c>
      <c r="K160" s="143">
        <f>IFERROR(($I160-$J160)/$J160,"")</f>
        <v/>
      </c>
      <c r="L160" s="102">
        <f>IF('エネルギーデータ入力'!$V160="","",'エネルギーデータ入力'!$V160)</f>
        <v/>
      </c>
      <c r="M160" s="102">
        <f>IF($H160="","",IFERROR(VLOOKUP($H160,'基本設定'!$A$13:$K$19,5,FALSE),0.2))</f>
        <v/>
      </c>
      <c r="N160" s="102">
        <f>IF($B160="","",IF('エネルギーデータ入力'!$L160="","Missing reading",IF($I160=0,"Stalled reading / possibly offline",IF($K160&gt;=IFERROR(VLOOKUP($H160,'基本設定'!$A$13:$K$19,6,FALSE),0.5),"Severe spike",IF($K160&gt;=$M160,"Usage spike",IF($K160&lt;=-IFERROR(VLOOKUP($H160,'基本設定'!$A$13:$K$19,7,FALSE),0.3),"Usage drop",IF($L160&gt;IFERROR(VLOOKUP($H160,'基本設定'!$A$13:$K$19,8,FALSE),999999),"Area intensity overrun","正常")))))))</f>
        <v/>
      </c>
      <c r="O160" s="102">
        <f>IF($N160="","",IF($N160="正常","正常",IF(OR($N160="Severe spike",$K160&gt;=IFERROR(VLOOKUP($H160,'基本設定'!$A$13:$K$19,6,FALSE),0.5)),"重大",IF(OR($N160="Usage spike",$N160="Usage drop"),"高","中"))))</f>
        <v/>
      </c>
      <c r="P160" s="144">
        <f>IF(OR($N160="",$N160="正常"),0,ABS($I160-$J160)*'エネルギーデータ入力'!$O160)</f>
        <v/>
      </c>
      <c r="Q160" s="102">
        <f>IF($N160="正常","",IF($N160="Stalled reading / possibly offline","核查表计通信/電気池/网关/阀门Status",IF(AND($H160="水道",$N160&lt;&gt;"正常"),"检查管网、阀门、卫生间、冷却塔及夜间最小流量",IF(AND($H160="電気",$N160&lt;&gt;"正常"),"检查空调、照明、生产设备、PeakOff-peak时段与待机功耗",IF(AND($H160="ガス",$N160&lt;&gt;"正常"),"检查燃ガス阀门、锅炉/厨房设备与泄漏风险","核查设备工况、排班、产量与计量数据")))))</f>
        <v/>
      </c>
      <c r="R160" s="102">
        <f>IF($H160="","",IFERROR(VLOOKUP($H160,'基本設定'!$A$13:$K$19,11,FALSE),"Energy management owner"))</f>
        <v/>
      </c>
      <c r="S160" s="102">
        <f>IF($N160="","",IF($N160="正常","対応不要","未対応"))</f>
        <v/>
      </c>
      <c r="T160" s="141">
        <f>IF(OR($B160="",$N160="正常"),"",WORKDAY($B160,IF($O160="重大",1,IF($O160="高",2,3))))</f>
        <v/>
      </c>
      <c r="U160" s="102">
        <f>IF($T160="","",IF(AND($S160&lt;&gt;"完了",TODAY()&gt;$T160),"期限超過","期限内"))</f>
        <v/>
      </c>
      <c r="V160" s="102" t="n"/>
      <c r="W160" s="141" t="n"/>
      <c r="X160" s="102" t="n"/>
    </row>
    <row r="161">
      <c r="A161" s="102">
        <f>IF('エネルギーデータ入力'!$A161="","","AL-"&amp;TEXT(ROW()-5,"0000"))</f>
        <v/>
      </c>
      <c r="B161" s="141">
        <f>IF('エネルギーデータ入力'!$B161="","",'エネルギーデータ入力'!$B161)</f>
        <v/>
      </c>
      <c r="C161" s="102">
        <f>IF('エネルギーデータ入力'!$C161="","",'エネルギーデータ入力'!$C161)</f>
        <v/>
      </c>
      <c r="D161" s="102">
        <f>IF('エネルギーデータ入力'!$D161="","",'エネルギーデータ入力'!$D161)</f>
        <v/>
      </c>
      <c r="E161" s="102">
        <f>IF('エネルギーデータ入力'!$E161="","",'エネルギーデータ入力'!$E161)</f>
        <v/>
      </c>
      <c r="F161" s="102">
        <f>IF('エネルギーデータ入力'!$G161="","",'エネルギーデータ入力'!$G161)</f>
        <v/>
      </c>
      <c r="G161" s="102">
        <f>IF('エネルギーデータ入力'!$H161="","",'エネルギーデータ入力'!$H161)</f>
        <v/>
      </c>
      <c r="H161" s="102">
        <f>IF('エネルギーデータ入力'!$J161="","",'エネルギーデータ入力'!$J161)</f>
        <v/>
      </c>
      <c r="I161" s="142">
        <f>IF('エネルギーデータ入力'!$N161="","",'エネルギーデータ入力'!$N161)</f>
        <v/>
      </c>
      <c r="J161" s="142">
        <f>IF($B161="","",IFERROR(AVERAGEIFS('エネルギーデータ入力'!$N$6:$N$205,'エネルギーデータ入力'!$B$6:$B$205,"&gt;="&amp;$B161-7,'エネルギーデータ入力'!$B$6:$B$205,"&lt;"&amp;$B161,'エネルギーデータ入力'!$H$6:$H$205,$G161,'エネルギーデータ入力'!$J$6:$J$205,$H161),$I161))</f>
        <v/>
      </c>
      <c r="K161" s="143">
        <f>IFERROR(($I161-$J161)/$J161,"")</f>
        <v/>
      </c>
      <c r="L161" s="102">
        <f>IF('エネルギーデータ入力'!$V161="","",'エネルギーデータ入力'!$V161)</f>
        <v/>
      </c>
      <c r="M161" s="102">
        <f>IF($H161="","",IFERROR(VLOOKUP($H161,'基本設定'!$A$13:$K$19,5,FALSE),0.2))</f>
        <v/>
      </c>
      <c r="N161" s="102">
        <f>IF($B161="","",IF('エネルギーデータ入力'!$L161="","Missing reading",IF($I161=0,"Stalled reading / possibly offline",IF($K161&gt;=IFERROR(VLOOKUP($H161,'基本設定'!$A$13:$K$19,6,FALSE),0.5),"Severe spike",IF($K161&gt;=$M161,"Usage spike",IF($K161&lt;=-IFERROR(VLOOKUP($H161,'基本設定'!$A$13:$K$19,7,FALSE),0.3),"Usage drop",IF($L161&gt;IFERROR(VLOOKUP($H161,'基本設定'!$A$13:$K$19,8,FALSE),999999),"Area intensity overrun","正常")))))))</f>
        <v/>
      </c>
      <c r="O161" s="102">
        <f>IF($N161="","",IF($N161="正常","正常",IF(OR($N161="Severe spike",$K161&gt;=IFERROR(VLOOKUP($H161,'基本設定'!$A$13:$K$19,6,FALSE),0.5)),"重大",IF(OR($N161="Usage spike",$N161="Usage drop"),"高","中"))))</f>
        <v/>
      </c>
      <c r="P161" s="144">
        <f>IF(OR($N161="",$N161="正常"),0,ABS($I161-$J161)*'エネルギーデータ入力'!$O161)</f>
        <v/>
      </c>
      <c r="Q161" s="102">
        <f>IF($N161="正常","",IF($N161="Stalled reading / possibly offline","核查表计通信/電気池/网关/阀门Status",IF(AND($H161="水道",$N161&lt;&gt;"正常"),"检查管网、阀门、卫生间、冷却塔及夜间最小流量",IF(AND($H161="電気",$N161&lt;&gt;"正常"),"检查空调、照明、生产设备、PeakOff-peak时段与待机功耗",IF(AND($H161="ガス",$N161&lt;&gt;"正常"),"检查燃ガス阀门、锅炉/厨房设备与泄漏风险","核查设备工况、排班、产量与计量数据")))))</f>
        <v/>
      </c>
      <c r="R161" s="102">
        <f>IF($H161="","",IFERROR(VLOOKUP($H161,'基本設定'!$A$13:$K$19,11,FALSE),"Energy management owner"))</f>
        <v/>
      </c>
      <c r="S161" s="102">
        <f>IF($N161="","",IF($N161="正常","対応不要","未対応"))</f>
        <v/>
      </c>
      <c r="T161" s="141">
        <f>IF(OR($B161="",$N161="正常"),"",WORKDAY($B161,IF($O161="重大",1,IF($O161="高",2,3))))</f>
        <v/>
      </c>
      <c r="U161" s="102">
        <f>IF($T161="","",IF(AND($S161&lt;&gt;"完了",TODAY()&gt;$T161),"期限超過","期限内"))</f>
        <v/>
      </c>
      <c r="V161" s="102" t="n"/>
      <c r="W161" s="141" t="n"/>
      <c r="X161" s="102" t="n"/>
    </row>
    <row r="162">
      <c r="A162" s="102">
        <f>IF('エネルギーデータ入力'!$A162="","","AL-"&amp;TEXT(ROW()-5,"0000"))</f>
        <v/>
      </c>
      <c r="B162" s="141">
        <f>IF('エネルギーデータ入力'!$B162="","",'エネルギーデータ入力'!$B162)</f>
        <v/>
      </c>
      <c r="C162" s="102">
        <f>IF('エネルギーデータ入力'!$C162="","",'エネルギーデータ入力'!$C162)</f>
        <v/>
      </c>
      <c r="D162" s="102">
        <f>IF('エネルギーデータ入力'!$D162="","",'エネルギーデータ入力'!$D162)</f>
        <v/>
      </c>
      <c r="E162" s="102">
        <f>IF('エネルギーデータ入力'!$E162="","",'エネルギーデータ入力'!$E162)</f>
        <v/>
      </c>
      <c r="F162" s="102">
        <f>IF('エネルギーデータ入力'!$G162="","",'エネルギーデータ入力'!$G162)</f>
        <v/>
      </c>
      <c r="G162" s="102">
        <f>IF('エネルギーデータ入力'!$H162="","",'エネルギーデータ入力'!$H162)</f>
        <v/>
      </c>
      <c r="H162" s="102">
        <f>IF('エネルギーデータ入力'!$J162="","",'エネルギーデータ入力'!$J162)</f>
        <v/>
      </c>
      <c r="I162" s="142">
        <f>IF('エネルギーデータ入力'!$N162="","",'エネルギーデータ入力'!$N162)</f>
        <v/>
      </c>
      <c r="J162" s="142">
        <f>IF($B162="","",IFERROR(AVERAGEIFS('エネルギーデータ入力'!$N$6:$N$205,'エネルギーデータ入力'!$B$6:$B$205,"&gt;="&amp;$B162-7,'エネルギーデータ入力'!$B$6:$B$205,"&lt;"&amp;$B162,'エネルギーデータ入力'!$H$6:$H$205,$G162,'エネルギーデータ入力'!$J$6:$J$205,$H162),$I162))</f>
        <v/>
      </c>
      <c r="K162" s="143">
        <f>IFERROR(($I162-$J162)/$J162,"")</f>
        <v/>
      </c>
      <c r="L162" s="102">
        <f>IF('エネルギーデータ入力'!$V162="","",'エネルギーデータ入力'!$V162)</f>
        <v/>
      </c>
      <c r="M162" s="102">
        <f>IF($H162="","",IFERROR(VLOOKUP($H162,'基本設定'!$A$13:$K$19,5,FALSE),0.2))</f>
        <v/>
      </c>
      <c r="N162" s="102">
        <f>IF($B162="","",IF('エネルギーデータ入力'!$L162="","Missing reading",IF($I162=0,"Stalled reading / possibly offline",IF($K162&gt;=IFERROR(VLOOKUP($H162,'基本設定'!$A$13:$K$19,6,FALSE),0.5),"Severe spike",IF($K162&gt;=$M162,"Usage spike",IF($K162&lt;=-IFERROR(VLOOKUP($H162,'基本設定'!$A$13:$K$19,7,FALSE),0.3),"Usage drop",IF($L162&gt;IFERROR(VLOOKUP($H162,'基本設定'!$A$13:$K$19,8,FALSE),999999),"Area intensity overrun","正常")))))))</f>
        <v/>
      </c>
      <c r="O162" s="102">
        <f>IF($N162="","",IF($N162="正常","正常",IF(OR($N162="Severe spike",$K162&gt;=IFERROR(VLOOKUP($H162,'基本設定'!$A$13:$K$19,6,FALSE),0.5)),"重大",IF(OR($N162="Usage spike",$N162="Usage drop"),"高","中"))))</f>
        <v/>
      </c>
      <c r="P162" s="144">
        <f>IF(OR($N162="",$N162="正常"),0,ABS($I162-$J162)*'エネルギーデータ入力'!$O162)</f>
        <v/>
      </c>
      <c r="Q162" s="102">
        <f>IF($N162="正常","",IF($N162="Stalled reading / possibly offline","核查表计通信/電気池/网关/阀门Status",IF(AND($H162="水道",$N162&lt;&gt;"正常"),"检查管网、阀门、卫生间、冷却塔及夜间最小流量",IF(AND($H162="電気",$N162&lt;&gt;"正常"),"检查空调、照明、生产设备、PeakOff-peak时段与待机功耗",IF(AND($H162="ガス",$N162&lt;&gt;"正常"),"检查燃ガス阀门、锅炉/厨房设备与泄漏风险","核查设备工况、排班、产量与计量数据")))))</f>
        <v/>
      </c>
      <c r="R162" s="102">
        <f>IF($H162="","",IFERROR(VLOOKUP($H162,'基本設定'!$A$13:$K$19,11,FALSE),"Energy management owner"))</f>
        <v/>
      </c>
      <c r="S162" s="102">
        <f>IF($N162="","",IF($N162="正常","対応不要","未対応"))</f>
        <v/>
      </c>
      <c r="T162" s="141">
        <f>IF(OR($B162="",$N162="正常"),"",WORKDAY($B162,IF($O162="重大",1,IF($O162="高",2,3))))</f>
        <v/>
      </c>
      <c r="U162" s="102">
        <f>IF($T162="","",IF(AND($S162&lt;&gt;"完了",TODAY()&gt;$T162),"期限超過","期限内"))</f>
        <v/>
      </c>
      <c r="V162" s="102" t="n"/>
      <c r="W162" s="141" t="n"/>
      <c r="X162" s="102" t="n"/>
    </row>
    <row r="163">
      <c r="A163" s="102">
        <f>IF('エネルギーデータ入力'!$A163="","","AL-"&amp;TEXT(ROW()-5,"0000"))</f>
        <v/>
      </c>
      <c r="B163" s="141">
        <f>IF('エネルギーデータ入力'!$B163="","",'エネルギーデータ入力'!$B163)</f>
        <v/>
      </c>
      <c r="C163" s="102">
        <f>IF('エネルギーデータ入力'!$C163="","",'エネルギーデータ入力'!$C163)</f>
        <v/>
      </c>
      <c r="D163" s="102">
        <f>IF('エネルギーデータ入力'!$D163="","",'エネルギーデータ入力'!$D163)</f>
        <v/>
      </c>
      <c r="E163" s="102">
        <f>IF('エネルギーデータ入力'!$E163="","",'エネルギーデータ入力'!$E163)</f>
        <v/>
      </c>
      <c r="F163" s="102">
        <f>IF('エネルギーデータ入力'!$G163="","",'エネルギーデータ入力'!$G163)</f>
        <v/>
      </c>
      <c r="G163" s="102">
        <f>IF('エネルギーデータ入力'!$H163="","",'エネルギーデータ入力'!$H163)</f>
        <v/>
      </c>
      <c r="H163" s="102">
        <f>IF('エネルギーデータ入力'!$J163="","",'エネルギーデータ入力'!$J163)</f>
        <v/>
      </c>
      <c r="I163" s="142">
        <f>IF('エネルギーデータ入力'!$N163="","",'エネルギーデータ入力'!$N163)</f>
        <v/>
      </c>
      <c r="J163" s="142">
        <f>IF($B163="","",IFERROR(AVERAGEIFS('エネルギーデータ入力'!$N$6:$N$205,'エネルギーデータ入力'!$B$6:$B$205,"&gt;="&amp;$B163-7,'エネルギーデータ入力'!$B$6:$B$205,"&lt;"&amp;$B163,'エネルギーデータ入力'!$H$6:$H$205,$G163,'エネルギーデータ入力'!$J$6:$J$205,$H163),$I163))</f>
        <v/>
      </c>
      <c r="K163" s="143">
        <f>IFERROR(($I163-$J163)/$J163,"")</f>
        <v/>
      </c>
      <c r="L163" s="102">
        <f>IF('エネルギーデータ入力'!$V163="","",'エネルギーデータ入力'!$V163)</f>
        <v/>
      </c>
      <c r="M163" s="102">
        <f>IF($H163="","",IFERROR(VLOOKUP($H163,'基本設定'!$A$13:$K$19,5,FALSE),0.2))</f>
        <v/>
      </c>
      <c r="N163" s="102">
        <f>IF($B163="","",IF('エネルギーデータ入力'!$L163="","Missing reading",IF($I163=0,"Stalled reading / possibly offline",IF($K163&gt;=IFERROR(VLOOKUP($H163,'基本設定'!$A$13:$K$19,6,FALSE),0.5),"Severe spike",IF($K163&gt;=$M163,"Usage spike",IF($K163&lt;=-IFERROR(VLOOKUP($H163,'基本設定'!$A$13:$K$19,7,FALSE),0.3),"Usage drop",IF($L163&gt;IFERROR(VLOOKUP($H163,'基本設定'!$A$13:$K$19,8,FALSE),999999),"Area intensity overrun","正常")))))))</f>
        <v/>
      </c>
      <c r="O163" s="102">
        <f>IF($N163="","",IF($N163="正常","正常",IF(OR($N163="Severe spike",$K163&gt;=IFERROR(VLOOKUP($H163,'基本設定'!$A$13:$K$19,6,FALSE),0.5)),"重大",IF(OR($N163="Usage spike",$N163="Usage drop"),"高","中"))))</f>
        <v/>
      </c>
      <c r="P163" s="144">
        <f>IF(OR($N163="",$N163="正常"),0,ABS($I163-$J163)*'エネルギーデータ入力'!$O163)</f>
        <v/>
      </c>
      <c r="Q163" s="102">
        <f>IF($N163="正常","",IF($N163="Stalled reading / possibly offline","核查表计通信/電気池/网关/阀门Status",IF(AND($H163="水道",$N163&lt;&gt;"正常"),"检查管网、阀门、卫生间、冷却塔及夜间最小流量",IF(AND($H163="電気",$N163&lt;&gt;"正常"),"检查空调、照明、生产设备、PeakOff-peak时段与待机功耗",IF(AND($H163="ガス",$N163&lt;&gt;"正常"),"检查燃ガス阀门、锅炉/厨房设备与泄漏风险","核查设备工况、排班、产量与计量数据")))))</f>
        <v/>
      </c>
      <c r="R163" s="102">
        <f>IF($H163="","",IFERROR(VLOOKUP($H163,'基本設定'!$A$13:$K$19,11,FALSE),"Energy management owner"))</f>
        <v/>
      </c>
      <c r="S163" s="102">
        <f>IF($N163="","",IF($N163="正常","対応不要","未対応"))</f>
        <v/>
      </c>
      <c r="T163" s="141">
        <f>IF(OR($B163="",$N163="正常"),"",WORKDAY($B163,IF($O163="重大",1,IF($O163="高",2,3))))</f>
        <v/>
      </c>
      <c r="U163" s="102">
        <f>IF($T163="","",IF(AND($S163&lt;&gt;"完了",TODAY()&gt;$T163),"期限超過","期限内"))</f>
        <v/>
      </c>
      <c r="V163" s="102" t="n"/>
      <c r="W163" s="141" t="n"/>
      <c r="X163" s="102" t="n"/>
    </row>
    <row r="164">
      <c r="A164" s="102">
        <f>IF('エネルギーデータ入力'!$A164="","","AL-"&amp;TEXT(ROW()-5,"0000"))</f>
        <v/>
      </c>
      <c r="B164" s="141">
        <f>IF('エネルギーデータ入力'!$B164="","",'エネルギーデータ入力'!$B164)</f>
        <v/>
      </c>
      <c r="C164" s="102">
        <f>IF('エネルギーデータ入力'!$C164="","",'エネルギーデータ入力'!$C164)</f>
        <v/>
      </c>
      <c r="D164" s="102">
        <f>IF('エネルギーデータ入力'!$D164="","",'エネルギーデータ入力'!$D164)</f>
        <v/>
      </c>
      <c r="E164" s="102">
        <f>IF('エネルギーデータ入力'!$E164="","",'エネルギーデータ入力'!$E164)</f>
        <v/>
      </c>
      <c r="F164" s="102">
        <f>IF('エネルギーデータ入力'!$G164="","",'エネルギーデータ入力'!$G164)</f>
        <v/>
      </c>
      <c r="G164" s="102">
        <f>IF('エネルギーデータ入力'!$H164="","",'エネルギーデータ入力'!$H164)</f>
        <v/>
      </c>
      <c r="H164" s="102">
        <f>IF('エネルギーデータ入力'!$J164="","",'エネルギーデータ入力'!$J164)</f>
        <v/>
      </c>
      <c r="I164" s="142">
        <f>IF('エネルギーデータ入力'!$N164="","",'エネルギーデータ入力'!$N164)</f>
        <v/>
      </c>
      <c r="J164" s="142">
        <f>IF($B164="","",IFERROR(AVERAGEIFS('エネルギーデータ入力'!$N$6:$N$205,'エネルギーデータ入力'!$B$6:$B$205,"&gt;="&amp;$B164-7,'エネルギーデータ入力'!$B$6:$B$205,"&lt;"&amp;$B164,'エネルギーデータ入力'!$H$6:$H$205,$G164,'エネルギーデータ入力'!$J$6:$J$205,$H164),$I164))</f>
        <v/>
      </c>
      <c r="K164" s="143">
        <f>IFERROR(($I164-$J164)/$J164,"")</f>
        <v/>
      </c>
      <c r="L164" s="102">
        <f>IF('エネルギーデータ入力'!$V164="","",'エネルギーデータ入力'!$V164)</f>
        <v/>
      </c>
      <c r="M164" s="102">
        <f>IF($H164="","",IFERROR(VLOOKUP($H164,'基本設定'!$A$13:$K$19,5,FALSE),0.2))</f>
        <v/>
      </c>
      <c r="N164" s="102">
        <f>IF($B164="","",IF('エネルギーデータ入力'!$L164="","Missing reading",IF($I164=0,"Stalled reading / possibly offline",IF($K164&gt;=IFERROR(VLOOKUP($H164,'基本設定'!$A$13:$K$19,6,FALSE),0.5),"Severe spike",IF($K164&gt;=$M164,"Usage spike",IF($K164&lt;=-IFERROR(VLOOKUP($H164,'基本設定'!$A$13:$K$19,7,FALSE),0.3),"Usage drop",IF($L164&gt;IFERROR(VLOOKUP($H164,'基本設定'!$A$13:$K$19,8,FALSE),999999),"Area intensity overrun","正常")))))))</f>
        <v/>
      </c>
      <c r="O164" s="102">
        <f>IF($N164="","",IF($N164="正常","正常",IF(OR($N164="Severe spike",$K164&gt;=IFERROR(VLOOKUP($H164,'基本設定'!$A$13:$K$19,6,FALSE),0.5)),"重大",IF(OR($N164="Usage spike",$N164="Usage drop"),"高","中"))))</f>
        <v/>
      </c>
      <c r="P164" s="144">
        <f>IF(OR($N164="",$N164="正常"),0,ABS($I164-$J164)*'エネルギーデータ入力'!$O164)</f>
        <v/>
      </c>
      <c r="Q164" s="102">
        <f>IF($N164="正常","",IF($N164="Stalled reading / possibly offline","核查表计通信/電気池/网关/阀门Status",IF(AND($H164="水道",$N164&lt;&gt;"正常"),"检查管网、阀门、卫生间、冷却塔及夜间最小流量",IF(AND($H164="電気",$N164&lt;&gt;"正常"),"检查空调、照明、生产设备、PeakOff-peak时段与待机功耗",IF(AND($H164="ガス",$N164&lt;&gt;"正常"),"检查燃ガス阀门、锅炉/厨房设备与泄漏风险","核查设备工况、排班、产量与计量数据")))))</f>
        <v/>
      </c>
      <c r="R164" s="102">
        <f>IF($H164="","",IFERROR(VLOOKUP($H164,'基本設定'!$A$13:$K$19,11,FALSE),"Energy management owner"))</f>
        <v/>
      </c>
      <c r="S164" s="102">
        <f>IF($N164="","",IF($N164="正常","対応不要","未対応"))</f>
        <v/>
      </c>
      <c r="T164" s="141">
        <f>IF(OR($B164="",$N164="正常"),"",WORKDAY($B164,IF($O164="重大",1,IF($O164="高",2,3))))</f>
        <v/>
      </c>
      <c r="U164" s="102">
        <f>IF($T164="","",IF(AND($S164&lt;&gt;"完了",TODAY()&gt;$T164),"期限超過","期限内"))</f>
        <v/>
      </c>
      <c r="V164" s="102" t="n"/>
      <c r="W164" s="141" t="n"/>
      <c r="X164" s="102" t="n"/>
    </row>
    <row r="165">
      <c r="A165" s="102">
        <f>IF('エネルギーデータ入力'!$A165="","","AL-"&amp;TEXT(ROW()-5,"0000"))</f>
        <v/>
      </c>
      <c r="B165" s="141">
        <f>IF('エネルギーデータ入力'!$B165="","",'エネルギーデータ入力'!$B165)</f>
        <v/>
      </c>
      <c r="C165" s="102">
        <f>IF('エネルギーデータ入力'!$C165="","",'エネルギーデータ入力'!$C165)</f>
        <v/>
      </c>
      <c r="D165" s="102">
        <f>IF('エネルギーデータ入力'!$D165="","",'エネルギーデータ入力'!$D165)</f>
        <v/>
      </c>
      <c r="E165" s="102">
        <f>IF('エネルギーデータ入力'!$E165="","",'エネルギーデータ入力'!$E165)</f>
        <v/>
      </c>
      <c r="F165" s="102">
        <f>IF('エネルギーデータ入力'!$G165="","",'エネルギーデータ入力'!$G165)</f>
        <v/>
      </c>
      <c r="G165" s="102">
        <f>IF('エネルギーデータ入力'!$H165="","",'エネルギーデータ入力'!$H165)</f>
        <v/>
      </c>
      <c r="H165" s="102">
        <f>IF('エネルギーデータ入力'!$J165="","",'エネルギーデータ入力'!$J165)</f>
        <v/>
      </c>
      <c r="I165" s="142">
        <f>IF('エネルギーデータ入力'!$N165="","",'エネルギーデータ入力'!$N165)</f>
        <v/>
      </c>
      <c r="J165" s="142">
        <f>IF($B165="","",IFERROR(AVERAGEIFS('エネルギーデータ入力'!$N$6:$N$205,'エネルギーデータ入力'!$B$6:$B$205,"&gt;="&amp;$B165-7,'エネルギーデータ入力'!$B$6:$B$205,"&lt;"&amp;$B165,'エネルギーデータ入力'!$H$6:$H$205,$G165,'エネルギーデータ入力'!$J$6:$J$205,$H165),$I165))</f>
        <v/>
      </c>
      <c r="K165" s="143">
        <f>IFERROR(($I165-$J165)/$J165,"")</f>
        <v/>
      </c>
      <c r="L165" s="102">
        <f>IF('エネルギーデータ入力'!$V165="","",'エネルギーデータ入力'!$V165)</f>
        <v/>
      </c>
      <c r="M165" s="102">
        <f>IF($H165="","",IFERROR(VLOOKUP($H165,'基本設定'!$A$13:$K$19,5,FALSE),0.2))</f>
        <v/>
      </c>
      <c r="N165" s="102">
        <f>IF($B165="","",IF('エネルギーデータ入力'!$L165="","Missing reading",IF($I165=0,"Stalled reading / possibly offline",IF($K165&gt;=IFERROR(VLOOKUP($H165,'基本設定'!$A$13:$K$19,6,FALSE),0.5),"Severe spike",IF($K165&gt;=$M165,"Usage spike",IF($K165&lt;=-IFERROR(VLOOKUP($H165,'基本設定'!$A$13:$K$19,7,FALSE),0.3),"Usage drop",IF($L165&gt;IFERROR(VLOOKUP($H165,'基本設定'!$A$13:$K$19,8,FALSE),999999),"Area intensity overrun","正常")))))))</f>
        <v/>
      </c>
      <c r="O165" s="102">
        <f>IF($N165="","",IF($N165="正常","正常",IF(OR($N165="Severe spike",$K165&gt;=IFERROR(VLOOKUP($H165,'基本設定'!$A$13:$K$19,6,FALSE),0.5)),"重大",IF(OR($N165="Usage spike",$N165="Usage drop"),"高","中"))))</f>
        <v/>
      </c>
      <c r="P165" s="144">
        <f>IF(OR($N165="",$N165="正常"),0,ABS($I165-$J165)*'エネルギーデータ入力'!$O165)</f>
        <v/>
      </c>
      <c r="Q165" s="102">
        <f>IF($N165="正常","",IF($N165="Stalled reading / possibly offline","核查表计通信/電気池/网关/阀门Status",IF(AND($H165="水道",$N165&lt;&gt;"正常"),"检查管网、阀门、卫生间、冷却塔及夜间最小流量",IF(AND($H165="電気",$N165&lt;&gt;"正常"),"检查空调、照明、生产设备、PeakOff-peak时段与待机功耗",IF(AND($H165="ガス",$N165&lt;&gt;"正常"),"检查燃ガス阀门、锅炉/厨房设备与泄漏风险","核查设备工况、排班、产量与计量数据")))))</f>
        <v/>
      </c>
      <c r="R165" s="102">
        <f>IF($H165="","",IFERROR(VLOOKUP($H165,'基本設定'!$A$13:$K$19,11,FALSE),"Energy management owner"))</f>
        <v/>
      </c>
      <c r="S165" s="102">
        <f>IF($N165="","",IF($N165="正常","対応不要","未対応"))</f>
        <v/>
      </c>
      <c r="T165" s="141">
        <f>IF(OR($B165="",$N165="正常"),"",WORKDAY($B165,IF($O165="重大",1,IF($O165="高",2,3))))</f>
        <v/>
      </c>
      <c r="U165" s="102">
        <f>IF($T165="","",IF(AND($S165&lt;&gt;"完了",TODAY()&gt;$T165),"期限超過","期限内"))</f>
        <v/>
      </c>
      <c r="V165" s="102" t="n"/>
      <c r="W165" s="141" t="n"/>
      <c r="X165" s="102" t="n"/>
    </row>
    <row r="166">
      <c r="A166" s="102">
        <f>IF('エネルギーデータ入力'!$A166="","","AL-"&amp;TEXT(ROW()-5,"0000"))</f>
        <v/>
      </c>
      <c r="B166" s="141">
        <f>IF('エネルギーデータ入力'!$B166="","",'エネルギーデータ入力'!$B166)</f>
        <v/>
      </c>
      <c r="C166" s="102">
        <f>IF('エネルギーデータ入力'!$C166="","",'エネルギーデータ入力'!$C166)</f>
        <v/>
      </c>
      <c r="D166" s="102">
        <f>IF('エネルギーデータ入力'!$D166="","",'エネルギーデータ入力'!$D166)</f>
        <v/>
      </c>
      <c r="E166" s="102">
        <f>IF('エネルギーデータ入力'!$E166="","",'エネルギーデータ入力'!$E166)</f>
        <v/>
      </c>
      <c r="F166" s="102">
        <f>IF('エネルギーデータ入力'!$G166="","",'エネルギーデータ入力'!$G166)</f>
        <v/>
      </c>
      <c r="G166" s="102">
        <f>IF('エネルギーデータ入力'!$H166="","",'エネルギーデータ入力'!$H166)</f>
        <v/>
      </c>
      <c r="H166" s="102">
        <f>IF('エネルギーデータ入力'!$J166="","",'エネルギーデータ入力'!$J166)</f>
        <v/>
      </c>
      <c r="I166" s="142">
        <f>IF('エネルギーデータ入力'!$N166="","",'エネルギーデータ入力'!$N166)</f>
        <v/>
      </c>
      <c r="J166" s="142">
        <f>IF($B166="","",IFERROR(AVERAGEIFS('エネルギーデータ入力'!$N$6:$N$205,'エネルギーデータ入力'!$B$6:$B$205,"&gt;="&amp;$B166-7,'エネルギーデータ入力'!$B$6:$B$205,"&lt;"&amp;$B166,'エネルギーデータ入力'!$H$6:$H$205,$G166,'エネルギーデータ入力'!$J$6:$J$205,$H166),$I166))</f>
        <v/>
      </c>
      <c r="K166" s="143">
        <f>IFERROR(($I166-$J166)/$J166,"")</f>
        <v/>
      </c>
      <c r="L166" s="102">
        <f>IF('エネルギーデータ入力'!$V166="","",'エネルギーデータ入力'!$V166)</f>
        <v/>
      </c>
      <c r="M166" s="102">
        <f>IF($H166="","",IFERROR(VLOOKUP($H166,'基本設定'!$A$13:$K$19,5,FALSE),0.2))</f>
        <v/>
      </c>
      <c r="N166" s="102">
        <f>IF($B166="","",IF('エネルギーデータ入力'!$L166="","Missing reading",IF($I166=0,"Stalled reading / possibly offline",IF($K166&gt;=IFERROR(VLOOKUP($H166,'基本設定'!$A$13:$K$19,6,FALSE),0.5),"Severe spike",IF($K166&gt;=$M166,"Usage spike",IF($K166&lt;=-IFERROR(VLOOKUP($H166,'基本設定'!$A$13:$K$19,7,FALSE),0.3),"Usage drop",IF($L166&gt;IFERROR(VLOOKUP($H166,'基本設定'!$A$13:$K$19,8,FALSE),999999),"Area intensity overrun","正常")))))))</f>
        <v/>
      </c>
      <c r="O166" s="102">
        <f>IF($N166="","",IF($N166="正常","正常",IF(OR($N166="Severe spike",$K166&gt;=IFERROR(VLOOKUP($H166,'基本設定'!$A$13:$K$19,6,FALSE),0.5)),"重大",IF(OR($N166="Usage spike",$N166="Usage drop"),"高","中"))))</f>
        <v/>
      </c>
      <c r="P166" s="144">
        <f>IF(OR($N166="",$N166="正常"),0,ABS($I166-$J166)*'エネルギーデータ入力'!$O166)</f>
        <v/>
      </c>
      <c r="Q166" s="102">
        <f>IF($N166="正常","",IF($N166="Stalled reading / possibly offline","核查表计通信/電気池/网关/阀门Status",IF(AND($H166="水道",$N166&lt;&gt;"正常"),"检查管网、阀门、卫生间、冷却塔及夜间最小流量",IF(AND($H166="電気",$N166&lt;&gt;"正常"),"检查空调、照明、生产设备、PeakOff-peak时段与待机功耗",IF(AND($H166="ガス",$N166&lt;&gt;"正常"),"检查燃ガス阀门、锅炉/厨房设备与泄漏风险","核查设备工况、排班、产量与计量数据")))))</f>
        <v/>
      </c>
      <c r="R166" s="102">
        <f>IF($H166="","",IFERROR(VLOOKUP($H166,'基本設定'!$A$13:$K$19,11,FALSE),"Energy management owner"))</f>
        <v/>
      </c>
      <c r="S166" s="102">
        <f>IF($N166="","",IF($N166="正常","対応不要","未対応"))</f>
        <v/>
      </c>
      <c r="T166" s="141">
        <f>IF(OR($B166="",$N166="正常"),"",WORKDAY($B166,IF($O166="重大",1,IF($O166="高",2,3))))</f>
        <v/>
      </c>
      <c r="U166" s="102">
        <f>IF($T166="","",IF(AND($S166&lt;&gt;"完了",TODAY()&gt;$T166),"期限超過","期限内"))</f>
        <v/>
      </c>
      <c r="V166" s="102" t="n"/>
      <c r="W166" s="141" t="n"/>
      <c r="X166" s="102" t="n"/>
    </row>
    <row r="167">
      <c r="A167" s="102">
        <f>IF('エネルギーデータ入力'!$A167="","","AL-"&amp;TEXT(ROW()-5,"0000"))</f>
        <v/>
      </c>
      <c r="B167" s="141">
        <f>IF('エネルギーデータ入力'!$B167="","",'エネルギーデータ入力'!$B167)</f>
        <v/>
      </c>
      <c r="C167" s="102">
        <f>IF('エネルギーデータ入力'!$C167="","",'エネルギーデータ入力'!$C167)</f>
        <v/>
      </c>
      <c r="D167" s="102">
        <f>IF('エネルギーデータ入力'!$D167="","",'エネルギーデータ入力'!$D167)</f>
        <v/>
      </c>
      <c r="E167" s="102">
        <f>IF('エネルギーデータ入力'!$E167="","",'エネルギーデータ入力'!$E167)</f>
        <v/>
      </c>
      <c r="F167" s="102">
        <f>IF('エネルギーデータ入力'!$G167="","",'エネルギーデータ入力'!$G167)</f>
        <v/>
      </c>
      <c r="G167" s="102">
        <f>IF('エネルギーデータ入力'!$H167="","",'エネルギーデータ入力'!$H167)</f>
        <v/>
      </c>
      <c r="H167" s="102">
        <f>IF('エネルギーデータ入力'!$J167="","",'エネルギーデータ入力'!$J167)</f>
        <v/>
      </c>
      <c r="I167" s="142">
        <f>IF('エネルギーデータ入力'!$N167="","",'エネルギーデータ入力'!$N167)</f>
        <v/>
      </c>
      <c r="J167" s="142">
        <f>IF($B167="","",IFERROR(AVERAGEIFS('エネルギーデータ入力'!$N$6:$N$205,'エネルギーデータ入力'!$B$6:$B$205,"&gt;="&amp;$B167-7,'エネルギーデータ入力'!$B$6:$B$205,"&lt;"&amp;$B167,'エネルギーデータ入力'!$H$6:$H$205,$G167,'エネルギーデータ入力'!$J$6:$J$205,$H167),$I167))</f>
        <v/>
      </c>
      <c r="K167" s="143">
        <f>IFERROR(($I167-$J167)/$J167,"")</f>
        <v/>
      </c>
      <c r="L167" s="102">
        <f>IF('エネルギーデータ入力'!$V167="","",'エネルギーデータ入力'!$V167)</f>
        <v/>
      </c>
      <c r="M167" s="102">
        <f>IF($H167="","",IFERROR(VLOOKUP($H167,'基本設定'!$A$13:$K$19,5,FALSE),0.2))</f>
        <v/>
      </c>
      <c r="N167" s="102">
        <f>IF($B167="","",IF('エネルギーデータ入力'!$L167="","Missing reading",IF($I167=0,"Stalled reading / possibly offline",IF($K167&gt;=IFERROR(VLOOKUP($H167,'基本設定'!$A$13:$K$19,6,FALSE),0.5),"Severe spike",IF($K167&gt;=$M167,"Usage spike",IF($K167&lt;=-IFERROR(VLOOKUP($H167,'基本設定'!$A$13:$K$19,7,FALSE),0.3),"Usage drop",IF($L167&gt;IFERROR(VLOOKUP($H167,'基本設定'!$A$13:$K$19,8,FALSE),999999),"Area intensity overrun","正常")))))))</f>
        <v/>
      </c>
      <c r="O167" s="102">
        <f>IF($N167="","",IF($N167="正常","正常",IF(OR($N167="Severe spike",$K167&gt;=IFERROR(VLOOKUP($H167,'基本設定'!$A$13:$K$19,6,FALSE),0.5)),"重大",IF(OR($N167="Usage spike",$N167="Usage drop"),"高","中"))))</f>
        <v/>
      </c>
      <c r="P167" s="144">
        <f>IF(OR($N167="",$N167="正常"),0,ABS($I167-$J167)*'エネルギーデータ入力'!$O167)</f>
        <v/>
      </c>
      <c r="Q167" s="102">
        <f>IF($N167="正常","",IF($N167="Stalled reading / possibly offline","核查表计通信/電気池/网关/阀门Status",IF(AND($H167="水道",$N167&lt;&gt;"正常"),"检查管网、阀门、卫生间、冷却塔及夜间最小流量",IF(AND($H167="電気",$N167&lt;&gt;"正常"),"检查空调、照明、生产设备、PeakOff-peak时段与待机功耗",IF(AND($H167="ガス",$N167&lt;&gt;"正常"),"检查燃ガス阀门、锅炉/厨房设备与泄漏风险","核查设备工况、排班、产量与计量数据")))))</f>
        <v/>
      </c>
      <c r="R167" s="102">
        <f>IF($H167="","",IFERROR(VLOOKUP($H167,'基本設定'!$A$13:$K$19,11,FALSE),"Energy management owner"))</f>
        <v/>
      </c>
      <c r="S167" s="102">
        <f>IF($N167="","",IF($N167="正常","対応不要","未対応"))</f>
        <v/>
      </c>
      <c r="T167" s="141">
        <f>IF(OR($B167="",$N167="正常"),"",WORKDAY($B167,IF($O167="重大",1,IF($O167="高",2,3))))</f>
        <v/>
      </c>
      <c r="U167" s="102">
        <f>IF($T167="","",IF(AND($S167&lt;&gt;"完了",TODAY()&gt;$T167),"期限超過","期限内"))</f>
        <v/>
      </c>
      <c r="V167" s="102" t="n"/>
      <c r="W167" s="141" t="n"/>
      <c r="X167" s="102" t="n"/>
    </row>
    <row r="168">
      <c r="A168" s="102">
        <f>IF('エネルギーデータ入力'!$A168="","","AL-"&amp;TEXT(ROW()-5,"0000"))</f>
        <v/>
      </c>
      <c r="B168" s="141">
        <f>IF('エネルギーデータ入力'!$B168="","",'エネルギーデータ入力'!$B168)</f>
        <v/>
      </c>
      <c r="C168" s="102">
        <f>IF('エネルギーデータ入力'!$C168="","",'エネルギーデータ入力'!$C168)</f>
        <v/>
      </c>
      <c r="D168" s="102">
        <f>IF('エネルギーデータ入力'!$D168="","",'エネルギーデータ入力'!$D168)</f>
        <v/>
      </c>
      <c r="E168" s="102">
        <f>IF('エネルギーデータ入力'!$E168="","",'エネルギーデータ入力'!$E168)</f>
        <v/>
      </c>
      <c r="F168" s="102">
        <f>IF('エネルギーデータ入力'!$G168="","",'エネルギーデータ入力'!$G168)</f>
        <v/>
      </c>
      <c r="G168" s="102">
        <f>IF('エネルギーデータ入力'!$H168="","",'エネルギーデータ入力'!$H168)</f>
        <v/>
      </c>
      <c r="H168" s="102">
        <f>IF('エネルギーデータ入力'!$J168="","",'エネルギーデータ入力'!$J168)</f>
        <v/>
      </c>
      <c r="I168" s="142">
        <f>IF('エネルギーデータ入力'!$N168="","",'エネルギーデータ入力'!$N168)</f>
        <v/>
      </c>
      <c r="J168" s="142">
        <f>IF($B168="","",IFERROR(AVERAGEIFS('エネルギーデータ入力'!$N$6:$N$205,'エネルギーデータ入力'!$B$6:$B$205,"&gt;="&amp;$B168-7,'エネルギーデータ入力'!$B$6:$B$205,"&lt;"&amp;$B168,'エネルギーデータ入力'!$H$6:$H$205,$G168,'エネルギーデータ入力'!$J$6:$J$205,$H168),$I168))</f>
        <v/>
      </c>
      <c r="K168" s="143">
        <f>IFERROR(($I168-$J168)/$J168,"")</f>
        <v/>
      </c>
      <c r="L168" s="102">
        <f>IF('エネルギーデータ入力'!$V168="","",'エネルギーデータ入力'!$V168)</f>
        <v/>
      </c>
      <c r="M168" s="102">
        <f>IF($H168="","",IFERROR(VLOOKUP($H168,'基本設定'!$A$13:$K$19,5,FALSE),0.2))</f>
        <v/>
      </c>
      <c r="N168" s="102">
        <f>IF($B168="","",IF('エネルギーデータ入力'!$L168="","Missing reading",IF($I168=0,"Stalled reading / possibly offline",IF($K168&gt;=IFERROR(VLOOKUP($H168,'基本設定'!$A$13:$K$19,6,FALSE),0.5),"Severe spike",IF($K168&gt;=$M168,"Usage spike",IF($K168&lt;=-IFERROR(VLOOKUP($H168,'基本設定'!$A$13:$K$19,7,FALSE),0.3),"Usage drop",IF($L168&gt;IFERROR(VLOOKUP($H168,'基本設定'!$A$13:$K$19,8,FALSE),999999),"Area intensity overrun","正常")))))))</f>
        <v/>
      </c>
      <c r="O168" s="102">
        <f>IF($N168="","",IF($N168="正常","正常",IF(OR($N168="Severe spike",$K168&gt;=IFERROR(VLOOKUP($H168,'基本設定'!$A$13:$K$19,6,FALSE),0.5)),"重大",IF(OR($N168="Usage spike",$N168="Usage drop"),"高","中"))))</f>
        <v/>
      </c>
      <c r="P168" s="144">
        <f>IF(OR($N168="",$N168="正常"),0,ABS($I168-$J168)*'エネルギーデータ入力'!$O168)</f>
        <v/>
      </c>
      <c r="Q168" s="102">
        <f>IF($N168="正常","",IF($N168="Stalled reading / possibly offline","核查表计通信/電気池/网关/阀门Status",IF(AND($H168="水道",$N168&lt;&gt;"正常"),"检查管网、阀门、卫生间、冷却塔及夜间最小流量",IF(AND($H168="電気",$N168&lt;&gt;"正常"),"检查空调、照明、生产设备、PeakOff-peak时段与待机功耗",IF(AND($H168="ガス",$N168&lt;&gt;"正常"),"检查燃ガス阀门、锅炉/厨房设备与泄漏风险","核查设备工况、排班、产量与计量数据")))))</f>
        <v/>
      </c>
      <c r="R168" s="102">
        <f>IF($H168="","",IFERROR(VLOOKUP($H168,'基本設定'!$A$13:$K$19,11,FALSE),"Energy management owner"))</f>
        <v/>
      </c>
      <c r="S168" s="102">
        <f>IF($N168="","",IF($N168="正常","対応不要","未対応"))</f>
        <v/>
      </c>
      <c r="T168" s="141">
        <f>IF(OR($B168="",$N168="正常"),"",WORKDAY($B168,IF($O168="重大",1,IF($O168="高",2,3))))</f>
        <v/>
      </c>
      <c r="U168" s="102">
        <f>IF($T168="","",IF(AND($S168&lt;&gt;"完了",TODAY()&gt;$T168),"期限超過","期限内"))</f>
        <v/>
      </c>
      <c r="V168" s="102" t="n"/>
      <c r="W168" s="141" t="n"/>
      <c r="X168" s="102" t="n"/>
    </row>
    <row r="169">
      <c r="A169" s="102">
        <f>IF('エネルギーデータ入力'!$A169="","","AL-"&amp;TEXT(ROW()-5,"0000"))</f>
        <v/>
      </c>
      <c r="B169" s="141">
        <f>IF('エネルギーデータ入力'!$B169="","",'エネルギーデータ入力'!$B169)</f>
        <v/>
      </c>
      <c r="C169" s="102">
        <f>IF('エネルギーデータ入力'!$C169="","",'エネルギーデータ入力'!$C169)</f>
        <v/>
      </c>
      <c r="D169" s="102">
        <f>IF('エネルギーデータ入力'!$D169="","",'エネルギーデータ入力'!$D169)</f>
        <v/>
      </c>
      <c r="E169" s="102">
        <f>IF('エネルギーデータ入力'!$E169="","",'エネルギーデータ入力'!$E169)</f>
        <v/>
      </c>
      <c r="F169" s="102">
        <f>IF('エネルギーデータ入力'!$G169="","",'エネルギーデータ入力'!$G169)</f>
        <v/>
      </c>
      <c r="G169" s="102">
        <f>IF('エネルギーデータ入力'!$H169="","",'エネルギーデータ入力'!$H169)</f>
        <v/>
      </c>
      <c r="H169" s="102">
        <f>IF('エネルギーデータ入力'!$J169="","",'エネルギーデータ入力'!$J169)</f>
        <v/>
      </c>
      <c r="I169" s="142">
        <f>IF('エネルギーデータ入力'!$N169="","",'エネルギーデータ入力'!$N169)</f>
        <v/>
      </c>
      <c r="J169" s="142">
        <f>IF($B169="","",IFERROR(AVERAGEIFS('エネルギーデータ入力'!$N$6:$N$205,'エネルギーデータ入力'!$B$6:$B$205,"&gt;="&amp;$B169-7,'エネルギーデータ入力'!$B$6:$B$205,"&lt;"&amp;$B169,'エネルギーデータ入力'!$H$6:$H$205,$G169,'エネルギーデータ入力'!$J$6:$J$205,$H169),$I169))</f>
        <v/>
      </c>
      <c r="K169" s="143">
        <f>IFERROR(($I169-$J169)/$J169,"")</f>
        <v/>
      </c>
      <c r="L169" s="102">
        <f>IF('エネルギーデータ入力'!$V169="","",'エネルギーデータ入力'!$V169)</f>
        <v/>
      </c>
      <c r="M169" s="102">
        <f>IF($H169="","",IFERROR(VLOOKUP($H169,'基本設定'!$A$13:$K$19,5,FALSE),0.2))</f>
        <v/>
      </c>
      <c r="N169" s="102">
        <f>IF($B169="","",IF('エネルギーデータ入力'!$L169="","Missing reading",IF($I169=0,"Stalled reading / possibly offline",IF($K169&gt;=IFERROR(VLOOKUP($H169,'基本設定'!$A$13:$K$19,6,FALSE),0.5),"Severe spike",IF($K169&gt;=$M169,"Usage spike",IF($K169&lt;=-IFERROR(VLOOKUP($H169,'基本設定'!$A$13:$K$19,7,FALSE),0.3),"Usage drop",IF($L169&gt;IFERROR(VLOOKUP($H169,'基本設定'!$A$13:$K$19,8,FALSE),999999),"Area intensity overrun","正常")))))))</f>
        <v/>
      </c>
      <c r="O169" s="102">
        <f>IF($N169="","",IF($N169="正常","正常",IF(OR($N169="Severe spike",$K169&gt;=IFERROR(VLOOKUP($H169,'基本設定'!$A$13:$K$19,6,FALSE),0.5)),"重大",IF(OR($N169="Usage spike",$N169="Usage drop"),"高","中"))))</f>
        <v/>
      </c>
      <c r="P169" s="144">
        <f>IF(OR($N169="",$N169="正常"),0,ABS($I169-$J169)*'エネルギーデータ入力'!$O169)</f>
        <v/>
      </c>
      <c r="Q169" s="102">
        <f>IF($N169="正常","",IF($N169="Stalled reading / possibly offline","核查表计通信/電気池/网关/阀门Status",IF(AND($H169="水道",$N169&lt;&gt;"正常"),"检查管网、阀门、卫生间、冷却塔及夜间最小流量",IF(AND($H169="電気",$N169&lt;&gt;"正常"),"检查空调、照明、生产设备、PeakOff-peak时段与待机功耗",IF(AND($H169="ガス",$N169&lt;&gt;"正常"),"检查燃ガス阀门、锅炉/厨房设备与泄漏风险","核查设备工况、排班、产量与计量数据")))))</f>
        <v/>
      </c>
      <c r="R169" s="102">
        <f>IF($H169="","",IFERROR(VLOOKUP($H169,'基本設定'!$A$13:$K$19,11,FALSE),"Energy management owner"))</f>
        <v/>
      </c>
      <c r="S169" s="102">
        <f>IF($N169="","",IF($N169="正常","対応不要","未対応"))</f>
        <v/>
      </c>
      <c r="T169" s="141">
        <f>IF(OR($B169="",$N169="正常"),"",WORKDAY($B169,IF($O169="重大",1,IF($O169="高",2,3))))</f>
        <v/>
      </c>
      <c r="U169" s="102">
        <f>IF($T169="","",IF(AND($S169&lt;&gt;"完了",TODAY()&gt;$T169),"期限超過","期限内"))</f>
        <v/>
      </c>
      <c r="V169" s="102" t="n"/>
      <c r="W169" s="141" t="n"/>
      <c r="X169" s="102" t="n"/>
    </row>
    <row r="170">
      <c r="A170" s="102">
        <f>IF('エネルギーデータ入力'!$A170="","","AL-"&amp;TEXT(ROW()-5,"0000"))</f>
        <v/>
      </c>
      <c r="B170" s="141">
        <f>IF('エネルギーデータ入力'!$B170="","",'エネルギーデータ入力'!$B170)</f>
        <v/>
      </c>
      <c r="C170" s="102">
        <f>IF('エネルギーデータ入力'!$C170="","",'エネルギーデータ入力'!$C170)</f>
        <v/>
      </c>
      <c r="D170" s="102">
        <f>IF('エネルギーデータ入力'!$D170="","",'エネルギーデータ入力'!$D170)</f>
        <v/>
      </c>
      <c r="E170" s="102">
        <f>IF('エネルギーデータ入力'!$E170="","",'エネルギーデータ入力'!$E170)</f>
        <v/>
      </c>
      <c r="F170" s="102">
        <f>IF('エネルギーデータ入力'!$G170="","",'エネルギーデータ入力'!$G170)</f>
        <v/>
      </c>
      <c r="G170" s="102">
        <f>IF('エネルギーデータ入力'!$H170="","",'エネルギーデータ入力'!$H170)</f>
        <v/>
      </c>
      <c r="H170" s="102">
        <f>IF('エネルギーデータ入力'!$J170="","",'エネルギーデータ入力'!$J170)</f>
        <v/>
      </c>
      <c r="I170" s="142">
        <f>IF('エネルギーデータ入力'!$N170="","",'エネルギーデータ入力'!$N170)</f>
        <v/>
      </c>
      <c r="J170" s="142">
        <f>IF($B170="","",IFERROR(AVERAGEIFS('エネルギーデータ入力'!$N$6:$N$205,'エネルギーデータ入力'!$B$6:$B$205,"&gt;="&amp;$B170-7,'エネルギーデータ入力'!$B$6:$B$205,"&lt;"&amp;$B170,'エネルギーデータ入力'!$H$6:$H$205,$G170,'エネルギーデータ入力'!$J$6:$J$205,$H170),$I170))</f>
        <v/>
      </c>
      <c r="K170" s="143">
        <f>IFERROR(($I170-$J170)/$J170,"")</f>
        <v/>
      </c>
      <c r="L170" s="102">
        <f>IF('エネルギーデータ入力'!$V170="","",'エネルギーデータ入力'!$V170)</f>
        <v/>
      </c>
      <c r="M170" s="102">
        <f>IF($H170="","",IFERROR(VLOOKUP($H170,'基本設定'!$A$13:$K$19,5,FALSE),0.2))</f>
        <v/>
      </c>
      <c r="N170" s="102">
        <f>IF($B170="","",IF('エネルギーデータ入力'!$L170="","Missing reading",IF($I170=0,"Stalled reading / possibly offline",IF($K170&gt;=IFERROR(VLOOKUP($H170,'基本設定'!$A$13:$K$19,6,FALSE),0.5),"Severe spike",IF($K170&gt;=$M170,"Usage spike",IF($K170&lt;=-IFERROR(VLOOKUP($H170,'基本設定'!$A$13:$K$19,7,FALSE),0.3),"Usage drop",IF($L170&gt;IFERROR(VLOOKUP($H170,'基本設定'!$A$13:$K$19,8,FALSE),999999),"Area intensity overrun","正常")))))))</f>
        <v/>
      </c>
      <c r="O170" s="102">
        <f>IF($N170="","",IF($N170="正常","正常",IF(OR($N170="Severe spike",$K170&gt;=IFERROR(VLOOKUP($H170,'基本設定'!$A$13:$K$19,6,FALSE),0.5)),"重大",IF(OR($N170="Usage spike",$N170="Usage drop"),"高","中"))))</f>
        <v/>
      </c>
      <c r="P170" s="144">
        <f>IF(OR($N170="",$N170="正常"),0,ABS($I170-$J170)*'エネルギーデータ入力'!$O170)</f>
        <v/>
      </c>
      <c r="Q170" s="102">
        <f>IF($N170="正常","",IF($N170="Stalled reading / possibly offline","核查表计通信/電気池/网关/阀门Status",IF(AND($H170="水道",$N170&lt;&gt;"正常"),"检查管网、阀门、卫生间、冷却塔及夜间最小流量",IF(AND($H170="電気",$N170&lt;&gt;"正常"),"检查空调、照明、生产设备、PeakOff-peak时段与待机功耗",IF(AND($H170="ガス",$N170&lt;&gt;"正常"),"检查燃ガス阀门、锅炉/厨房设备与泄漏风险","核查设备工况、排班、产量与计量数据")))))</f>
        <v/>
      </c>
      <c r="R170" s="102">
        <f>IF($H170="","",IFERROR(VLOOKUP($H170,'基本設定'!$A$13:$K$19,11,FALSE),"Energy management owner"))</f>
        <v/>
      </c>
      <c r="S170" s="102">
        <f>IF($N170="","",IF($N170="正常","対応不要","未対応"))</f>
        <v/>
      </c>
      <c r="T170" s="141">
        <f>IF(OR($B170="",$N170="正常"),"",WORKDAY($B170,IF($O170="重大",1,IF($O170="高",2,3))))</f>
        <v/>
      </c>
      <c r="U170" s="102">
        <f>IF($T170="","",IF(AND($S170&lt;&gt;"完了",TODAY()&gt;$T170),"期限超過","期限内"))</f>
        <v/>
      </c>
      <c r="V170" s="102" t="n"/>
      <c r="W170" s="141" t="n"/>
      <c r="X170" s="102" t="n"/>
    </row>
    <row r="171">
      <c r="A171" s="102">
        <f>IF('エネルギーデータ入力'!$A171="","","AL-"&amp;TEXT(ROW()-5,"0000"))</f>
        <v/>
      </c>
      <c r="B171" s="141">
        <f>IF('エネルギーデータ入力'!$B171="","",'エネルギーデータ入力'!$B171)</f>
        <v/>
      </c>
      <c r="C171" s="102">
        <f>IF('エネルギーデータ入力'!$C171="","",'エネルギーデータ入力'!$C171)</f>
        <v/>
      </c>
      <c r="D171" s="102">
        <f>IF('エネルギーデータ入力'!$D171="","",'エネルギーデータ入力'!$D171)</f>
        <v/>
      </c>
      <c r="E171" s="102">
        <f>IF('エネルギーデータ入力'!$E171="","",'エネルギーデータ入力'!$E171)</f>
        <v/>
      </c>
      <c r="F171" s="102">
        <f>IF('エネルギーデータ入力'!$G171="","",'エネルギーデータ入力'!$G171)</f>
        <v/>
      </c>
      <c r="G171" s="102">
        <f>IF('エネルギーデータ入力'!$H171="","",'エネルギーデータ入力'!$H171)</f>
        <v/>
      </c>
      <c r="H171" s="102">
        <f>IF('エネルギーデータ入力'!$J171="","",'エネルギーデータ入力'!$J171)</f>
        <v/>
      </c>
      <c r="I171" s="142">
        <f>IF('エネルギーデータ入力'!$N171="","",'エネルギーデータ入力'!$N171)</f>
        <v/>
      </c>
      <c r="J171" s="142">
        <f>IF($B171="","",IFERROR(AVERAGEIFS('エネルギーデータ入力'!$N$6:$N$205,'エネルギーデータ入力'!$B$6:$B$205,"&gt;="&amp;$B171-7,'エネルギーデータ入力'!$B$6:$B$205,"&lt;"&amp;$B171,'エネルギーデータ入力'!$H$6:$H$205,$G171,'エネルギーデータ入力'!$J$6:$J$205,$H171),$I171))</f>
        <v/>
      </c>
      <c r="K171" s="143">
        <f>IFERROR(($I171-$J171)/$J171,"")</f>
        <v/>
      </c>
      <c r="L171" s="102">
        <f>IF('エネルギーデータ入力'!$V171="","",'エネルギーデータ入力'!$V171)</f>
        <v/>
      </c>
      <c r="M171" s="102">
        <f>IF($H171="","",IFERROR(VLOOKUP($H171,'基本設定'!$A$13:$K$19,5,FALSE),0.2))</f>
        <v/>
      </c>
      <c r="N171" s="102">
        <f>IF($B171="","",IF('エネルギーデータ入力'!$L171="","Missing reading",IF($I171=0,"Stalled reading / possibly offline",IF($K171&gt;=IFERROR(VLOOKUP($H171,'基本設定'!$A$13:$K$19,6,FALSE),0.5),"Severe spike",IF($K171&gt;=$M171,"Usage spike",IF($K171&lt;=-IFERROR(VLOOKUP($H171,'基本設定'!$A$13:$K$19,7,FALSE),0.3),"Usage drop",IF($L171&gt;IFERROR(VLOOKUP($H171,'基本設定'!$A$13:$K$19,8,FALSE),999999),"Area intensity overrun","正常")))))))</f>
        <v/>
      </c>
      <c r="O171" s="102">
        <f>IF($N171="","",IF($N171="正常","正常",IF(OR($N171="Severe spike",$K171&gt;=IFERROR(VLOOKUP($H171,'基本設定'!$A$13:$K$19,6,FALSE),0.5)),"重大",IF(OR($N171="Usage spike",$N171="Usage drop"),"高","中"))))</f>
        <v/>
      </c>
      <c r="P171" s="144">
        <f>IF(OR($N171="",$N171="正常"),0,ABS($I171-$J171)*'エネルギーデータ入力'!$O171)</f>
        <v/>
      </c>
      <c r="Q171" s="102">
        <f>IF($N171="正常","",IF($N171="Stalled reading / possibly offline","核查表计通信/電気池/网关/阀门Status",IF(AND($H171="水道",$N171&lt;&gt;"正常"),"检查管网、阀门、卫生间、冷却塔及夜间最小流量",IF(AND($H171="電気",$N171&lt;&gt;"正常"),"检查空调、照明、生产设备、PeakOff-peak时段与待机功耗",IF(AND($H171="ガス",$N171&lt;&gt;"正常"),"检查燃ガス阀门、锅炉/厨房设备与泄漏风险","核查设备工况、排班、产量与计量数据")))))</f>
        <v/>
      </c>
      <c r="R171" s="102">
        <f>IF($H171="","",IFERROR(VLOOKUP($H171,'基本設定'!$A$13:$K$19,11,FALSE),"Energy management owner"))</f>
        <v/>
      </c>
      <c r="S171" s="102">
        <f>IF($N171="","",IF($N171="正常","対応不要","未対応"))</f>
        <v/>
      </c>
      <c r="T171" s="141">
        <f>IF(OR($B171="",$N171="正常"),"",WORKDAY($B171,IF($O171="重大",1,IF($O171="高",2,3))))</f>
        <v/>
      </c>
      <c r="U171" s="102">
        <f>IF($T171="","",IF(AND($S171&lt;&gt;"完了",TODAY()&gt;$T171),"期限超過","期限内"))</f>
        <v/>
      </c>
      <c r="V171" s="102" t="n"/>
      <c r="W171" s="141" t="n"/>
      <c r="X171" s="102" t="n"/>
    </row>
    <row r="172">
      <c r="A172" s="102">
        <f>IF('エネルギーデータ入力'!$A172="","","AL-"&amp;TEXT(ROW()-5,"0000"))</f>
        <v/>
      </c>
      <c r="B172" s="141">
        <f>IF('エネルギーデータ入力'!$B172="","",'エネルギーデータ入力'!$B172)</f>
        <v/>
      </c>
      <c r="C172" s="102">
        <f>IF('エネルギーデータ入力'!$C172="","",'エネルギーデータ入力'!$C172)</f>
        <v/>
      </c>
      <c r="D172" s="102">
        <f>IF('エネルギーデータ入力'!$D172="","",'エネルギーデータ入力'!$D172)</f>
        <v/>
      </c>
      <c r="E172" s="102">
        <f>IF('エネルギーデータ入力'!$E172="","",'エネルギーデータ入力'!$E172)</f>
        <v/>
      </c>
      <c r="F172" s="102">
        <f>IF('エネルギーデータ入力'!$G172="","",'エネルギーデータ入力'!$G172)</f>
        <v/>
      </c>
      <c r="G172" s="102">
        <f>IF('エネルギーデータ入力'!$H172="","",'エネルギーデータ入力'!$H172)</f>
        <v/>
      </c>
      <c r="H172" s="102">
        <f>IF('エネルギーデータ入力'!$J172="","",'エネルギーデータ入力'!$J172)</f>
        <v/>
      </c>
      <c r="I172" s="142">
        <f>IF('エネルギーデータ入力'!$N172="","",'エネルギーデータ入力'!$N172)</f>
        <v/>
      </c>
      <c r="J172" s="142">
        <f>IF($B172="","",IFERROR(AVERAGEIFS('エネルギーデータ入力'!$N$6:$N$205,'エネルギーデータ入力'!$B$6:$B$205,"&gt;="&amp;$B172-7,'エネルギーデータ入力'!$B$6:$B$205,"&lt;"&amp;$B172,'エネルギーデータ入力'!$H$6:$H$205,$G172,'エネルギーデータ入力'!$J$6:$J$205,$H172),$I172))</f>
        <v/>
      </c>
      <c r="K172" s="143">
        <f>IFERROR(($I172-$J172)/$J172,"")</f>
        <v/>
      </c>
      <c r="L172" s="102">
        <f>IF('エネルギーデータ入力'!$V172="","",'エネルギーデータ入力'!$V172)</f>
        <v/>
      </c>
      <c r="M172" s="102">
        <f>IF($H172="","",IFERROR(VLOOKUP($H172,'基本設定'!$A$13:$K$19,5,FALSE),0.2))</f>
        <v/>
      </c>
      <c r="N172" s="102">
        <f>IF($B172="","",IF('エネルギーデータ入力'!$L172="","Missing reading",IF($I172=0,"Stalled reading / possibly offline",IF($K172&gt;=IFERROR(VLOOKUP($H172,'基本設定'!$A$13:$K$19,6,FALSE),0.5),"Severe spike",IF($K172&gt;=$M172,"Usage spike",IF($K172&lt;=-IFERROR(VLOOKUP($H172,'基本設定'!$A$13:$K$19,7,FALSE),0.3),"Usage drop",IF($L172&gt;IFERROR(VLOOKUP($H172,'基本設定'!$A$13:$K$19,8,FALSE),999999),"Area intensity overrun","正常")))))))</f>
        <v/>
      </c>
      <c r="O172" s="102">
        <f>IF($N172="","",IF($N172="正常","正常",IF(OR($N172="Severe spike",$K172&gt;=IFERROR(VLOOKUP($H172,'基本設定'!$A$13:$K$19,6,FALSE),0.5)),"重大",IF(OR($N172="Usage spike",$N172="Usage drop"),"高","中"))))</f>
        <v/>
      </c>
      <c r="P172" s="144">
        <f>IF(OR($N172="",$N172="正常"),0,ABS($I172-$J172)*'エネルギーデータ入力'!$O172)</f>
        <v/>
      </c>
      <c r="Q172" s="102">
        <f>IF($N172="正常","",IF($N172="Stalled reading / possibly offline","核查表计通信/電気池/网关/阀门Status",IF(AND($H172="水道",$N172&lt;&gt;"正常"),"检查管网、阀门、卫生间、冷却塔及夜间最小流量",IF(AND($H172="電気",$N172&lt;&gt;"正常"),"检查空调、照明、生产设备、PeakOff-peak时段与待机功耗",IF(AND($H172="ガス",$N172&lt;&gt;"正常"),"检查燃ガス阀门、锅炉/厨房设备与泄漏风险","核查设备工况、排班、产量与计量数据")))))</f>
        <v/>
      </c>
      <c r="R172" s="102">
        <f>IF($H172="","",IFERROR(VLOOKUP($H172,'基本設定'!$A$13:$K$19,11,FALSE),"Energy management owner"))</f>
        <v/>
      </c>
      <c r="S172" s="102">
        <f>IF($N172="","",IF($N172="正常","対応不要","未対応"))</f>
        <v/>
      </c>
      <c r="T172" s="141">
        <f>IF(OR($B172="",$N172="正常"),"",WORKDAY($B172,IF($O172="重大",1,IF($O172="高",2,3))))</f>
        <v/>
      </c>
      <c r="U172" s="102">
        <f>IF($T172="","",IF(AND($S172&lt;&gt;"完了",TODAY()&gt;$T172),"期限超過","期限内"))</f>
        <v/>
      </c>
      <c r="V172" s="102" t="n"/>
      <c r="W172" s="141" t="n"/>
      <c r="X172" s="102" t="n"/>
    </row>
    <row r="173">
      <c r="A173" s="102">
        <f>IF('エネルギーデータ入力'!$A173="","","AL-"&amp;TEXT(ROW()-5,"0000"))</f>
        <v/>
      </c>
      <c r="B173" s="141">
        <f>IF('エネルギーデータ入力'!$B173="","",'エネルギーデータ入力'!$B173)</f>
        <v/>
      </c>
      <c r="C173" s="102">
        <f>IF('エネルギーデータ入力'!$C173="","",'エネルギーデータ入力'!$C173)</f>
        <v/>
      </c>
      <c r="D173" s="102">
        <f>IF('エネルギーデータ入力'!$D173="","",'エネルギーデータ入力'!$D173)</f>
        <v/>
      </c>
      <c r="E173" s="102">
        <f>IF('エネルギーデータ入力'!$E173="","",'エネルギーデータ入力'!$E173)</f>
        <v/>
      </c>
      <c r="F173" s="102">
        <f>IF('エネルギーデータ入力'!$G173="","",'エネルギーデータ入力'!$G173)</f>
        <v/>
      </c>
      <c r="G173" s="102">
        <f>IF('エネルギーデータ入力'!$H173="","",'エネルギーデータ入力'!$H173)</f>
        <v/>
      </c>
      <c r="H173" s="102">
        <f>IF('エネルギーデータ入力'!$J173="","",'エネルギーデータ入力'!$J173)</f>
        <v/>
      </c>
      <c r="I173" s="142">
        <f>IF('エネルギーデータ入力'!$N173="","",'エネルギーデータ入力'!$N173)</f>
        <v/>
      </c>
      <c r="J173" s="142">
        <f>IF($B173="","",IFERROR(AVERAGEIFS('エネルギーデータ入力'!$N$6:$N$205,'エネルギーデータ入力'!$B$6:$B$205,"&gt;="&amp;$B173-7,'エネルギーデータ入力'!$B$6:$B$205,"&lt;"&amp;$B173,'エネルギーデータ入力'!$H$6:$H$205,$G173,'エネルギーデータ入力'!$J$6:$J$205,$H173),$I173))</f>
        <v/>
      </c>
      <c r="K173" s="143">
        <f>IFERROR(($I173-$J173)/$J173,"")</f>
        <v/>
      </c>
      <c r="L173" s="102">
        <f>IF('エネルギーデータ入力'!$V173="","",'エネルギーデータ入力'!$V173)</f>
        <v/>
      </c>
      <c r="M173" s="102">
        <f>IF($H173="","",IFERROR(VLOOKUP($H173,'基本設定'!$A$13:$K$19,5,FALSE),0.2))</f>
        <v/>
      </c>
      <c r="N173" s="102">
        <f>IF($B173="","",IF('エネルギーデータ入力'!$L173="","Missing reading",IF($I173=0,"Stalled reading / possibly offline",IF($K173&gt;=IFERROR(VLOOKUP($H173,'基本設定'!$A$13:$K$19,6,FALSE),0.5),"Severe spike",IF($K173&gt;=$M173,"Usage spike",IF($K173&lt;=-IFERROR(VLOOKUP($H173,'基本設定'!$A$13:$K$19,7,FALSE),0.3),"Usage drop",IF($L173&gt;IFERROR(VLOOKUP($H173,'基本設定'!$A$13:$K$19,8,FALSE),999999),"Area intensity overrun","正常")))))))</f>
        <v/>
      </c>
      <c r="O173" s="102">
        <f>IF($N173="","",IF($N173="正常","正常",IF(OR($N173="Severe spike",$K173&gt;=IFERROR(VLOOKUP($H173,'基本設定'!$A$13:$K$19,6,FALSE),0.5)),"重大",IF(OR($N173="Usage spike",$N173="Usage drop"),"高","中"))))</f>
        <v/>
      </c>
      <c r="P173" s="144">
        <f>IF(OR($N173="",$N173="正常"),0,ABS($I173-$J173)*'エネルギーデータ入力'!$O173)</f>
        <v/>
      </c>
      <c r="Q173" s="102">
        <f>IF($N173="正常","",IF($N173="Stalled reading / possibly offline","核查表计通信/電気池/网关/阀门Status",IF(AND($H173="水道",$N173&lt;&gt;"正常"),"检查管网、阀门、卫生间、冷却塔及夜间最小流量",IF(AND($H173="電気",$N173&lt;&gt;"正常"),"检查空调、照明、生产设备、PeakOff-peak时段与待机功耗",IF(AND($H173="ガス",$N173&lt;&gt;"正常"),"检查燃ガス阀门、锅炉/厨房设备与泄漏风险","核查设备工况、排班、产量与计量数据")))))</f>
        <v/>
      </c>
      <c r="R173" s="102">
        <f>IF($H173="","",IFERROR(VLOOKUP($H173,'基本設定'!$A$13:$K$19,11,FALSE),"Energy management owner"))</f>
        <v/>
      </c>
      <c r="S173" s="102">
        <f>IF($N173="","",IF($N173="正常","対応不要","未対応"))</f>
        <v/>
      </c>
      <c r="T173" s="141">
        <f>IF(OR($B173="",$N173="正常"),"",WORKDAY($B173,IF($O173="重大",1,IF($O173="高",2,3))))</f>
        <v/>
      </c>
      <c r="U173" s="102">
        <f>IF($T173="","",IF(AND($S173&lt;&gt;"完了",TODAY()&gt;$T173),"期限超過","期限内"))</f>
        <v/>
      </c>
      <c r="V173" s="102" t="n"/>
      <c r="W173" s="141" t="n"/>
      <c r="X173" s="102" t="n"/>
    </row>
    <row r="174">
      <c r="A174" s="102">
        <f>IF('エネルギーデータ入力'!$A174="","","AL-"&amp;TEXT(ROW()-5,"0000"))</f>
        <v/>
      </c>
      <c r="B174" s="141">
        <f>IF('エネルギーデータ入力'!$B174="","",'エネルギーデータ入力'!$B174)</f>
        <v/>
      </c>
      <c r="C174" s="102">
        <f>IF('エネルギーデータ入力'!$C174="","",'エネルギーデータ入力'!$C174)</f>
        <v/>
      </c>
      <c r="D174" s="102">
        <f>IF('エネルギーデータ入力'!$D174="","",'エネルギーデータ入力'!$D174)</f>
        <v/>
      </c>
      <c r="E174" s="102">
        <f>IF('エネルギーデータ入力'!$E174="","",'エネルギーデータ入力'!$E174)</f>
        <v/>
      </c>
      <c r="F174" s="102">
        <f>IF('エネルギーデータ入力'!$G174="","",'エネルギーデータ入力'!$G174)</f>
        <v/>
      </c>
      <c r="G174" s="102">
        <f>IF('エネルギーデータ入力'!$H174="","",'エネルギーデータ入力'!$H174)</f>
        <v/>
      </c>
      <c r="H174" s="102">
        <f>IF('エネルギーデータ入力'!$J174="","",'エネルギーデータ入力'!$J174)</f>
        <v/>
      </c>
      <c r="I174" s="142">
        <f>IF('エネルギーデータ入力'!$N174="","",'エネルギーデータ入力'!$N174)</f>
        <v/>
      </c>
      <c r="J174" s="142">
        <f>IF($B174="","",IFERROR(AVERAGEIFS('エネルギーデータ入力'!$N$6:$N$205,'エネルギーデータ入力'!$B$6:$B$205,"&gt;="&amp;$B174-7,'エネルギーデータ入力'!$B$6:$B$205,"&lt;"&amp;$B174,'エネルギーデータ入力'!$H$6:$H$205,$G174,'エネルギーデータ入力'!$J$6:$J$205,$H174),$I174))</f>
        <v/>
      </c>
      <c r="K174" s="143">
        <f>IFERROR(($I174-$J174)/$J174,"")</f>
        <v/>
      </c>
      <c r="L174" s="102">
        <f>IF('エネルギーデータ入力'!$V174="","",'エネルギーデータ入力'!$V174)</f>
        <v/>
      </c>
      <c r="M174" s="102">
        <f>IF($H174="","",IFERROR(VLOOKUP($H174,'基本設定'!$A$13:$K$19,5,FALSE),0.2))</f>
        <v/>
      </c>
      <c r="N174" s="102">
        <f>IF($B174="","",IF('エネルギーデータ入力'!$L174="","Missing reading",IF($I174=0,"Stalled reading / possibly offline",IF($K174&gt;=IFERROR(VLOOKUP($H174,'基本設定'!$A$13:$K$19,6,FALSE),0.5),"Severe spike",IF($K174&gt;=$M174,"Usage spike",IF($K174&lt;=-IFERROR(VLOOKUP($H174,'基本設定'!$A$13:$K$19,7,FALSE),0.3),"Usage drop",IF($L174&gt;IFERROR(VLOOKUP($H174,'基本設定'!$A$13:$K$19,8,FALSE),999999),"Area intensity overrun","正常")))))))</f>
        <v/>
      </c>
      <c r="O174" s="102">
        <f>IF($N174="","",IF($N174="正常","正常",IF(OR($N174="Severe spike",$K174&gt;=IFERROR(VLOOKUP($H174,'基本設定'!$A$13:$K$19,6,FALSE),0.5)),"重大",IF(OR($N174="Usage spike",$N174="Usage drop"),"高","中"))))</f>
        <v/>
      </c>
      <c r="P174" s="144">
        <f>IF(OR($N174="",$N174="正常"),0,ABS($I174-$J174)*'エネルギーデータ入力'!$O174)</f>
        <v/>
      </c>
      <c r="Q174" s="102">
        <f>IF($N174="正常","",IF($N174="Stalled reading / possibly offline","核查表计通信/電気池/网关/阀门Status",IF(AND($H174="水道",$N174&lt;&gt;"正常"),"检查管网、阀门、卫生间、冷却塔及夜间最小流量",IF(AND($H174="電気",$N174&lt;&gt;"正常"),"检查空调、照明、生产设备、PeakOff-peak时段与待机功耗",IF(AND($H174="ガス",$N174&lt;&gt;"正常"),"检查燃ガス阀门、锅炉/厨房设备与泄漏风险","核查设备工况、排班、产量与计量数据")))))</f>
        <v/>
      </c>
      <c r="R174" s="102">
        <f>IF($H174="","",IFERROR(VLOOKUP($H174,'基本設定'!$A$13:$K$19,11,FALSE),"Energy management owner"))</f>
        <v/>
      </c>
      <c r="S174" s="102">
        <f>IF($N174="","",IF($N174="正常","対応不要","未対応"))</f>
        <v/>
      </c>
      <c r="T174" s="141">
        <f>IF(OR($B174="",$N174="正常"),"",WORKDAY($B174,IF($O174="重大",1,IF($O174="高",2,3))))</f>
        <v/>
      </c>
      <c r="U174" s="102">
        <f>IF($T174="","",IF(AND($S174&lt;&gt;"完了",TODAY()&gt;$T174),"期限超過","期限内"))</f>
        <v/>
      </c>
      <c r="V174" s="102" t="n"/>
      <c r="W174" s="141" t="n"/>
      <c r="X174" s="102" t="n"/>
    </row>
    <row r="175">
      <c r="A175" s="102">
        <f>IF('エネルギーデータ入力'!$A175="","","AL-"&amp;TEXT(ROW()-5,"0000"))</f>
        <v/>
      </c>
      <c r="B175" s="141">
        <f>IF('エネルギーデータ入力'!$B175="","",'エネルギーデータ入力'!$B175)</f>
        <v/>
      </c>
      <c r="C175" s="102">
        <f>IF('エネルギーデータ入力'!$C175="","",'エネルギーデータ入力'!$C175)</f>
        <v/>
      </c>
      <c r="D175" s="102">
        <f>IF('エネルギーデータ入力'!$D175="","",'エネルギーデータ入力'!$D175)</f>
        <v/>
      </c>
      <c r="E175" s="102">
        <f>IF('エネルギーデータ入力'!$E175="","",'エネルギーデータ入力'!$E175)</f>
        <v/>
      </c>
      <c r="F175" s="102">
        <f>IF('エネルギーデータ入力'!$G175="","",'エネルギーデータ入力'!$G175)</f>
        <v/>
      </c>
      <c r="G175" s="102">
        <f>IF('エネルギーデータ入力'!$H175="","",'エネルギーデータ入力'!$H175)</f>
        <v/>
      </c>
      <c r="H175" s="102">
        <f>IF('エネルギーデータ入力'!$J175="","",'エネルギーデータ入力'!$J175)</f>
        <v/>
      </c>
      <c r="I175" s="142">
        <f>IF('エネルギーデータ入力'!$N175="","",'エネルギーデータ入力'!$N175)</f>
        <v/>
      </c>
      <c r="J175" s="142">
        <f>IF($B175="","",IFERROR(AVERAGEIFS('エネルギーデータ入力'!$N$6:$N$205,'エネルギーデータ入力'!$B$6:$B$205,"&gt;="&amp;$B175-7,'エネルギーデータ入力'!$B$6:$B$205,"&lt;"&amp;$B175,'エネルギーデータ入力'!$H$6:$H$205,$G175,'エネルギーデータ入力'!$J$6:$J$205,$H175),$I175))</f>
        <v/>
      </c>
      <c r="K175" s="143">
        <f>IFERROR(($I175-$J175)/$J175,"")</f>
        <v/>
      </c>
      <c r="L175" s="102">
        <f>IF('エネルギーデータ入力'!$V175="","",'エネルギーデータ入力'!$V175)</f>
        <v/>
      </c>
      <c r="M175" s="102">
        <f>IF($H175="","",IFERROR(VLOOKUP($H175,'基本設定'!$A$13:$K$19,5,FALSE),0.2))</f>
        <v/>
      </c>
      <c r="N175" s="102">
        <f>IF($B175="","",IF('エネルギーデータ入力'!$L175="","Missing reading",IF($I175=0,"Stalled reading / possibly offline",IF($K175&gt;=IFERROR(VLOOKUP($H175,'基本設定'!$A$13:$K$19,6,FALSE),0.5),"Severe spike",IF($K175&gt;=$M175,"Usage spike",IF($K175&lt;=-IFERROR(VLOOKUP($H175,'基本設定'!$A$13:$K$19,7,FALSE),0.3),"Usage drop",IF($L175&gt;IFERROR(VLOOKUP($H175,'基本設定'!$A$13:$K$19,8,FALSE),999999),"Area intensity overrun","正常")))))))</f>
        <v/>
      </c>
      <c r="O175" s="102">
        <f>IF($N175="","",IF($N175="正常","正常",IF(OR($N175="Severe spike",$K175&gt;=IFERROR(VLOOKUP($H175,'基本設定'!$A$13:$K$19,6,FALSE),0.5)),"重大",IF(OR($N175="Usage spike",$N175="Usage drop"),"高","中"))))</f>
        <v/>
      </c>
      <c r="P175" s="144">
        <f>IF(OR($N175="",$N175="正常"),0,ABS($I175-$J175)*'エネルギーデータ入力'!$O175)</f>
        <v/>
      </c>
      <c r="Q175" s="102">
        <f>IF($N175="正常","",IF($N175="Stalled reading / possibly offline","核查表计通信/電気池/网关/阀门Status",IF(AND($H175="水道",$N175&lt;&gt;"正常"),"检查管网、阀门、卫生间、冷却塔及夜间最小流量",IF(AND($H175="電気",$N175&lt;&gt;"正常"),"检查空调、照明、生产设备、PeakOff-peak时段与待机功耗",IF(AND($H175="ガス",$N175&lt;&gt;"正常"),"检查燃ガス阀门、锅炉/厨房设备与泄漏风险","核查设备工况、排班、产量与计量数据")))))</f>
        <v/>
      </c>
      <c r="R175" s="102">
        <f>IF($H175="","",IFERROR(VLOOKUP($H175,'基本設定'!$A$13:$K$19,11,FALSE),"Energy management owner"))</f>
        <v/>
      </c>
      <c r="S175" s="102">
        <f>IF($N175="","",IF($N175="正常","対応不要","未対応"))</f>
        <v/>
      </c>
      <c r="T175" s="141">
        <f>IF(OR($B175="",$N175="正常"),"",WORKDAY($B175,IF($O175="重大",1,IF($O175="高",2,3))))</f>
        <v/>
      </c>
      <c r="U175" s="102">
        <f>IF($T175="","",IF(AND($S175&lt;&gt;"完了",TODAY()&gt;$T175),"期限超過","期限内"))</f>
        <v/>
      </c>
      <c r="V175" s="102" t="n"/>
      <c r="W175" s="141" t="n"/>
      <c r="X175" s="102" t="n"/>
    </row>
    <row r="176">
      <c r="A176" s="102">
        <f>IF('エネルギーデータ入力'!$A176="","","AL-"&amp;TEXT(ROW()-5,"0000"))</f>
        <v/>
      </c>
      <c r="B176" s="141">
        <f>IF('エネルギーデータ入力'!$B176="","",'エネルギーデータ入力'!$B176)</f>
        <v/>
      </c>
      <c r="C176" s="102">
        <f>IF('エネルギーデータ入力'!$C176="","",'エネルギーデータ入力'!$C176)</f>
        <v/>
      </c>
      <c r="D176" s="102">
        <f>IF('エネルギーデータ入力'!$D176="","",'エネルギーデータ入力'!$D176)</f>
        <v/>
      </c>
      <c r="E176" s="102">
        <f>IF('エネルギーデータ入力'!$E176="","",'エネルギーデータ入力'!$E176)</f>
        <v/>
      </c>
      <c r="F176" s="102">
        <f>IF('エネルギーデータ入力'!$G176="","",'エネルギーデータ入力'!$G176)</f>
        <v/>
      </c>
      <c r="G176" s="102">
        <f>IF('エネルギーデータ入力'!$H176="","",'エネルギーデータ入力'!$H176)</f>
        <v/>
      </c>
      <c r="H176" s="102">
        <f>IF('エネルギーデータ入力'!$J176="","",'エネルギーデータ入力'!$J176)</f>
        <v/>
      </c>
      <c r="I176" s="142">
        <f>IF('エネルギーデータ入力'!$N176="","",'エネルギーデータ入力'!$N176)</f>
        <v/>
      </c>
      <c r="J176" s="142">
        <f>IF($B176="","",IFERROR(AVERAGEIFS('エネルギーデータ入力'!$N$6:$N$205,'エネルギーデータ入力'!$B$6:$B$205,"&gt;="&amp;$B176-7,'エネルギーデータ入力'!$B$6:$B$205,"&lt;"&amp;$B176,'エネルギーデータ入力'!$H$6:$H$205,$G176,'エネルギーデータ入力'!$J$6:$J$205,$H176),$I176))</f>
        <v/>
      </c>
      <c r="K176" s="143">
        <f>IFERROR(($I176-$J176)/$J176,"")</f>
        <v/>
      </c>
      <c r="L176" s="102">
        <f>IF('エネルギーデータ入力'!$V176="","",'エネルギーデータ入力'!$V176)</f>
        <v/>
      </c>
      <c r="M176" s="102">
        <f>IF($H176="","",IFERROR(VLOOKUP($H176,'基本設定'!$A$13:$K$19,5,FALSE),0.2))</f>
        <v/>
      </c>
      <c r="N176" s="102">
        <f>IF($B176="","",IF('エネルギーデータ入力'!$L176="","Missing reading",IF($I176=0,"Stalled reading / possibly offline",IF($K176&gt;=IFERROR(VLOOKUP($H176,'基本設定'!$A$13:$K$19,6,FALSE),0.5),"Severe spike",IF($K176&gt;=$M176,"Usage spike",IF($K176&lt;=-IFERROR(VLOOKUP($H176,'基本設定'!$A$13:$K$19,7,FALSE),0.3),"Usage drop",IF($L176&gt;IFERROR(VLOOKUP($H176,'基本設定'!$A$13:$K$19,8,FALSE),999999),"Area intensity overrun","正常")))))))</f>
        <v/>
      </c>
      <c r="O176" s="102">
        <f>IF($N176="","",IF($N176="正常","正常",IF(OR($N176="Severe spike",$K176&gt;=IFERROR(VLOOKUP($H176,'基本設定'!$A$13:$K$19,6,FALSE),0.5)),"重大",IF(OR($N176="Usage spike",$N176="Usage drop"),"高","中"))))</f>
        <v/>
      </c>
      <c r="P176" s="144">
        <f>IF(OR($N176="",$N176="正常"),0,ABS($I176-$J176)*'エネルギーデータ入力'!$O176)</f>
        <v/>
      </c>
      <c r="Q176" s="102">
        <f>IF($N176="正常","",IF($N176="Stalled reading / possibly offline","核查表计通信/電気池/网关/阀门Status",IF(AND($H176="水道",$N176&lt;&gt;"正常"),"检查管网、阀门、卫生间、冷却塔及夜间最小流量",IF(AND($H176="電気",$N176&lt;&gt;"正常"),"检查空调、照明、生产设备、PeakOff-peak时段与待机功耗",IF(AND($H176="ガス",$N176&lt;&gt;"正常"),"检查燃ガス阀门、锅炉/厨房设备与泄漏风险","核查设备工况、排班、产量与计量数据")))))</f>
        <v/>
      </c>
      <c r="R176" s="102">
        <f>IF($H176="","",IFERROR(VLOOKUP($H176,'基本設定'!$A$13:$K$19,11,FALSE),"Energy management owner"))</f>
        <v/>
      </c>
      <c r="S176" s="102">
        <f>IF($N176="","",IF($N176="正常","対応不要","未対応"))</f>
        <v/>
      </c>
      <c r="T176" s="141">
        <f>IF(OR($B176="",$N176="正常"),"",WORKDAY($B176,IF($O176="重大",1,IF($O176="高",2,3))))</f>
        <v/>
      </c>
      <c r="U176" s="102">
        <f>IF($T176="","",IF(AND($S176&lt;&gt;"完了",TODAY()&gt;$T176),"期限超過","期限内"))</f>
        <v/>
      </c>
      <c r="V176" s="102" t="n"/>
      <c r="W176" s="141" t="n"/>
      <c r="X176" s="102" t="n"/>
    </row>
    <row r="177">
      <c r="A177" s="102">
        <f>IF('エネルギーデータ入力'!$A177="","","AL-"&amp;TEXT(ROW()-5,"0000"))</f>
        <v/>
      </c>
      <c r="B177" s="141">
        <f>IF('エネルギーデータ入力'!$B177="","",'エネルギーデータ入力'!$B177)</f>
        <v/>
      </c>
      <c r="C177" s="102">
        <f>IF('エネルギーデータ入力'!$C177="","",'エネルギーデータ入力'!$C177)</f>
        <v/>
      </c>
      <c r="D177" s="102">
        <f>IF('エネルギーデータ入力'!$D177="","",'エネルギーデータ入力'!$D177)</f>
        <v/>
      </c>
      <c r="E177" s="102">
        <f>IF('エネルギーデータ入力'!$E177="","",'エネルギーデータ入力'!$E177)</f>
        <v/>
      </c>
      <c r="F177" s="102">
        <f>IF('エネルギーデータ入力'!$G177="","",'エネルギーデータ入力'!$G177)</f>
        <v/>
      </c>
      <c r="G177" s="102">
        <f>IF('エネルギーデータ入力'!$H177="","",'エネルギーデータ入力'!$H177)</f>
        <v/>
      </c>
      <c r="H177" s="102">
        <f>IF('エネルギーデータ入力'!$J177="","",'エネルギーデータ入力'!$J177)</f>
        <v/>
      </c>
      <c r="I177" s="142">
        <f>IF('エネルギーデータ入力'!$N177="","",'エネルギーデータ入力'!$N177)</f>
        <v/>
      </c>
      <c r="J177" s="142">
        <f>IF($B177="","",IFERROR(AVERAGEIFS('エネルギーデータ入力'!$N$6:$N$205,'エネルギーデータ入力'!$B$6:$B$205,"&gt;="&amp;$B177-7,'エネルギーデータ入力'!$B$6:$B$205,"&lt;"&amp;$B177,'エネルギーデータ入力'!$H$6:$H$205,$G177,'エネルギーデータ入力'!$J$6:$J$205,$H177),$I177))</f>
        <v/>
      </c>
      <c r="K177" s="143">
        <f>IFERROR(($I177-$J177)/$J177,"")</f>
        <v/>
      </c>
      <c r="L177" s="102">
        <f>IF('エネルギーデータ入力'!$V177="","",'エネルギーデータ入力'!$V177)</f>
        <v/>
      </c>
      <c r="M177" s="102">
        <f>IF($H177="","",IFERROR(VLOOKUP($H177,'基本設定'!$A$13:$K$19,5,FALSE),0.2))</f>
        <v/>
      </c>
      <c r="N177" s="102">
        <f>IF($B177="","",IF('エネルギーデータ入力'!$L177="","Missing reading",IF($I177=0,"Stalled reading / possibly offline",IF($K177&gt;=IFERROR(VLOOKUP($H177,'基本設定'!$A$13:$K$19,6,FALSE),0.5),"Severe spike",IF($K177&gt;=$M177,"Usage spike",IF($K177&lt;=-IFERROR(VLOOKUP($H177,'基本設定'!$A$13:$K$19,7,FALSE),0.3),"Usage drop",IF($L177&gt;IFERROR(VLOOKUP($H177,'基本設定'!$A$13:$K$19,8,FALSE),999999),"Area intensity overrun","正常")))))))</f>
        <v/>
      </c>
      <c r="O177" s="102">
        <f>IF($N177="","",IF($N177="正常","正常",IF(OR($N177="Severe spike",$K177&gt;=IFERROR(VLOOKUP($H177,'基本設定'!$A$13:$K$19,6,FALSE),0.5)),"重大",IF(OR($N177="Usage spike",$N177="Usage drop"),"高","中"))))</f>
        <v/>
      </c>
      <c r="P177" s="144">
        <f>IF(OR($N177="",$N177="正常"),0,ABS($I177-$J177)*'エネルギーデータ入力'!$O177)</f>
        <v/>
      </c>
      <c r="Q177" s="102">
        <f>IF($N177="正常","",IF($N177="Stalled reading / possibly offline","核查表计通信/電気池/网关/阀门Status",IF(AND($H177="水道",$N177&lt;&gt;"正常"),"检查管网、阀门、卫生间、冷却塔及夜间最小流量",IF(AND($H177="電気",$N177&lt;&gt;"正常"),"检查空调、照明、生产设备、PeakOff-peak时段与待机功耗",IF(AND($H177="ガス",$N177&lt;&gt;"正常"),"检查燃ガス阀门、锅炉/厨房设备与泄漏风险","核查设备工况、排班、产量与计量数据")))))</f>
        <v/>
      </c>
      <c r="R177" s="102">
        <f>IF($H177="","",IFERROR(VLOOKUP($H177,'基本設定'!$A$13:$K$19,11,FALSE),"Energy management owner"))</f>
        <v/>
      </c>
      <c r="S177" s="102">
        <f>IF($N177="","",IF($N177="正常","対応不要","未対応"))</f>
        <v/>
      </c>
      <c r="T177" s="141">
        <f>IF(OR($B177="",$N177="正常"),"",WORKDAY($B177,IF($O177="重大",1,IF($O177="高",2,3))))</f>
        <v/>
      </c>
      <c r="U177" s="102">
        <f>IF($T177="","",IF(AND($S177&lt;&gt;"完了",TODAY()&gt;$T177),"期限超過","期限内"))</f>
        <v/>
      </c>
      <c r="V177" s="102" t="n"/>
      <c r="W177" s="141" t="n"/>
      <c r="X177" s="102" t="n"/>
    </row>
    <row r="178">
      <c r="A178" s="102">
        <f>IF('エネルギーデータ入力'!$A178="","","AL-"&amp;TEXT(ROW()-5,"0000"))</f>
        <v/>
      </c>
      <c r="B178" s="141">
        <f>IF('エネルギーデータ入力'!$B178="","",'エネルギーデータ入力'!$B178)</f>
        <v/>
      </c>
      <c r="C178" s="102">
        <f>IF('エネルギーデータ入力'!$C178="","",'エネルギーデータ入力'!$C178)</f>
        <v/>
      </c>
      <c r="D178" s="102">
        <f>IF('エネルギーデータ入力'!$D178="","",'エネルギーデータ入力'!$D178)</f>
        <v/>
      </c>
      <c r="E178" s="102">
        <f>IF('エネルギーデータ入力'!$E178="","",'エネルギーデータ入力'!$E178)</f>
        <v/>
      </c>
      <c r="F178" s="102">
        <f>IF('エネルギーデータ入力'!$G178="","",'エネルギーデータ入力'!$G178)</f>
        <v/>
      </c>
      <c r="G178" s="102">
        <f>IF('エネルギーデータ入力'!$H178="","",'エネルギーデータ入力'!$H178)</f>
        <v/>
      </c>
      <c r="H178" s="102">
        <f>IF('エネルギーデータ入力'!$J178="","",'エネルギーデータ入力'!$J178)</f>
        <v/>
      </c>
      <c r="I178" s="142">
        <f>IF('エネルギーデータ入力'!$N178="","",'エネルギーデータ入力'!$N178)</f>
        <v/>
      </c>
      <c r="J178" s="142">
        <f>IF($B178="","",IFERROR(AVERAGEIFS('エネルギーデータ入力'!$N$6:$N$205,'エネルギーデータ入力'!$B$6:$B$205,"&gt;="&amp;$B178-7,'エネルギーデータ入力'!$B$6:$B$205,"&lt;"&amp;$B178,'エネルギーデータ入力'!$H$6:$H$205,$G178,'エネルギーデータ入力'!$J$6:$J$205,$H178),$I178))</f>
        <v/>
      </c>
      <c r="K178" s="143">
        <f>IFERROR(($I178-$J178)/$J178,"")</f>
        <v/>
      </c>
      <c r="L178" s="102">
        <f>IF('エネルギーデータ入力'!$V178="","",'エネルギーデータ入力'!$V178)</f>
        <v/>
      </c>
      <c r="M178" s="102">
        <f>IF($H178="","",IFERROR(VLOOKUP($H178,'基本設定'!$A$13:$K$19,5,FALSE),0.2))</f>
        <v/>
      </c>
      <c r="N178" s="102">
        <f>IF($B178="","",IF('エネルギーデータ入力'!$L178="","Missing reading",IF($I178=0,"Stalled reading / possibly offline",IF($K178&gt;=IFERROR(VLOOKUP($H178,'基本設定'!$A$13:$K$19,6,FALSE),0.5),"Severe spike",IF($K178&gt;=$M178,"Usage spike",IF($K178&lt;=-IFERROR(VLOOKUP($H178,'基本設定'!$A$13:$K$19,7,FALSE),0.3),"Usage drop",IF($L178&gt;IFERROR(VLOOKUP($H178,'基本設定'!$A$13:$K$19,8,FALSE),999999),"Area intensity overrun","正常")))))))</f>
        <v/>
      </c>
      <c r="O178" s="102">
        <f>IF($N178="","",IF($N178="正常","正常",IF(OR($N178="Severe spike",$K178&gt;=IFERROR(VLOOKUP($H178,'基本設定'!$A$13:$K$19,6,FALSE),0.5)),"重大",IF(OR($N178="Usage spike",$N178="Usage drop"),"高","中"))))</f>
        <v/>
      </c>
      <c r="P178" s="144">
        <f>IF(OR($N178="",$N178="正常"),0,ABS($I178-$J178)*'エネルギーデータ入力'!$O178)</f>
        <v/>
      </c>
      <c r="Q178" s="102">
        <f>IF($N178="正常","",IF($N178="Stalled reading / possibly offline","核查表计通信/電気池/网关/阀门Status",IF(AND($H178="水道",$N178&lt;&gt;"正常"),"检查管网、阀门、卫生间、冷却塔及夜间最小流量",IF(AND($H178="電気",$N178&lt;&gt;"正常"),"检查空调、照明、生产设备、PeakOff-peak时段与待机功耗",IF(AND($H178="ガス",$N178&lt;&gt;"正常"),"检查燃ガス阀门、锅炉/厨房设备与泄漏风险","核查设备工况、排班、产量与计量数据")))))</f>
        <v/>
      </c>
      <c r="R178" s="102">
        <f>IF($H178="","",IFERROR(VLOOKUP($H178,'基本設定'!$A$13:$K$19,11,FALSE),"Energy management owner"))</f>
        <v/>
      </c>
      <c r="S178" s="102">
        <f>IF($N178="","",IF($N178="正常","対応不要","未対応"))</f>
        <v/>
      </c>
      <c r="T178" s="141">
        <f>IF(OR($B178="",$N178="正常"),"",WORKDAY($B178,IF($O178="重大",1,IF($O178="高",2,3))))</f>
        <v/>
      </c>
      <c r="U178" s="102">
        <f>IF($T178="","",IF(AND($S178&lt;&gt;"完了",TODAY()&gt;$T178),"期限超過","期限内"))</f>
        <v/>
      </c>
      <c r="V178" s="102" t="n"/>
      <c r="W178" s="141" t="n"/>
      <c r="X178" s="102" t="n"/>
    </row>
    <row r="179">
      <c r="A179" s="102">
        <f>IF('エネルギーデータ入力'!$A179="","","AL-"&amp;TEXT(ROW()-5,"0000"))</f>
        <v/>
      </c>
      <c r="B179" s="141">
        <f>IF('エネルギーデータ入力'!$B179="","",'エネルギーデータ入力'!$B179)</f>
        <v/>
      </c>
      <c r="C179" s="102">
        <f>IF('エネルギーデータ入力'!$C179="","",'エネルギーデータ入力'!$C179)</f>
        <v/>
      </c>
      <c r="D179" s="102">
        <f>IF('エネルギーデータ入力'!$D179="","",'エネルギーデータ入力'!$D179)</f>
        <v/>
      </c>
      <c r="E179" s="102">
        <f>IF('エネルギーデータ入力'!$E179="","",'エネルギーデータ入力'!$E179)</f>
        <v/>
      </c>
      <c r="F179" s="102">
        <f>IF('エネルギーデータ入力'!$G179="","",'エネルギーデータ入力'!$G179)</f>
        <v/>
      </c>
      <c r="G179" s="102">
        <f>IF('エネルギーデータ入力'!$H179="","",'エネルギーデータ入力'!$H179)</f>
        <v/>
      </c>
      <c r="H179" s="102">
        <f>IF('エネルギーデータ入力'!$J179="","",'エネルギーデータ入力'!$J179)</f>
        <v/>
      </c>
      <c r="I179" s="142">
        <f>IF('エネルギーデータ入力'!$N179="","",'エネルギーデータ入力'!$N179)</f>
        <v/>
      </c>
      <c r="J179" s="142">
        <f>IF($B179="","",IFERROR(AVERAGEIFS('エネルギーデータ入力'!$N$6:$N$205,'エネルギーデータ入力'!$B$6:$B$205,"&gt;="&amp;$B179-7,'エネルギーデータ入力'!$B$6:$B$205,"&lt;"&amp;$B179,'エネルギーデータ入力'!$H$6:$H$205,$G179,'エネルギーデータ入力'!$J$6:$J$205,$H179),$I179))</f>
        <v/>
      </c>
      <c r="K179" s="143">
        <f>IFERROR(($I179-$J179)/$J179,"")</f>
        <v/>
      </c>
      <c r="L179" s="102">
        <f>IF('エネルギーデータ入力'!$V179="","",'エネルギーデータ入力'!$V179)</f>
        <v/>
      </c>
      <c r="M179" s="102">
        <f>IF($H179="","",IFERROR(VLOOKUP($H179,'基本設定'!$A$13:$K$19,5,FALSE),0.2))</f>
        <v/>
      </c>
      <c r="N179" s="102">
        <f>IF($B179="","",IF('エネルギーデータ入力'!$L179="","Missing reading",IF($I179=0,"Stalled reading / possibly offline",IF($K179&gt;=IFERROR(VLOOKUP($H179,'基本設定'!$A$13:$K$19,6,FALSE),0.5),"Severe spike",IF($K179&gt;=$M179,"Usage spike",IF($K179&lt;=-IFERROR(VLOOKUP($H179,'基本設定'!$A$13:$K$19,7,FALSE),0.3),"Usage drop",IF($L179&gt;IFERROR(VLOOKUP($H179,'基本設定'!$A$13:$K$19,8,FALSE),999999),"Area intensity overrun","正常")))))))</f>
        <v/>
      </c>
      <c r="O179" s="102">
        <f>IF($N179="","",IF($N179="正常","正常",IF(OR($N179="Severe spike",$K179&gt;=IFERROR(VLOOKUP($H179,'基本設定'!$A$13:$K$19,6,FALSE),0.5)),"重大",IF(OR($N179="Usage spike",$N179="Usage drop"),"高","中"))))</f>
        <v/>
      </c>
      <c r="P179" s="144">
        <f>IF(OR($N179="",$N179="正常"),0,ABS($I179-$J179)*'エネルギーデータ入力'!$O179)</f>
        <v/>
      </c>
      <c r="Q179" s="102">
        <f>IF($N179="正常","",IF($N179="Stalled reading / possibly offline","核查表计通信/電気池/网关/阀门Status",IF(AND($H179="水道",$N179&lt;&gt;"正常"),"检查管网、阀门、卫生间、冷却塔及夜间最小流量",IF(AND($H179="電気",$N179&lt;&gt;"正常"),"检查空调、照明、生产设备、PeakOff-peak时段与待机功耗",IF(AND($H179="ガス",$N179&lt;&gt;"正常"),"检查燃ガス阀门、锅炉/厨房设备与泄漏风险","核查设备工况、排班、产量与计量数据")))))</f>
        <v/>
      </c>
      <c r="R179" s="102">
        <f>IF($H179="","",IFERROR(VLOOKUP($H179,'基本設定'!$A$13:$K$19,11,FALSE),"Energy management owner"))</f>
        <v/>
      </c>
      <c r="S179" s="102">
        <f>IF($N179="","",IF($N179="正常","対応不要","未対応"))</f>
        <v/>
      </c>
      <c r="T179" s="141">
        <f>IF(OR($B179="",$N179="正常"),"",WORKDAY($B179,IF($O179="重大",1,IF($O179="高",2,3))))</f>
        <v/>
      </c>
      <c r="U179" s="102">
        <f>IF($T179="","",IF(AND($S179&lt;&gt;"完了",TODAY()&gt;$T179),"期限超過","期限内"))</f>
        <v/>
      </c>
      <c r="V179" s="102" t="n"/>
      <c r="W179" s="141" t="n"/>
      <c r="X179" s="102" t="n"/>
    </row>
    <row r="180">
      <c r="A180" s="102">
        <f>IF('エネルギーデータ入力'!$A180="","","AL-"&amp;TEXT(ROW()-5,"0000"))</f>
        <v/>
      </c>
      <c r="B180" s="141">
        <f>IF('エネルギーデータ入力'!$B180="","",'エネルギーデータ入力'!$B180)</f>
        <v/>
      </c>
      <c r="C180" s="102">
        <f>IF('エネルギーデータ入力'!$C180="","",'エネルギーデータ入力'!$C180)</f>
        <v/>
      </c>
      <c r="D180" s="102">
        <f>IF('エネルギーデータ入力'!$D180="","",'エネルギーデータ入力'!$D180)</f>
        <v/>
      </c>
      <c r="E180" s="102">
        <f>IF('エネルギーデータ入力'!$E180="","",'エネルギーデータ入力'!$E180)</f>
        <v/>
      </c>
      <c r="F180" s="102">
        <f>IF('エネルギーデータ入力'!$G180="","",'エネルギーデータ入力'!$G180)</f>
        <v/>
      </c>
      <c r="G180" s="102">
        <f>IF('エネルギーデータ入力'!$H180="","",'エネルギーデータ入力'!$H180)</f>
        <v/>
      </c>
      <c r="H180" s="102">
        <f>IF('エネルギーデータ入力'!$J180="","",'エネルギーデータ入力'!$J180)</f>
        <v/>
      </c>
      <c r="I180" s="142">
        <f>IF('エネルギーデータ入力'!$N180="","",'エネルギーデータ入力'!$N180)</f>
        <v/>
      </c>
      <c r="J180" s="142">
        <f>IF($B180="","",IFERROR(AVERAGEIFS('エネルギーデータ入力'!$N$6:$N$205,'エネルギーデータ入力'!$B$6:$B$205,"&gt;="&amp;$B180-7,'エネルギーデータ入力'!$B$6:$B$205,"&lt;"&amp;$B180,'エネルギーデータ入力'!$H$6:$H$205,$G180,'エネルギーデータ入力'!$J$6:$J$205,$H180),$I180))</f>
        <v/>
      </c>
      <c r="K180" s="143">
        <f>IFERROR(($I180-$J180)/$J180,"")</f>
        <v/>
      </c>
      <c r="L180" s="102">
        <f>IF('エネルギーデータ入力'!$V180="","",'エネルギーデータ入力'!$V180)</f>
        <v/>
      </c>
      <c r="M180" s="102">
        <f>IF($H180="","",IFERROR(VLOOKUP($H180,'基本設定'!$A$13:$K$19,5,FALSE),0.2))</f>
        <v/>
      </c>
      <c r="N180" s="102">
        <f>IF($B180="","",IF('エネルギーデータ入力'!$L180="","Missing reading",IF($I180=0,"Stalled reading / possibly offline",IF($K180&gt;=IFERROR(VLOOKUP($H180,'基本設定'!$A$13:$K$19,6,FALSE),0.5),"Severe spike",IF($K180&gt;=$M180,"Usage spike",IF($K180&lt;=-IFERROR(VLOOKUP($H180,'基本設定'!$A$13:$K$19,7,FALSE),0.3),"Usage drop",IF($L180&gt;IFERROR(VLOOKUP($H180,'基本設定'!$A$13:$K$19,8,FALSE),999999),"Area intensity overrun","正常")))))))</f>
        <v/>
      </c>
      <c r="O180" s="102">
        <f>IF($N180="","",IF($N180="正常","正常",IF(OR($N180="Severe spike",$K180&gt;=IFERROR(VLOOKUP($H180,'基本設定'!$A$13:$K$19,6,FALSE),0.5)),"重大",IF(OR($N180="Usage spike",$N180="Usage drop"),"高","中"))))</f>
        <v/>
      </c>
      <c r="P180" s="144">
        <f>IF(OR($N180="",$N180="正常"),0,ABS($I180-$J180)*'エネルギーデータ入力'!$O180)</f>
        <v/>
      </c>
      <c r="Q180" s="102">
        <f>IF($N180="正常","",IF($N180="Stalled reading / possibly offline","核查表计通信/電気池/网关/阀门Status",IF(AND($H180="水道",$N180&lt;&gt;"正常"),"检查管网、阀门、卫生间、冷却塔及夜间最小流量",IF(AND($H180="電気",$N180&lt;&gt;"正常"),"检查空调、照明、生产设备、PeakOff-peak时段与待机功耗",IF(AND($H180="ガス",$N180&lt;&gt;"正常"),"检查燃ガス阀门、锅炉/厨房设备与泄漏风险","核查设备工况、排班、产量与计量数据")))))</f>
        <v/>
      </c>
      <c r="R180" s="102">
        <f>IF($H180="","",IFERROR(VLOOKUP($H180,'基本設定'!$A$13:$K$19,11,FALSE),"Energy management owner"))</f>
        <v/>
      </c>
      <c r="S180" s="102">
        <f>IF($N180="","",IF($N180="正常","対応不要","未対応"))</f>
        <v/>
      </c>
      <c r="T180" s="141">
        <f>IF(OR($B180="",$N180="正常"),"",WORKDAY($B180,IF($O180="重大",1,IF($O180="高",2,3))))</f>
        <v/>
      </c>
      <c r="U180" s="102">
        <f>IF($T180="","",IF(AND($S180&lt;&gt;"完了",TODAY()&gt;$T180),"期限超過","期限内"))</f>
        <v/>
      </c>
      <c r="V180" s="102" t="n"/>
      <c r="W180" s="141" t="n"/>
      <c r="X180" s="102" t="n"/>
    </row>
    <row r="181">
      <c r="A181" s="102">
        <f>IF('エネルギーデータ入力'!$A181="","","AL-"&amp;TEXT(ROW()-5,"0000"))</f>
        <v/>
      </c>
      <c r="B181" s="141">
        <f>IF('エネルギーデータ入力'!$B181="","",'エネルギーデータ入力'!$B181)</f>
        <v/>
      </c>
      <c r="C181" s="102">
        <f>IF('エネルギーデータ入力'!$C181="","",'エネルギーデータ入力'!$C181)</f>
        <v/>
      </c>
      <c r="D181" s="102">
        <f>IF('エネルギーデータ入力'!$D181="","",'エネルギーデータ入力'!$D181)</f>
        <v/>
      </c>
      <c r="E181" s="102">
        <f>IF('エネルギーデータ入力'!$E181="","",'エネルギーデータ入力'!$E181)</f>
        <v/>
      </c>
      <c r="F181" s="102">
        <f>IF('エネルギーデータ入力'!$G181="","",'エネルギーデータ入力'!$G181)</f>
        <v/>
      </c>
      <c r="G181" s="102">
        <f>IF('エネルギーデータ入力'!$H181="","",'エネルギーデータ入力'!$H181)</f>
        <v/>
      </c>
      <c r="H181" s="102">
        <f>IF('エネルギーデータ入力'!$J181="","",'エネルギーデータ入力'!$J181)</f>
        <v/>
      </c>
      <c r="I181" s="142">
        <f>IF('エネルギーデータ入力'!$N181="","",'エネルギーデータ入力'!$N181)</f>
        <v/>
      </c>
      <c r="J181" s="142">
        <f>IF($B181="","",IFERROR(AVERAGEIFS('エネルギーデータ入力'!$N$6:$N$205,'エネルギーデータ入力'!$B$6:$B$205,"&gt;="&amp;$B181-7,'エネルギーデータ入力'!$B$6:$B$205,"&lt;"&amp;$B181,'エネルギーデータ入力'!$H$6:$H$205,$G181,'エネルギーデータ入力'!$J$6:$J$205,$H181),$I181))</f>
        <v/>
      </c>
      <c r="K181" s="143">
        <f>IFERROR(($I181-$J181)/$J181,"")</f>
        <v/>
      </c>
      <c r="L181" s="102">
        <f>IF('エネルギーデータ入力'!$V181="","",'エネルギーデータ入力'!$V181)</f>
        <v/>
      </c>
      <c r="M181" s="102">
        <f>IF($H181="","",IFERROR(VLOOKUP($H181,'基本設定'!$A$13:$K$19,5,FALSE),0.2))</f>
        <v/>
      </c>
      <c r="N181" s="102">
        <f>IF($B181="","",IF('エネルギーデータ入力'!$L181="","Missing reading",IF($I181=0,"Stalled reading / possibly offline",IF($K181&gt;=IFERROR(VLOOKUP($H181,'基本設定'!$A$13:$K$19,6,FALSE),0.5),"Severe spike",IF($K181&gt;=$M181,"Usage spike",IF($K181&lt;=-IFERROR(VLOOKUP($H181,'基本設定'!$A$13:$K$19,7,FALSE),0.3),"Usage drop",IF($L181&gt;IFERROR(VLOOKUP($H181,'基本設定'!$A$13:$K$19,8,FALSE),999999),"Area intensity overrun","正常")))))))</f>
        <v/>
      </c>
      <c r="O181" s="102">
        <f>IF($N181="","",IF($N181="正常","正常",IF(OR($N181="Severe spike",$K181&gt;=IFERROR(VLOOKUP($H181,'基本設定'!$A$13:$K$19,6,FALSE),0.5)),"重大",IF(OR($N181="Usage spike",$N181="Usage drop"),"高","中"))))</f>
        <v/>
      </c>
      <c r="P181" s="144">
        <f>IF(OR($N181="",$N181="正常"),0,ABS($I181-$J181)*'エネルギーデータ入力'!$O181)</f>
        <v/>
      </c>
      <c r="Q181" s="102">
        <f>IF($N181="正常","",IF($N181="Stalled reading / possibly offline","核查表计通信/電気池/网关/阀门Status",IF(AND($H181="水道",$N181&lt;&gt;"正常"),"检查管网、阀门、卫生间、冷却塔及夜间最小流量",IF(AND($H181="電気",$N181&lt;&gt;"正常"),"检查空调、照明、生产设备、PeakOff-peak时段与待机功耗",IF(AND($H181="ガス",$N181&lt;&gt;"正常"),"检查燃ガス阀门、锅炉/厨房设备与泄漏风险","核查设备工况、排班、产量与计量数据")))))</f>
        <v/>
      </c>
      <c r="R181" s="102">
        <f>IF($H181="","",IFERROR(VLOOKUP($H181,'基本設定'!$A$13:$K$19,11,FALSE),"Energy management owner"))</f>
        <v/>
      </c>
      <c r="S181" s="102">
        <f>IF($N181="","",IF($N181="正常","対応不要","未対応"))</f>
        <v/>
      </c>
      <c r="T181" s="141">
        <f>IF(OR($B181="",$N181="正常"),"",WORKDAY($B181,IF($O181="重大",1,IF($O181="高",2,3))))</f>
        <v/>
      </c>
      <c r="U181" s="102">
        <f>IF($T181="","",IF(AND($S181&lt;&gt;"完了",TODAY()&gt;$T181),"期限超過","期限内"))</f>
        <v/>
      </c>
      <c r="V181" s="102" t="n"/>
      <c r="W181" s="141" t="n"/>
      <c r="X181" s="102" t="n"/>
    </row>
    <row r="182">
      <c r="A182" s="102">
        <f>IF('エネルギーデータ入力'!$A182="","","AL-"&amp;TEXT(ROW()-5,"0000"))</f>
        <v/>
      </c>
      <c r="B182" s="141">
        <f>IF('エネルギーデータ入力'!$B182="","",'エネルギーデータ入力'!$B182)</f>
        <v/>
      </c>
      <c r="C182" s="102">
        <f>IF('エネルギーデータ入力'!$C182="","",'エネルギーデータ入力'!$C182)</f>
        <v/>
      </c>
      <c r="D182" s="102">
        <f>IF('エネルギーデータ入力'!$D182="","",'エネルギーデータ入力'!$D182)</f>
        <v/>
      </c>
      <c r="E182" s="102">
        <f>IF('エネルギーデータ入力'!$E182="","",'エネルギーデータ入力'!$E182)</f>
        <v/>
      </c>
      <c r="F182" s="102">
        <f>IF('エネルギーデータ入力'!$G182="","",'エネルギーデータ入力'!$G182)</f>
        <v/>
      </c>
      <c r="G182" s="102">
        <f>IF('エネルギーデータ入力'!$H182="","",'エネルギーデータ入力'!$H182)</f>
        <v/>
      </c>
      <c r="H182" s="102">
        <f>IF('エネルギーデータ入力'!$J182="","",'エネルギーデータ入力'!$J182)</f>
        <v/>
      </c>
      <c r="I182" s="142">
        <f>IF('エネルギーデータ入力'!$N182="","",'エネルギーデータ入力'!$N182)</f>
        <v/>
      </c>
      <c r="J182" s="142">
        <f>IF($B182="","",IFERROR(AVERAGEIFS('エネルギーデータ入力'!$N$6:$N$205,'エネルギーデータ入力'!$B$6:$B$205,"&gt;="&amp;$B182-7,'エネルギーデータ入力'!$B$6:$B$205,"&lt;"&amp;$B182,'エネルギーデータ入力'!$H$6:$H$205,$G182,'エネルギーデータ入力'!$J$6:$J$205,$H182),$I182))</f>
        <v/>
      </c>
      <c r="K182" s="143">
        <f>IFERROR(($I182-$J182)/$J182,"")</f>
        <v/>
      </c>
      <c r="L182" s="102">
        <f>IF('エネルギーデータ入力'!$V182="","",'エネルギーデータ入力'!$V182)</f>
        <v/>
      </c>
      <c r="M182" s="102">
        <f>IF($H182="","",IFERROR(VLOOKUP($H182,'基本設定'!$A$13:$K$19,5,FALSE),0.2))</f>
        <v/>
      </c>
      <c r="N182" s="102">
        <f>IF($B182="","",IF('エネルギーデータ入力'!$L182="","Missing reading",IF($I182=0,"Stalled reading / possibly offline",IF($K182&gt;=IFERROR(VLOOKUP($H182,'基本設定'!$A$13:$K$19,6,FALSE),0.5),"Severe spike",IF($K182&gt;=$M182,"Usage spike",IF($K182&lt;=-IFERROR(VLOOKUP($H182,'基本設定'!$A$13:$K$19,7,FALSE),0.3),"Usage drop",IF($L182&gt;IFERROR(VLOOKUP($H182,'基本設定'!$A$13:$K$19,8,FALSE),999999),"Area intensity overrun","正常")))))))</f>
        <v/>
      </c>
      <c r="O182" s="102">
        <f>IF($N182="","",IF($N182="正常","正常",IF(OR($N182="Severe spike",$K182&gt;=IFERROR(VLOOKUP($H182,'基本設定'!$A$13:$K$19,6,FALSE),0.5)),"重大",IF(OR($N182="Usage spike",$N182="Usage drop"),"高","中"))))</f>
        <v/>
      </c>
      <c r="P182" s="144">
        <f>IF(OR($N182="",$N182="正常"),0,ABS($I182-$J182)*'エネルギーデータ入力'!$O182)</f>
        <v/>
      </c>
      <c r="Q182" s="102">
        <f>IF($N182="正常","",IF($N182="Stalled reading / possibly offline","核查表计通信/電気池/网关/阀门Status",IF(AND($H182="水道",$N182&lt;&gt;"正常"),"检查管网、阀门、卫生间、冷却塔及夜间最小流量",IF(AND($H182="電気",$N182&lt;&gt;"正常"),"检查空调、照明、生产设备、PeakOff-peak时段与待机功耗",IF(AND($H182="ガス",$N182&lt;&gt;"正常"),"检查燃ガス阀门、锅炉/厨房设备与泄漏风险","核查设备工况、排班、产量与计量数据")))))</f>
        <v/>
      </c>
      <c r="R182" s="102">
        <f>IF($H182="","",IFERROR(VLOOKUP($H182,'基本設定'!$A$13:$K$19,11,FALSE),"Energy management owner"))</f>
        <v/>
      </c>
      <c r="S182" s="102">
        <f>IF($N182="","",IF($N182="正常","対応不要","未対応"))</f>
        <v/>
      </c>
      <c r="T182" s="141">
        <f>IF(OR($B182="",$N182="正常"),"",WORKDAY($B182,IF($O182="重大",1,IF($O182="高",2,3))))</f>
        <v/>
      </c>
      <c r="U182" s="102">
        <f>IF($T182="","",IF(AND($S182&lt;&gt;"完了",TODAY()&gt;$T182),"期限超過","期限内"))</f>
        <v/>
      </c>
      <c r="V182" s="102" t="n"/>
      <c r="W182" s="141" t="n"/>
      <c r="X182" s="102" t="n"/>
    </row>
    <row r="183">
      <c r="A183" s="102">
        <f>IF('エネルギーデータ入力'!$A183="","","AL-"&amp;TEXT(ROW()-5,"0000"))</f>
        <v/>
      </c>
      <c r="B183" s="141">
        <f>IF('エネルギーデータ入力'!$B183="","",'エネルギーデータ入力'!$B183)</f>
        <v/>
      </c>
      <c r="C183" s="102">
        <f>IF('エネルギーデータ入力'!$C183="","",'エネルギーデータ入力'!$C183)</f>
        <v/>
      </c>
      <c r="D183" s="102">
        <f>IF('エネルギーデータ入力'!$D183="","",'エネルギーデータ入力'!$D183)</f>
        <v/>
      </c>
      <c r="E183" s="102">
        <f>IF('エネルギーデータ入力'!$E183="","",'エネルギーデータ入力'!$E183)</f>
        <v/>
      </c>
      <c r="F183" s="102">
        <f>IF('エネルギーデータ入力'!$G183="","",'エネルギーデータ入力'!$G183)</f>
        <v/>
      </c>
      <c r="G183" s="102">
        <f>IF('エネルギーデータ入力'!$H183="","",'エネルギーデータ入力'!$H183)</f>
        <v/>
      </c>
      <c r="H183" s="102">
        <f>IF('エネルギーデータ入力'!$J183="","",'エネルギーデータ入力'!$J183)</f>
        <v/>
      </c>
      <c r="I183" s="142">
        <f>IF('エネルギーデータ入力'!$N183="","",'エネルギーデータ入力'!$N183)</f>
        <v/>
      </c>
      <c r="J183" s="142">
        <f>IF($B183="","",IFERROR(AVERAGEIFS('エネルギーデータ入力'!$N$6:$N$205,'エネルギーデータ入力'!$B$6:$B$205,"&gt;="&amp;$B183-7,'エネルギーデータ入力'!$B$6:$B$205,"&lt;"&amp;$B183,'エネルギーデータ入力'!$H$6:$H$205,$G183,'エネルギーデータ入力'!$J$6:$J$205,$H183),$I183))</f>
        <v/>
      </c>
      <c r="K183" s="143">
        <f>IFERROR(($I183-$J183)/$J183,"")</f>
        <v/>
      </c>
      <c r="L183" s="102">
        <f>IF('エネルギーデータ入力'!$V183="","",'エネルギーデータ入力'!$V183)</f>
        <v/>
      </c>
      <c r="M183" s="102">
        <f>IF($H183="","",IFERROR(VLOOKUP($H183,'基本設定'!$A$13:$K$19,5,FALSE),0.2))</f>
        <v/>
      </c>
      <c r="N183" s="102">
        <f>IF($B183="","",IF('エネルギーデータ入力'!$L183="","Missing reading",IF($I183=0,"Stalled reading / possibly offline",IF($K183&gt;=IFERROR(VLOOKUP($H183,'基本設定'!$A$13:$K$19,6,FALSE),0.5),"Severe spike",IF($K183&gt;=$M183,"Usage spike",IF($K183&lt;=-IFERROR(VLOOKUP($H183,'基本設定'!$A$13:$K$19,7,FALSE),0.3),"Usage drop",IF($L183&gt;IFERROR(VLOOKUP($H183,'基本設定'!$A$13:$K$19,8,FALSE),999999),"Area intensity overrun","正常")))))))</f>
        <v/>
      </c>
      <c r="O183" s="102">
        <f>IF($N183="","",IF($N183="正常","正常",IF(OR($N183="Severe spike",$K183&gt;=IFERROR(VLOOKUP($H183,'基本設定'!$A$13:$K$19,6,FALSE),0.5)),"重大",IF(OR($N183="Usage spike",$N183="Usage drop"),"高","中"))))</f>
        <v/>
      </c>
      <c r="P183" s="144">
        <f>IF(OR($N183="",$N183="正常"),0,ABS($I183-$J183)*'エネルギーデータ入力'!$O183)</f>
        <v/>
      </c>
      <c r="Q183" s="102">
        <f>IF($N183="正常","",IF($N183="Stalled reading / possibly offline","核查表计通信/電気池/网关/阀门Status",IF(AND($H183="水道",$N183&lt;&gt;"正常"),"检查管网、阀门、卫生间、冷却塔及夜间最小流量",IF(AND($H183="電気",$N183&lt;&gt;"正常"),"检查空调、照明、生产设备、PeakOff-peak时段与待机功耗",IF(AND($H183="ガス",$N183&lt;&gt;"正常"),"检查燃ガス阀门、锅炉/厨房设备与泄漏风险","核查设备工况、排班、产量与计量数据")))))</f>
        <v/>
      </c>
      <c r="R183" s="102">
        <f>IF($H183="","",IFERROR(VLOOKUP($H183,'基本設定'!$A$13:$K$19,11,FALSE),"Energy management owner"))</f>
        <v/>
      </c>
      <c r="S183" s="102">
        <f>IF($N183="","",IF($N183="正常","対応不要","未対応"))</f>
        <v/>
      </c>
      <c r="T183" s="141">
        <f>IF(OR($B183="",$N183="正常"),"",WORKDAY($B183,IF($O183="重大",1,IF($O183="高",2,3))))</f>
        <v/>
      </c>
      <c r="U183" s="102">
        <f>IF($T183="","",IF(AND($S183&lt;&gt;"完了",TODAY()&gt;$T183),"期限超過","期限内"))</f>
        <v/>
      </c>
      <c r="V183" s="102" t="n"/>
      <c r="W183" s="141" t="n"/>
      <c r="X183" s="102" t="n"/>
    </row>
    <row r="184">
      <c r="A184" s="102">
        <f>IF('エネルギーデータ入力'!$A184="","","AL-"&amp;TEXT(ROW()-5,"0000"))</f>
        <v/>
      </c>
      <c r="B184" s="141">
        <f>IF('エネルギーデータ入力'!$B184="","",'エネルギーデータ入力'!$B184)</f>
        <v/>
      </c>
      <c r="C184" s="102">
        <f>IF('エネルギーデータ入力'!$C184="","",'エネルギーデータ入力'!$C184)</f>
        <v/>
      </c>
      <c r="D184" s="102">
        <f>IF('エネルギーデータ入力'!$D184="","",'エネルギーデータ入力'!$D184)</f>
        <v/>
      </c>
      <c r="E184" s="102">
        <f>IF('エネルギーデータ入力'!$E184="","",'エネルギーデータ入力'!$E184)</f>
        <v/>
      </c>
      <c r="F184" s="102">
        <f>IF('エネルギーデータ入力'!$G184="","",'エネルギーデータ入力'!$G184)</f>
        <v/>
      </c>
      <c r="G184" s="102">
        <f>IF('エネルギーデータ入力'!$H184="","",'エネルギーデータ入力'!$H184)</f>
        <v/>
      </c>
      <c r="H184" s="102">
        <f>IF('エネルギーデータ入力'!$J184="","",'エネルギーデータ入力'!$J184)</f>
        <v/>
      </c>
      <c r="I184" s="142">
        <f>IF('エネルギーデータ入力'!$N184="","",'エネルギーデータ入力'!$N184)</f>
        <v/>
      </c>
      <c r="J184" s="142">
        <f>IF($B184="","",IFERROR(AVERAGEIFS('エネルギーデータ入力'!$N$6:$N$205,'エネルギーデータ入力'!$B$6:$B$205,"&gt;="&amp;$B184-7,'エネルギーデータ入力'!$B$6:$B$205,"&lt;"&amp;$B184,'エネルギーデータ入力'!$H$6:$H$205,$G184,'エネルギーデータ入力'!$J$6:$J$205,$H184),$I184))</f>
        <v/>
      </c>
      <c r="K184" s="143">
        <f>IFERROR(($I184-$J184)/$J184,"")</f>
        <v/>
      </c>
      <c r="L184" s="102">
        <f>IF('エネルギーデータ入力'!$V184="","",'エネルギーデータ入力'!$V184)</f>
        <v/>
      </c>
      <c r="M184" s="102">
        <f>IF($H184="","",IFERROR(VLOOKUP($H184,'基本設定'!$A$13:$K$19,5,FALSE),0.2))</f>
        <v/>
      </c>
      <c r="N184" s="102">
        <f>IF($B184="","",IF('エネルギーデータ入力'!$L184="","Missing reading",IF($I184=0,"Stalled reading / possibly offline",IF($K184&gt;=IFERROR(VLOOKUP($H184,'基本設定'!$A$13:$K$19,6,FALSE),0.5),"Severe spike",IF($K184&gt;=$M184,"Usage spike",IF($K184&lt;=-IFERROR(VLOOKUP($H184,'基本設定'!$A$13:$K$19,7,FALSE),0.3),"Usage drop",IF($L184&gt;IFERROR(VLOOKUP($H184,'基本設定'!$A$13:$K$19,8,FALSE),999999),"Area intensity overrun","正常")))))))</f>
        <v/>
      </c>
      <c r="O184" s="102">
        <f>IF($N184="","",IF($N184="正常","正常",IF(OR($N184="Severe spike",$K184&gt;=IFERROR(VLOOKUP($H184,'基本設定'!$A$13:$K$19,6,FALSE),0.5)),"重大",IF(OR($N184="Usage spike",$N184="Usage drop"),"高","中"))))</f>
        <v/>
      </c>
      <c r="P184" s="144">
        <f>IF(OR($N184="",$N184="正常"),0,ABS($I184-$J184)*'エネルギーデータ入力'!$O184)</f>
        <v/>
      </c>
      <c r="Q184" s="102">
        <f>IF($N184="正常","",IF($N184="Stalled reading / possibly offline","核查表计通信/電気池/网关/阀门Status",IF(AND($H184="水道",$N184&lt;&gt;"正常"),"检查管网、阀门、卫生间、冷却塔及夜间最小流量",IF(AND($H184="電気",$N184&lt;&gt;"正常"),"检查空调、照明、生产设备、PeakOff-peak时段与待机功耗",IF(AND($H184="ガス",$N184&lt;&gt;"正常"),"检查燃ガス阀门、锅炉/厨房设备与泄漏风险","核查设备工况、排班、产量与计量数据")))))</f>
        <v/>
      </c>
      <c r="R184" s="102">
        <f>IF($H184="","",IFERROR(VLOOKUP($H184,'基本設定'!$A$13:$K$19,11,FALSE),"Energy management owner"))</f>
        <v/>
      </c>
      <c r="S184" s="102">
        <f>IF($N184="","",IF($N184="正常","対応不要","未対応"))</f>
        <v/>
      </c>
      <c r="T184" s="141">
        <f>IF(OR($B184="",$N184="正常"),"",WORKDAY($B184,IF($O184="重大",1,IF($O184="高",2,3))))</f>
        <v/>
      </c>
      <c r="U184" s="102">
        <f>IF($T184="","",IF(AND($S184&lt;&gt;"完了",TODAY()&gt;$T184),"期限超過","期限内"))</f>
        <v/>
      </c>
      <c r="V184" s="102" t="n"/>
      <c r="W184" s="141" t="n"/>
      <c r="X184" s="102" t="n"/>
    </row>
    <row r="185">
      <c r="A185" s="102">
        <f>IF('エネルギーデータ入力'!$A185="","","AL-"&amp;TEXT(ROW()-5,"0000"))</f>
        <v/>
      </c>
      <c r="B185" s="141">
        <f>IF('エネルギーデータ入力'!$B185="","",'エネルギーデータ入力'!$B185)</f>
        <v/>
      </c>
      <c r="C185" s="102">
        <f>IF('エネルギーデータ入力'!$C185="","",'エネルギーデータ入力'!$C185)</f>
        <v/>
      </c>
      <c r="D185" s="102">
        <f>IF('エネルギーデータ入力'!$D185="","",'エネルギーデータ入力'!$D185)</f>
        <v/>
      </c>
      <c r="E185" s="102">
        <f>IF('エネルギーデータ入力'!$E185="","",'エネルギーデータ入力'!$E185)</f>
        <v/>
      </c>
      <c r="F185" s="102">
        <f>IF('エネルギーデータ入力'!$G185="","",'エネルギーデータ入力'!$G185)</f>
        <v/>
      </c>
      <c r="G185" s="102">
        <f>IF('エネルギーデータ入力'!$H185="","",'エネルギーデータ入力'!$H185)</f>
        <v/>
      </c>
      <c r="H185" s="102">
        <f>IF('エネルギーデータ入力'!$J185="","",'エネルギーデータ入力'!$J185)</f>
        <v/>
      </c>
      <c r="I185" s="142">
        <f>IF('エネルギーデータ入力'!$N185="","",'エネルギーデータ入力'!$N185)</f>
        <v/>
      </c>
      <c r="J185" s="142">
        <f>IF($B185="","",IFERROR(AVERAGEIFS('エネルギーデータ入力'!$N$6:$N$205,'エネルギーデータ入力'!$B$6:$B$205,"&gt;="&amp;$B185-7,'エネルギーデータ入力'!$B$6:$B$205,"&lt;"&amp;$B185,'エネルギーデータ入力'!$H$6:$H$205,$G185,'エネルギーデータ入力'!$J$6:$J$205,$H185),$I185))</f>
        <v/>
      </c>
      <c r="K185" s="143">
        <f>IFERROR(($I185-$J185)/$J185,"")</f>
        <v/>
      </c>
      <c r="L185" s="102">
        <f>IF('エネルギーデータ入力'!$V185="","",'エネルギーデータ入力'!$V185)</f>
        <v/>
      </c>
      <c r="M185" s="102">
        <f>IF($H185="","",IFERROR(VLOOKUP($H185,'基本設定'!$A$13:$K$19,5,FALSE),0.2))</f>
        <v/>
      </c>
      <c r="N185" s="102">
        <f>IF($B185="","",IF('エネルギーデータ入力'!$L185="","Missing reading",IF($I185=0,"Stalled reading / possibly offline",IF($K185&gt;=IFERROR(VLOOKUP($H185,'基本設定'!$A$13:$K$19,6,FALSE),0.5),"Severe spike",IF($K185&gt;=$M185,"Usage spike",IF($K185&lt;=-IFERROR(VLOOKUP($H185,'基本設定'!$A$13:$K$19,7,FALSE),0.3),"Usage drop",IF($L185&gt;IFERROR(VLOOKUP($H185,'基本設定'!$A$13:$K$19,8,FALSE),999999),"Area intensity overrun","正常")))))))</f>
        <v/>
      </c>
      <c r="O185" s="102">
        <f>IF($N185="","",IF($N185="正常","正常",IF(OR($N185="Severe spike",$K185&gt;=IFERROR(VLOOKUP($H185,'基本設定'!$A$13:$K$19,6,FALSE),0.5)),"重大",IF(OR($N185="Usage spike",$N185="Usage drop"),"高","中"))))</f>
        <v/>
      </c>
      <c r="P185" s="144">
        <f>IF(OR($N185="",$N185="正常"),0,ABS($I185-$J185)*'エネルギーデータ入力'!$O185)</f>
        <v/>
      </c>
      <c r="Q185" s="102">
        <f>IF($N185="正常","",IF($N185="Stalled reading / possibly offline","核查表计通信/電気池/网关/阀门Status",IF(AND($H185="水道",$N185&lt;&gt;"正常"),"检查管网、阀门、卫生间、冷却塔及夜间最小流量",IF(AND($H185="電気",$N185&lt;&gt;"正常"),"检查空调、照明、生产设备、PeakOff-peak时段与待机功耗",IF(AND($H185="ガス",$N185&lt;&gt;"正常"),"检查燃ガス阀门、锅炉/厨房设备与泄漏风险","核查设备工况、排班、产量与计量数据")))))</f>
        <v/>
      </c>
      <c r="R185" s="102">
        <f>IF($H185="","",IFERROR(VLOOKUP($H185,'基本設定'!$A$13:$K$19,11,FALSE),"Energy management owner"))</f>
        <v/>
      </c>
      <c r="S185" s="102">
        <f>IF($N185="","",IF($N185="正常","対応不要","未対応"))</f>
        <v/>
      </c>
      <c r="T185" s="141">
        <f>IF(OR($B185="",$N185="正常"),"",WORKDAY($B185,IF($O185="重大",1,IF($O185="高",2,3))))</f>
        <v/>
      </c>
      <c r="U185" s="102">
        <f>IF($T185="","",IF(AND($S185&lt;&gt;"完了",TODAY()&gt;$T185),"期限超過","期限内"))</f>
        <v/>
      </c>
      <c r="V185" s="102" t="n"/>
      <c r="W185" s="141" t="n"/>
      <c r="X185" s="102" t="n"/>
    </row>
    <row r="186">
      <c r="A186" s="102">
        <f>IF('エネルギーデータ入力'!$A186="","","AL-"&amp;TEXT(ROW()-5,"0000"))</f>
        <v/>
      </c>
      <c r="B186" s="141">
        <f>IF('エネルギーデータ入力'!$B186="","",'エネルギーデータ入力'!$B186)</f>
        <v/>
      </c>
      <c r="C186" s="102">
        <f>IF('エネルギーデータ入力'!$C186="","",'エネルギーデータ入力'!$C186)</f>
        <v/>
      </c>
      <c r="D186" s="102">
        <f>IF('エネルギーデータ入力'!$D186="","",'エネルギーデータ入力'!$D186)</f>
        <v/>
      </c>
      <c r="E186" s="102">
        <f>IF('エネルギーデータ入力'!$E186="","",'エネルギーデータ入力'!$E186)</f>
        <v/>
      </c>
      <c r="F186" s="102">
        <f>IF('エネルギーデータ入力'!$G186="","",'エネルギーデータ入力'!$G186)</f>
        <v/>
      </c>
      <c r="G186" s="102">
        <f>IF('エネルギーデータ入力'!$H186="","",'エネルギーデータ入力'!$H186)</f>
        <v/>
      </c>
      <c r="H186" s="102">
        <f>IF('エネルギーデータ入力'!$J186="","",'エネルギーデータ入力'!$J186)</f>
        <v/>
      </c>
      <c r="I186" s="142">
        <f>IF('エネルギーデータ入力'!$N186="","",'エネルギーデータ入力'!$N186)</f>
        <v/>
      </c>
      <c r="J186" s="142">
        <f>IF($B186="","",IFERROR(AVERAGEIFS('エネルギーデータ入力'!$N$6:$N$205,'エネルギーデータ入力'!$B$6:$B$205,"&gt;="&amp;$B186-7,'エネルギーデータ入力'!$B$6:$B$205,"&lt;"&amp;$B186,'エネルギーデータ入力'!$H$6:$H$205,$G186,'エネルギーデータ入力'!$J$6:$J$205,$H186),$I186))</f>
        <v/>
      </c>
      <c r="K186" s="143">
        <f>IFERROR(($I186-$J186)/$J186,"")</f>
        <v/>
      </c>
      <c r="L186" s="102">
        <f>IF('エネルギーデータ入力'!$V186="","",'エネルギーデータ入力'!$V186)</f>
        <v/>
      </c>
      <c r="M186" s="102">
        <f>IF($H186="","",IFERROR(VLOOKUP($H186,'基本設定'!$A$13:$K$19,5,FALSE),0.2))</f>
        <v/>
      </c>
      <c r="N186" s="102">
        <f>IF($B186="","",IF('エネルギーデータ入力'!$L186="","Missing reading",IF($I186=0,"Stalled reading / possibly offline",IF($K186&gt;=IFERROR(VLOOKUP($H186,'基本設定'!$A$13:$K$19,6,FALSE),0.5),"Severe spike",IF($K186&gt;=$M186,"Usage spike",IF($K186&lt;=-IFERROR(VLOOKUP($H186,'基本設定'!$A$13:$K$19,7,FALSE),0.3),"Usage drop",IF($L186&gt;IFERROR(VLOOKUP($H186,'基本設定'!$A$13:$K$19,8,FALSE),999999),"Area intensity overrun","正常")))))))</f>
        <v/>
      </c>
      <c r="O186" s="102">
        <f>IF($N186="","",IF($N186="正常","正常",IF(OR($N186="Severe spike",$K186&gt;=IFERROR(VLOOKUP($H186,'基本設定'!$A$13:$K$19,6,FALSE),0.5)),"重大",IF(OR($N186="Usage spike",$N186="Usage drop"),"高","中"))))</f>
        <v/>
      </c>
      <c r="P186" s="144">
        <f>IF(OR($N186="",$N186="正常"),0,ABS($I186-$J186)*'エネルギーデータ入力'!$O186)</f>
        <v/>
      </c>
      <c r="Q186" s="102">
        <f>IF($N186="正常","",IF($N186="Stalled reading / possibly offline","核查表计通信/電気池/网关/阀门Status",IF(AND($H186="水道",$N186&lt;&gt;"正常"),"检查管网、阀门、卫生间、冷却塔及夜间最小流量",IF(AND($H186="電気",$N186&lt;&gt;"正常"),"检查空调、照明、生产设备、PeakOff-peak时段与待机功耗",IF(AND($H186="ガス",$N186&lt;&gt;"正常"),"检查燃ガス阀门、锅炉/厨房设备与泄漏风险","核查设备工况、排班、产量与计量数据")))))</f>
        <v/>
      </c>
      <c r="R186" s="102">
        <f>IF($H186="","",IFERROR(VLOOKUP($H186,'基本設定'!$A$13:$K$19,11,FALSE),"Energy management owner"))</f>
        <v/>
      </c>
      <c r="S186" s="102">
        <f>IF($N186="","",IF($N186="正常","対応不要","未対応"))</f>
        <v/>
      </c>
      <c r="T186" s="141">
        <f>IF(OR($B186="",$N186="正常"),"",WORKDAY($B186,IF($O186="重大",1,IF($O186="高",2,3))))</f>
        <v/>
      </c>
      <c r="U186" s="102">
        <f>IF($T186="","",IF(AND($S186&lt;&gt;"完了",TODAY()&gt;$T186),"期限超過","期限内"))</f>
        <v/>
      </c>
      <c r="V186" s="102" t="n"/>
      <c r="W186" s="141" t="n"/>
      <c r="X186" s="102" t="n"/>
    </row>
    <row r="187">
      <c r="A187" s="102">
        <f>IF('エネルギーデータ入力'!$A187="","","AL-"&amp;TEXT(ROW()-5,"0000"))</f>
        <v/>
      </c>
      <c r="B187" s="141">
        <f>IF('エネルギーデータ入力'!$B187="","",'エネルギーデータ入力'!$B187)</f>
        <v/>
      </c>
      <c r="C187" s="102">
        <f>IF('エネルギーデータ入力'!$C187="","",'エネルギーデータ入力'!$C187)</f>
        <v/>
      </c>
      <c r="D187" s="102">
        <f>IF('エネルギーデータ入力'!$D187="","",'エネルギーデータ入力'!$D187)</f>
        <v/>
      </c>
      <c r="E187" s="102">
        <f>IF('エネルギーデータ入力'!$E187="","",'エネルギーデータ入力'!$E187)</f>
        <v/>
      </c>
      <c r="F187" s="102">
        <f>IF('エネルギーデータ入力'!$G187="","",'エネルギーデータ入力'!$G187)</f>
        <v/>
      </c>
      <c r="G187" s="102">
        <f>IF('エネルギーデータ入力'!$H187="","",'エネルギーデータ入力'!$H187)</f>
        <v/>
      </c>
      <c r="H187" s="102">
        <f>IF('エネルギーデータ入力'!$J187="","",'エネルギーデータ入力'!$J187)</f>
        <v/>
      </c>
      <c r="I187" s="142">
        <f>IF('エネルギーデータ入力'!$N187="","",'エネルギーデータ入力'!$N187)</f>
        <v/>
      </c>
      <c r="J187" s="142">
        <f>IF($B187="","",IFERROR(AVERAGEIFS('エネルギーデータ入力'!$N$6:$N$205,'エネルギーデータ入力'!$B$6:$B$205,"&gt;="&amp;$B187-7,'エネルギーデータ入力'!$B$6:$B$205,"&lt;"&amp;$B187,'エネルギーデータ入力'!$H$6:$H$205,$G187,'エネルギーデータ入力'!$J$6:$J$205,$H187),$I187))</f>
        <v/>
      </c>
      <c r="K187" s="143">
        <f>IFERROR(($I187-$J187)/$J187,"")</f>
        <v/>
      </c>
      <c r="L187" s="102">
        <f>IF('エネルギーデータ入力'!$V187="","",'エネルギーデータ入力'!$V187)</f>
        <v/>
      </c>
      <c r="M187" s="102">
        <f>IF($H187="","",IFERROR(VLOOKUP($H187,'基本設定'!$A$13:$K$19,5,FALSE),0.2))</f>
        <v/>
      </c>
      <c r="N187" s="102">
        <f>IF($B187="","",IF('エネルギーデータ入力'!$L187="","Missing reading",IF($I187=0,"Stalled reading / possibly offline",IF($K187&gt;=IFERROR(VLOOKUP($H187,'基本設定'!$A$13:$K$19,6,FALSE),0.5),"Severe spike",IF($K187&gt;=$M187,"Usage spike",IF($K187&lt;=-IFERROR(VLOOKUP($H187,'基本設定'!$A$13:$K$19,7,FALSE),0.3),"Usage drop",IF($L187&gt;IFERROR(VLOOKUP($H187,'基本設定'!$A$13:$K$19,8,FALSE),999999),"Area intensity overrun","正常")))))))</f>
        <v/>
      </c>
      <c r="O187" s="102">
        <f>IF($N187="","",IF($N187="正常","正常",IF(OR($N187="Severe spike",$K187&gt;=IFERROR(VLOOKUP($H187,'基本設定'!$A$13:$K$19,6,FALSE),0.5)),"重大",IF(OR($N187="Usage spike",$N187="Usage drop"),"高","中"))))</f>
        <v/>
      </c>
      <c r="P187" s="144">
        <f>IF(OR($N187="",$N187="正常"),0,ABS($I187-$J187)*'エネルギーデータ入力'!$O187)</f>
        <v/>
      </c>
      <c r="Q187" s="102">
        <f>IF($N187="正常","",IF($N187="Stalled reading / possibly offline","核查表计通信/電気池/网关/阀门Status",IF(AND($H187="水道",$N187&lt;&gt;"正常"),"检查管网、阀门、卫生间、冷却塔及夜间最小流量",IF(AND($H187="電気",$N187&lt;&gt;"正常"),"检查空调、照明、生产设备、PeakOff-peak时段与待机功耗",IF(AND($H187="ガス",$N187&lt;&gt;"正常"),"检查燃ガス阀门、锅炉/厨房设备与泄漏风险","核查设备工况、排班、产量与计量数据")))))</f>
        <v/>
      </c>
      <c r="R187" s="102">
        <f>IF($H187="","",IFERROR(VLOOKUP($H187,'基本設定'!$A$13:$K$19,11,FALSE),"Energy management owner"))</f>
        <v/>
      </c>
      <c r="S187" s="102">
        <f>IF($N187="","",IF($N187="正常","対応不要","未対応"))</f>
        <v/>
      </c>
      <c r="T187" s="141">
        <f>IF(OR($B187="",$N187="正常"),"",WORKDAY($B187,IF($O187="重大",1,IF($O187="高",2,3))))</f>
        <v/>
      </c>
      <c r="U187" s="102">
        <f>IF($T187="","",IF(AND($S187&lt;&gt;"完了",TODAY()&gt;$T187),"期限超過","期限内"))</f>
        <v/>
      </c>
      <c r="V187" s="102" t="n"/>
      <c r="W187" s="141" t="n"/>
      <c r="X187" s="102" t="n"/>
    </row>
    <row r="188">
      <c r="A188" s="102">
        <f>IF('エネルギーデータ入力'!$A188="","","AL-"&amp;TEXT(ROW()-5,"0000"))</f>
        <v/>
      </c>
      <c r="B188" s="141">
        <f>IF('エネルギーデータ入力'!$B188="","",'エネルギーデータ入力'!$B188)</f>
        <v/>
      </c>
      <c r="C188" s="102">
        <f>IF('エネルギーデータ入力'!$C188="","",'エネルギーデータ入力'!$C188)</f>
        <v/>
      </c>
      <c r="D188" s="102">
        <f>IF('エネルギーデータ入力'!$D188="","",'エネルギーデータ入力'!$D188)</f>
        <v/>
      </c>
      <c r="E188" s="102">
        <f>IF('エネルギーデータ入力'!$E188="","",'エネルギーデータ入力'!$E188)</f>
        <v/>
      </c>
      <c r="F188" s="102">
        <f>IF('エネルギーデータ入力'!$G188="","",'エネルギーデータ入力'!$G188)</f>
        <v/>
      </c>
      <c r="G188" s="102">
        <f>IF('エネルギーデータ入力'!$H188="","",'エネルギーデータ入力'!$H188)</f>
        <v/>
      </c>
      <c r="H188" s="102">
        <f>IF('エネルギーデータ入力'!$J188="","",'エネルギーデータ入力'!$J188)</f>
        <v/>
      </c>
      <c r="I188" s="142">
        <f>IF('エネルギーデータ入力'!$N188="","",'エネルギーデータ入力'!$N188)</f>
        <v/>
      </c>
      <c r="J188" s="142">
        <f>IF($B188="","",IFERROR(AVERAGEIFS('エネルギーデータ入力'!$N$6:$N$205,'エネルギーデータ入力'!$B$6:$B$205,"&gt;="&amp;$B188-7,'エネルギーデータ入力'!$B$6:$B$205,"&lt;"&amp;$B188,'エネルギーデータ入力'!$H$6:$H$205,$G188,'エネルギーデータ入力'!$J$6:$J$205,$H188),$I188))</f>
        <v/>
      </c>
      <c r="K188" s="143">
        <f>IFERROR(($I188-$J188)/$J188,"")</f>
        <v/>
      </c>
      <c r="L188" s="102">
        <f>IF('エネルギーデータ入力'!$V188="","",'エネルギーデータ入力'!$V188)</f>
        <v/>
      </c>
      <c r="M188" s="102">
        <f>IF($H188="","",IFERROR(VLOOKUP($H188,'基本設定'!$A$13:$K$19,5,FALSE),0.2))</f>
        <v/>
      </c>
      <c r="N188" s="102">
        <f>IF($B188="","",IF('エネルギーデータ入力'!$L188="","Missing reading",IF($I188=0,"Stalled reading / possibly offline",IF($K188&gt;=IFERROR(VLOOKUP($H188,'基本設定'!$A$13:$K$19,6,FALSE),0.5),"Severe spike",IF($K188&gt;=$M188,"Usage spike",IF($K188&lt;=-IFERROR(VLOOKUP($H188,'基本設定'!$A$13:$K$19,7,FALSE),0.3),"Usage drop",IF($L188&gt;IFERROR(VLOOKUP($H188,'基本設定'!$A$13:$K$19,8,FALSE),999999),"Area intensity overrun","正常")))))))</f>
        <v/>
      </c>
      <c r="O188" s="102">
        <f>IF($N188="","",IF($N188="正常","正常",IF(OR($N188="Severe spike",$K188&gt;=IFERROR(VLOOKUP($H188,'基本設定'!$A$13:$K$19,6,FALSE),0.5)),"重大",IF(OR($N188="Usage spike",$N188="Usage drop"),"高","中"))))</f>
        <v/>
      </c>
      <c r="P188" s="144">
        <f>IF(OR($N188="",$N188="正常"),0,ABS($I188-$J188)*'エネルギーデータ入力'!$O188)</f>
        <v/>
      </c>
      <c r="Q188" s="102">
        <f>IF($N188="正常","",IF($N188="Stalled reading / possibly offline","核查表计通信/電気池/网关/阀门Status",IF(AND($H188="水道",$N188&lt;&gt;"正常"),"检查管网、阀门、卫生间、冷却塔及夜间最小流量",IF(AND($H188="電気",$N188&lt;&gt;"正常"),"检查空调、照明、生产设备、PeakOff-peak时段与待机功耗",IF(AND($H188="ガス",$N188&lt;&gt;"正常"),"检查燃ガス阀门、锅炉/厨房设备与泄漏风险","核查设备工况、排班、产量与计量数据")))))</f>
        <v/>
      </c>
      <c r="R188" s="102">
        <f>IF($H188="","",IFERROR(VLOOKUP($H188,'基本設定'!$A$13:$K$19,11,FALSE),"Energy management owner"))</f>
        <v/>
      </c>
      <c r="S188" s="102">
        <f>IF($N188="","",IF($N188="正常","対応不要","未対応"))</f>
        <v/>
      </c>
      <c r="T188" s="141">
        <f>IF(OR($B188="",$N188="正常"),"",WORKDAY($B188,IF($O188="重大",1,IF($O188="高",2,3))))</f>
        <v/>
      </c>
      <c r="U188" s="102">
        <f>IF($T188="","",IF(AND($S188&lt;&gt;"完了",TODAY()&gt;$T188),"期限超過","期限内"))</f>
        <v/>
      </c>
      <c r="V188" s="102" t="n"/>
      <c r="W188" s="141" t="n"/>
      <c r="X188" s="102" t="n"/>
    </row>
    <row r="189">
      <c r="A189" s="102">
        <f>IF('エネルギーデータ入力'!$A189="","","AL-"&amp;TEXT(ROW()-5,"0000"))</f>
        <v/>
      </c>
      <c r="B189" s="141">
        <f>IF('エネルギーデータ入力'!$B189="","",'エネルギーデータ入力'!$B189)</f>
        <v/>
      </c>
      <c r="C189" s="102">
        <f>IF('エネルギーデータ入力'!$C189="","",'エネルギーデータ入力'!$C189)</f>
        <v/>
      </c>
      <c r="D189" s="102">
        <f>IF('エネルギーデータ入力'!$D189="","",'エネルギーデータ入力'!$D189)</f>
        <v/>
      </c>
      <c r="E189" s="102">
        <f>IF('エネルギーデータ入力'!$E189="","",'エネルギーデータ入力'!$E189)</f>
        <v/>
      </c>
      <c r="F189" s="102">
        <f>IF('エネルギーデータ入力'!$G189="","",'エネルギーデータ入力'!$G189)</f>
        <v/>
      </c>
      <c r="G189" s="102">
        <f>IF('エネルギーデータ入力'!$H189="","",'エネルギーデータ入力'!$H189)</f>
        <v/>
      </c>
      <c r="H189" s="102">
        <f>IF('エネルギーデータ入力'!$J189="","",'エネルギーデータ入力'!$J189)</f>
        <v/>
      </c>
      <c r="I189" s="142">
        <f>IF('エネルギーデータ入力'!$N189="","",'エネルギーデータ入力'!$N189)</f>
        <v/>
      </c>
      <c r="J189" s="142">
        <f>IF($B189="","",IFERROR(AVERAGEIFS('エネルギーデータ入力'!$N$6:$N$205,'エネルギーデータ入力'!$B$6:$B$205,"&gt;="&amp;$B189-7,'エネルギーデータ入力'!$B$6:$B$205,"&lt;"&amp;$B189,'エネルギーデータ入力'!$H$6:$H$205,$G189,'エネルギーデータ入力'!$J$6:$J$205,$H189),$I189))</f>
        <v/>
      </c>
      <c r="K189" s="143">
        <f>IFERROR(($I189-$J189)/$J189,"")</f>
        <v/>
      </c>
      <c r="L189" s="102">
        <f>IF('エネルギーデータ入力'!$V189="","",'エネルギーデータ入力'!$V189)</f>
        <v/>
      </c>
      <c r="M189" s="102">
        <f>IF($H189="","",IFERROR(VLOOKUP($H189,'基本設定'!$A$13:$K$19,5,FALSE),0.2))</f>
        <v/>
      </c>
      <c r="N189" s="102">
        <f>IF($B189="","",IF('エネルギーデータ入力'!$L189="","Missing reading",IF($I189=0,"Stalled reading / possibly offline",IF($K189&gt;=IFERROR(VLOOKUP($H189,'基本設定'!$A$13:$K$19,6,FALSE),0.5),"Severe spike",IF($K189&gt;=$M189,"Usage spike",IF($K189&lt;=-IFERROR(VLOOKUP($H189,'基本設定'!$A$13:$K$19,7,FALSE),0.3),"Usage drop",IF($L189&gt;IFERROR(VLOOKUP($H189,'基本設定'!$A$13:$K$19,8,FALSE),999999),"Area intensity overrun","正常")))))))</f>
        <v/>
      </c>
      <c r="O189" s="102">
        <f>IF($N189="","",IF($N189="正常","正常",IF(OR($N189="Severe spike",$K189&gt;=IFERROR(VLOOKUP($H189,'基本設定'!$A$13:$K$19,6,FALSE),0.5)),"重大",IF(OR($N189="Usage spike",$N189="Usage drop"),"高","中"))))</f>
        <v/>
      </c>
      <c r="P189" s="144">
        <f>IF(OR($N189="",$N189="正常"),0,ABS($I189-$J189)*'エネルギーデータ入力'!$O189)</f>
        <v/>
      </c>
      <c r="Q189" s="102">
        <f>IF($N189="正常","",IF($N189="Stalled reading / possibly offline","核查表计通信/電気池/网关/阀门Status",IF(AND($H189="水道",$N189&lt;&gt;"正常"),"检查管网、阀门、卫生间、冷却塔及夜间最小流量",IF(AND($H189="電気",$N189&lt;&gt;"正常"),"检查空调、照明、生产设备、PeakOff-peak时段与待机功耗",IF(AND($H189="ガス",$N189&lt;&gt;"正常"),"检查燃ガス阀门、锅炉/厨房设备与泄漏风险","核查设备工况、排班、产量与计量数据")))))</f>
        <v/>
      </c>
      <c r="R189" s="102">
        <f>IF($H189="","",IFERROR(VLOOKUP($H189,'基本設定'!$A$13:$K$19,11,FALSE),"Energy management owner"))</f>
        <v/>
      </c>
      <c r="S189" s="102">
        <f>IF($N189="","",IF($N189="正常","対応不要","未対応"))</f>
        <v/>
      </c>
      <c r="T189" s="141">
        <f>IF(OR($B189="",$N189="正常"),"",WORKDAY($B189,IF($O189="重大",1,IF($O189="高",2,3))))</f>
        <v/>
      </c>
      <c r="U189" s="102">
        <f>IF($T189="","",IF(AND($S189&lt;&gt;"完了",TODAY()&gt;$T189),"期限超過","期限内"))</f>
        <v/>
      </c>
      <c r="V189" s="102" t="n"/>
      <c r="W189" s="141" t="n"/>
      <c r="X189" s="102" t="n"/>
    </row>
    <row r="190">
      <c r="A190" s="102">
        <f>IF('エネルギーデータ入力'!$A190="","","AL-"&amp;TEXT(ROW()-5,"0000"))</f>
        <v/>
      </c>
      <c r="B190" s="141">
        <f>IF('エネルギーデータ入力'!$B190="","",'エネルギーデータ入力'!$B190)</f>
        <v/>
      </c>
      <c r="C190" s="102">
        <f>IF('エネルギーデータ入力'!$C190="","",'エネルギーデータ入力'!$C190)</f>
        <v/>
      </c>
      <c r="D190" s="102">
        <f>IF('エネルギーデータ入力'!$D190="","",'エネルギーデータ入力'!$D190)</f>
        <v/>
      </c>
      <c r="E190" s="102">
        <f>IF('エネルギーデータ入力'!$E190="","",'エネルギーデータ入力'!$E190)</f>
        <v/>
      </c>
      <c r="F190" s="102">
        <f>IF('エネルギーデータ入力'!$G190="","",'エネルギーデータ入力'!$G190)</f>
        <v/>
      </c>
      <c r="G190" s="102">
        <f>IF('エネルギーデータ入力'!$H190="","",'エネルギーデータ入力'!$H190)</f>
        <v/>
      </c>
      <c r="H190" s="102">
        <f>IF('エネルギーデータ入力'!$J190="","",'エネルギーデータ入力'!$J190)</f>
        <v/>
      </c>
      <c r="I190" s="142">
        <f>IF('エネルギーデータ入力'!$N190="","",'エネルギーデータ入力'!$N190)</f>
        <v/>
      </c>
      <c r="J190" s="142">
        <f>IF($B190="","",IFERROR(AVERAGEIFS('エネルギーデータ入力'!$N$6:$N$205,'エネルギーデータ入力'!$B$6:$B$205,"&gt;="&amp;$B190-7,'エネルギーデータ入力'!$B$6:$B$205,"&lt;"&amp;$B190,'エネルギーデータ入力'!$H$6:$H$205,$G190,'エネルギーデータ入力'!$J$6:$J$205,$H190),$I190))</f>
        <v/>
      </c>
      <c r="K190" s="143">
        <f>IFERROR(($I190-$J190)/$J190,"")</f>
        <v/>
      </c>
      <c r="L190" s="102">
        <f>IF('エネルギーデータ入力'!$V190="","",'エネルギーデータ入力'!$V190)</f>
        <v/>
      </c>
      <c r="M190" s="102">
        <f>IF($H190="","",IFERROR(VLOOKUP($H190,'基本設定'!$A$13:$K$19,5,FALSE),0.2))</f>
        <v/>
      </c>
      <c r="N190" s="102">
        <f>IF($B190="","",IF('エネルギーデータ入力'!$L190="","Missing reading",IF($I190=0,"Stalled reading / possibly offline",IF($K190&gt;=IFERROR(VLOOKUP($H190,'基本設定'!$A$13:$K$19,6,FALSE),0.5),"Severe spike",IF($K190&gt;=$M190,"Usage spike",IF($K190&lt;=-IFERROR(VLOOKUP($H190,'基本設定'!$A$13:$K$19,7,FALSE),0.3),"Usage drop",IF($L190&gt;IFERROR(VLOOKUP($H190,'基本設定'!$A$13:$K$19,8,FALSE),999999),"Area intensity overrun","正常")))))))</f>
        <v/>
      </c>
      <c r="O190" s="102">
        <f>IF($N190="","",IF($N190="正常","正常",IF(OR($N190="Severe spike",$K190&gt;=IFERROR(VLOOKUP($H190,'基本設定'!$A$13:$K$19,6,FALSE),0.5)),"重大",IF(OR($N190="Usage spike",$N190="Usage drop"),"高","中"))))</f>
        <v/>
      </c>
      <c r="P190" s="144">
        <f>IF(OR($N190="",$N190="正常"),0,ABS($I190-$J190)*'エネルギーデータ入力'!$O190)</f>
        <v/>
      </c>
      <c r="Q190" s="102">
        <f>IF($N190="正常","",IF($N190="Stalled reading / possibly offline","核查表计通信/電気池/网关/阀门Status",IF(AND($H190="水道",$N190&lt;&gt;"正常"),"检查管网、阀门、卫生间、冷却塔及夜间最小流量",IF(AND($H190="電気",$N190&lt;&gt;"正常"),"检查空调、照明、生产设备、PeakOff-peak时段与待机功耗",IF(AND($H190="ガス",$N190&lt;&gt;"正常"),"检查燃ガス阀门、锅炉/厨房设备与泄漏风险","核查设备工况、排班、产量与计量数据")))))</f>
        <v/>
      </c>
      <c r="R190" s="102">
        <f>IF($H190="","",IFERROR(VLOOKUP($H190,'基本設定'!$A$13:$K$19,11,FALSE),"Energy management owner"))</f>
        <v/>
      </c>
      <c r="S190" s="102">
        <f>IF($N190="","",IF($N190="正常","対応不要","未対応"))</f>
        <v/>
      </c>
      <c r="T190" s="141">
        <f>IF(OR($B190="",$N190="正常"),"",WORKDAY($B190,IF($O190="重大",1,IF($O190="高",2,3))))</f>
        <v/>
      </c>
      <c r="U190" s="102">
        <f>IF($T190="","",IF(AND($S190&lt;&gt;"完了",TODAY()&gt;$T190),"期限超過","期限内"))</f>
        <v/>
      </c>
      <c r="V190" s="102" t="n"/>
      <c r="W190" s="141" t="n"/>
      <c r="X190" s="102" t="n"/>
    </row>
    <row r="191">
      <c r="A191" s="102">
        <f>IF('エネルギーデータ入力'!$A191="","","AL-"&amp;TEXT(ROW()-5,"0000"))</f>
        <v/>
      </c>
      <c r="B191" s="141">
        <f>IF('エネルギーデータ入力'!$B191="","",'エネルギーデータ入力'!$B191)</f>
        <v/>
      </c>
      <c r="C191" s="102">
        <f>IF('エネルギーデータ入力'!$C191="","",'エネルギーデータ入力'!$C191)</f>
        <v/>
      </c>
      <c r="D191" s="102">
        <f>IF('エネルギーデータ入力'!$D191="","",'エネルギーデータ入力'!$D191)</f>
        <v/>
      </c>
      <c r="E191" s="102">
        <f>IF('エネルギーデータ入力'!$E191="","",'エネルギーデータ入力'!$E191)</f>
        <v/>
      </c>
      <c r="F191" s="102">
        <f>IF('エネルギーデータ入力'!$G191="","",'エネルギーデータ入力'!$G191)</f>
        <v/>
      </c>
      <c r="G191" s="102">
        <f>IF('エネルギーデータ入力'!$H191="","",'エネルギーデータ入力'!$H191)</f>
        <v/>
      </c>
      <c r="H191" s="102">
        <f>IF('エネルギーデータ入力'!$J191="","",'エネルギーデータ入力'!$J191)</f>
        <v/>
      </c>
      <c r="I191" s="142">
        <f>IF('エネルギーデータ入力'!$N191="","",'エネルギーデータ入力'!$N191)</f>
        <v/>
      </c>
      <c r="J191" s="142">
        <f>IF($B191="","",IFERROR(AVERAGEIFS('エネルギーデータ入力'!$N$6:$N$205,'エネルギーデータ入力'!$B$6:$B$205,"&gt;="&amp;$B191-7,'エネルギーデータ入力'!$B$6:$B$205,"&lt;"&amp;$B191,'エネルギーデータ入力'!$H$6:$H$205,$G191,'エネルギーデータ入力'!$J$6:$J$205,$H191),$I191))</f>
        <v/>
      </c>
      <c r="K191" s="143">
        <f>IFERROR(($I191-$J191)/$J191,"")</f>
        <v/>
      </c>
      <c r="L191" s="102">
        <f>IF('エネルギーデータ入力'!$V191="","",'エネルギーデータ入力'!$V191)</f>
        <v/>
      </c>
      <c r="M191" s="102">
        <f>IF($H191="","",IFERROR(VLOOKUP($H191,'基本設定'!$A$13:$K$19,5,FALSE),0.2))</f>
        <v/>
      </c>
      <c r="N191" s="102">
        <f>IF($B191="","",IF('エネルギーデータ入力'!$L191="","Missing reading",IF($I191=0,"Stalled reading / possibly offline",IF($K191&gt;=IFERROR(VLOOKUP($H191,'基本設定'!$A$13:$K$19,6,FALSE),0.5),"Severe spike",IF($K191&gt;=$M191,"Usage spike",IF($K191&lt;=-IFERROR(VLOOKUP($H191,'基本設定'!$A$13:$K$19,7,FALSE),0.3),"Usage drop",IF($L191&gt;IFERROR(VLOOKUP($H191,'基本設定'!$A$13:$K$19,8,FALSE),999999),"Area intensity overrun","正常")))))))</f>
        <v/>
      </c>
      <c r="O191" s="102">
        <f>IF($N191="","",IF($N191="正常","正常",IF(OR($N191="Severe spike",$K191&gt;=IFERROR(VLOOKUP($H191,'基本設定'!$A$13:$K$19,6,FALSE),0.5)),"重大",IF(OR($N191="Usage spike",$N191="Usage drop"),"高","中"))))</f>
        <v/>
      </c>
      <c r="P191" s="144">
        <f>IF(OR($N191="",$N191="正常"),0,ABS($I191-$J191)*'エネルギーデータ入力'!$O191)</f>
        <v/>
      </c>
      <c r="Q191" s="102">
        <f>IF($N191="正常","",IF($N191="Stalled reading / possibly offline","核查表计通信/電気池/网关/阀门Status",IF(AND($H191="水道",$N191&lt;&gt;"正常"),"检查管网、阀门、卫生间、冷却塔及夜间最小流量",IF(AND($H191="電気",$N191&lt;&gt;"正常"),"检查空调、照明、生产设备、PeakOff-peak时段与待机功耗",IF(AND($H191="ガス",$N191&lt;&gt;"正常"),"检查燃ガス阀门、锅炉/厨房设备与泄漏风险","核查设备工况、排班、产量与计量数据")))))</f>
        <v/>
      </c>
      <c r="R191" s="102">
        <f>IF($H191="","",IFERROR(VLOOKUP($H191,'基本設定'!$A$13:$K$19,11,FALSE),"Energy management owner"))</f>
        <v/>
      </c>
      <c r="S191" s="102">
        <f>IF($N191="","",IF($N191="正常","対応不要","未対応"))</f>
        <v/>
      </c>
      <c r="T191" s="141">
        <f>IF(OR($B191="",$N191="正常"),"",WORKDAY($B191,IF($O191="重大",1,IF($O191="高",2,3))))</f>
        <v/>
      </c>
      <c r="U191" s="102">
        <f>IF($T191="","",IF(AND($S191&lt;&gt;"完了",TODAY()&gt;$T191),"期限超過","期限内"))</f>
        <v/>
      </c>
      <c r="V191" s="102" t="n"/>
      <c r="W191" s="141" t="n"/>
      <c r="X191" s="102" t="n"/>
    </row>
    <row r="192">
      <c r="A192" s="102">
        <f>IF('エネルギーデータ入力'!$A192="","","AL-"&amp;TEXT(ROW()-5,"0000"))</f>
        <v/>
      </c>
      <c r="B192" s="141">
        <f>IF('エネルギーデータ入力'!$B192="","",'エネルギーデータ入力'!$B192)</f>
        <v/>
      </c>
      <c r="C192" s="102">
        <f>IF('エネルギーデータ入力'!$C192="","",'エネルギーデータ入力'!$C192)</f>
        <v/>
      </c>
      <c r="D192" s="102">
        <f>IF('エネルギーデータ入力'!$D192="","",'エネルギーデータ入力'!$D192)</f>
        <v/>
      </c>
      <c r="E192" s="102">
        <f>IF('エネルギーデータ入力'!$E192="","",'エネルギーデータ入力'!$E192)</f>
        <v/>
      </c>
      <c r="F192" s="102">
        <f>IF('エネルギーデータ入力'!$G192="","",'エネルギーデータ入力'!$G192)</f>
        <v/>
      </c>
      <c r="G192" s="102">
        <f>IF('エネルギーデータ入力'!$H192="","",'エネルギーデータ入力'!$H192)</f>
        <v/>
      </c>
      <c r="H192" s="102">
        <f>IF('エネルギーデータ入力'!$J192="","",'エネルギーデータ入力'!$J192)</f>
        <v/>
      </c>
      <c r="I192" s="142">
        <f>IF('エネルギーデータ入力'!$N192="","",'エネルギーデータ入力'!$N192)</f>
        <v/>
      </c>
      <c r="J192" s="142">
        <f>IF($B192="","",IFERROR(AVERAGEIFS('エネルギーデータ入力'!$N$6:$N$205,'エネルギーデータ入力'!$B$6:$B$205,"&gt;="&amp;$B192-7,'エネルギーデータ入力'!$B$6:$B$205,"&lt;"&amp;$B192,'エネルギーデータ入力'!$H$6:$H$205,$G192,'エネルギーデータ入力'!$J$6:$J$205,$H192),$I192))</f>
        <v/>
      </c>
      <c r="K192" s="143">
        <f>IFERROR(($I192-$J192)/$J192,"")</f>
        <v/>
      </c>
      <c r="L192" s="102">
        <f>IF('エネルギーデータ入力'!$V192="","",'エネルギーデータ入力'!$V192)</f>
        <v/>
      </c>
      <c r="M192" s="102">
        <f>IF($H192="","",IFERROR(VLOOKUP($H192,'基本設定'!$A$13:$K$19,5,FALSE),0.2))</f>
        <v/>
      </c>
      <c r="N192" s="102">
        <f>IF($B192="","",IF('エネルギーデータ入力'!$L192="","Missing reading",IF($I192=0,"Stalled reading / possibly offline",IF($K192&gt;=IFERROR(VLOOKUP($H192,'基本設定'!$A$13:$K$19,6,FALSE),0.5),"Severe spike",IF($K192&gt;=$M192,"Usage spike",IF($K192&lt;=-IFERROR(VLOOKUP($H192,'基本設定'!$A$13:$K$19,7,FALSE),0.3),"Usage drop",IF($L192&gt;IFERROR(VLOOKUP($H192,'基本設定'!$A$13:$K$19,8,FALSE),999999),"Area intensity overrun","正常")))))))</f>
        <v/>
      </c>
      <c r="O192" s="102">
        <f>IF($N192="","",IF($N192="正常","正常",IF(OR($N192="Severe spike",$K192&gt;=IFERROR(VLOOKUP($H192,'基本設定'!$A$13:$K$19,6,FALSE),0.5)),"重大",IF(OR($N192="Usage spike",$N192="Usage drop"),"高","中"))))</f>
        <v/>
      </c>
      <c r="P192" s="144">
        <f>IF(OR($N192="",$N192="正常"),0,ABS($I192-$J192)*'エネルギーデータ入力'!$O192)</f>
        <v/>
      </c>
      <c r="Q192" s="102">
        <f>IF($N192="正常","",IF($N192="Stalled reading / possibly offline","核查表计通信/電気池/网关/阀门Status",IF(AND($H192="水道",$N192&lt;&gt;"正常"),"检查管网、阀门、卫生间、冷却塔及夜间最小流量",IF(AND($H192="電気",$N192&lt;&gt;"正常"),"检查空调、照明、生产设备、PeakOff-peak时段与待机功耗",IF(AND($H192="ガス",$N192&lt;&gt;"正常"),"检查燃ガス阀门、锅炉/厨房设备与泄漏风险","核查设备工况、排班、产量与计量数据")))))</f>
        <v/>
      </c>
      <c r="R192" s="102">
        <f>IF($H192="","",IFERROR(VLOOKUP($H192,'基本設定'!$A$13:$K$19,11,FALSE),"Energy management owner"))</f>
        <v/>
      </c>
      <c r="S192" s="102">
        <f>IF($N192="","",IF($N192="正常","対応不要","未対応"))</f>
        <v/>
      </c>
      <c r="T192" s="141">
        <f>IF(OR($B192="",$N192="正常"),"",WORKDAY($B192,IF($O192="重大",1,IF($O192="高",2,3))))</f>
        <v/>
      </c>
      <c r="U192" s="102">
        <f>IF($T192="","",IF(AND($S192&lt;&gt;"完了",TODAY()&gt;$T192),"期限超過","期限内"))</f>
        <v/>
      </c>
      <c r="V192" s="102" t="n"/>
      <c r="W192" s="141" t="n"/>
      <c r="X192" s="102" t="n"/>
    </row>
    <row r="193">
      <c r="A193" s="102">
        <f>IF('エネルギーデータ入力'!$A193="","","AL-"&amp;TEXT(ROW()-5,"0000"))</f>
        <v/>
      </c>
      <c r="B193" s="141">
        <f>IF('エネルギーデータ入力'!$B193="","",'エネルギーデータ入力'!$B193)</f>
        <v/>
      </c>
      <c r="C193" s="102">
        <f>IF('エネルギーデータ入力'!$C193="","",'エネルギーデータ入力'!$C193)</f>
        <v/>
      </c>
      <c r="D193" s="102">
        <f>IF('エネルギーデータ入力'!$D193="","",'エネルギーデータ入力'!$D193)</f>
        <v/>
      </c>
      <c r="E193" s="102">
        <f>IF('エネルギーデータ入力'!$E193="","",'エネルギーデータ入力'!$E193)</f>
        <v/>
      </c>
      <c r="F193" s="102">
        <f>IF('エネルギーデータ入力'!$G193="","",'エネルギーデータ入力'!$G193)</f>
        <v/>
      </c>
      <c r="G193" s="102">
        <f>IF('エネルギーデータ入力'!$H193="","",'エネルギーデータ入力'!$H193)</f>
        <v/>
      </c>
      <c r="H193" s="102">
        <f>IF('エネルギーデータ入力'!$J193="","",'エネルギーデータ入力'!$J193)</f>
        <v/>
      </c>
      <c r="I193" s="142">
        <f>IF('エネルギーデータ入力'!$N193="","",'エネルギーデータ入力'!$N193)</f>
        <v/>
      </c>
      <c r="J193" s="142">
        <f>IF($B193="","",IFERROR(AVERAGEIFS('エネルギーデータ入力'!$N$6:$N$205,'エネルギーデータ入力'!$B$6:$B$205,"&gt;="&amp;$B193-7,'エネルギーデータ入力'!$B$6:$B$205,"&lt;"&amp;$B193,'エネルギーデータ入力'!$H$6:$H$205,$G193,'エネルギーデータ入力'!$J$6:$J$205,$H193),$I193))</f>
        <v/>
      </c>
      <c r="K193" s="143">
        <f>IFERROR(($I193-$J193)/$J193,"")</f>
        <v/>
      </c>
      <c r="L193" s="102">
        <f>IF('エネルギーデータ入力'!$V193="","",'エネルギーデータ入力'!$V193)</f>
        <v/>
      </c>
      <c r="M193" s="102">
        <f>IF($H193="","",IFERROR(VLOOKUP($H193,'基本設定'!$A$13:$K$19,5,FALSE),0.2))</f>
        <v/>
      </c>
      <c r="N193" s="102">
        <f>IF($B193="","",IF('エネルギーデータ入力'!$L193="","Missing reading",IF($I193=0,"Stalled reading / possibly offline",IF($K193&gt;=IFERROR(VLOOKUP($H193,'基本設定'!$A$13:$K$19,6,FALSE),0.5),"Severe spike",IF($K193&gt;=$M193,"Usage spike",IF($K193&lt;=-IFERROR(VLOOKUP($H193,'基本設定'!$A$13:$K$19,7,FALSE),0.3),"Usage drop",IF($L193&gt;IFERROR(VLOOKUP($H193,'基本設定'!$A$13:$K$19,8,FALSE),999999),"Area intensity overrun","正常")))))))</f>
        <v/>
      </c>
      <c r="O193" s="102">
        <f>IF($N193="","",IF($N193="正常","正常",IF(OR($N193="Severe spike",$K193&gt;=IFERROR(VLOOKUP($H193,'基本設定'!$A$13:$K$19,6,FALSE),0.5)),"重大",IF(OR($N193="Usage spike",$N193="Usage drop"),"高","中"))))</f>
        <v/>
      </c>
      <c r="P193" s="144">
        <f>IF(OR($N193="",$N193="正常"),0,ABS($I193-$J193)*'エネルギーデータ入力'!$O193)</f>
        <v/>
      </c>
      <c r="Q193" s="102">
        <f>IF($N193="正常","",IF($N193="Stalled reading / possibly offline","核查表计通信/電気池/网关/阀门Status",IF(AND($H193="水道",$N193&lt;&gt;"正常"),"检查管网、阀门、卫生间、冷却塔及夜间最小流量",IF(AND($H193="電気",$N193&lt;&gt;"正常"),"检查空调、照明、生产设备、PeakOff-peak时段与待机功耗",IF(AND($H193="ガス",$N193&lt;&gt;"正常"),"检查燃ガス阀门、锅炉/厨房设备与泄漏风险","核查设备工况、排班、产量与计量数据")))))</f>
        <v/>
      </c>
      <c r="R193" s="102">
        <f>IF($H193="","",IFERROR(VLOOKUP($H193,'基本設定'!$A$13:$K$19,11,FALSE),"Energy management owner"))</f>
        <v/>
      </c>
      <c r="S193" s="102">
        <f>IF($N193="","",IF($N193="正常","対応不要","未対応"))</f>
        <v/>
      </c>
      <c r="T193" s="141">
        <f>IF(OR($B193="",$N193="正常"),"",WORKDAY($B193,IF($O193="重大",1,IF($O193="高",2,3))))</f>
        <v/>
      </c>
      <c r="U193" s="102">
        <f>IF($T193="","",IF(AND($S193&lt;&gt;"完了",TODAY()&gt;$T193),"期限超過","期限内"))</f>
        <v/>
      </c>
      <c r="V193" s="102" t="n"/>
      <c r="W193" s="141" t="n"/>
      <c r="X193" s="102" t="n"/>
    </row>
    <row r="194">
      <c r="A194" s="102">
        <f>IF('エネルギーデータ入力'!$A194="","","AL-"&amp;TEXT(ROW()-5,"0000"))</f>
        <v/>
      </c>
      <c r="B194" s="141">
        <f>IF('エネルギーデータ入力'!$B194="","",'エネルギーデータ入力'!$B194)</f>
        <v/>
      </c>
      <c r="C194" s="102">
        <f>IF('エネルギーデータ入力'!$C194="","",'エネルギーデータ入力'!$C194)</f>
        <v/>
      </c>
      <c r="D194" s="102">
        <f>IF('エネルギーデータ入力'!$D194="","",'エネルギーデータ入力'!$D194)</f>
        <v/>
      </c>
      <c r="E194" s="102">
        <f>IF('エネルギーデータ入力'!$E194="","",'エネルギーデータ入力'!$E194)</f>
        <v/>
      </c>
      <c r="F194" s="102">
        <f>IF('エネルギーデータ入力'!$G194="","",'エネルギーデータ入力'!$G194)</f>
        <v/>
      </c>
      <c r="G194" s="102">
        <f>IF('エネルギーデータ入力'!$H194="","",'エネルギーデータ入力'!$H194)</f>
        <v/>
      </c>
      <c r="H194" s="102">
        <f>IF('エネルギーデータ入力'!$J194="","",'エネルギーデータ入力'!$J194)</f>
        <v/>
      </c>
      <c r="I194" s="142">
        <f>IF('エネルギーデータ入力'!$N194="","",'エネルギーデータ入力'!$N194)</f>
        <v/>
      </c>
      <c r="J194" s="142">
        <f>IF($B194="","",IFERROR(AVERAGEIFS('エネルギーデータ入力'!$N$6:$N$205,'エネルギーデータ入力'!$B$6:$B$205,"&gt;="&amp;$B194-7,'エネルギーデータ入力'!$B$6:$B$205,"&lt;"&amp;$B194,'エネルギーデータ入力'!$H$6:$H$205,$G194,'エネルギーデータ入力'!$J$6:$J$205,$H194),$I194))</f>
        <v/>
      </c>
      <c r="K194" s="143">
        <f>IFERROR(($I194-$J194)/$J194,"")</f>
        <v/>
      </c>
      <c r="L194" s="102">
        <f>IF('エネルギーデータ入力'!$V194="","",'エネルギーデータ入力'!$V194)</f>
        <v/>
      </c>
      <c r="M194" s="102">
        <f>IF($H194="","",IFERROR(VLOOKUP($H194,'基本設定'!$A$13:$K$19,5,FALSE),0.2))</f>
        <v/>
      </c>
      <c r="N194" s="102">
        <f>IF($B194="","",IF('エネルギーデータ入力'!$L194="","Missing reading",IF($I194=0,"Stalled reading / possibly offline",IF($K194&gt;=IFERROR(VLOOKUP($H194,'基本設定'!$A$13:$K$19,6,FALSE),0.5),"Severe spike",IF($K194&gt;=$M194,"Usage spike",IF($K194&lt;=-IFERROR(VLOOKUP($H194,'基本設定'!$A$13:$K$19,7,FALSE),0.3),"Usage drop",IF($L194&gt;IFERROR(VLOOKUP($H194,'基本設定'!$A$13:$K$19,8,FALSE),999999),"Area intensity overrun","正常")))))))</f>
        <v/>
      </c>
      <c r="O194" s="102">
        <f>IF($N194="","",IF($N194="正常","正常",IF(OR($N194="Severe spike",$K194&gt;=IFERROR(VLOOKUP($H194,'基本設定'!$A$13:$K$19,6,FALSE),0.5)),"重大",IF(OR($N194="Usage spike",$N194="Usage drop"),"高","中"))))</f>
        <v/>
      </c>
      <c r="P194" s="144">
        <f>IF(OR($N194="",$N194="正常"),0,ABS($I194-$J194)*'エネルギーデータ入力'!$O194)</f>
        <v/>
      </c>
      <c r="Q194" s="102">
        <f>IF($N194="正常","",IF($N194="Stalled reading / possibly offline","核查表计通信/電気池/网关/阀门Status",IF(AND($H194="水道",$N194&lt;&gt;"正常"),"检查管网、阀门、卫生间、冷却塔及夜间最小流量",IF(AND($H194="電気",$N194&lt;&gt;"正常"),"检查空调、照明、生产设备、PeakOff-peak时段与待机功耗",IF(AND($H194="ガス",$N194&lt;&gt;"正常"),"检查燃ガス阀门、锅炉/厨房设备与泄漏风险","核查设备工况、排班、产量与计量数据")))))</f>
        <v/>
      </c>
      <c r="R194" s="102">
        <f>IF($H194="","",IFERROR(VLOOKUP($H194,'基本設定'!$A$13:$K$19,11,FALSE),"Energy management owner"))</f>
        <v/>
      </c>
      <c r="S194" s="102">
        <f>IF($N194="","",IF($N194="正常","対応不要","未対応"))</f>
        <v/>
      </c>
      <c r="T194" s="141">
        <f>IF(OR($B194="",$N194="正常"),"",WORKDAY($B194,IF($O194="重大",1,IF($O194="高",2,3))))</f>
        <v/>
      </c>
      <c r="U194" s="102">
        <f>IF($T194="","",IF(AND($S194&lt;&gt;"完了",TODAY()&gt;$T194),"期限超過","期限内"))</f>
        <v/>
      </c>
      <c r="V194" s="102" t="n"/>
      <c r="W194" s="141" t="n"/>
      <c r="X194" s="102" t="n"/>
    </row>
    <row r="195">
      <c r="A195" s="102">
        <f>IF('エネルギーデータ入力'!$A195="","","AL-"&amp;TEXT(ROW()-5,"0000"))</f>
        <v/>
      </c>
      <c r="B195" s="141">
        <f>IF('エネルギーデータ入力'!$B195="","",'エネルギーデータ入力'!$B195)</f>
        <v/>
      </c>
      <c r="C195" s="102">
        <f>IF('エネルギーデータ入力'!$C195="","",'エネルギーデータ入力'!$C195)</f>
        <v/>
      </c>
      <c r="D195" s="102">
        <f>IF('エネルギーデータ入力'!$D195="","",'エネルギーデータ入力'!$D195)</f>
        <v/>
      </c>
      <c r="E195" s="102">
        <f>IF('エネルギーデータ入力'!$E195="","",'エネルギーデータ入力'!$E195)</f>
        <v/>
      </c>
      <c r="F195" s="102">
        <f>IF('エネルギーデータ入力'!$G195="","",'エネルギーデータ入力'!$G195)</f>
        <v/>
      </c>
      <c r="G195" s="102">
        <f>IF('エネルギーデータ入力'!$H195="","",'エネルギーデータ入力'!$H195)</f>
        <v/>
      </c>
      <c r="H195" s="102">
        <f>IF('エネルギーデータ入力'!$J195="","",'エネルギーデータ入力'!$J195)</f>
        <v/>
      </c>
      <c r="I195" s="142">
        <f>IF('エネルギーデータ入力'!$N195="","",'エネルギーデータ入力'!$N195)</f>
        <v/>
      </c>
      <c r="J195" s="142">
        <f>IF($B195="","",IFERROR(AVERAGEIFS('エネルギーデータ入力'!$N$6:$N$205,'エネルギーデータ入力'!$B$6:$B$205,"&gt;="&amp;$B195-7,'エネルギーデータ入力'!$B$6:$B$205,"&lt;"&amp;$B195,'エネルギーデータ入力'!$H$6:$H$205,$G195,'エネルギーデータ入力'!$J$6:$J$205,$H195),$I195))</f>
        <v/>
      </c>
      <c r="K195" s="143">
        <f>IFERROR(($I195-$J195)/$J195,"")</f>
        <v/>
      </c>
      <c r="L195" s="102">
        <f>IF('エネルギーデータ入力'!$V195="","",'エネルギーデータ入力'!$V195)</f>
        <v/>
      </c>
      <c r="M195" s="102">
        <f>IF($H195="","",IFERROR(VLOOKUP($H195,'基本設定'!$A$13:$K$19,5,FALSE),0.2))</f>
        <v/>
      </c>
      <c r="N195" s="102">
        <f>IF($B195="","",IF('エネルギーデータ入力'!$L195="","Missing reading",IF($I195=0,"Stalled reading / possibly offline",IF($K195&gt;=IFERROR(VLOOKUP($H195,'基本設定'!$A$13:$K$19,6,FALSE),0.5),"Severe spike",IF($K195&gt;=$M195,"Usage spike",IF($K195&lt;=-IFERROR(VLOOKUP($H195,'基本設定'!$A$13:$K$19,7,FALSE),0.3),"Usage drop",IF($L195&gt;IFERROR(VLOOKUP($H195,'基本設定'!$A$13:$K$19,8,FALSE),999999),"Area intensity overrun","正常")))))))</f>
        <v/>
      </c>
      <c r="O195" s="102">
        <f>IF($N195="","",IF($N195="正常","正常",IF(OR($N195="Severe spike",$K195&gt;=IFERROR(VLOOKUP($H195,'基本設定'!$A$13:$K$19,6,FALSE),0.5)),"重大",IF(OR($N195="Usage spike",$N195="Usage drop"),"高","中"))))</f>
        <v/>
      </c>
      <c r="P195" s="144">
        <f>IF(OR($N195="",$N195="正常"),0,ABS($I195-$J195)*'エネルギーデータ入力'!$O195)</f>
        <v/>
      </c>
      <c r="Q195" s="102">
        <f>IF($N195="正常","",IF($N195="Stalled reading / possibly offline","核查表计通信/電気池/网关/阀门Status",IF(AND($H195="水道",$N195&lt;&gt;"正常"),"检查管网、阀门、卫生间、冷却塔及夜间最小流量",IF(AND($H195="電気",$N195&lt;&gt;"正常"),"检查空调、照明、生产设备、PeakOff-peak时段与待机功耗",IF(AND($H195="ガス",$N195&lt;&gt;"正常"),"检查燃ガス阀门、锅炉/厨房设备与泄漏风险","核查设备工况、排班、产量与计量数据")))))</f>
        <v/>
      </c>
      <c r="R195" s="102">
        <f>IF($H195="","",IFERROR(VLOOKUP($H195,'基本設定'!$A$13:$K$19,11,FALSE),"Energy management owner"))</f>
        <v/>
      </c>
      <c r="S195" s="102">
        <f>IF($N195="","",IF($N195="正常","対応不要","未対応"))</f>
        <v/>
      </c>
      <c r="T195" s="141">
        <f>IF(OR($B195="",$N195="正常"),"",WORKDAY($B195,IF($O195="重大",1,IF($O195="高",2,3))))</f>
        <v/>
      </c>
      <c r="U195" s="102">
        <f>IF($T195="","",IF(AND($S195&lt;&gt;"完了",TODAY()&gt;$T195),"期限超過","期限内"))</f>
        <v/>
      </c>
      <c r="V195" s="102" t="n"/>
      <c r="W195" s="141" t="n"/>
      <c r="X195" s="102" t="n"/>
    </row>
    <row r="196">
      <c r="A196" s="102">
        <f>IF('エネルギーデータ入力'!$A196="","","AL-"&amp;TEXT(ROW()-5,"0000"))</f>
        <v/>
      </c>
      <c r="B196" s="141">
        <f>IF('エネルギーデータ入力'!$B196="","",'エネルギーデータ入力'!$B196)</f>
        <v/>
      </c>
      <c r="C196" s="102">
        <f>IF('エネルギーデータ入力'!$C196="","",'エネルギーデータ入力'!$C196)</f>
        <v/>
      </c>
      <c r="D196" s="102">
        <f>IF('エネルギーデータ入力'!$D196="","",'エネルギーデータ入力'!$D196)</f>
        <v/>
      </c>
      <c r="E196" s="102">
        <f>IF('エネルギーデータ入力'!$E196="","",'エネルギーデータ入力'!$E196)</f>
        <v/>
      </c>
      <c r="F196" s="102">
        <f>IF('エネルギーデータ入力'!$G196="","",'エネルギーデータ入力'!$G196)</f>
        <v/>
      </c>
      <c r="G196" s="102">
        <f>IF('エネルギーデータ入力'!$H196="","",'エネルギーデータ入力'!$H196)</f>
        <v/>
      </c>
      <c r="H196" s="102">
        <f>IF('エネルギーデータ入力'!$J196="","",'エネルギーデータ入力'!$J196)</f>
        <v/>
      </c>
      <c r="I196" s="142">
        <f>IF('エネルギーデータ入力'!$N196="","",'エネルギーデータ入力'!$N196)</f>
        <v/>
      </c>
      <c r="J196" s="142">
        <f>IF($B196="","",IFERROR(AVERAGEIFS('エネルギーデータ入力'!$N$6:$N$205,'エネルギーデータ入力'!$B$6:$B$205,"&gt;="&amp;$B196-7,'エネルギーデータ入力'!$B$6:$B$205,"&lt;"&amp;$B196,'エネルギーデータ入力'!$H$6:$H$205,$G196,'エネルギーデータ入力'!$J$6:$J$205,$H196),$I196))</f>
        <v/>
      </c>
      <c r="K196" s="143">
        <f>IFERROR(($I196-$J196)/$J196,"")</f>
        <v/>
      </c>
      <c r="L196" s="102">
        <f>IF('エネルギーデータ入力'!$V196="","",'エネルギーデータ入力'!$V196)</f>
        <v/>
      </c>
      <c r="M196" s="102">
        <f>IF($H196="","",IFERROR(VLOOKUP($H196,'基本設定'!$A$13:$K$19,5,FALSE),0.2))</f>
        <v/>
      </c>
      <c r="N196" s="102">
        <f>IF($B196="","",IF('エネルギーデータ入力'!$L196="","Missing reading",IF($I196=0,"Stalled reading / possibly offline",IF($K196&gt;=IFERROR(VLOOKUP($H196,'基本設定'!$A$13:$K$19,6,FALSE),0.5),"Severe spike",IF($K196&gt;=$M196,"Usage spike",IF($K196&lt;=-IFERROR(VLOOKUP($H196,'基本設定'!$A$13:$K$19,7,FALSE),0.3),"Usage drop",IF($L196&gt;IFERROR(VLOOKUP($H196,'基本設定'!$A$13:$K$19,8,FALSE),999999),"Area intensity overrun","正常")))))))</f>
        <v/>
      </c>
      <c r="O196" s="102">
        <f>IF($N196="","",IF($N196="正常","正常",IF(OR($N196="Severe spike",$K196&gt;=IFERROR(VLOOKUP($H196,'基本設定'!$A$13:$K$19,6,FALSE),0.5)),"重大",IF(OR($N196="Usage spike",$N196="Usage drop"),"高","中"))))</f>
        <v/>
      </c>
      <c r="P196" s="144">
        <f>IF(OR($N196="",$N196="正常"),0,ABS($I196-$J196)*'エネルギーデータ入力'!$O196)</f>
        <v/>
      </c>
      <c r="Q196" s="102">
        <f>IF($N196="正常","",IF($N196="Stalled reading / possibly offline","核查表计通信/電気池/网关/阀门Status",IF(AND($H196="水道",$N196&lt;&gt;"正常"),"检查管网、阀门、卫生间、冷却塔及夜间最小流量",IF(AND($H196="電気",$N196&lt;&gt;"正常"),"检查空调、照明、生产设备、PeakOff-peak时段与待机功耗",IF(AND($H196="ガス",$N196&lt;&gt;"正常"),"检查燃ガス阀门、锅炉/厨房设备与泄漏风险","核查设备工况、排班、产量与计量数据")))))</f>
        <v/>
      </c>
      <c r="R196" s="102">
        <f>IF($H196="","",IFERROR(VLOOKUP($H196,'基本設定'!$A$13:$K$19,11,FALSE),"Energy management owner"))</f>
        <v/>
      </c>
      <c r="S196" s="102">
        <f>IF($N196="","",IF($N196="正常","対応不要","未対応"))</f>
        <v/>
      </c>
      <c r="T196" s="141">
        <f>IF(OR($B196="",$N196="正常"),"",WORKDAY($B196,IF($O196="重大",1,IF($O196="高",2,3))))</f>
        <v/>
      </c>
      <c r="U196" s="102">
        <f>IF($T196="","",IF(AND($S196&lt;&gt;"完了",TODAY()&gt;$T196),"期限超過","期限内"))</f>
        <v/>
      </c>
      <c r="V196" s="102" t="n"/>
      <c r="W196" s="141" t="n"/>
      <c r="X196" s="102" t="n"/>
    </row>
    <row r="197">
      <c r="A197" s="102">
        <f>IF('エネルギーデータ入力'!$A197="","","AL-"&amp;TEXT(ROW()-5,"0000"))</f>
        <v/>
      </c>
      <c r="B197" s="141">
        <f>IF('エネルギーデータ入力'!$B197="","",'エネルギーデータ入力'!$B197)</f>
        <v/>
      </c>
      <c r="C197" s="102">
        <f>IF('エネルギーデータ入力'!$C197="","",'エネルギーデータ入力'!$C197)</f>
        <v/>
      </c>
      <c r="D197" s="102">
        <f>IF('エネルギーデータ入力'!$D197="","",'エネルギーデータ入力'!$D197)</f>
        <v/>
      </c>
      <c r="E197" s="102">
        <f>IF('エネルギーデータ入力'!$E197="","",'エネルギーデータ入力'!$E197)</f>
        <v/>
      </c>
      <c r="F197" s="102">
        <f>IF('エネルギーデータ入力'!$G197="","",'エネルギーデータ入力'!$G197)</f>
        <v/>
      </c>
      <c r="G197" s="102">
        <f>IF('エネルギーデータ入力'!$H197="","",'エネルギーデータ入力'!$H197)</f>
        <v/>
      </c>
      <c r="H197" s="102">
        <f>IF('エネルギーデータ入力'!$J197="","",'エネルギーデータ入力'!$J197)</f>
        <v/>
      </c>
      <c r="I197" s="142">
        <f>IF('エネルギーデータ入力'!$N197="","",'エネルギーデータ入力'!$N197)</f>
        <v/>
      </c>
      <c r="J197" s="142">
        <f>IF($B197="","",IFERROR(AVERAGEIFS('エネルギーデータ入力'!$N$6:$N$205,'エネルギーデータ入力'!$B$6:$B$205,"&gt;="&amp;$B197-7,'エネルギーデータ入力'!$B$6:$B$205,"&lt;"&amp;$B197,'エネルギーデータ入力'!$H$6:$H$205,$G197,'エネルギーデータ入力'!$J$6:$J$205,$H197),$I197))</f>
        <v/>
      </c>
      <c r="K197" s="143">
        <f>IFERROR(($I197-$J197)/$J197,"")</f>
        <v/>
      </c>
      <c r="L197" s="102">
        <f>IF('エネルギーデータ入力'!$V197="","",'エネルギーデータ入力'!$V197)</f>
        <v/>
      </c>
      <c r="M197" s="102">
        <f>IF($H197="","",IFERROR(VLOOKUP($H197,'基本設定'!$A$13:$K$19,5,FALSE),0.2))</f>
        <v/>
      </c>
      <c r="N197" s="102">
        <f>IF($B197="","",IF('エネルギーデータ入力'!$L197="","Missing reading",IF($I197=0,"Stalled reading / possibly offline",IF($K197&gt;=IFERROR(VLOOKUP($H197,'基本設定'!$A$13:$K$19,6,FALSE),0.5),"Severe spike",IF($K197&gt;=$M197,"Usage spike",IF($K197&lt;=-IFERROR(VLOOKUP($H197,'基本設定'!$A$13:$K$19,7,FALSE),0.3),"Usage drop",IF($L197&gt;IFERROR(VLOOKUP($H197,'基本設定'!$A$13:$K$19,8,FALSE),999999),"Area intensity overrun","正常")))))))</f>
        <v/>
      </c>
      <c r="O197" s="102">
        <f>IF($N197="","",IF($N197="正常","正常",IF(OR($N197="Severe spike",$K197&gt;=IFERROR(VLOOKUP($H197,'基本設定'!$A$13:$K$19,6,FALSE),0.5)),"重大",IF(OR($N197="Usage spike",$N197="Usage drop"),"高","中"))))</f>
        <v/>
      </c>
      <c r="P197" s="144">
        <f>IF(OR($N197="",$N197="正常"),0,ABS($I197-$J197)*'エネルギーデータ入力'!$O197)</f>
        <v/>
      </c>
      <c r="Q197" s="102">
        <f>IF($N197="正常","",IF($N197="Stalled reading / possibly offline","核查表计通信/電気池/网关/阀门Status",IF(AND($H197="水道",$N197&lt;&gt;"正常"),"检查管网、阀门、卫生间、冷却塔及夜间最小流量",IF(AND($H197="電気",$N197&lt;&gt;"正常"),"检查空调、照明、生产设备、PeakOff-peak时段与待机功耗",IF(AND($H197="ガス",$N197&lt;&gt;"正常"),"检查燃ガス阀门、锅炉/厨房设备与泄漏风险","核查设备工况、排班、产量与计量数据")))))</f>
        <v/>
      </c>
      <c r="R197" s="102">
        <f>IF($H197="","",IFERROR(VLOOKUP($H197,'基本設定'!$A$13:$K$19,11,FALSE),"Energy management owner"))</f>
        <v/>
      </c>
      <c r="S197" s="102">
        <f>IF($N197="","",IF($N197="正常","対応不要","未対応"))</f>
        <v/>
      </c>
      <c r="T197" s="141">
        <f>IF(OR($B197="",$N197="正常"),"",WORKDAY($B197,IF($O197="重大",1,IF($O197="高",2,3))))</f>
        <v/>
      </c>
      <c r="U197" s="102">
        <f>IF($T197="","",IF(AND($S197&lt;&gt;"完了",TODAY()&gt;$T197),"期限超過","期限内"))</f>
        <v/>
      </c>
      <c r="V197" s="102" t="n"/>
      <c r="W197" s="141" t="n"/>
      <c r="X197" s="102" t="n"/>
    </row>
    <row r="198">
      <c r="A198" s="102">
        <f>IF('エネルギーデータ入力'!$A198="","","AL-"&amp;TEXT(ROW()-5,"0000"))</f>
        <v/>
      </c>
      <c r="B198" s="141">
        <f>IF('エネルギーデータ入力'!$B198="","",'エネルギーデータ入力'!$B198)</f>
        <v/>
      </c>
      <c r="C198" s="102">
        <f>IF('エネルギーデータ入力'!$C198="","",'エネルギーデータ入力'!$C198)</f>
        <v/>
      </c>
      <c r="D198" s="102">
        <f>IF('エネルギーデータ入力'!$D198="","",'エネルギーデータ入力'!$D198)</f>
        <v/>
      </c>
      <c r="E198" s="102">
        <f>IF('エネルギーデータ入力'!$E198="","",'エネルギーデータ入力'!$E198)</f>
        <v/>
      </c>
      <c r="F198" s="102">
        <f>IF('エネルギーデータ入力'!$G198="","",'エネルギーデータ入力'!$G198)</f>
        <v/>
      </c>
      <c r="G198" s="102">
        <f>IF('エネルギーデータ入力'!$H198="","",'エネルギーデータ入力'!$H198)</f>
        <v/>
      </c>
      <c r="H198" s="102">
        <f>IF('エネルギーデータ入力'!$J198="","",'エネルギーデータ入力'!$J198)</f>
        <v/>
      </c>
      <c r="I198" s="142">
        <f>IF('エネルギーデータ入力'!$N198="","",'エネルギーデータ入力'!$N198)</f>
        <v/>
      </c>
      <c r="J198" s="142">
        <f>IF($B198="","",IFERROR(AVERAGEIFS('エネルギーデータ入力'!$N$6:$N$205,'エネルギーデータ入力'!$B$6:$B$205,"&gt;="&amp;$B198-7,'エネルギーデータ入力'!$B$6:$B$205,"&lt;"&amp;$B198,'エネルギーデータ入力'!$H$6:$H$205,$G198,'エネルギーデータ入力'!$J$6:$J$205,$H198),$I198))</f>
        <v/>
      </c>
      <c r="K198" s="143">
        <f>IFERROR(($I198-$J198)/$J198,"")</f>
        <v/>
      </c>
      <c r="L198" s="102">
        <f>IF('エネルギーデータ入力'!$V198="","",'エネルギーデータ入力'!$V198)</f>
        <v/>
      </c>
      <c r="M198" s="102">
        <f>IF($H198="","",IFERROR(VLOOKUP($H198,'基本設定'!$A$13:$K$19,5,FALSE),0.2))</f>
        <v/>
      </c>
      <c r="N198" s="102">
        <f>IF($B198="","",IF('エネルギーデータ入力'!$L198="","Missing reading",IF($I198=0,"Stalled reading / possibly offline",IF($K198&gt;=IFERROR(VLOOKUP($H198,'基本設定'!$A$13:$K$19,6,FALSE),0.5),"Severe spike",IF($K198&gt;=$M198,"Usage spike",IF($K198&lt;=-IFERROR(VLOOKUP($H198,'基本設定'!$A$13:$K$19,7,FALSE),0.3),"Usage drop",IF($L198&gt;IFERROR(VLOOKUP($H198,'基本設定'!$A$13:$K$19,8,FALSE),999999),"Area intensity overrun","正常")))))))</f>
        <v/>
      </c>
      <c r="O198" s="102">
        <f>IF($N198="","",IF($N198="正常","正常",IF(OR($N198="Severe spike",$K198&gt;=IFERROR(VLOOKUP($H198,'基本設定'!$A$13:$K$19,6,FALSE),0.5)),"重大",IF(OR($N198="Usage spike",$N198="Usage drop"),"高","中"))))</f>
        <v/>
      </c>
      <c r="P198" s="144">
        <f>IF(OR($N198="",$N198="正常"),0,ABS($I198-$J198)*'エネルギーデータ入力'!$O198)</f>
        <v/>
      </c>
      <c r="Q198" s="102">
        <f>IF($N198="正常","",IF($N198="Stalled reading / possibly offline","核查表计通信/電気池/网关/阀门Status",IF(AND($H198="水道",$N198&lt;&gt;"正常"),"检查管网、阀门、卫生间、冷却塔及夜间最小流量",IF(AND($H198="電気",$N198&lt;&gt;"正常"),"检查空调、照明、生产设备、PeakOff-peak时段与待机功耗",IF(AND($H198="ガス",$N198&lt;&gt;"正常"),"检查燃ガス阀门、锅炉/厨房设备与泄漏风险","核查设备工况、排班、产量与计量数据")))))</f>
        <v/>
      </c>
      <c r="R198" s="102">
        <f>IF($H198="","",IFERROR(VLOOKUP($H198,'基本設定'!$A$13:$K$19,11,FALSE),"Energy management owner"))</f>
        <v/>
      </c>
      <c r="S198" s="102">
        <f>IF($N198="","",IF($N198="正常","対応不要","未対応"))</f>
        <v/>
      </c>
      <c r="T198" s="141">
        <f>IF(OR($B198="",$N198="正常"),"",WORKDAY($B198,IF($O198="重大",1,IF($O198="高",2,3))))</f>
        <v/>
      </c>
      <c r="U198" s="102">
        <f>IF($T198="","",IF(AND($S198&lt;&gt;"完了",TODAY()&gt;$T198),"期限超過","期限内"))</f>
        <v/>
      </c>
      <c r="V198" s="102" t="n"/>
      <c r="W198" s="141" t="n"/>
      <c r="X198" s="102" t="n"/>
    </row>
    <row r="199">
      <c r="A199" s="102">
        <f>IF('エネルギーデータ入力'!$A199="","","AL-"&amp;TEXT(ROW()-5,"0000"))</f>
        <v/>
      </c>
      <c r="B199" s="141">
        <f>IF('エネルギーデータ入力'!$B199="","",'エネルギーデータ入力'!$B199)</f>
        <v/>
      </c>
      <c r="C199" s="102">
        <f>IF('エネルギーデータ入力'!$C199="","",'エネルギーデータ入力'!$C199)</f>
        <v/>
      </c>
      <c r="D199" s="102">
        <f>IF('エネルギーデータ入力'!$D199="","",'エネルギーデータ入力'!$D199)</f>
        <v/>
      </c>
      <c r="E199" s="102">
        <f>IF('エネルギーデータ入力'!$E199="","",'エネルギーデータ入力'!$E199)</f>
        <v/>
      </c>
      <c r="F199" s="102">
        <f>IF('エネルギーデータ入力'!$G199="","",'エネルギーデータ入力'!$G199)</f>
        <v/>
      </c>
      <c r="G199" s="102">
        <f>IF('エネルギーデータ入力'!$H199="","",'エネルギーデータ入力'!$H199)</f>
        <v/>
      </c>
      <c r="H199" s="102">
        <f>IF('エネルギーデータ入力'!$J199="","",'エネルギーデータ入力'!$J199)</f>
        <v/>
      </c>
      <c r="I199" s="142">
        <f>IF('エネルギーデータ入力'!$N199="","",'エネルギーデータ入力'!$N199)</f>
        <v/>
      </c>
      <c r="J199" s="142">
        <f>IF($B199="","",IFERROR(AVERAGEIFS('エネルギーデータ入力'!$N$6:$N$205,'エネルギーデータ入力'!$B$6:$B$205,"&gt;="&amp;$B199-7,'エネルギーデータ入力'!$B$6:$B$205,"&lt;"&amp;$B199,'エネルギーデータ入力'!$H$6:$H$205,$G199,'エネルギーデータ入力'!$J$6:$J$205,$H199),$I199))</f>
        <v/>
      </c>
      <c r="K199" s="143">
        <f>IFERROR(($I199-$J199)/$J199,"")</f>
        <v/>
      </c>
      <c r="L199" s="102">
        <f>IF('エネルギーデータ入力'!$V199="","",'エネルギーデータ入力'!$V199)</f>
        <v/>
      </c>
      <c r="M199" s="102">
        <f>IF($H199="","",IFERROR(VLOOKUP($H199,'基本設定'!$A$13:$K$19,5,FALSE),0.2))</f>
        <v/>
      </c>
      <c r="N199" s="102">
        <f>IF($B199="","",IF('エネルギーデータ入力'!$L199="","Missing reading",IF($I199=0,"Stalled reading / possibly offline",IF($K199&gt;=IFERROR(VLOOKUP($H199,'基本設定'!$A$13:$K$19,6,FALSE),0.5),"Severe spike",IF($K199&gt;=$M199,"Usage spike",IF($K199&lt;=-IFERROR(VLOOKUP($H199,'基本設定'!$A$13:$K$19,7,FALSE),0.3),"Usage drop",IF($L199&gt;IFERROR(VLOOKUP($H199,'基本設定'!$A$13:$K$19,8,FALSE),999999),"Area intensity overrun","正常")))))))</f>
        <v/>
      </c>
      <c r="O199" s="102">
        <f>IF($N199="","",IF($N199="正常","正常",IF(OR($N199="Severe spike",$K199&gt;=IFERROR(VLOOKUP($H199,'基本設定'!$A$13:$K$19,6,FALSE),0.5)),"重大",IF(OR($N199="Usage spike",$N199="Usage drop"),"高","中"))))</f>
        <v/>
      </c>
      <c r="P199" s="144">
        <f>IF(OR($N199="",$N199="正常"),0,ABS($I199-$J199)*'エネルギーデータ入力'!$O199)</f>
        <v/>
      </c>
      <c r="Q199" s="102">
        <f>IF($N199="正常","",IF($N199="Stalled reading / possibly offline","核查表计通信/電気池/网关/阀门Status",IF(AND($H199="水道",$N199&lt;&gt;"正常"),"检查管网、阀门、卫生间、冷却塔及夜间最小流量",IF(AND($H199="電気",$N199&lt;&gt;"正常"),"检查空调、照明、生产设备、PeakOff-peak时段与待机功耗",IF(AND($H199="ガス",$N199&lt;&gt;"正常"),"检查燃ガス阀门、锅炉/厨房设备与泄漏风险","核查设备工况、排班、产量与计量数据")))))</f>
        <v/>
      </c>
      <c r="R199" s="102">
        <f>IF($H199="","",IFERROR(VLOOKUP($H199,'基本設定'!$A$13:$K$19,11,FALSE),"Energy management owner"))</f>
        <v/>
      </c>
      <c r="S199" s="102">
        <f>IF($N199="","",IF($N199="正常","対応不要","未対応"))</f>
        <v/>
      </c>
      <c r="T199" s="141">
        <f>IF(OR($B199="",$N199="正常"),"",WORKDAY($B199,IF($O199="重大",1,IF($O199="高",2,3))))</f>
        <v/>
      </c>
      <c r="U199" s="102">
        <f>IF($T199="","",IF(AND($S199&lt;&gt;"完了",TODAY()&gt;$T199),"期限超過","期限内"))</f>
        <v/>
      </c>
      <c r="V199" s="102" t="n"/>
      <c r="W199" s="141" t="n"/>
      <c r="X199" s="102" t="n"/>
    </row>
    <row r="200">
      <c r="A200" s="102">
        <f>IF('エネルギーデータ入力'!$A200="","","AL-"&amp;TEXT(ROW()-5,"0000"))</f>
        <v/>
      </c>
      <c r="B200" s="141">
        <f>IF('エネルギーデータ入力'!$B200="","",'エネルギーデータ入力'!$B200)</f>
        <v/>
      </c>
      <c r="C200" s="102">
        <f>IF('エネルギーデータ入力'!$C200="","",'エネルギーデータ入力'!$C200)</f>
        <v/>
      </c>
      <c r="D200" s="102">
        <f>IF('エネルギーデータ入力'!$D200="","",'エネルギーデータ入力'!$D200)</f>
        <v/>
      </c>
      <c r="E200" s="102">
        <f>IF('エネルギーデータ入力'!$E200="","",'エネルギーデータ入力'!$E200)</f>
        <v/>
      </c>
      <c r="F200" s="102">
        <f>IF('エネルギーデータ入力'!$G200="","",'エネルギーデータ入力'!$G200)</f>
        <v/>
      </c>
      <c r="G200" s="102">
        <f>IF('エネルギーデータ入力'!$H200="","",'エネルギーデータ入力'!$H200)</f>
        <v/>
      </c>
      <c r="H200" s="102">
        <f>IF('エネルギーデータ入力'!$J200="","",'エネルギーデータ入力'!$J200)</f>
        <v/>
      </c>
      <c r="I200" s="142">
        <f>IF('エネルギーデータ入力'!$N200="","",'エネルギーデータ入力'!$N200)</f>
        <v/>
      </c>
      <c r="J200" s="142">
        <f>IF($B200="","",IFERROR(AVERAGEIFS('エネルギーデータ入力'!$N$6:$N$205,'エネルギーデータ入力'!$B$6:$B$205,"&gt;="&amp;$B200-7,'エネルギーデータ入力'!$B$6:$B$205,"&lt;"&amp;$B200,'エネルギーデータ入力'!$H$6:$H$205,$G200,'エネルギーデータ入力'!$J$6:$J$205,$H200),$I200))</f>
        <v/>
      </c>
      <c r="K200" s="143">
        <f>IFERROR(($I200-$J200)/$J200,"")</f>
        <v/>
      </c>
      <c r="L200" s="102">
        <f>IF('エネルギーデータ入力'!$V200="","",'エネルギーデータ入力'!$V200)</f>
        <v/>
      </c>
      <c r="M200" s="102">
        <f>IF($H200="","",IFERROR(VLOOKUP($H200,'基本設定'!$A$13:$K$19,5,FALSE),0.2))</f>
        <v/>
      </c>
      <c r="N200" s="102">
        <f>IF($B200="","",IF('エネルギーデータ入力'!$L200="","Missing reading",IF($I200=0,"Stalled reading / possibly offline",IF($K200&gt;=IFERROR(VLOOKUP($H200,'基本設定'!$A$13:$K$19,6,FALSE),0.5),"Severe spike",IF($K200&gt;=$M200,"Usage spike",IF($K200&lt;=-IFERROR(VLOOKUP($H200,'基本設定'!$A$13:$K$19,7,FALSE),0.3),"Usage drop",IF($L200&gt;IFERROR(VLOOKUP($H200,'基本設定'!$A$13:$K$19,8,FALSE),999999),"Area intensity overrun","正常")))))))</f>
        <v/>
      </c>
      <c r="O200" s="102">
        <f>IF($N200="","",IF($N200="正常","正常",IF(OR($N200="Severe spike",$K200&gt;=IFERROR(VLOOKUP($H200,'基本設定'!$A$13:$K$19,6,FALSE),0.5)),"重大",IF(OR($N200="Usage spike",$N200="Usage drop"),"高","中"))))</f>
        <v/>
      </c>
      <c r="P200" s="144">
        <f>IF(OR($N200="",$N200="正常"),0,ABS($I200-$J200)*'エネルギーデータ入力'!$O200)</f>
        <v/>
      </c>
      <c r="Q200" s="102">
        <f>IF($N200="正常","",IF($N200="Stalled reading / possibly offline","核查表计通信/電気池/网关/阀门Status",IF(AND($H200="水道",$N200&lt;&gt;"正常"),"检查管网、阀门、卫生间、冷却塔及夜间最小流量",IF(AND($H200="電気",$N200&lt;&gt;"正常"),"检查空调、照明、生产设备、PeakOff-peak时段与待机功耗",IF(AND($H200="ガス",$N200&lt;&gt;"正常"),"检查燃ガス阀门、锅炉/厨房设备与泄漏风险","核查设备工况、排班、产量与计量数据")))))</f>
        <v/>
      </c>
      <c r="R200" s="102">
        <f>IF($H200="","",IFERROR(VLOOKUP($H200,'基本設定'!$A$13:$K$19,11,FALSE),"Energy management owner"))</f>
        <v/>
      </c>
      <c r="S200" s="102">
        <f>IF($N200="","",IF($N200="正常","対応不要","未対応"))</f>
        <v/>
      </c>
      <c r="T200" s="141">
        <f>IF(OR($B200="",$N200="正常"),"",WORKDAY($B200,IF($O200="重大",1,IF($O200="高",2,3))))</f>
        <v/>
      </c>
      <c r="U200" s="102">
        <f>IF($T200="","",IF(AND($S200&lt;&gt;"完了",TODAY()&gt;$T200),"期限超過","期限内"))</f>
        <v/>
      </c>
      <c r="V200" s="102" t="n"/>
      <c r="W200" s="141" t="n"/>
      <c r="X200" s="102" t="n"/>
    </row>
    <row r="201">
      <c r="A201" s="102">
        <f>IF('エネルギーデータ入力'!$A201="","","AL-"&amp;TEXT(ROW()-5,"0000"))</f>
        <v/>
      </c>
      <c r="B201" s="141">
        <f>IF('エネルギーデータ入力'!$B201="","",'エネルギーデータ入力'!$B201)</f>
        <v/>
      </c>
      <c r="C201" s="102">
        <f>IF('エネルギーデータ入力'!$C201="","",'エネルギーデータ入力'!$C201)</f>
        <v/>
      </c>
      <c r="D201" s="102">
        <f>IF('エネルギーデータ入力'!$D201="","",'エネルギーデータ入力'!$D201)</f>
        <v/>
      </c>
      <c r="E201" s="102">
        <f>IF('エネルギーデータ入力'!$E201="","",'エネルギーデータ入力'!$E201)</f>
        <v/>
      </c>
      <c r="F201" s="102">
        <f>IF('エネルギーデータ入力'!$G201="","",'エネルギーデータ入力'!$G201)</f>
        <v/>
      </c>
      <c r="G201" s="102">
        <f>IF('エネルギーデータ入力'!$H201="","",'エネルギーデータ入力'!$H201)</f>
        <v/>
      </c>
      <c r="H201" s="102">
        <f>IF('エネルギーデータ入力'!$J201="","",'エネルギーデータ入力'!$J201)</f>
        <v/>
      </c>
      <c r="I201" s="142">
        <f>IF('エネルギーデータ入力'!$N201="","",'エネルギーデータ入力'!$N201)</f>
        <v/>
      </c>
      <c r="J201" s="142">
        <f>IF($B201="","",IFERROR(AVERAGEIFS('エネルギーデータ入力'!$N$6:$N$205,'エネルギーデータ入力'!$B$6:$B$205,"&gt;="&amp;$B201-7,'エネルギーデータ入力'!$B$6:$B$205,"&lt;"&amp;$B201,'エネルギーデータ入力'!$H$6:$H$205,$G201,'エネルギーデータ入力'!$J$6:$J$205,$H201),$I201))</f>
        <v/>
      </c>
      <c r="K201" s="143">
        <f>IFERROR(($I201-$J201)/$J201,"")</f>
        <v/>
      </c>
      <c r="L201" s="102">
        <f>IF('エネルギーデータ入力'!$V201="","",'エネルギーデータ入力'!$V201)</f>
        <v/>
      </c>
      <c r="M201" s="102">
        <f>IF($H201="","",IFERROR(VLOOKUP($H201,'基本設定'!$A$13:$K$19,5,FALSE),0.2))</f>
        <v/>
      </c>
      <c r="N201" s="102">
        <f>IF($B201="","",IF('エネルギーデータ入力'!$L201="","Missing reading",IF($I201=0,"Stalled reading / possibly offline",IF($K201&gt;=IFERROR(VLOOKUP($H201,'基本設定'!$A$13:$K$19,6,FALSE),0.5),"Severe spike",IF($K201&gt;=$M201,"Usage spike",IF($K201&lt;=-IFERROR(VLOOKUP($H201,'基本設定'!$A$13:$K$19,7,FALSE),0.3),"Usage drop",IF($L201&gt;IFERROR(VLOOKUP($H201,'基本設定'!$A$13:$K$19,8,FALSE),999999),"Area intensity overrun","正常")))))))</f>
        <v/>
      </c>
      <c r="O201" s="102">
        <f>IF($N201="","",IF($N201="正常","正常",IF(OR($N201="Severe spike",$K201&gt;=IFERROR(VLOOKUP($H201,'基本設定'!$A$13:$K$19,6,FALSE),0.5)),"重大",IF(OR($N201="Usage spike",$N201="Usage drop"),"高","中"))))</f>
        <v/>
      </c>
      <c r="P201" s="144">
        <f>IF(OR($N201="",$N201="正常"),0,ABS($I201-$J201)*'エネルギーデータ入力'!$O201)</f>
        <v/>
      </c>
      <c r="Q201" s="102">
        <f>IF($N201="正常","",IF($N201="Stalled reading / possibly offline","核查表计通信/電気池/网关/阀门Status",IF(AND($H201="水道",$N201&lt;&gt;"正常"),"检查管网、阀门、卫生间、冷却塔及夜间最小流量",IF(AND($H201="電気",$N201&lt;&gt;"正常"),"检查空调、照明、生产设备、PeakOff-peak时段与待机功耗",IF(AND($H201="ガス",$N201&lt;&gt;"正常"),"检查燃ガス阀门、锅炉/厨房设备与泄漏风险","核查设备工况、排班、产量与计量数据")))))</f>
        <v/>
      </c>
      <c r="R201" s="102">
        <f>IF($H201="","",IFERROR(VLOOKUP($H201,'基本設定'!$A$13:$K$19,11,FALSE),"Energy management owner"))</f>
        <v/>
      </c>
      <c r="S201" s="102">
        <f>IF($N201="","",IF($N201="正常","対応不要","未対応"))</f>
        <v/>
      </c>
      <c r="T201" s="141">
        <f>IF(OR($B201="",$N201="正常"),"",WORKDAY($B201,IF($O201="重大",1,IF($O201="高",2,3))))</f>
        <v/>
      </c>
      <c r="U201" s="102">
        <f>IF($T201="","",IF(AND($S201&lt;&gt;"完了",TODAY()&gt;$T201),"期限超過","期限内"))</f>
        <v/>
      </c>
      <c r="V201" s="102" t="n"/>
      <c r="W201" s="141" t="n"/>
      <c r="X201" s="102" t="n"/>
    </row>
    <row r="202">
      <c r="A202" s="102">
        <f>IF('エネルギーデータ入力'!$A202="","","AL-"&amp;TEXT(ROW()-5,"0000"))</f>
        <v/>
      </c>
      <c r="B202" s="141">
        <f>IF('エネルギーデータ入力'!$B202="","",'エネルギーデータ入力'!$B202)</f>
        <v/>
      </c>
      <c r="C202" s="102">
        <f>IF('エネルギーデータ入力'!$C202="","",'エネルギーデータ入力'!$C202)</f>
        <v/>
      </c>
      <c r="D202" s="102">
        <f>IF('エネルギーデータ入力'!$D202="","",'エネルギーデータ入力'!$D202)</f>
        <v/>
      </c>
      <c r="E202" s="102">
        <f>IF('エネルギーデータ入力'!$E202="","",'エネルギーデータ入力'!$E202)</f>
        <v/>
      </c>
      <c r="F202" s="102">
        <f>IF('エネルギーデータ入力'!$G202="","",'エネルギーデータ入力'!$G202)</f>
        <v/>
      </c>
      <c r="G202" s="102">
        <f>IF('エネルギーデータ入力'!$H202="","",'エネルギーデータ入力'!$H202)</f>
        <v/>
      </c>
      <c r="H202" s="102">
        <f>IF('エネルギーデータ入力'!$J202="","",'エネルギーデータ入力'!$J202)</f>
        <v/>
      </c>
      <c r="I202" s="142">
        <f>IF('エネルギーデータ入力'!$N202="","",'エネルギーデータ入力'!$N202)</f>
        <v/>
      </c>
      <c r="J202" s="142">
        <f>IF($B202="","",IFERROR(AVERAGEIFS('エネルギーデータ入力'!$N$6:$N$205,'エネルギーデータ入力'!$B$6:$B$205,"&gt;="&amp;$B202-7,'エネルギーデータ入力'!$B$6:$B$205,"&lt;"&amp;$B202,'エネルギーデータ入力'!$H$6:$H$205,$G202,'エネルギーデータ入力'!$J$6:$J$205,$H202),$I202))</f>
        <v/>
      </c>
      <c r="K202" s="143">
        <f>IFERROR(($I202-$J202)/$J202,"")</f>
        <v/>
      </c>
      <c r="L202" s="102">
        <f>IF('エネルギーデータ入力'!$V202="","",'エネルギーデータ入力'!$V202)</f>
        <v/>
      </c>
      <c r="M202" s="102">
        <f>IF($H202="","",IFERROR(VLOOKUP($H202,'基本設定'!$A$13:$K$19,5,FALSE),0.2))</f>
        <v/>
      </c>
      <c r="N202" s="102">
        <f>IF($B202="","",IF('エネルギーデータ入力'!$L202="","Missing reading",IF($I202=0,"Stalled reading / possibly offline",IF($K202&gt;=IFERROR(VLOOKUP($H202,'基本設定'!$A$13:$K$19,6,FALSE),0.5),"Severe spike",IF($K202&gt;=$M202,"Usage spike",IF($K202&lt;=-IFERROR(VLOOKUP($H202,'基本設定'!$A$13:$K$19,7,FALSE),0.3),"Usage drop",IF($L202&gt;IFERROR(VLOOKUP($H202,'基本設定'!$A$13:$K$19,8,FALSE),999999),"Area intensity overrun","正常")))))))</f>
        <v/>
      </c>
      <c r="O202" s="102">
        <f>IF($N202="","",IF($N202="正常","正常",IF(OR($N202="Severe spike",$K202&gt;=IFERROR(VLOOKUP($H202,'基本設定'!$A$13:$K$19,6,FALSE),0.5)),"重大",IF(OR($N202="Usage spike",$N202="Usage drop"),"高","中"))))</f>
        <v/>
      </c>
      <c r="P202" s="144">
        <f>IF(OR($N202="",$N202="正常"),0,ABS($I202-$J202)*'エネルギーデータ入力'!$O202)</f>
        <v/>
      </c>
      <c r="Q202" s="102">
        <f>IF($N202="正常","",IF($N202="Stalled reading / possibly offline","核查表计通信/電気池/网关/阀门Status",IF(AND($H202="水道",$N202&lt;&gt;"正常"),"检查管网、阀门、卫生间、冷却塔及夜间最小流量",IF(AND($H202="電気",$N202&lt;&gt;"正常"),"检查空调、照明、生产设备、PeakOff-peak时段与待机功耗",IF(AND($H202="ガス",$N202&lt;&gt;"正常"),"检查燃ガス阀门、锅炉/厨房设备与泄漏风险","核查设备工况、排班、产量与计量数据")))))</f>
        <v/>
      </c>
      <c r="R202" s="102">
        <f>IF($H202="","",IFERROR(VLOOKUP($H202,'基本設定'!$A$13:$K$19,11,FALSE),"Energy management owner"))</f>
        <v/>
      </c>
      <c r="S202" s="102">
        <f>IF($N202="","",IF($N202="正常","対応不要","未対応"))</f>
        <v/>
      </c>
      <c r="T202" s="141">
        <f>IF(OR($B202="",$N202="正常"),"",WORKDAY($B202,IF($O202="重大",1,IF($O202="高",2,3))))</f>
        <v/>
      </c>
      <c r="U202" s="102">
        <f>IF($T202="","",IF(AND($S202&lt;&gt;"完了",TODAY()&gt;$T202),"期限超過","期限内"))</f>
        <v/>
      </c>
      <c r="V202" s="102" t="n"/>
      <c r="W202" s="141" t="n"/>
      <c r="X202" s="102" t="n"/>
    </row>
    <row r="203">
      <c r="A203" s="102">
        <f>IF('エネルギーデータ入力'!$A203="","","AL-"&amp;TEXT(ROW()-5,"0000"))</f>
        <v/>
      </c>
      <c r="B203" s="141">
        <f>IF('エネルギーデータ入力'!$B203="","",'エネルギーデータ入力'!$B203)</f>
        <v/>
      </c>
      <c r="C203" s="102">
        <f>IF('エネルギーデータ入力'!$C203="","",'エネルギーデータ入力'!$C203)</f>
        <v/>
      </c>
      <c r="D203" s="102">
        <f>IF('エネルギーデータ入力'!$D203="","",'エネルギーデータ入力'!$D203)</f>
        <v/>
      </c>
      <c r="E203" s="102">
        <f>IF('エネルギーデータ入力'!$E203="","",'エネルギーデータ入力'!$E203)</f>
        <v/>
      </c>
      <c r="F203" s="102">
        <f>IF('エネルギーデータ入力'!$G203="","",'エネルギーデータ入力'!$G203)</f>
        <v/>
      </c>
      <c r="G203" s="102">
        <f>IF('エネルギーデータ入力'!$H203="","",'エネルギーデータ入力'!$H203)</f>
        <v/>
      </c>
      <c r="H203" s="102">
        <f>IF('エネルギーデータ入力'!$J203="","",'エネルギーデータ入力'!$J203)</f>
        <v/>
      </c>
      <c r="I203" s="142">
        <f>IF('エネルギーデータ入力'!$N203="","",'エネルギーデータ入力'!$N203)</f>
        <v/>
      </c>
      <c r="J203" s="142">
        <f>IF($B203="","",IFERROR(AVERAGEIFS('エネルギーデータ入力'!$N$6:$N$205,'エネルギーデータ入力'!$B$6:$B$205,"&gt;="&amp;$B203-7,'エネルギーデータ入力'!$B$6:$B$205,"&lt;"&amp;$B203,'エネルギーデータ入力'!$H$6:$H$205,$G203,'エネルギーデータ入力'!$J$6:$J$205,$H203),$I203))</f>
        <v/>
      </c>
      <c r="K203" s="143">
        <f>IFERROR(($I203-$J203)/$J203,"")</f>
        <v/>
      </c>
      <c r="L203" s="102">
        <f>IF('エネルギーデータ入力'!$V203="","",'エネルギーデータ入力'!$V203)</f>
        <v/>
      </c>
      <c r="M203" s="102">
        <f>IF($H203="","",IFERROR(VLOOKUP($H203,'基本設定'!$A$13:$K$19,5,FALSE),0.2))</f>
        <v/>
      </c>
      <c r="N203" s="102">
        <f>IF($B203="","",IF('エネルギーデータ入力'!$L203="","Missing reading",IF($I203=0,"Stalled reading / possibly offline",IF($K203&gt;=IFERROR(VLOOKUP($H203,'基本設定'!$A$13:$K$19,6,FALSE),0.5),"Severe spike",IF($K203&gt;=$M203,"Usage spike",IF($K203&lt;=-IFERROR(VLOOKUP($H203,'基本設定'!$A$13:$K$19,7,FALSE),0.3),"Usage drop",IF($L203&gt;IFERROR(VLOOKUP($H203,'基本設定'!$A$13:$K$19,8,FALSE),999999),"Area intensity overrun","正常")))))))</f>
        <v/>
      </c>
      <c r="O203" s="102">
        <f>IF($N203="","",IF($N203="正常","正常",IF(OR($N203="Severe spike",$K203&gt;=IFERROR(VLOOKUP($H203,'基本設定'!$A$13:$K$19,6,FALSE),0.5)),"重大",IF(OR($N203="Usage spike",$N203="Usage drop"),"高","中"))))</f>
        <v/>
      </c>
      <c r="P203" s="144">
        <f>IF(OR($N203="",$N203="正常"),0,ABS($I203-$J203)*'エネルギーデータ入力'!$O203)</f>
        <v/>
      </c>
      <c r="Q203" s="102">
        <f>IF($N203="正常","",IF($N203="Stalled reading / possibly offline","核查表计通信/電気池/网关/阀门Status",IF(AND($H203="水道",$N203&lt;&gt;"正常"),"检查管网、阀门、卫生间、冷却塔及夜间最小流量",IF(AND($H203="電気",$N203&lt;&gt;"正常"),"检查空调、照明、生产设备、PeakOff-peak时段与待机功耗",IF(AND($H203="ガス",$N203&lt;&gt;"正常"),"检查燃ガス阀门、锅炉/厨房设备与泄漏风险","核查设备工况、排班、产量与计量数据")))))</f>
        <v/>
      </c>
      <c r="R203" s="102">
        <f>IF($H203="","",IFERROR(VLOOKUP($H203,'基本設定'!$A$13:$K$19,11,FALSE),"Energy management owner"))</f>
        <v/>
      </c>
      <c r="S203" s="102">
        <f>IF($N203="","",IF($N203="正常","対応不要","未対応"))</f>
        <v/>
      </c>
      <c r="T203" s="141">
        <f>IF(OR($B203="",$N203="正常"),"",WORKDAY($B203,IF($O203="重大",1,IF($O203="高",2,3))))</f>
        <v/>
      </c>
      <c r="U203" s="102">
        <f>IF($T203="","",IF(AND($S203&lt;&gt;"完了",TODAY()&gt;$T203),"期限超過","期限内"))</f>
        <v/>
      </c>
      <c r="V203" s="102" t="n"/>
      <c r="W203" s="141" t="n"/>
      <c r="X203" s="102" t="n"/>
    </row>
    <row r="204">
      <c r="A204" s="102">
        <f>IF('エネルギーデータ入力'!$A204="","","AL-"&amp;TEXT(ROW()-5,"0000"))</f>
        <v/>
      </c>
      <c r="B204" s="141">
        <f>IF('エネルギーデータ入力'!$B204="","",'エネルギーデータ入力'!$B204)</f>
        <v/>
      </c>
      <c r="C204" s="102">
        <f>IF('エネルギーデータ入力'!$C204="","",'エネルギーデータ入力'!$C204)</f>
        <v/>
      </c>
      <c r="D204" s="102">
        <f>IF('エネルギーデータ入力'!$D204="","",'エネルギーデータ入力'!$D204)</f>
        <v/>
      </c>
      <c r="E204" s="102">
        <f>IF('エネルギーデータ入力'!$E204="","",'エネルギーデータ入力'!$E204)</f>
        <v/>
      </c>
      <c r="F204" s="102">
        <f>IF('エネルギーデータ入力'!$G204="","",'エネルギーデータ入力'!$G204)</f>
        <v/>
      </c>
      <c r="G204" s="102">
        <f>IF('エネルギーデータ入力'!$H204="","",'エネルギーデータ入力'!$H204)</f>
        <v/>
      </c>
      <c r="H204" s="102">
        <f>IF('エネルギーデータ入力'!$J204="","",'エネルギーデータ入力'!$J204)</f>
        <v/>
      </c>
      <c r="I204" s="142">
        <f>IF('エネルギーデータ入力'!$N204="","",'エネルギーデータ入力'!$N204)</f>
        <v/>
      </c>
      <c r="J204" s="142">
        <f>IF($B204="","",IFERROR(AVERAGEIFS('エネルギーデータ入力'!$N$6:$N$205,'エネルギーデータ入力'!$B$6:$B$205,"&gt;="&amp;$B204-7,'エネルギーデータ入力'!$B$6:$B$205,"&lt;"&amp;$B204,'エネルギーデータ入力'!$H$6:$H$205,$G204,'エネルギーデータ入力'!$J$6:$J$205,$H204),$I204))</f>
        <v/>
      </c>
      <c r="K204" s="143">
        <f>IFERROR(($I204-$J204)/$J204,"")</f>
        <v/>
      </c>
      <c r="L204" s="102">
        <f>IF('エネルギーデータ入力'!$V204="","",'エネルギーデータ入力'!$V204)</f>
        <v/>
      </c>
      <c r="M204" s="102">
        <f>IF($H204="","",IFERROR(VLOOKUP($H204,'基本設定'!$A$13:$K$19,5,FALSE),0.2))</f>
        <v/>
      </c>
      <c r="N204" s="102">
        <f>IF($B204="","",IF('エネルギーデータ入力'!$L204="","Missing reading",IF($I204=0,"Stalled reading / possibly offline",IF($K204&gt;=IFERROR(VLOOKUP($H204,'基本設定'!$A$13:$K$19,6,FALSE),0.5),"Severe spike",IF($K204&gt;=$M204,"Usage spike",IF($K204&lt;=-IFERROR(VLOOKUP($H204,'基本設定'!$A$13:$K$19,7,FALSE),0.3),"Usage drop",IF($L204&gt;IFERROR(VLOOKUP($H204,'基本設定'!$A$13:$K$19,8,FALSE),999999),"Area intensity overrun","正常")))))))</f>
        <v/>
      </c>
      <c r="O204" s="102">
        <f>IF($N204="","",IF($N204="正常","正常",IF(OR($N204="Severe spike",$K204&gt;=IFERROR(VLOOKUP($H204,'基本設定'!$A$13:$K$19,6,FALSE),0.5)),"重大",IF(OR($N204="Usage spike",$N204="Usage drop"),"高","中"))))</f>
        <v/>
      </c>
      <c r="P204" s="144">
        <f>IF(OR($N204="",$N204="正常"),0,ABS($I204-$J204)*'エネルギーデータ入力'!$O204)</f>
        <v/>
      </c>
      <c r="Q204" s="102">
        <f>IF($N204="正常","",IF($N204="Stalled reading / possibly offline","核查表计通信/電気池/网关/阀门Status",IF(AND($H204="水道",$N204&lt;&gt;"正常"),"检查管网、阀门、卫生间、冷却塔及夜间最小流量",IF(AND($H204="電気",$N204&lt;&gt;"正常"),"检查空调、照明、生产设备、PeakOff-peak时段与待机功耗",IF(AND($H204="ガス",$N204&lt;&gt;"正常"),"检查燃ガス阀门、锅炉/厨房设备与泄漏风险","核查设备工况、排班、产量与计量数据")))))</f>
        <v/>
      </c>
      <c r="R204" s="102">
        <f>IF($H204="","",IFERROR(VLOOKUP($H204,'基本設定'!$A$13:$K$19,11,FALSE),"Energy management owner"))</f>
        <v/>
      </c>
      <c r="S204" s="102">
        <f>IF($N204="","",IF($N204="正常","対応不要","未対応"))</f>
        <v/>
      </c>
      <c r="T204" s="141">
        <f>IF(OR($B204="",$N204="正常"),"",WORKDAY($B204,IF($O204="重大",1,IF($O204="高",2,3))))</f>
        <v/>
      </c>
      <c r="U204" s="102">
        <f>IF($T204="","",IF(AND($S204&lt;&gt;"完了",TODAY()&gt;$T204),"期限超過","期限内"))</f>
        <v/>
      </c>
      <c r="V204" s="102" t="n"/>
      <c r="W204" s="141" t="n"/>
      <c r="X204" s="102" t="n"/>
    </row>
    <row r="205">
      <c r="A205" s="102">
        <f>IF('エネルギーデータ入力'!$A205="","","AL-"&amp;TEXT(ROW()-5,"0000"))</f>
        <v/>
      </c>
      <c r="B205" s="141">
        <f>IF('エネルギーデータ入力'!$B205="","",'エネルギーデータ入力'!$B205)</f>
        <v/>
      </c>
      <c r="C205" s="102">
        <f>IF('エネルギーデータ入力'!$C205="","",'エネルギーデータ入力'!$C205)</f>
        <v/>
      </c>
      <c r="D205" s="102">
        <f>IF('エネルギーデータ入力'!$D205="","",'エネルギーデータ入力'!$D205)</f>
        <v/>
      </c>
      <c r="E205" s="102">
        <f>IF('エネルギーデータ入力'!$E205="","",'エネルギーデータ入力'!$E205)</f>
        <v/>
      </c>
      <c r="F205" s="102">
        <f>IF('エネルギーデータ入力'!$G205="","",'エネルギーデータ入力'!$G205)</f>
        <v/>
      </c>
      <c r="G205" s="102">
        <f>IF('エネルギーデータ入力'!$H205="","",'エネルギーデータ入力'!$H205)</f>
        <v/>
      </c>
      <c r="H205" s="102">
        <f>IF('エネルギーデータ入力'!$J205="","",'エネルギーデータ入力'!$J205)</f>
        <v/>
      </c>
      <c r="I205" s="142">
        <f>IF('エネルギーデータ入力'!$N205="","",'エネルギーデータ入力'!$N205)</f>
        <v/>
      </c>
      <c r="J205" s="142">
        <f>IF($B205="","",IFERROR(AVERAGEIFS('エネルギーデータ入力'!$N$6:$N$205,'エネルギーデータ入力'!$B$6:$B$205,"&gt;="&amp;$B205-7,'エネルギーデータ入力'!$B$6:$B$205,"&lt;"&amp;$B205,'エネルギーデータ入力'!$H$6:$H$205,$G205,'エネルギーデータ入力'!$J$6:$J$205,$H205),$I205))</f>
        <v/>
      </c>
      <c r="K205" s="143">
        <f>IFERROR(($I205-$J205)/$J205,"")</f>
        <v/>
      </c>
      <c r="L205" s="102">
        <f>IF('エネルギーデータ入力'!$V205="","",'エネルギーデータ入力'!$V205)</f>
        <v/>
      </c>
      <c r="M205" s="102">
        <f>IF($H205="","",IFERROR(VLOOKUP($H205,'基本設定'!$A$13:$K$19,5,FALSE),0.2))</f>
        <v/>
      </c>
      <c r="N205" s="102">
        <f>IF($B205="","",IF('エネルギーデータ入力'!$L205="","Missing reading",IF($I205=0,"Stalled reading / possibly offline",IF($K205&gt;=IFERROR(VLOOKUP($H205,'基本設定'!$A$13:$K$19,6,FALSE),0.5),"Severe spike",IF($K205&gt;=$M205,"Usage spike",IF($K205&lt;=-IFERROR(VLOOKUP($H205,'基本設定'!$A$13:$K$19,7,FALSE),0.3),"Usage drop",IF($L205&gt;IFERROR(VLOOKUP($H205,'基本設定'!$A$13:$K$19,8,FALSE),999999),"Area intensity overrun","正常")))))))</f>
        <v/>
      </c>
      <c r="O205" s="102">
        <f>IF($N205="","",IF($N205="正常","正常",IF(OR($N205="Severe spike",$K205&gt;=IFERROR(VLOOKUP($H205,'基本設定'!$A$13:$K$19,6,FALSE),0.5)),"重大",IF(OR($N205="Usage spike",$N205="Usage drop"),"高","中"))))</f>
        <v/>
      </c>
      <c r="P205" s="144">
        <f>IF(OR($N205="",$N205="正常"),0,ABS($I205-$J205)*'エネルギーデータ入力'!$O205)</f>
        <v/>
      </c>
      <c r="Q205" s="102">
        <f>IF($N205="正常","",IF($N205="Stalled reading / possibly offline","核查表计通信/電気池/网关/阀门Status",IF(AND($H205="水道",$N205&lt;&gt;"正常"),"检查管网、阀门、卫生间、冷却塔及夜间最小流量",IF(AND($H205="電気",$N205&lt;&gt;"正常"),"检查空调、照明、生产设备、PeakOff-peak时段与待机功耗",IF(AND($H205="ガス",$N205&lt;&gt;"正常"),"检查燃ガス阀门、锅炉/厨房设备与泄漏风险","核查设备工况、排班、产量与计量数据")))))</f>
        <v/>
      </c>
      <c r="R205" s="102">
        <f>IF($H205="","",IFERROR(VLOOKUP($H205,'基本設定'!$A$13:$K$19,11,FALSE),"Energy management owner"))</f>
        <v/>
      </c>
      <c r="S205" s="102">
        <f>IF($N205="","",IF($N205="正常","対応不要","未対応"))</f>
        <v/>
      </c>
      <c r="T205" s="141">
        <f>IF(OR($B205="",$N205="正常"),"",WORKDAY($B205,IF($O205="重大",1,IF($O205="高",2,3))))</f>
        <v/>
      </c>
      <c r="U205" s="102">
        <f>IF($T205="","",IF(AND($S205&lt;&gt;"完了",TODAY()&gt;$T205),"期限超過","期限内"))</f>
        <v/>
      </c>
      <c r="V205" s="102" t="n"/>
      <c r="W205" s="141" t="n"/>
      <c r="X205" s="102" t="n"/>
    </row>
  </sheetData>
  <mergeCells count="1">
    <mergeCell ref="A1:X1"/>
  </mergeCells>
  <conditionalFormatting sqref="O6:O205">
    <cfRule type="expression" priority="1" dxfId="0">
      <formula>$O6="重大"</formula>
    </cfRule>
    <cfRule type="expression" priority="2" dxfId="1">
      <formula>$O6="高"</formula>
    </cfRule>
    <cfRule type="expression" priority="3" dxfId="2">
      <formula>$O6="中"</formula>
    </cfRule>
    <cfRule type="expression" priority="4" dxfId="3">
      <formula>$O6="正常"</formula>
    </cfRule>
  </conditionalFormatting>
  <conditionalFormatting sqref="U6:U205">
    <cfRule type="expression" priority="5" dxfId="4">
      <formula>$U6="期限超過"</formula>
    </cfRule>
  </conditionalFormatting>
  <dataValidations count="1">
    <dataValidation sqref="S6:S205" showDropDown="0" showInputMessage="0" showErrorMessage="0" allowBlank="0" type="list">
      <formula1>基本設定!$N$13:$N$17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T10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4" customWidth="1" min="4" max="4"/>
    <col width="20" customWidth="1" min="5" max="5"/>
    <col width="18" customWidth="1" min="6" max="6"/>
    <col width="22" customWidth="1" min="7" max="7"/>
    <col width="10" customWidth="1" min="8" max="8"/>
    <col width="18" customWidth="1" min="9" max="9"/>
    <col width="10" customWidth="1" min="10" max="10"/>
    <col width="18" customWidth="1" min="11" max="11"/>
    <col width="12" customWidth="1" min="12" max="12"/>
    <col width="12" customWidth="1" min="13" max="13"/>
    <col width="12" customWidth="1" min="14" max="14"/>
    <col width="10" customWidth="1" min="15" max="15"/>
    <col width="18" customWidth="1" min="16" max="16"/>
    <col width="40" customWidth="1" min="17" max="17"/>
    <col width="16" customWidth="1" min="18" max="18"/>
    <col width="14" customWidth="1" min="19" max="19"/>
    <col width="34" customWidth="1" min="20" max="20"/>
  </cols>
  <sheetData>
    <row r="1" ht="34" customHeight="1">
      <c r="A1" s="9" t="inlineStr">
        <is>
          <t>Closed-loop Actions for Alerts and Savings Review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 ht="24" customHeight="1">
      <c r="A2" s="13" t="inlineStr">
        <is>
          <t>Usage notes</t>
        </is>
      </c>
      <c r="B2" s="13" t="inlineStr">
        <is>
          <t>Select an anomaly ID in column B. Columns C-J fill automatically. Maintain status, completion, root cause, action, savings quantity, and savings amount.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  <c r="T2" s="13" t="n"/>
    </row>
    <row r="3" ht="24" customHeight="1">
      <c r="A3" s="13" t="inlineStr">
        <is>
          <t>Recommendation流程</t>
        </is>
      </c>
      <c r="B3" s="13" t="inlineStr">
        <is>
          <t>Open -&gt; In progress -&gt; Closed. Severe alerts should be answered within 1 business day; high-risk alerts within 2 business days.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  <c r="T3" s="13" t="n"/>
    </row>
    <row r="4"/>
    <row r="5">
      <c r="A5" s="44" t="inlineStr">
        <is>
          <t>Work order ID</t>
        </is>
      </c>
      <c r="B5" s="44" t="inlineStr">
        <is>
          <t>Anomaly ID</t>
        </is>
      </c>
      <c r="C5" s="44" t="inlineStr">
        <is>
          <t>Discovery date</t>
        </is>
      </c>
      <c r="D5" s="44" t="inlineStr">
        <is>
          <t>Company</t>
        </is>
      </c>
      <c r="E5" s="44" t="inlineStr">
        <is>
          <t>Business scenario</t>
        </is>
      </c>
      <c r="F5" s="44" t="inlineStr">
        <is>
          <t>Area / site</t>
        </is>
      </c>
      <c r="G5" s="44" t="inlineStr">
        <is>
          <t>Equipment / metering point</t>
        </is>
      </c>
      <c r="H5" s="44" t="inlineStr">
        <is>
          <t>Energy type</t>
        </is>
      </c>
      <c r="I5" s="44" t="inlineStr">
        <is>
          <t>Anomaly category</t>
        </is>
      </c>
      <c r="J5" s="44" t="inlineStr">
        <is>
          <t>Risk level</t>
        </is>
      </c>
      <c r="K5" s="44" t="inlineStr">
        <is>
          <t>Owner</t>
        </is>
      </c>
      <c r="L5" s="44" t="inlineStr">
        <is>
          <t>Status</t>
        </is>
      </c>
      <c r="M5" s="44" t="inlineStr">
        <is>
          <t>Planned completion date</t>
        </is>
      </c>
      <c r="N5" s="44" t="inlineStr">
        <is>
          <t>Actual completion date</t>
        </is>
      </c>
      <c r="O5" s="44" t="inlineStr">
        <is>
          <t>Overdue?</t>
        </is>
      </c>
      <c r="P5" s="44" t="inlineStr">
        <is>
          <t>Root cause category</t>
        </is>
      </c>
      <c r="Q5" s="44" t="inlineStr">
        <is>
          <t>Corrective action</t>
        </is>
      </c>
      <c r="R5" s="44" t="inlineStr">
        <is>
          <t>Estimated / actual savings quantity</t>
        </is>
      </c>
      <c r="S5" s="44" t="inlineStr">
        <is>
          <t>Savings amount</t>
        </is>
      </c>
      <c r="T5" s="44" t="inlineStr">
        <is>
          <t>Review conclusion</t>
        </is>
      </c>
    </row>
    <row r="6">
      <c r="A6" s="102">
        <f>IF($B6="","","WO-"&amp;TEXT(ROW()-5,"0000"))</f>
        <v/>
      </c>
      <c r="B6" s="102" t="n"/>
      <c r="C6" s="141">
        <f>IFERROR(VLOOKUP($B6,'異常検知'!$A$6:$X$205,2,FALSE),"")</f>
        <v/>
      </c>
      <c r="D6" s="102">
        <f>IFERROR(VLOOKUP($B6,'異常検知'!$A$6:$X$205,3,FALSE),"")</f>
        <v/>
      </c>
      <c r="E6" s="102">
        <f>IFERROR(VLOOKUP($B6,'異常検知'!$A$6:$X$205,4,FALSE),"")</f>
        <v/>
      </c>
      <c r="F6" s="102">
        <f>IFERROR(VLOOKUP($B6,'異常検知'!$A$6:$X$205,5,FALSE),"")</f>
        <v/>
      </c>
      <c r="G6" s="102">
        <f>IFERROR(VLOOKUP($B6,'異常検知'!$A$6:$X$205,7,FALSE),"")</f>
        <v/>
      </c>
      <c r="H6" s="102">
        <f>IFERROR(VLOOKUP($B6,'異常検知'!$A$6:$X$205,8,FALSE),"")</f>
        <v/>
      </c>
      <c r="I6" s="102">
        <f>IFERROR(VLOOKUP($B6,'異常検知'!$A$6:$X$205,14,FALSE),"")</f>
        <v/>
      </c>
      <c r="J6" s="102">
        <f>IFERROR(VLOOKUP($B6,'異常検知'!$A$6:$X$205,15,FALSE),"")</f>
        <v/>
      </c>
      <c r="K6" s="102">
        <f>IFERROR(VLOOKUP($B6,'異常検知'!$A$6:$X$205,18,FALSE),"")</f>
        <v/>
      </c>
      <c r="L6" s="102" t="inlineStr">
        <is>
          <t>未対応</t>
        </is>
      </c>
      <c r="M6" s="141">
        <f>IFERROR(VLOOKUP($B6,'異常検知'!$A$6:$X$205,20,FALSE),"")</f>
        <v/>
      </c>
      <c r="N6" s="141" t="n"/>
      <c r="O6" s="102">
        <f>IF($M6="","",IF(AND($L6&lt;&gt;"完了",TODAY()&gt;$M6),"期限超過","期限内"))</f>
        <v/>
      </c>
      <c r="P6" s="102" t="inlineStr">
        <is>
          <t>Not classified</t>
        </is>
      </c>
      <c r="Q6" s="102" t="n"/>
      <c r="R6" s="102" t="n"/>
      <c r="S6" s="144" t="n"/>
      <c r="T6" s="102" t="n"/>
    </row>
    <row r="7">
      <c r="A7" s="102">
        <f>IF($B7="","","WO-"&amp;TEXT(ROW()-5,"0000"))</f>
        <v/>
      </c>
      <c r="B7" s="102" t="n"/>
      <c r="C7" s="141">
        <f>IFERROR(VLOOKUP($B7,'異常検知'!$A$6:$X$205,2,FALSE),"")</f>
        <v/>
      </c>
      <c r="D7" s="102">
        <f>IFERROR(VLOOKUP($B7,'異常検知'!$A$6:$X$205,3,FALSE),"")</f>
        <v/>
      </c>
      <c r="E7" s="102">
        <f>IFERROR(VLOOKUP($B7,'異常検知'!$A$6:$X$205,4,FALSE),"")</f>
        <v/>
      </c>
      <c r="F7" s="102">
        <f>IFERROR(VLOOKUP($B7,'異常検知'!$A$6:$X$205,5,FALSE),"")</f>
        <v/>
      </c>
      <c r="G7" s="102">
        <f>IFERROR(VLOOKUP($B7,'異常検知'!$A$6:$X$205,7,FALSE),"")</f>
        <v/>
      </c>
      <c r="H7" s="102">
        <f>IFERROR(VLOOKUP($B7,'異常検知'!$A$6:$X$205,8,FALSE),"")</f>
        <v/>
      </c>
      <c r="I7" s="102">
        <f>IFERROR(VLOOKUP($B7,'異常検知'!$A$6:$X$205,14,FALSE),"")</f>
        <v/>
      </c>
      <c r="J7" s="102">
        <f>IFERROR(VLOOKUP($B7,'異常検知'!$A$6:$X$205,15,FALSE),"")</f>
        <v/>
      </c>
      <c r="K7" s="102">
        <f>IFERROR(VLOOKUP($B7,'異常検知'!$A$6:$X$205,18,FALSE),"")</f>
        <v/>
      </c>
      <c r="L7" s="102" t="inlineStr">
        <is>
          <t>未対応</t>
        </is>
      </c>
      <c r="M7" s="141">
        <f>IFERROR(VLOOKUP($B7,'異常検知'!$A$6:$X$205,20,FALSE),"")</f>
        <v/>
      </c>
      <c r="N7" s="141" t="n"/>
      <c r="O7" s="102">
        <f>IF($M7="","",IF(AND($L7&lt;&gt;"完了",TODAY()&gt;$M7),"期限超過","期限内"))</f>
        <v/>
      </c>
      <c r="P7" s="102" t="inlineStr">
        <is>
          <t>Not classified</t>
        </is>
      </c>
      <c r="Q7" s="102" t="n"/>
      <c r="R7" s="102" t="n"/>
      <c r="S7" s="144" t="n"/>
      <c r="T7" s="102" t="n"/>
    </row>
    <row r="8">
      <c r="A8" s="102">
        <f>IF($B8="","","WO-"&amp;TEXT(ROW()-5,"0000"))</f>
        <v/>
      </c>
      <c r="B8" s="102" t="n"/>
      <c r="C8" s="141">
        <f>IFERROR(VLOOKUP($B8,'異常検知'!$A$6:$X$205,2,FALSE),"")</f>
        <v/>
      </c>
      <c r="D8" s="102">
        <f>IFERROR(VLOOKUP($B8,'異常検知'!$A$6:$X$205,3,FALSE),"")</f>
        <v/>
      </c>
      <c r="E8" s="102">
        <f>IFERROR(VLOOKUP($B8,'異常検知'!$A$6:$X$205,4,FALSE),"")</f>
        <v/>
      </c>
      <c r="F8" s="102">
        <f>IFERROR(VLOOKUP($B8,'異常検知'!$A$6:$X$205,5,FALSE),"")</f>
        <v/>
      </c>
      <c r="G8" s="102">
        <f>IFERROR(VLOOKUP($B8,'異常検知'!$A$6:$X$205,7,FALSE),"")</f>
        <v/>
      </c>
      <c r="H8" s="102">
        <f>IFERROR(VLOOKUP($B8,'異常検知'!$A$6:$X$205,8,FALSE),"")</f>
        <v/>
      </c>
      <c r="I8" s="102">
        <f>IFERROR(VLOOKUP($B8,'異常検知'!$A$6:$X$205,14,FALSE),"")</f>
        <v/>
      </c>
      <c r="J8" s="102">
        <f>IFERROR(VLOOKUP($B8,'異常検知'!$A$6:$X$205,15,FALSE),"")</f>
        <v/>
      </c>
      <c r="K8" s="102">
        <f>IFERROR(VLOOKUP($B8,'異常検知'!$A$6:$X$205,18,FALSE),"")</f>
        <v/>
      </c>
      <c r="L8" s="102" t="inlineStr">
        <is>
          <t>未対応</t>
        </is>
      </c>
      <c r="M8" s="141">
        <f>IFERROR(VLOOKUP($B8,'異常検知'!$A$6:$X$205,20,FALSE),"")</f>
        <v/>
      </c>
      <c r="N8" s="141" t="n"/>
      <c r="O8" s="102">
        <f>IF($M8="","",IF(AND($L8&lt;&gt;"完了",TODAY()&gt;$M8),"期限超過","期限内"))</f>
        <v/>
      </c>
      <c r="P8" s="102" t="inlineStr">
        <is>
          <t>Not classified</t>
        </is>
      </c>
      <c r="Q8" s="102" t="n"/>
      <c r="R8" s="102" t="n"/>
      <c r="S8" s="144" t="n"/>
      <c r="T8" s="102" t="n"/>
    </row>
    <row r="9">
      <c r="A9" s="102">
        <f>IF($B9="","","WO-"&amp;TEXT(ROW()-5,"0000"))</f>
        <v/>
      </c>
      <c r="B9" s="102" t="n"/>
      <c r="C9" s="141">
        <f>IFERROR(VLOOKUP($B9,'異常検知'!$A$6:$X$205,2,FALSE),"")</f>
        <v/>
      </c>
      <c r="D9" s="102">
        <f>IFERROR(VLOOKUP($B9,'異常検知'!$A$6:$X$205,3,FALSE),"")</f>
        <v/>
      </c>
      <c r="E9" s="102">
        <f>IFERROR(VLOOKUP($B9,'異常検知'!$A$6:$X$205,4,FALSE),"")</f>
        <v/>
      </c>
      <c r="F9" s="102">
        <f>IFERROR(VLOOKUP($B9,'異常検知'!$A$6:$X$205,5,FALSE),"")</f>
        <v/>
      </c>
      <c r="G9" s="102">
        <f>IFERROR(VLOOKUP($B9,'異常検知'!$A$6:$X$205,7,FALSE),"")</f>
        <v/>
      </c>
      <c r="H9" s="102">
        <f>IFERROR(VLOOKUP($B9,'異常検知'!$A$6:$X$205,8,FALSE),"")</f>
        <v/>
      </c>
      <c r="I9" s="102">
        <f>IFERROR(VLOOKUP($B9,'異常検知'!$A$6:$X$205,14,FALSE),"")</f>
        <v/>
      </c>
      <c r="J9" s="102">
        <f>IFERROR(VLOOKUP($B9,'異常検知'!$A$6:$X$205,15,FALSE),"")</f>
        <v/>
      </c>
      <c r="K9" s="102">
        <f>IFERROR(VLOOKUP($B9,'異常検知'!$A$6:$X$205,18,FALSE),"")</f>
        <v/>
      </c>
      <c r="L9" s="102" t="inlineStr">
        <is>
          <t>未対応</t>
        </is>
      </c>
      <c r="M9" s="141">
        <f>IFERROR(VLOOKUP($B9,'異常検知'!$A$6:$X$205,20,FALSE),"")</f>
        <v/>
      </c>
      <c r="N9" s="141" t="n"/>
      <c r="O9" s="102">
        <f>IF($M9="","",IF(AND($L9&lt;&gt;"完了",TODAY()&gt;$M9),"期限超過","期限内"))</f>
        <v/>
      </c>
      <c r="P9" s="102" t="inlineStr">
        <is>
          <t>Not classified</t>
        </is>
      </c>
      <c r="Q9" s="102" t="n"/>
      <c r="R9" s="102" t="n"/>
      <c r="S9" s="144" t="n"/>
      <c r="T9" s="102" t="n"/>
    </row>
    <row r="10">
      <c r="A10" s="102">
        <f>IF($B10="","","WO-"&amp;TEXT(ROW()-5,"0000"))</f>
        <v/>
      </c>
      <c r="B10" s="102" t="n"/>
      <c r="C10" s="141">
        <f>IFERROR(VLOOKUP($B10,'異常検知'!$A$6:$X$205,2,FALSE),"")</f>
        <v/>
      </c>
      <c r="D10" s="102">
        <f>IFERROR(VLOOKUP($B10,'異常検知'!$A$6:$X$205,3,FALSE),"")</f>
        <v/>
      </c>
      <c r="E10" s="102">
        <f>IFERROR(VLOOKUP($B10,'異常検知'!$A$6:$X$205,4,FALSE),"")</f>
        <v/>
      </c>
      <c r="F10" s="102">
        <f>IFERROR(VLOOKUP($B10,'異常検知'!$A$6:$X$205,5,FALSE),"")</f>
        <v/>
      </c>
      <c r="G10" s="102">
        <f>IFERROR(VLOOKUP($B10,'異常検知'!$A$6:$X$205,7,FALSE),"")</f>
        <v/>
      </c>
      <c r="H10" s="102">
        <f>IFERROR(VLOOKUP($B10,'異常検知'!$A$6:$X$205,8,FALSE),"")</f>
        <v/>
      </c>
      <c r="I10" s="102">
        <f>IFERROR(VLOOKUP($B10,'異常検知'!$A$6:$X$205,14,FALSE),"")</f>
        <v/>
      </c>
      <c r="J10" s="102">
        <f>IFERROR(VLOOKUP($B10,'異常検知'!$A$6:$X$205,15,FALSE),"")</f>
        <v/>
      </c>
      <c r="K10" s="102">
        <f>IFERROR(VLOOKUP($B10,'異常検知'!$A$6:$X$205,18,FALSE),"")</f>
        <v/>
      </c>
      <c r="L10" s="102" t="inlineStr">
        <is>
          <t>未対応</t>
        </is>
      </c>
      <c r="M10" s="141">
        <f>IFERROR(VLOOKUP($B10,'異常検知'!$A$6:$X$205,20,FALSE),"")</f>
        <v/>
      </c>
      <c r="N10" s="141" t="n"/>
      <c r="O10" s="102">
        <f>IF($M10="","",IF(AND($L10&lt;&gt;"完了",TODAY()&gt;$M10),"期限超過","期限内"))</f>
        <v/>
      </c>
      <c r="P10" s="102" t="inlineStr">
        <is>
          <t>Not classified</t>
        </is>
      </c>
      <c r="Q10" s="102" t="n"/>
      <c r="R10" s="102" t="n"/>
      <c r="S10" s="144" t="n"/>
      <c r="T10" s="102" t="n"/>
    </row>
    <row r="11">
      <c r="A11" s="102">
        <f>IF($B11="","","WO-"&amp;TEXT(ROW()-5,"0000"))</f>
        <v/>
      </c>
      <c r="B11" s="102" t="n"/>
      <c r="C11" s="141">
        <f>IFERROR(VLOOKUP($B11,'異常検知'!$A$6:$X$205,2,FALSE),"")</f>
        <v/>
      </c>
      <c r="D11" s="102">
        <f>IFERROR(VLOOKUP($B11,'異常検知'!$A$6:$X$205,3,FALSE),"")</f>
        <v/>
      </c>
      <c r="E11" s="102">
        <f>IFERROR(VLOOKUP($B11,'異常検知'!$A$6:$X$205,4,FALSE),"")</f>
        <v/>
      </c>
      <c r="F11" s="102">
        <f>IFERROR(VLOOKUP($B11,'異常検知'!$A$6:$X$205,5,FALSE),"")</f>
        <v/>
      </c>
      <c r="G11" s="102">
        <f>IFERROR(VLOOKUP($B11,'異常検知'!$A$6:$X$205,7,FALSE),"")</f>
        <v/>
      </c>
      <c r="H11" s="102">
        <f>IFERROR(VLOOKUP($B11,'異常検知'!$A$6:$X$205,8,FALSE),"")</f>
        <v/>
      </c>
      <c r="I11" s="102">
        <f>IFERROR(VLOOKUP($B11,'異常検知'!$A$6:$X$205,14,FALSE),"")</f>
        <v/>
      </c>
      <c r="J11" s="102">
        <f>IFERROR(VLOOKUP($B11,'異常検知'!$A$6:$X$205,15,FALSE),"")</f>
        <v/>
      </c>
      <c r="K11" s="102">
        <f>IFERROR(VLOOKUP($B11,'異常検知'!$A$6:$X$205,18,FALSE),"")</f>
        <v/>
      </c>
      <c r="L11" s="102" t="inlineStr">
        <is>
          <t>未対応</t>
        </is>
      </c>
      <c r="M11" s="141">
        <f>IFERROR(VLOOKUP($B11,'異常検知'!$A$6:$X$205,20,FALSE),"")</f>
        <v/>
      </c>
      <c r="N11" s="141" t="n"/>
      <c r="O11" s="102">
        <f>IF($M11="","",IF(AND($L11&lt;&gt;"完了",TODAY()&gt;$M11),"期限超過","期限内"))</f>
        <v/>
      </c>
      <c r="P11" s="102" t="inlineStr">
        <is>
          <t>Not classified</t>
        </is>
      </c>
      <c r="Q11" s="102" t="n"/>
      <c r="R11" s="102" t="n"/>
      <c r="S11" s="144" t="n"/>
      <c r="T11" s="102" t="n"/>
    </row>
    <row r="12">
      <c r="A12" s="102">
        <f>IF($B12="","","WO-"&amp;TEXT(ROW()-5,"0000"))</f>
        <v/>
      </c>
      <c r="B12" s="102" t="n"/>
      <c r="C12" s="141">
        <f>IFERROR(VLOOKUP($B12,'異常検知'!$A$6:$X$205,2,FALSE),"")</f>
        <v/>
      </c>
      <c r="D12" s="102">
        <f>IFERROR(VLOOKUP($B12,'異常検知'!$A$6:$X$205,3,FALSE),"")</f>
        <v/>
      </c>
      <c r="E12" s="102">
        <f>IFERROR(VLOOKUP($B12,'異常検知'!$A$6:$X$205,4,FALSE),"")</f>
        <v/>
      </c>
      <c r="F12" s="102">
        <f>IFERROR(VLOOKUP($B12,'異常検知'!$A$6:$X$205,5,FALSE),"")</f>
        <v/>
      </c>
      <c r="G12" s="102">
        <f>IFERROR(VLOOKUP($B12,'異常検知'!$A$6:$X$205,7,FALSE),"")</f>
        <v/>
      </c>
      <c r="H12" s="102">
        <f>IFERROR(VLOOKUP($B12,'異常検知'!$A$6:$X$205,8,FALSE),"")</f>
        <v/>
      </c>
      <c r="I12" s="102">
        <f>IFERROR(VLOOKUP($B12,'異常検知'!$A$6:$X$205,14,FALSE),"")</f>
        <v/>
      </c>
      <c r="J12" s="102">
        <f>IFERROR(VLOOKUP($B12,'異常検知'!$A$6:$X$205,15,FALSE),"")</f>
        <v/>
      </c>
      <c r="K12" s="102">
        <f>IFERROR(VLOOKUP($B12,'異常検知'!$A$6:$X$205,18,FALSE),"")</f>
        <v/>
      </c>
      <c r="L12" s="102" t="inlineStr">
        <is>
          <t>未対応</t>
        </is>
      </c>
      <c r="M12" s="141">
        <f>IFERROR(VLOOKUP($B12,'異常検知'!$A$6:$X$205,20,FALSE),"")</f>
        <v/>
      </c>
      <c r="N12" s="141" t="n"/>
      <c r="O12" s="102">
        <f>IF($M12="","",IF(AND($L12&lt;&gt;"完了",TODAY()&gt;$M12),"期限超過","期限内"))</f>
        <v/>
      </c>
      <c r="P12" s="102" t="inlineStr">
        <is>
          <t>Not classified</t>
        </is>
      </c>
      <c r="Q12" s="102" t="n"/>
      <c r="R12" s="102" t="n"/>
      <c r="S12" s="144" t="n"/>
      <c r="T12" s="102" t="n"/>
    </row>
    <row r="13">
      <c r="A13" s="102">
        <f>IF($B13="","","WO-"&amp;TEXT(ROW()-5,"0000"))</f>
        <v/>
      </c>
      <c r="B13" s="102" t="n"/>
      <c r="C13" s="141">
        <f>IFERROR(VLOOKUP($B13,'異常検知'!$A$6:$X$205,2,FALSE),"")</f>
        <v/>
      </c>
      <c r="D13" s="102">
        <f>IFERROR(VLOOKUP($B13,'異常検知'!$A$6:$X$205,3,FALSE),"")</f>
        <v/>
      </c>
      <c r="E13" s="102">
        <f>IFERROR(VLOOKUP($B13,'異常検知'!$A$6:$X$205,4,FALSE),"")</f>
        <v/>
      </c>
      <c r="F13" s="102">
        <f>IFERROR(VLOOKUP($B13,'異常検知'!$A$6:$X$205,5,FALSE),"")</f>
        <v/>
      </c>
      <c r="G13" s="102">
        <f>IFERROR(VLOOKUP($B13,'異常検知'!$A$6:$X$205,7,FALSE),"")</f>
        <v/>
      </c>
      <c r="H13" s="102">
        <f>IFERROR(VLOOKUP($B13,'異常検知'!$A$6:$X$205,8,FALSE),"")</f>
        <v/>
      </c>
      <c r="I13" s="102">
        <f>IFERROR(VLOOKUP($B13,'異常検知'!$A$6:$X$205,14,FALSE),"")</f>
        <v/>
      </c>
      <c r="J13" s="102">
        <f>IFERROR(VLOOKUP($B13,'異常検知'!$A$6:$X$205,15,FALSE),"")</f>
        <v/>
      </c>
      <c r="K13" s="102">
        <f>IFERROR(VLOOKUP($B13,'異常検知'!$A$6:$X$205,18,FALSE),"")</f>
        <v/>
      </c>
      <c r="L13" s="102" t="inlineStr">
        <is>
          <t>未対応</t>
        </is>
      </c>
      <c r="M13" s="141">
        <f>IFERROR(VLOOKUP($B13,'異常検知'!$A$6:$X$205,20,FALSE),"")</f>
        <v/>
      </c>
      <c r="N13" s="141" t="n"/>
      <c r="O13" s="102">
        <f>IF($M13="","",IF(AND($L13&lt;&gt;"完了",TODAY()&gt;$M13),"期限超過","期限内"))</f>
        <v/>
      </c>
      <c r="P13" s="102" t="inlineStr">
        <is>
          <t>Not classified</t>
        </is>
      </c>
      <c r="Q13" s="102" t="n"/>
      <c r="R13" s="102" t="n"/>
      <c r="S13" s="144" t="n"/>
      <c r="T13" s="102" t="n"/>
    </row>
    <row r="14">
      <c r="A14" s="102">
        <f>IF($B14="","","WO-"&amp;TEXT(ROW()-5,"0000"))</f>
        <v/>
      </c>
      <c r="B14" s="102" t="n"/>
      <c r="C14" s="141">
        <f>IFERROR(VLOOKUP($B14,'異常検知'!$A$6:$X$205,2,FALSE),"")</f>
        <v/>
      </c>
      <c r="D14" s="102">
        <f>IFERROR(VLOOKUP($B14,'異常検知'!$A$6:$X$205,3,FALSE),"")</f>
        <v/>
      </c>
      <c r="E14" s="102">
        <f>IFERROR(VLOOKUP($B14,'異常検知'!$A$6:$X$205,4,FALSE),"")</f>
        <v/>
      </c>
      <c r="F14" s="102">
        <f>IFERROR(VLOOKUP($B14,'異常検知'!$A$6:$X$205,5,FALSE),"")</f>
        <v/>
      </c>
      <c r="G14" s="102">
        <f>IFERROR(VLOOKUP($B14,'異常検知'!$A$6:$X$205,7,FALSE),"")</f>
        <v/>
      </c>
      <c r="H14" s="102">
        <f>IFERROR(VLOOKUP($B14,'異常検知'!$A$6:$X$205,8,FALSE),"")</f>
        <v/>
      </c>
      <c r="I14" s="102">
        <f>IFERROR(VLOOKUP($B14,'異常検知'!$A$6:$X$205,14,FALSE),"")</f>
        <v/>
      </c>
      <c r="J14" s="102">
        <f>IFERROR(VLOOKUP($B14,'異常検知'!$A$6:$X$205,15,FALSE),"")</f>
        <v/>
      </c>
      <c r="K14" s="102">
        <f>IFERROR(VLOOKUP($B14,'異常検知'!$A$6:$X$205,18,FALSE),"")</f>
        <v/>
      </c>
      <c r="L14" s="102" t="inlineStr">
        <is>
          <t>未対応</t>
        </is>
      </c>
      <c r="M14" s="141">
        <f>IFERROR(VLOOKUP($B14,'異常検知'!$A$6:$X$205,20,FALSE),"")</f>
        <v/>
      </c>
      <c r="N14" s="141" t="n"/>
      <c r="O14" s="102">
        <f>IF($M14="","",IF(AND($L14&lt;&gt;"完了",TODAY()&gt;$M14),"期限超過","期限内"))</f>
        <v/>
      </c>
      <c r="P14" s="102" t="inlineStr">
        <is>
          <t>Not classified</t>
        </is>
      </c>
      <c r="Q14" s="102" t="n"/>
      <c r="R14" s="102" t="n"/>
      <c r="S14" s="144" t="n"/>
      <c r="T14" s="102" t="n"/>
    </row>
    <row r="15">
      <c r="A15" s="102">
        <f>IF($B15="","","WO-"&amp;TEXT(ROW()-5,"0000"))</f>
        <v/>
      </c>
      <c r="B15" s="102" t="n"/>
      <c r="C15" s="141">
        <f>IFERROR(VLOOKUP($B15,'異常検知'!$A$6:$X$205,2,FALSE),"")</f>
        <v/>
      </c>
      <c r="D15" s="102">
        <f>IFERROR(VLOOKUP($B15,'異常検知'!$A$6:$X$205,3,FALSE),"")</f>
        <v/>
      </c>
      <c r="E15" s="102">
        <f>IFERROR(VLOOKUP($B15,'異常検知'!$A$6:$X$205,4,FALSE),"")</f>
        <v/>
      </c>
      <c r="F15" s="102">
        <f>IFERROR(VLOOKUP($B15,'異常検知'!$A$6:$X$205,5,FALSE),"")</f>
        <v/>
      </c>
      <c r="G15" s="102">
        <f>IFERROR(VLOOKUP($B15,'異常検知'!$A$6:$X$205,7,FALSE),"")</f>
        <v/>
      </c>
      <c r="H15" s="102">
        <f>IFERROR(VLOOKUP($B15,'異常検知'!$A$6:$X$205,8,FALSE),"")</f>
        <v/>
      </c>
      <c r="I15" s="102">
        <f>IFERROR(VLOOKUP($B15,'異常検知'!$A$6:$X$205,14,FALSE),"")</f>
        <v/>
      </c>
      <c r="J15" s="102">
        <f>IFERROR(VLOOKUP($B15,'異常検知'!$A$6:$X$205,15,FALSE),"")</f>
        <v/>
      </c>
      <c r="K15" s="102">
        <f>IFERROR(VLOOKUP($B15,'異常検知'!$A$6:$X$205,18,FALSE),"")</f>
        <v/>
      </c>
      <c r="L15" s="102" t="inlineStr">
        <is>
          <t>未対応</t>
        </is>
      </c>
      <c r="M15" s="141">
        <f>IFERROR(VLOOKUP($B15,'異常検知'!$A$6:$X$205,20,FALSE),"")</f>
        <v/>
      </c>
      <c r="N15" s="141" t="n"/>
      <c r="O15" s="102">
        <f>IF($M15="","",IF(AND($L15&lt;&gt;"完了",TODAY()&gt;$M15),"期限超過","期限内"))</f>
        <v/>
      </c>
      <c r="P15" s="102" t="inlineStr">
        <is>
          <t>Not classified</t>
        </is>
      </c>
      <c r="Q15" s="102" t="n"/>
      <c r="R15" s="102" t="n"/>
      <c r="S15" s="144" t="n"/>
      <c r="T15" s="102" t="n"/>
    </row>
    <row r="16">
      <c r="A16" s="102">
        <f>IF($B16="","","WO-"&amp;TEXT(ROW()-5,"0000"))</f>
        <v/>
      </c>
      <c r="B16" s="102" t="n"/>
      <c r="C16" s="141">
        <f>IFERROR(VLOOKUP($B16,'異常検知'!$A$6:$X$205,2,FALSE),"")</f>
        <v/>
      </c>
      <c r="D16" s="102">
        <f>IFERROR(VLOOKUP($B16,'異常検知'!$A$6:$X$205,3,FALSE),"")</f>
        <v/>
      </c>
      <c r="E16" s="102">
        <f>IFERROR(VLOOKUP($B16,'異常検知'!$A$6:$X$205,4,FALSE),"")</f>
        <v/>
      </c>
      <c r="F16" s="102">
        <f>IFERROR(VLOOKUP($B16,'異常検知'!$A$6:$X$205,5,FALSE),"")</f>
        <v/>
      </c>
      <c r="G16" s="102">
        <f>IFERROR(VLOOKUP($B16,'異常検知'!$A$6:$X$205,7,FALSE),"")</f>
        <v/>
      </c>
      <c r="H16" s="102">
        <f>IFERROR(VLOOKUP($B16,'異常検知'!$A$6:$X$205,8,FALSE),"")</f>
        <v/>
      </c>
      <c r="I16" s="102">
        <f>IFERROR(VLOOKUP($B16,'異常検知'!$A$6:$X$205,14,FALSE),"")</f>
        <v/>
      </c>
      <c r="J16" s="102">
        <f>IFERROR(VLOOKUP($B16,'異常検知'!$A$6:$X$205,15,FALSE),"")</f>
        <v/>
      </c>
      <c r="K16" s="102">
        <f>IFERROR(VLOOKUP($B16,'異常検知'!$A$6:$X$205,18,FALSE),"")</f>
        <v/>
      </c>
      <c r="L16" s="102" t="inlineStr">
        <is>
          <t>未対応</t>
        </is>
      </c>
      <c r="M16" s="141">
        <f>IFERROR(VLOOKUP($B16,'異常検知'!$A$6:$X$205,20,FALSE),"")</f>
        <v/>
      </c>
      <c r="N16" s="141" t="n"/>
      <c r="O16" s="102">
        <f>IF($M16="","",IF(AND($L16&lt;&gt;"完了",TODAY()&gt;$M16),"期限超過","期限内"))</f>
        <v/>
      </c>
      <c r="P16" s="102" t="inlineStr">
        <is>
          <t>Not classified</t>
        </is>
      </c>
      <c r="Q16" s="102" t="n"/>
      <c r="R16" s="102" t="n"/>
      <c r="S16" s="144" t="n"/>
      <c r="T16" s="102" t="n"/>
    </row>
    <row r="17">
      <c r="A17" s="102">
        <f>IF($B17="","","WO-"&amp;TEXT(ROW()-5,"0000"))</f>
        <v/>
      </c>
      <c r="B17" s="102" t="n"/>
      <c r="C17" s="141">
        <f>IFERROR(VLOOKUP($B17,'異常検知'!$A$6:$X$205,2,FALSE),"")</f>
        <v/>
      </c>
      <c r="D17" s="102">
        <f>IFERROR(VLOOKUP($B17,'異常検知'!$A$6:$X$205,3,FALSE),"")</f>
        <v/>
      </c>
      <c r="E17" s="102">
        <f>IFERROR(VLOOKUP($B17,'異常検知'!$A$6:$X$205,4,FALSE),"")</f>
        <v/>
      </c>
      <c r="F17" s="102">
        <f>IFERROR(VLOOKUP($B17,'異常検知'!$A$6:$X$205,5,FALSE),"")</f>
        <v/>
      </c>
      <c r="G17" s="102">
        <f>IFERROR(VLOOKUP($B17,'異常検知'!$A$6:$X$205,7,FALSE),"")</f>
        <v/>
      </c>
      <c r="H17" s="102">
        <f>IFERROR(VLOOKUP($B17,'異常検知'!$A$6:$X$205,8,FALSE),"")</f>
        <v/>
      </c>
      <c r="I17" s="102">
        <f>IFERROR(VLOOKUP($B17,'異常検知'!$A$6:$X$205,14,FALSE),"")</f>
        <v/>
      </c>
      <c r="J17" s="102">
        <f>IFERROR(VLOOKUP($B17,'異常検知'!$A$6:$X$205,15,FALSE),"")</f>
        <v/>
      </c>
      <c r="K17" s="102">
        <f>IFERROR(VLOOKUP($B17,'異常検知'!$A$6:$X$205,18,FALSE),"")</f>
        <v/>
      </c>
      <c r="L17" s="102" t="inlineStr">
        <is>
          <t>未対応</t>
        </is>
      </c>
      <c r="M17" s="141">
        <f>IFERROR(VLOOKUP($B17,'異常検知'!$A$6:$X$205,20,FALSE),"")</f>
        <v/>
      </c>
      <c r="N17" s="141" t="n"/>
      <c r="O17" s="102">
        <f>IF($M17="","",IF(AND($L17&lt;&gt;"完了",TODAY()&gt;$M17),"期限超過","期限内"))</f>
        <v/>
      </c>
      <c r="P17" s="102" t="inlineStr">
        <is>
          <t>Not classified</t>
        </is>
      </c>
      <c r="Q17" s="102" t="n"/>
      <c r="R17" s="102" t="n"/>
      <c r="S17" s="144" t="n"/>
      <c r="T17" s="102" t="n"/>
    </row>
    <row r="18">
      <c r="A18" s="102">
        <f>IF($B18="","","WO-"&amp;TEXT(ROW()-5,"0000"))</f>
        <v/>
      </c>
      <c r="B18" s="102" t="n"/>
      <c r="C18" s="141">
        <f>IFERROR(VLOOKUP($B18,'異常検知'!$A$6:$X$205,2,FALSE),"")</f>
        <v/>
      </c>
      <c r="D18" s="102">
        <f>IFERROR(VLOOKUP($B18,'異常検知'!$A$6:$X$205,3,FALSE),"")</f>
        <v/>
      </c>
      <c r="E18" s="102">
        <f>IFERROR(VLOOKUP($B18,'異常検知'!$A$6:$X$205,4,FALSE),"")</f>
        <v/>
      </c>
      <c r="F18" s="102">
        <f>IFERROR(VLOOKUP($B18,'異常検知'!$A$6:$X$205,5,FALSE),"")</f>
        <v/>
      </c>
      <c r="G18" s="102">
        <f>IFERROR(VLOOKUP($B18,'異常検知'!$A$6:$X$205,7,FALSE),"")</f>
        <v/>
      </c>
      <c r="H18" s="102">
        <f>IFERROR(VLOOKUP($B18,'異常検知'!$A$6:$X$205,8,FALSE),"")</f>
        <v/>
      </c>
      <c r="I18" s="102">
        <f>IFERROR(VLOOKUP($B18,'異常検知'!$A$6:$X$205,14,FALSE),"")</f>
        <v/>
      </c>
      <c r="J18" s="102">
        <f>IFERROR(VLOOKUP($B18,'異常検知'!$A$6:$X$205,15,FALSE),"")</f>
        <v/>
      </c>
      <c r="K18" s="102">
        <f>IFERROR(VLOOKUP($B18,'異常検知'!$A$6:$X$205,18,FALSE),"")</f>
        <v/>
      </c>
      <c r="L18" s="102" t="inlineStr">
        <is>
          <t>未対応</t>
        </is>
      </c>
      <c r="M18" s="141">
        <f>IFERROR(VLOOKUP($B18,'異常検知'!$A$6:$X$205,20,FALSE),"")</f>
        <v/>
      </c>
      <c r="N18" s="141" t="n"/>
      <c r="O18" s="102">
        <f>IF($M18="","",IF(AND($L18&lt;&gt;"完了",TODAY()&gt;$M18),"期限超過","期限内"))</f>
        <v/>
      </c>
      <c r="P18" s="102" t="inlineStr">
        <is>
          <t>Not classified</t>
        </is>
      </c>
      <c r="Q18" s="102" t="n"/>
      <c r="R18" s="102" t="n"/>
      <c r="S18" s="144" t="n"/>
      <c r="T18" s="102" t="n"/>
    </row>
    <row r="19">
      <c r="A19" s="102">
        <f>IF($B19="","","WO-"&amp;TEXT(ROW()-5,"0000"))</f>
        <v/>
      </c>
      <c r="B19" s="102" t="n"/>
      <c r="C19" s="141">
        <f>IFERROR(VLOOKUP($B19,'異常検知'!$A$6:$X$205,2,FALSE),"")</f>
        <v/>
      </c>
      <c r="D19" s="102">
        <f>IFERROR(VLOOKUP($B19,'異常検知'!$A$6:$X$205,3,FALSE),"")</f>
        <v/>
      </c>
      <c r="E19" s="102">
        <f>IFERROR(VLOOKUP($B19,'異常検知'!$A$6:$X$205,4,FALSE),"")</f>
        <v/>
      </c>
      <c r="F19" s="102">
        <f>IFERROR(VLOOKUP($B19,'異常検知'!$A$6:$X$205,5,FALSE),"")</f>
        <v/>
      </c>
      <c r="G19" s="102">
        <f>IFERROR(VLOOKUP($B19,'異常検知'!$A$6:$X$205,7,FALSE),"")</f>
        <v/>
      </c>
      <c r="H19" s="102">
        <f>IFERROR(VLOOKUP($B19,'異常検知'!$A$6:$X$205,8,FALSE),"")</f>
        <v/>
      </c>
      <c r="I19" s="102">
        <f>IFERROR(VLOOKUP($B19,'異常検知'!$A$6:$X$205,14,FALSE),"")</f>
        <v/>
      </c>
      <c r="J19" s="102">
        <f>IFERROR(VLOOKUP($B19,'異常検知'!$A$6:$X$205,15,FALSE),"")</f>
        <v/>
      </c>
      <c r="K19" s="102">
        <f>IFERROR(VLOOKUP($B19,'異常検知'!$A$6:$X$205,18,FALSE),"")</f>
        <v/>
      </c>
      <c r="L19" s="102" t="inlineStr">
        <is>
          <t>未対応</t>
        </is>
      </c>
      <c r="M19" s="141">
        <f>IFERROR(VLOOKUP($B19,'異常検知'!$A$6:$X$205,20,FALSE),"")</f>
        <v/>
      </c>
      <c r="N19" s="141" t="n"/>
      <c r="O19" s="102">
        <f>IF($M19="","",IF(AND($L19&lt;&gt;"完了",TODAY()&gt;$M19),"期限超過","期限内"))</f>
        <v/>
      </c>
      <c r="P19" s="102" t="inlineStr">
        <is>
          <t>Not classified</t>
        </is>
      </c>
      <c r="Q19" s="102" t="n"/>
      <c r="R19" s="102" t="n"/>
      <c r="S19" s="144" t="n"/>
      <c r="T19" s="102" t="n"/>
    </row>
    <row r="20">
      <c r="A20" s="102">
        <f>IF($B20="","","WO-"&amp;TEXT(ROW()-5,"0000"))</f>
        <v/>
      </c>
      <c r="B20" s="102" t="n"/>
      <c r="C20" s="141">
        <f>IFERROR(VLOOKUP($B20,'異常検知'!$A$6:$X$205,2,FALSE),"")</f>
        <v/>
      </c>
      <c r="D20" s="102">
        <f>IFERROR(VLOOKUP($B20,'異常検知'!$A$6:$X$205,3,FALSE),"")</f>
        <v/>
      </c>
      <c r="E20" s="102">
        <f>IFERROR(VLOOKUP($B20,'異常検知'!$A$6:$X$205,4,FALSE),"")</f>
        <v/>
      </c>
      <c r="F20" s="102">
        <f>IFERROR(VLOOKUP($B20,'異常検知'!$A$6:$X$205,5,FALSE),"")</f>
        <v/>
      </c>
      <c r="G20" s="102">
        <f>IFERROR(VLOOKUP($B20,'異常検知'!$A$6:$X$205,7,FALSE),"")</f>
        <v/>
      </c>
      <c r="H20" s="102">
        <f>IFERROR(VLOOKUP($B20,'異常検知'!$A$6:$X$205,8,FALSE),"")</f>
        <v/>
      </c>
      <c r="I20" s="102">
        <f>IFERROR(VLOOKUP($B20,'異常検知'!$A$6:$X$205,14,FALSE),"")</f>
        <v/>
      </c>
      <c r="J20" s="102">
        <f>IFERROR(VLOOKUP($B20,'異常検知'!$A$6:$X$205,15,FALSE),"")</f>
        <v/>
      </c>
      <c r="K20" s="102">
        <f>IFERROR(VLOOKUP($B20,'異常検知'!$A$6:$X$205,18,FALSE),"")</f>
        <v/>
      </c>
      <c r="L20" s="102" t="inlineStr">
        <is>
          <t>未対応</t>
        </is>
      </c>
      <c r="M20" s="141">
        <f>IFERROR(VLOOKUP($B20,'異常検知'!$A$6:$X$205,20,FALSE),"")</f>
        <v/>
      </c>
      <c r="N20" s="141" t="n"/>
      <c r="O20" s="102">
        <f>IF($M20="","",IF(AND($L20&lt;&gt;"完了",TODAY()&gt;$M20),"期限超過","期限内"))</f>
        <v/>
      </c>
      <c r="P20" s="102" t="inlineStr">
        <is>
          <t>Not classified</t>
        </is>
      </c>
      <c r="Q20" s="102" t="n"/>
      <c r="R20" s="102" t="n"/>
      <c r="S20" s="144" t="n"/>
      <c r="T20" s="102" t="n"/>
    </row>
    <row r="21">
      <c r="A21" s="102">
        <f>IF($B21="","","WO-"&amp;TEXT(ROW()-5,"0000"))</f>
        <v/>
      </c>
      <c r="B21" s="102" t="n"/>
      <c r="C21" s="141">
        <f>IFERROR(VLOOKUP($B21,'異常検知'!$A$6:$X$205,2,FALSE),"")</f>
        <v/>
      </c>
      <c r="D21" s="102">
        <f>IFERROR(VLOOKUP($B21,'異常検知'!$A$6:$X$205,3,FALSE),"")</f>
        <v/>
      </c>
      <c r="E21" s="102">
        <f>IFERROR(VLOOKUP($B21,'異常検知'!$A$6:$X$205,4,FALSE),"")</f>
        <v/>
      </c>
      <c r="F21" s="102">
        <f>IFERROR(VLOOKUP($B21,'異常検知'!$A$6:$X$205,5,FALSE),"")</f>
        <v/>
      </c>
      <c r="G21" s="102">
        <f>IFERROR(VLOOKUP($B21,'異常検知'!$A$6:$X$205,7,FALSE),"")</f>
        <v/>
      </c>
      <c r="H21" s="102">
        <f>IFERROR(VLOOKUP($B21,'異常検知'!$A$6:$X$205,8,FALSE),"")</f>
        <v/>
      </c>
      <c r="I21" s="102">
        <f>IFERROR(VLOOKUP($B21,'異常検知'!$A$6:$X$205,14,FALSE),"")</f>
        <v/>
      </c>
      <c r="J21" s="102">
        <f>IFERROR(VLOOKUP($B21,'異常検知'!$A$6:$X$205,15,FALSE),"")</f>
        <v/>
      </c>
      <c r="K21" s="102">
        <f>IFERROR(VLOOKUP($B21,'異常検知'!$A$6:$X$205,18,FALSE),"")</f>
        <v/>
      </c>
      <c r="L21" s="102" t="inlineStr">
        <is>
          <t>未対応</t>
        </is>
      </c>
      <c r="M21" s="141">
        <f>IFERROR(VLOOKUP($B21,'異常検知'!$A$6:$X$205,20,FALSE),"")</f>
        <v/>
      </c>
      <c r="N21" s="141" t="n"/>
      <c r="O21" s="102">
        <f>IF($M21="","",IF(AND($L21&lt;&gt;"完了",TODAY()&gt;$M21),"期限超過","期限内"))</f>
        <v/>
      </c>
      <c r="P21" s="102" t="inlineStr">
        <is>
          <t>Not classified</t>
        </is>
      </c>
      <c r="Q21" s="102" t="n"/>
      <c r="R21" s="102" t="n"/>
      <c r="S21" s="144" t="n"/>
      <c r="T21" s="102" t="n"/>
    </row>
    <row r="22">
      <c r="A22" s="102">
        <f>IF($B22="","","WO-"&amp;TEXT(ROW()-5,"0000"))</f>
        <v/>
      </c>
      <c r="B22" s="102" t="n"/>
      <c r="C22" s="141">
        <f>IFERROR(VLOOKUP($B22,'異常検知'!$A$6:$X$205,2,FALSE),"")</f>
        <v/>
      </c>
      <c r="D22" s="102">
        <f>IFERROR(VLOOKUP($B22,'異常検知'!$A$6:$X$205,3,FALSE),"")</f>
        <v/>
      </c>
      <c r="E22" s="102">
        <f>IFERROR(VLOOKUP($B22,'異常検知'!$A$6:$X$205,4,FALSE),"")</f>
        <v/>
      </c>
      <c r="F22" s="102">
        <f>IFERROR(VLOOKUP($B22,'異常検知'!$A$6:$X$205,5,FALSE),"")</f>
        <v/>
      </c>
      <c r="G22" s="102">
        <f>IFERROR(VLOOKUP($B22,'異常検知'!$A$6:$X$205,7,FALSE),"")</f>
        <v/>
      </c>
      <c r="H22" s="102">
        <f>IFERROR(VLOOKUP($B22,'異常検知'!$A$6:$X$205,8,FALSE),"")</f>
        <v/>
      </c>
      <c r="I22" s="102">
        <f>IFERROR(VLOOKUP($B22,'異常検知'!$A$6:$X$205,14,FALSE),"")</f>
        <v/>
      </c>
      <c r="J22" s="102">
        <f>IFERROR(VLOOKUP($B22,'異常検知'!$A$6:$X$205,15,FALSE),"")</f>
        <v/>
      </c>
      <c r="K22" s="102">
        <f>IFERROR(VLOOKUP($B22,'異常検知'!$A$6:$X$205,18,FALSE),"")</f>
        <v/>
      </c>
      <c r="L22" s="102" t="inlineStr">
        <is>
          <t>未対応</t>
        </is>
      </c>
      <c r="M22" s="141">
        <f>IFERROR(VLOOKUP($B22,'異常検知'!$A$6:$X$205,20,FALSE),"")</f>
        <v/>
      </c>
      <c r="N22" s="141" t="n"/>
      <c r="O22" s="102">
        <f>IF($M22="","",IF(AND($L22&lt;&gt;"完了",TODAY()&gt;$M22),"期限超過","期限内"))</f>
        <v/>
      </c>
      <c r="P22" s="102" t="inlineStr">
        <is>
          <t>Not classified</t>
        </is>
      </c>
      <c r="Q22" s="102" t="n"/>
      <c r="R22" s="102" t="n"/>
      <c r="S22" s="144" t="n"/>
      <c r="T22" s="102" t="n"/>
    </row>
    <row r="23">
      <c r="A23" s="102">
        <f>IF($B23="","","WO-"&amp;TEXT(ROW()-5,"0000"))</f>
        <v/>
      </c>
      <c r="B23" s="102" t="n"/>
      <c r="C23" s="141">
        <f>IFERROR(VLOOKUP($B23,'異常検知'!$A$6:$X$205,2,FALSE),"")</f>
        <v/>
      </c>
      <c r="D23" s="102">
        <f>IFERROR(VLOOKUP($B23,'異常検知'!$A$6:$X$205,3,FALSE),"")</f>
        <v/>
      </c>
      <c r="E23" s="102">
        <f>IFERROR(VLOOKUP($B23,'異常検知'!$A$6:$X$205,4,FALSE),"")</f>
        <v/>
      </c>
      <c r="F23" s="102">
        <f>IFERROR(VLOOKUP($B23,'異常検知'!$A$6:$X$205,5,FALSE),"")</f>
        <v/>
      </c>
      <c r="G23" s="102">
        <f>IFERROR(VLOOKUP($B23,'異常検知'!$A$6:$X$205,7,FALSE),"")</f>
        <v/>
      </c>
      <c r="H23" s="102">
        <f>IFERROR(VLOOKUP($B23,'異常検知'!$A$6:$X$205,8,FALSE),"")</f>
        <v/>
      </c>
      <c r="I23" s="102">
        <f>IFERROR(VLOOKUP($B23,'異常検知'!$A$6:$X$205,14,FALSE),"")</f>
        <v/>
      </c>
      <c r="J23" s="102">
        <f>IFERROR(VLOOKUP($B23,'異常検知'!$A$6:$X$205,15,FALSE),"")</f>
        <v/>
      </c>
      <c r="K23" s="102">
        <f>IFERROR(VLOOKUP($B23,'異常検知'!$A$6:$X$205,18,FALSE),"")</f>
        <v/>
      </c>
      <c r="L23" s="102" t="inlineStr">
        <is>
          <t>未対応</t>
        </is>
      </c>
      <c r="M23" s="141">
        <f>IFERROR(VLOOKUP($B23,'異常検知'!$A$6:$X$205,20,FALSE),"")</f>
        <v/>
      </c>
      <c r="N23" s="141" t="n"/>
      <c r="O23" s="102">
        <f>IF($M23="","",IF(AND($L23&lt;&gt;"完了",TODAY()&gt;$M23),"期限超過","期限内"))</f>
        <v/>
      </c>
      <c r="P23" s="102" t="inlineStr">
        <is>
          <t>Not classified</t>
        </is>
      </c>
      <c r="Q23" s="102" t="n"/>
      <c r="R23" s="102" t="n"/>
      <c r="S23" s="144" t="n"/>
      <c r="T23" s="102" t="n"/>
    </row>
    <row r="24">
      <c r="A24" s="102">
        <f>IF($B24="","","WO-"&amp;TEXT(ROW()-5,"0000"))</f>
        <v/>
      </c>
      <c r="B24" s="102" t="n"/>
      <c r="C24" s="141">
        <f>IFERROR(VLOOKUP($B24,'異常検知'!$A$6:$X$205,2,FALSE),"")</f>
        <v/>
      </c>
      <c r="D24" s="102">
        <f>IFERROR(VLOOKUP($B24,'異常検知'!$A$6:$X$205,3,FALSE),"")</f>
        <v/>
      </c>
      <c r="E24" s="102">
        <f>IFERROR(VLOOKUP($B24,'異常検知'!$A$6:$X$205,4,FALSE),"")</f>
        <v/>
      </c>
      <c r="F24" s="102">
        <f>IFERROR(VLOOKUP($B24,'異常検知'!$A$6:$X$205,5,FALSE),"")</f>
        <v/>
      </c>
      <c r="G24" s="102">
        <f>IFERROR(VLOOKUP($B24,'異常検知'!$A$6:$X$205,7,FALSE),"")</f>
        <v/>
      </c>
      <c r="H24" s="102">
        <f>IFERROR(VLOOKUP($B24,'異常検知'!$A$6:$X$205,8,FALSE),"")</f>
        <v/>
      </c>
      <c r="I24" s="102">
        <f>IFERROR(VLOOKUP($B24,'異常検知'!$A$6:$X$205,14,FALSE),"")</f>
        <v/>
      </c>
      <c r="J24" s="102">
        <f>IFERROR(VLOOKUP($B24,'異常検知'!$A$6:$X$205,15,FALSE),"")</f>
        <v/>
      </c>
      <c r="K24" s="102">
        <f>IFERROR(VLOOKUP($B24,'異常検知'!$A$6:$X$205,18,FALSE),"")</f>
        <v/>
      </c>
      <c r="L24" s="102" t="inlineStr">
        <is>
          <t>未対応</t>
        </is>
      </c>
      <c r="M24" s="141">
        <f>IFERROR(VLOOKUP($B24,'異常検知'!$A$6:$X$205,20,FALSE),"")</f>
        <v/>
      </c>
      <c r="N24" s="141" t="n"/>
      <c r="O24" s="102">
        <f>IF($M24="","",IF(AND($L24&lt;&gt;"完了",TODAY()&gt;$M24),"期限超過","期限内"))</f>
        <v/>
      </c>
      <c r="P24" s="102" t="inlineStr">
        <is>
          <t>Not classified</t>
        </is>
      </c>
      <c r="Q24" s="102" t="n"/>
      <c r="R24" s="102" t="n"/>
      <c r="S24" s="144" t="n"/>
      <c r="T24" s="102" t="n"/>
    </row>
    <row r="25">
      <c r="A25" s="102">
        <f>IF($B25="","","WO-"&amp;TEXT(ROW()-5,"0000"))</f>
        <v/>
      </c>
      <c r="B25" s="102" t="n"/>
      <c r="C25" s="141">
        <f>IFERROR(VLOOKUP($B25,'異常検知'!$A$6:$X$205,2,FALSE),"")</f>
        <v/>
      </c>
      <c r="D25" s="102">
        <f>IFERROR(VLOOKUP($B25,'異常検知'!$A$6:$X$205,3,FALSE),"")</f>
        <v/>
      </c>
      <c r="E25" s="102">
        <f>IFERROR(VLOOKUP($B25,'異常検知'!$A$6:$X$205,4,FALSE),"")</f>
        <v/>
      </c>
      <c r="F25" s="102">
        <f>IFERROR(VLOOKUP($B25,'異常検知'!$A$6:$X$205,5,FALSE),"")</f>
        <v/>
      </c>
      <c r="G25" s="102">
        <f>IFERROR(VLOOKUP($B25,'異常検知'!$A$6:$X$205,7,FALSE),"")</f>
        <v/>
      </c>
      <c r="H25" s="102">
        <f>IFERROR(VLOOKUP($B25,'異常検知'!$A$6:$X$205,8,FALSE),"")</f>
        <v/>
      </c>
      <c r="I25" s="102">
        <f>IFERROR(VLOOKUP($B25,'異常検知'!$A$6:$X$205,14,FALSE),"")</f>
        <v/>
      </c>
      <c r="J25" s="102">
        <f>IFERROR(VLOOKUP($B25,'異常検知'!$A$6:$X$205,15,FALSE),"")</f>
        <v/>
      </c>
      <c r="K25" s="102">
        <f>IFERROR(VLOOKUP($B25,'異常検知'!$A$6:$X$205,18,FALSE),"")</f>
        <v/>
      </c>
      <c r="L25" s="102" t="inlineStr">
        <is>
          <t>未対応</t>
        </is>
      </c>
      <c r="M25" s="141">
        <f>IFERROR(VLOOKUP($B25,'異常検知'!$A$6:$X$205,20,FALSE),"")</f>
        <v/>
      </c>
      <c r="N25" s="141" t="n"/>
      <c r="O25" s="102">
        <f>IF($M25="","",IF(AND($L25&lt;&gt;"完了",TODAY()&gt;$M25),"期限超過","期限内"))</f>
        <v/>
      </c>
      <c r="P25" s="102" t="inlineStr">
        <is>
          <t>Not classified</t>
        </is>
      </c>
      <c r="Q25" s="102" t="n"/>
      <c r="R25" s="102" t="n"/>
      <c r="S25" s="144" t="n"/>
      <c r="T25" s="102" t="n"/>
    </row>
    <row r="26">
      <c r="A26" s="102">
        <f>IF($B26="","","WO-"&amp;TEXT(ROW()-5,"0000"))</f>
        <v/>
      </c>
      <c r="B26" s="102" t="n"/>
      <c r="C26" s="141">
        <f>IFERROR(VLOOKUP($B26,'異常検知'!$A$6:$X$205,2,FALSE),"")</f>
        <v/>
      </c>
      <c r="D26" s="102">
        <f>IFERROR(VLOOKUP($B26,'異常検知'!$A$6:$X$205,3,FALSE),"")</f>
        <v/>
      </c>
      <c r="E26" s="102">
        <f>IFERROR(VLOOKUP($B26,'異常検知'!$A$6:$X$205,4,FALSE),"")</f>
        <v/>
      </c>
      <c r="F26" s="102">
        <f>IFERROR(VLOOKUP($B26,'異常検知'!$A$6:$X$205,5,FALSE),"")</f>
        <v/>
      </c>
      <c r="G26" s="102">
        <f>IFERROR(VLOOKUP($B26,'異常検知'!$A$6:$X$205,7,FALSE),"")</f>
        <v/>
      </c>
      <c r="H26" s="102">
        <f>IFERROR(VLOOKUP($B26,'異常検知'!$A$6:$X$205,8,FALSE),"")</f>
        <v/>
      </c>
      <c r="I26" s="102">
        <f>IFERROR(VLOOKUP($B26,'異常検知'!$A$6:$X$205,14,FALSE),"")</f>
        <v/>
      </c>
      <c r="J26" s="102">
        <f>IFERROR(VLOOKUP($B26,'異常検知'!$A$6:$X$205,15,FALSE),"")</f>
        <v/>
      </c>
      <c r="K26" s="102">
        <f>IFERROR(VLOOKUP($B26,'異常検知'!$A$6:$X$205,18,FALSE),"")</f>
        <v/>
      </c>
      <c r="L26" s="102" t="inlineStr">
        <is>
          <t>未対応</t>
        </is>
      </c>
      <c r="M26" s="141">
        <f>IFERROR(VLOOKUP($B26,'異常検知'!$A$6:$X$205,20,FALSE),"")</f>
        <v/>
      </c>
      <c r="N26" s="141" t="n"/>
      <c r="O26" s="102">
        <f>IF($M26="","",IF(AND($L26&lt;&gt;"完了",TODAY()&gt;$M26),"期限超過","期限内"))</f>
        <v/>
      </c>
      <c r="P26" s="102" t="inlineStr">
        <is>
          <t>Not classified</t>
        </is>
      </c>
      <c r="Q26" s="102" t="n"/>
      <c r="R26" s="102" t="n"/>
      <c r="S26" s="144" t="n"/>
      <c r="T26" s="102" t="n"/>
    </row>
    <row r="27">
      <c r="A27" s="102">
        <f>IF($B27="","","WO-"&amp;TEXT(ROW()-5,"0000"))</f>
        <v/>
      </c>
      <c r="B27" s="102" t="n"/>
      <c r="C27" s="141">
        <f>IFERROR(VLOOKUP($B27,'異常検知'!$A$6:$X$205,2,FALSE),"")</f>
        <v/>
      </c>
      <c r="D27" s="102">
        <f>IFERROR(VLOOKUP($B27,'異常検知'!$A$6:$X$205,3,FALSE),"")</f>
        <v/>
      </c>
      <c r="E27" s="102">
        <f>IFERROR(VLOOKUP($B27,'異常検知'!$A$6:$X$205,4,FALSE),"")</f>
        <v/>
      </c>
      <c r="F27" s="102">
        <f>IFERROR(VLOOKUP($B27,'異常検知'!$A$6:$X$205,5,FALSE),"")</f>
        <v/>
      </c>
      <c r="G27" s="102">
        <f>IFERROR(VLOOKUP($B27,'異常検知'!$A$6:$X$205,7,FALSE),"")</f>
        <v/>
      </c>
      <c r="H27" s="102">
        <f>IFERROR(VLOOKUP($B27,'異常検知'!$A$6:$X$205,8,FALSE),"")</f>
        <v/>
      </c>
      <c r="I27" s="102">
        <f>IFERROR(VLOOKUP($B27,'異常検知'!$A$6:$X$205,14,FALSE),"")</f>
        <v/>
      </c>
      <c r="J27" s="102">
        <f>IFERROR(VLOOKUP($B27,'異常検知'!$A$6:$X$205,15,FALSE),"")</f>
        <v/>
      </c>
      <c r="K27" s="102">
        <f>IFERROR(VLOOKUP($B27,'異常検知'!$A$6:$X$205,18,FALSE),"")</f>
        <v/>
      </c>
      <c r="L27" s="102" t="inlineStr">
        <is>
          <t>未対応</t>
        </is>
      </c>
      <c r="M27" s="141">
        <f>IFERROR(VLOOKUP($B27,'異常検知'!$A$6:$X$205,20,FALSE),"")</f>
        <v/>
      </c>
      <c r="N27" s="141" t="n"/>
      <c r="O27" s="102">
        <f>IF($M27="","",IF(AND($L27&lt;&gt;"完了",TODAY()&gt;$M27),"期限超過","期限内"))</f>
        <v/>
      </c>
      <c r="P27" s="102" t="inlineStr">
        <is>
          <t>Not classified</t>
        </is>
      </c>
      <c r="Q27" s="102" t="n"/>
      <c r="R27" s="102" t="n"/>
      <c r="S27" s="144" t="n"/>
      <c r="T27" s="102" t="n"/>
    </row>
    <row r="28">
      <c r="A28" s="102">
        <f>IF($B28="","","WO-"&amp;TEXT(ROW()-5,"0000"))</f>
        <v/>
      </c>
      <c r="B28" s="102" t="n"/>
      <c r="C28" s="141">
        <f>IFERROR(VLOOKUP($B28,'異常検知'!$A$6:$X$205,2,FALSE),"")</f>
        <v/>
      </c>
      <c r="D28" s="102">
        <f>IFERROR(VLOOKUP($B28,'異常検知'!$A$6:$X$205,3,FALSE),"")</f>
        <v/>
      </c>
      <c r="E28" s="102">
        <f>IFERROR(VLOOKUP($B28,'異常検知'!$A$6:$X$205,4,FALSE),"")</f>
        <v/>
      </c>
      <c r="F28" s="102">
        <f>IFERROR(VLOOKUP($B28,'異常検知'!$A$6:$X$205,5,FALSE),"")</f>
        <v/>
      </c>
      <c r="G28" s="102">
        <f>IFERROR(VLOOKUP($B28,'異常検知'!$A$6:$X$205,7,FALSE),"")</f>
        <v/>
      </c>
      <c r="H28" s="102">
        <f>IFERROR(VLOOKUP($B28,'異常検知'!$A$6:$X$205,8,FALSE),"")</f>
        <v/>
      </c>
      <c r="I28" s="102">
        <f>IFERROR(VLOOKUP($B28,'異常検知'!$A$6:$X$205,14,FALSE),"")</f>
        <v/>
      </c>
      <c r="J28" s="102">
        <f>IFERROR(VLOOKUP($B28,'異常検知'!$A$6:$X$205,15,FALSE),"")</f>
        <v/>
      </c>
      <c r="K28" s="102">
        <f>IFERROR(VLOOKUP($B28,'異常検知'!$A$6:$X$205,18,FALSE),"")</f>
        <v/>
      </c>
      <c r="L28" s="102" t="inlineStr">
        <is>
          <t>未対応</t>
        </is>
      </c>
      <c r="M28" s="141">
        <f>IFERROR(VLOOKUP($B28,'異常検知'!$A$6:$X$205,20,FALSE),"")</f>
        <v/>
      </c>
      <c r="N28" s="141" t="n"/>
      <c r="O28" s="102">
        <f>IF($M28="","",IF(AND($L28&lt;&gt;"完了",TODAY()&gt;$M28),"期限超過","期限内"))</f>
        <v/>
      </c>
      <c r="P28" s="102" t="inlineStr">
        <is>
          <t>Not classified</t>
        </is>
      </c>
      <c r="Q28" s="102" t="n"/>
      <c r="R28" s="102" t="n"/>
      <c r="S28" s="144" t="n"/>
      <c r="T28" s="102" t="n"/>
    </row>
    <row r="29">
      <c r="A29" s="102">
        <f>IF($B29="","","WO-"&amp;TEXT(ROW()-5,"0000"))</f>
        <v/>
      </c>
      <c r="B29" s="102" t="n"/>
      <c r="C29" s="141">
        <f>IFERROR(VLOOKUP($B29,'異常検知'!$A$6:$X$205,2,FALSE),"")</f>
        <v/>
      </c>
      <c r="D29" s="102">
        <f>IFERROR(VLOOKUP($B29,'異常検知'!$A$6:$X$205,3,FALSE),"")</f>
        <v/>
      </c>
      <c r="E29" s="102">
        <f>IFERROR(VLOOKUP($B29,'異常検知'!$A$6:$X$205,4,FALSE),"")</f>
        <v/>
      </c>
      <c r="F29" s="102">
        <f>IFERROR(VLOOKUP($B29,'異常検知'!$A$6:$X$205,5,FALSE),"")</f>
        <v/>
      </c>
      <c r="G29" s="102">
        <f>IFERROR(VLOOKUP($B29,'異常検知'!$A$6:$X$205,7,FALSE),"")</f>
        <v/>
      </c>
      <c r="H29" s="102">
        <f>IFERROR(VLOOKUP($B29,'異常検知'!$A$6:$X$205,8,FALSE),"")</f>
        <v/>
      </c>
      <c r="I29" s="102">
        <f>IFERROR(VLOOKUP($B29,'異常検知'!$A$6:$X$205,14,FALSE),"")</f>
        <v/>
      </c>
      <c r="J29" s="102">
        <f>IFERROR(VLOOKUP($B29,'異常検知'!$A$6:$X$205,15,FALSE),"")</f>
        <v/>
      </c>
      <c r="K29" s="102">
        <f>IFERROR(VLOOKUP($B29,'異常検知'!$A$6:$X$205,18,FALSE),"")</f>
        <v/>
      </c>
      <c r="L29" s="102" t="inlineStr">
        <is>
          <t>未対応</t>
        </is>
      </c>
      <c r="M29" s="141">
        <f>IFERROR(VLOOKUP($B29,'異常検知'!$A$6:$X$205,20,FALSE),"")</f>
        <v/>
      </c>
      <c r="N29" s="141" t="n"/>
      <c r="O29" s="102">
        <f>IF($M29="","",IF(AND($L29&lt;&gt;"完了",TODAY()&gt;$M29),"期限超過","期限内"))</f>
        <v/>
      </c>
      <c r="P29" s="102" t="inlineStr">
        <is>
          <t>Not classified</t>
        </is>
      </c>
      <c r="Q29" s="102" t="n"/>
      <c r="R29" s="102" t="n"/>
      <c r="S29" s="144" t="n"/>
      <c r="T29" s="102" t="n"/>
    </row>
    <row r="30">
      <c r="A30" s="102">
        <f>IF($B30="","","WO-"&amp;TEXT(ROW()-5,"0000"))</f>
        <v/>
      </c>
      <c r="B30" s="102" t="n"/>
      <c r="C30" s="141">
        <f>IFERROR(VLOOKUP($B30,'異常検知'!$A$6:$X$205,2,FALSE),"")</f>
        <v/>
      </c>
      <c r="D30" s="102">
        <f>IFERROR(VLOOKUP($B30,'異常検知'!$A$6:$X$205,3,FALSE),"")</f>
        <v/>
      </c>
      <c r="E30" s="102">
        <f>IFERROR(VLOOKUP($B30,'異常検知'!$A$6:$X$205,4,FALSE),"")</f>
        <v/>
      </c>
      <c r="F30" s="102">
        <f>IFERROR(VLOOKUP($B30,'異常検知'!$A$6:$X$205,5,FALSE),"")</f>
        <v/>
      </c>
      <c r="G30" s="102">
        <f>IFERROR(VLOOKUP($B30,'異常検知'!$A$6:$X$205,7,FALSE),"")</f>
        <v/>
      </c>
      <c r="H30" s="102">
        <f>IFERROR(VLOOKUP($B30,'異常検知'!$A$6:$X$205,8,FALSE),"")</f>
        <v/>
      </c>
      <c r="I30" s="102">
        <f>IFERROR(VLOOKUP($B30,'異常検知'!$A$6:$X$205,14,FALSE),"")</f>
        <v/>
      </c>
      <c r="J30" s="102">
        <f>IFERROR(VLOOKUP($B30,'異常検知'!$A$6:$X$205,15,FALSE),"")</f>
        <v/>
      </c>
      <c r="K30" s="102">
        <f>IFERROR(VLOOKUP($B30,'異常検知'!$A$6:$X$205,18,FALSE),"")</f>
        <v/>
      </c>
      <c r="L30" s="102" t="inlineStr">
        <is>
          <t>未対応</t>
        </is>
      </c>
      <c r="M30" s="141">
        <f>IFERROR(VLOOKUP($B30,'異常検知'!$A$6:$X$205,20,FALSE),"")</f>
        <v/>
      </c>
      <c r="N30" s="141" t="n"/>
      <c r="O30" s="102">
        <f>IF($M30="","",IF(AND($L30&lt;&gt;"完了",TODAY()&gt;$M30),"期限超過","期限内"))</f>
        <v/>
      </c>
      <c r="P30" s="102" t="inlineStr">
        <is>
          <t>Not classified</t>
        </is>
      </c>
      <c r="Q30" s="102" t="n"/>
      <c r="R30" s="102" t="n"/>
      <c r="S30" s="144" t="n"/>
      <c r="T30" s="102" t="n"/>
    </row>
    <row r="31">
      <c r="A31" s="102">
        <f>IF($B31="","","WO-"&amp;TEXT(ROW()-5,"0000"))</f>
        <v/>
      </c>
      <c r="B31" s="102" t="n"/>
      <c r="C31" s="141">
        <f>IFERROR(VLOOKUP($B31,'異常検知'!$A$6:$X$205,2,FALSE),"")</f>
        <v/>
      </c>
      <c r="D31" s="102">
        <f>IFERROR(VLOOKUP($B31,'異常検知'!$A$6:$X$205,3,FALSE),"")</f>
        <v/>
      </c>
      <c r="E31" s="102">
        <f>IFERROR(VLOOKUP($B31,'異常検知'!$A$6:$X$205,4,FALSE),"")</f>
        <v/>
      </c>
      <c r="F31" s="102">
        <f>IFERROR(VLOOKUP($B31,'異常検知'!$A$6:$X$205,5,FALSE),"")</f>
        <v/>
      </c>
      <c r="G31" s="102">
        <f>IFERROR(VLOOKUP($B31,'異常検知'!$A$6:$X$205,7,FALSE),"")</f>
        <v/>
      </c>
      <c r="H31" s="102">
        <f>IFERROR(VLOOKUP($B31,'異常検知'!$A$6:$X$205,8,FALSE),"")</f>
        <v/>
      </c>
      <c r="I31" s="102">
        <f>IFERROR(VLOOKUP($B31,'異常検知'!$A$6:$X$205,14,FALSE),"")</f>
        <v/>
      </c>
      <c r="J31" s="102">
        <f>IFERROR(VLOOKUP($B31,'異常検知'!$A$6:$X$205,15,FALSE),"")</f>
        <v/>
      </c>
      <c r="K31" s="102">
        <f>IFERROR(VLOOKUP($B31,'異常検知'!$A$6:$X$205,18,FALSE),"")</f>
        <v/>
      </c>
      <c r="L31" s="102" t="inlineStr">
        <is>
          <t>未対応</t>
        </is>
      </c>
      <c r="M31" s="141">
        <f>IFERROR(VLOOKUP($B31,'異常検知'!$A$6:$X$205,20,FALSE),"")</f>
        <v/>
      </c>
      <c r="N31" s="141" t="n"/>
      <c r="O31" s="102">
        <f>IF($M31="","",IF(AND($L31&lt;&gt;"完了",TODAY()&gt;$M31),"期限超過","期限内"))</f>
        <v/>
      </c>
      <c r="P31" s="102" t="inlineStr">
        <is>
          <t>Not classified</t>
        </is>
      </c>
      <c r="Q31" s="102" t="n"/>
      <c r="R31" s="102" t="n"/>
      <c r="S31" s="144" t="n"/>
      <c r="T31" s="102" t="n"/>
    </row>
    <row r="32">
      <c r="A32" s="102">
        <f>IF($B32="","","WO-"&amp;TEXT(ROW()-5,"0000"))</f>
        <v/>
      </c>
      <c r="B32" s="102" t="n"/>
      <c r="C32" s="141">
        <f>IFERROR(VLOOKUP($B32,'異常検知'!$A$6:$X$205,2,FALSE),"")</f>
        <v/>
      </c>
      <c r="D32" s="102">
        <f>IFERROR(VLOOKUP($B32,'異常検知'!$A$6:$X$205,3,FALSE),"")</f>
        <v/>
      </c>
      <c r="E32" s="102">
        <f>IFERROR(VLOOKUP($B32,'異常検知'!$A$6:$X$205,4,FALSE),"")</f>
        <v/>
      </c>
      <c r="F32" s="102">
        <f>IFERROR(VLOOKUP($B32,'異常検知'!$A$6:$X$205,5,FALSE),"")</f>
        <v/>
      </c>
      <c r="G32" s="102">
        <f>IFERROR(VLOOKUP($B32,'異常検知'!$A$6:$X$205,7,FALSE),"")</f>
        <v/>
      </c>
      <c r="H32" s="102">
        <f>IFERROR(VLOOKUP($B32,'異常検知'!$A$6:$X$205,8,FALSE),"")</f>
        <v/>
      </c>
      <c r="I32" s="102">
        <f>IFERROR(VLOOKUP($B32,'異常検知'!$A$6:$X$205,14,FALSE),"")</f>
        <v/>
      </c>
      <c r="J32" s="102">
        <f>IFERROR(VLOOKUP($B32,'異常検知'!$A$6:$X$205,15,FALSE),"")</f>
        <v/>
      </c>
      <c r="K32" s="102">
        <f>IFERROR(VLOOKUP($B32,'異常検知'!$A$6:$X$205,18,FALSE),"")</f>
        <v/>
      </c>
      <c r="L32" s="102" t="inlineStr">
        <is>
          <t>未対応</t>
        </is>
      </c>
      <c r="M32" s="141">
        <f>IFERROR(VLOOKUP($B32,'異常検知'!$A$6:$X$205,20,FALSE),"")</f>
        <v/>
      </c>
      <c r="N32" s="141" t="n"/>
      <c r="O32" s="102">
        <f>IF($M32="","",IF(AND($L32&lt;&gt;"完了",TODAY()&gt;$M32),"期限超過","期限内"))</f>
        <v/>
      </c>
      <c r="P32" s="102" t="inlineStr">
        <is>
          <t>Not classified</t>
        </is>
      </c>
      <c r="Q32" s="102" t="n"/>
      <c r="R32" s="102" t="n"/>
      <c r="S32" s="144" t="n"/>
      <c r="T32" s="102" t="n"/>
    </row>
    <row r="33">
      <c r="A33" s="102">
        <f>IF($B33="","","WO-"&amp;TEXT(ROW()-5,"0000"))</f>
        <v/>
      </c>
      <c r="B33" s="102" t="n"/>
      <c r="C33" s="141">
        <f>IFERROR(VLOOKUP($B33,'異常検知'!$A$6:$X$205,2,FALSE),"")</f>
        <v/>
      </c>
      <c r="D33" s="102">
        <f>IFERROR(VLOOKUP($B33,'異常検知'!$A$6:$X$205,3,FALSE),"")</f>
        <v/>
      </c>
      <c r="E33" s="102">
        <f>IFERROR(VLOOKUP($B33,'異常検知'!$A$6:$X$205,4,FALSE),"")</f>
        <v/>
      </c>
      <c r="F33" s="102">
        <f>IFERROR(VLOOKUP($B33,'異常検知'!$A$6:$X$205,5,FALSE),"")</f>
        <v/>
      </c>
      <c r="G33" s="102">
        <f>IFERROR(VLOOKUP($B33,'異常検知'!$A$6:$X$205,7,FALSE),"")</f>
        <v/>
      </c>
      <c r="H33" s="102">
        <f>IFERROR(VLOOKUP($B33,'異常検知'!$A$6:$X$205,8,FALSE),"")</f>
        <v/>
      </c>
      <c r="I33" s="102">
        <f>IFERROR(VLOOKUP($B33,'異常検知'!$A$6:$X$205,14,FALSE),"")</f>
        <v/>
      </c>
      <c r="J33" s="102">
        <f>IFERROR(VLOOKUP($B33,'異常検知'!$A$6:$X$205,15,FALSE),"")</f>
        <v/>
      </c>
      <c r="K33" s="102">
        <f>IFERROR(VLOOKUP($B33,'異常検知'!$A$6:$X$205,18,FALSE),"")</f>
        <v/>
      </c>
      <c r="L33" s="102" t="inlineStr">
        <is>
          <t>未対応</t>
        </is>
      </c>
      <c r="M33" s="141">
        <f>IFERROR(VLOOKUP($B33,'異常検知'!$A$6:$X$205,20,FALSE),"")</f>
        <v/>
      </c>
      <c r="N33" s="141" t="n"/>
      <c r="O33" s="102">
        <f>IF($M33="","",IF(AND($L33&lt;&gt;"完了",TODAY()&gt;$M33),"期限超過","期限内"))</f>
        <v/>
      </c>
      <c r="P33" s="102" t="inlineStr">
        <is>
          <t>Not classified</t>
        </is>
      </c>
      <c r="Q33" s="102" t="n"/>
      <c r="R33" s="102" t="n"/>
      <c r="S33" s="144" t="n"/>
      <c r="T33" s="102" t="n"/>
    </row>
    <row r="34">
      <c r="A34" s="102">
        <f>IF($B34="","","WO-"&amp;TEXT(ROW()-5,"0000"))</f>
        <v/>
      </c>
      <c r="B34" s="102" t="n"/>
      <c r="C34" s="141">
        <f>IFERROR(VLOOKUP($B34,'異常検知'!$A$6:$X$205,2,FALSE),"")</f>
        <v/>
      </c>
      <c r="D34" s="102">
        <f>IFERROR(VLOOKUP($B34,'異常検知'!$A$6:$X$205,3,FALSE),"")</f>
        <v/>
      </c>
      <c r="E34" s="102">
        <f>IFERROR(VLOOKUP($B34,'異常検知'!$A$6:$X$205,4,FALSE),"")</f>
        <v/>
      </c>
      <c r="F34" s="102">
        <f>IFERROR(VLOOKUP($B34,'異常検知'!$A$6:$X$205,5,FALSE),"")</f>
        <v/>
      </c>
      <c r="G34" s="102">
        <f>IFERROR(VLOOKUP($B34,'異常検知'!$A$6:$X$205,7,FALSE),"")</f>
        <v/>
      </c>
      <c r="H34" s="102">
        <f>IFERROR(VLOOKUP($B34,'異常検知'!$A$6:$X$205,8,FALSE),"")</f>
        <v/>
      </c>
      <c r="I34" s="102">
        <f>IFERROR(VLOOKUP($B34,'異常検知'!$A$6:$X$205,14,FALSE),"")</f>
        <v/>
      </c>
      <c r="J34" s="102">
        <f>IFERROR(VLOOKUP($B34,'異常検知'!$A$6:$X$205,15,FALSE),"")</f>
        <v/>
      </c>
      <c r="K34" s="102">
        <f>IFERROR(VLOOKUP($B34,'異常検知'!$A$6:$X$205,18,FALSE),"")</f>
        <v/>
      </c>
      <c r="L34" s="102" t="inlineStr">
        <is>
          <t>未対応</t>
        </is>
      </c>
      <c r="M34" s="141">
        <f>IFERROR(VLOOKUP($B34,'異常検知'!$A$6:$X$205,20,FALSE),"")</f>
        <v/>
      </c>
      <c r="N34" s="141" t="n"/>
      <c r="O34" s="102">
        <f>IF($M34="","",IF(AND($L34&lt;&gt;"完了",TODAY()&gt;$M34),"期限超過","期限内"))</f>
        <v/>
      </c>
      <c r="P34" s="102" t="inlineStr">
        <is>
          <t>Not classified</t>
        </is>
      </c>
      <c r="Q34" s="102" t="n"/>
      <c r="R34" s="102" t="n"/>
      <c r="S34" s="144" t="n"/>
      <c r="T34" s="102" t="n"/>
    </row>
    <row r="35">
      <c r="A35" s="102">
        <f>IF($B35="","","WO-"&amp;TEXT(ROW()-5,"0000"))</f>
        <v/>
      </c>
      <c r="B35" s="102" t="n"/>
      <c r="C35" s="141">
        <f>IFERROR(VLOOKUP($B35,'異常検知'!$A$6:$X$205,2,FALSE),"")</f>
        <v/>
      </c>
      <c r="D35" s="102">
        <f>IFERROR(VLOOKUP($B35,'異常検知'!$A$6:$X$205,3,FALSE),"")</f>
        <v/>
      </c>
      <c r="E35" s="102">
        <f>IFERROR(VLOOKUP($B35,'異常検知'!$A$6:$X$205,4,FALSE),"")</f>
        <v/>
      </c>
      <c r="F35" s="102">
        <f>IFERROR(VLOOKUP($B35,'異常検知'!$A$6:$X$205,5,FALSE),"")</f>
        <v/>
      </c>
      <c r="G35" s="102">
        <f>IFERROR(VLOOKUP($B35,'異常検知'!$A$6:$X$205,7,FALSE),"")</f>
        <v/>
      </c>
      <c r="H35" s="102">
        <f>IFERROR(VLOOKUP($B35,'異常検知'!$A$6:$X$205,8,FALSE),"")</f>
        <v/>
      </c>
      <c r="I35" s="102">
        <f>IFERROR(VLOOKUP($B35,'異常検知'!$A$6:$X$205,14,FALSE),"")</f>
        <v/>
      </c>
      <c r="J35" s="102">
        <f>IFERROR(VLOOKUP($B35,'異常検知'!$A$6:$X$205,15,FALSE),"")</f>
        <v/>
      </c>
      <c r="K35" s="102">
        <f>IFERROR(VLOOKUP($B35,'異常検知'!$A$6:$X$205,18,FALSE),"")</f>
        <v/>
      </c>
      <c r="L35" s="102" t="inlineStr">
        <is>
          <t>未対応</t>
        </is>
      </c>
      <c r="M35" s="141">
        <f>IFERROR(VLOOKUP($B35,'異常検知'!$A$6:$X$205,20,FALSE),"")</f>
        <v/>
      </c>
      <c r="N35" s="141" t="n"/>
      <c r="O35" s="102">
        <f>IF($M35="","",IF(AND($L35&lt;&gt;"完了",TODAY()&gt;$M35),"期限超過","期限内"))</f>
        <v/>
      </c>
      <c r="P35" s="102" t="inlineStr">
        <is>
          <t>Not classified</t>
        </is>
      </c>
      <c r="Q35" s="102" t="n"/>
      <c r="R35" s="102" t="n"/>
      <c r="S35" s="144" t="n"/>
      <c r="T35" s="102" t="n"/>
    </row>
    <row r="36">
      <c r="A36" s="102">
        <f>IF($B36="","","WO-"&amp;TEXT(ROW()-5,"0000"))</f>
        <v/>
      </c>
      <c r="B36" s="102" t="n"/>
      <c r="C36" s="141">
        <f>IFERROR(VLOOKUP($B36,'異常検知'!$A$6:$X$205,2,FALSE),"")</f>
        <v/>
      </c>
      <c r="D36" s="102">
        <f>IFERROR(VLOOKUP($B36,'異常検知'!$A$6:$X$205,3,FALSE),"")</f>
        <v/>
      </c>
      <c r="E36" s="102">
        <f>IFERROR(VLOOKUP($B36,'異常検知'!$A$6:$X$205,4,FALSE),"")</f>
        <v/>
      </c>
      <c r="F36" s="102">
        <f>IFERROR(VLOOKUP($B36,'異常検知'!$A$6:$X$205,5,FALSE),"")</f>
        <v/>
      </c>
      <c r="G36" s="102">
        <f>IFERROR(VLOOKUP($B36,'異常検知'!$A$6:$X$205,7,FALSE),"")</f>
        <v/>
      </c>
      <c r="H36" s="102">
        <f>IFERROR(VLOOKUP($B36,'異常検知'!$A$6:$X$205,8,FALSE),"")</f>
        <v/>
      </c>
      <c r="I36" s="102">
        <f>IFERROR(VLOOKUP($B36,'異常検知'!$A$6:$X$205,14,FALSE),"")</f>
        <v/>
      </c>
      <c r="J36" s="102">
        <f>IFERROR(VLOOKUP($B36,'異常検知'!$A$6:$X$205,15,FALSE),"")</f>
        <v/>
      </c>
      <c r="K36" s="102">
        <f>IFERROR(VLOOKUP($B36,'異常検知'!$A$6:$X$205,18,FALSE),"")</f>
        <v/>
      </c>
      <c r="L36" s="102" t="inlineStr">
        <is>
          <t>未対応</t>
        </is>
      </c>
      <c r="M36" s="141">
        <f>IFERROR(VLOOKUP($B36,'異常検知'!$A$6:$X$205,20,FALSE),"")</f>
        <v/>
      </c>
      <c r="N36" s="141" t="n"/>
      <c r="O36" s="102">
        <f>IF($M36="","",IF(AND($L36&lt;&gt;"完了",TODAY()&gt;$M36),"期限超過","期限内"))</f>
        <v/>
      </c>
      <c r="P36" s="102" t="inlineStr">
        <is>
          <t>Not classified</t>
        </is>
      </c>
      <c r="Q36" s="102" t="n"/>
      <c r="R36" s="102" t="n"/>
      <c r="S36" s="144" t="n"/>
      <c r="T36" s="102" t="n"/>
    </row>
    <row r="37">
      <c r="A37" s="102">
        <f>IF($B37="","","WO-"&amp;TEXT(ROW()-5,"0000"))</f>
        <v/>
      </c>
      <c r="B37" s="102" t="n"/>
      <c r="C37" s="141">
        <f>IFERROR(VLOOKUP($B37,'異常検知'!$A$6:$X$205,2,FALSE),"")</f>
        <v/>
      </c>
      <c r="D37" s="102">
        <f>IFERROR(VLOOKUP($B37,'異常検知'!$A$6:$X$205,3,FALSE),"")</f>
        <v/>
      </c>
      <c r="E37" s="102">
        <f>IFERROR(VLOOKUP($B37,'異常検知'!$A$6:$X$205,4,FALSE),"")</f>
        <v/>
      </c>
      <c r="F37" s="102">
        <f>IFERROR(VLOOKUP($B37,'異常検知'!$A$6:$X$205,5,FALSE),"")</f>
        <v/>
      </c>
      <c r="G37" s="102">
        <f>IFERROR(VLOOKUP($B37,'異常検知'!$A$6:$X$205,7,FALSE),"")</f>
        <v/>
      </c>
      <c r="H37" s="102">
        <f>IFERROR(VLOOKUP($B37,'異常検知'!$A$6:$X$205,8,FALSE),"")</f>
        <v/>
      </c>
      <c r="I37" s="102">
        <f>IFERROR(VLOOKUP($B37,'異常検知'!$A$6:$X$205,14,FALSE),"")</f>
        <v/>
      </c>
      <c r="J37" s="102">
        <f>IFERROR(VLOOKUP($B37,'異常検知'!$A$6:$X$205,15,FALSE),"")</f>
        <v/>
      </c>
      <c r="K37" s="102">
        <f>IFERROR(VLOOKUP($B37,'異常検知'!$A$6:$X$205,18,FALSE),"")</f>
        <v/>
      </c>
      <c r="L37" s="102" t="inlineStr">
        <is>
          <t>未対応</t>
        </is>
      </c>
      <c r="M37" s="141">
        <f>IFERROR(VLOOKUP($B37,'異常検知'!$A$6:$X$205,20,FALSE),"")</f>
        <v/>
      </c>
      <c r="N37" s="141" t="n"/>
      <c r="O37" s="102">
        <f>IF($M37="","",IF(AND($L37&lt;&gt;"完了",TODAY()&gt;$M37),"期限超過","期限内"))</f>
        <v/>
      </c>
      <c r="P37" s="102" t="inlineStr">
        <is>
          <t>Not classified</t>
        </is>
      </c>
      <c r="Q37" s="102" t="n"/>
      <c r="R37" s="102" t="n"/>
      <c r="S37" s="144" t="n"/>
      <c r="T37" s="102" t="n"/>
    </row>
    <row r="38">
      <c r="A38" s="102">
        <f>IF($B38="","","WO-"&amp;TEXT(ROW()-5,"0000"))</f>
        <v/>
      </c>
      <c r="B38" s="102" t="n"/>
      <c r="C38" s="141">
        <f>IFERROR(VLOOKUP($B38,'異常検知'!$A$6:$X$205,2,FALSE),"")</f>
        <v/>
      </c>
      <c r="D38" s="102">
        <f>IFERROR(VLOOKUP($B38,'異常検知'!$A$6:$X$205,3,FALSE),"")</f>
        <v/>
      </c>
      <c r="E38" s="102">
        <f>IFERROR(VLOOKUP($B38,'異常検知'!$A$6:$X$205,4,FALSE),"")</f>
        <v/>
      </c>
      <c r="F38" s="102">
        <f>IFERROR(VLOOKUP($B38,'異常検知'!$A$6:$X$205,5,FALSE),"")</f>
        <v/>
      </c>
      <c r="G38" s="102">
        <f>IFERROR(VLOOKUP($B38,'異常検知'!$A$6:$X$205,7,FALSE),"")</f>
        <v/>
      </c>
      <c r="H38" s="102">
        <f>IFERROR(VLOOKUP($B38,'異常検知'!$A$6:$X$205,8,FALSE),"")</f>
        <v/>
      </c>
      <c r="I38" s="102">
        <f>IFERROR(VLOOKUP($B38,'異常検知'!$A$6:$X$205,14,FALSE),"")</f>
        <v/>
      </c>
      <c r="J38" s="102">
        <f>IFERROR(VLOOKUP($B38,'異常検知'!$A$6:$X$205,15,FALSE),"")</f>
        <v/>
      </c>
      <c r="K38" s="102">
        <f>IFERROR(VLOOKUP($B38,'異常検知'!$A$6:$X$205,18,FALSE),"")</f>
        <v/>
      </c>
      <c r="L38" s="102" t="inlineStr">
        <is>
          <t>未対応</t>
        </is>
      </c>
      <c r="M38" s="141">
        <f>IFERROR(VLOOKUP($B38,'異常検知'!$A$6:$X$205,20,FALSE),"")</f>
        <v/>
      </c>
      <c r="N38" s="141" t="n"/>
      <c r="O38" s="102">
        <f>IF($M38="","",IF(AND($L38&lt;&gt;"完了",TODAY()&gt;$M38),"期限超過","期限内"))</f>
        <v/>
      </c>
      <c r="P38" s="102" t="inlineStr">
        <is>
          <t>Not classified</t>
        </is>
      </c>
      <c r="Q38" s="102" t="n"/>
      <c r="R38" s="102" t="n"/>
      <c r="S38" s="144" t="n"/>
      <c r="T38" s="102" t="n"/>
    </row>
    <row r="39">
      <c r="A39" s="102">
        <f>IF($B39="","","WO-"&amp;TEXT(ROW()-5,"0000"))</f>
        <v/>
      </c>
      <c r="B39" s="102" t="n"/>
      <c r="C39" s="141">
        <f>IFERROR(VLOOKUP($B39,'異常検知'!$A$6:$X$205,2,FALSE),"")</f>
        <v/>
      </c>
      <c r="D39" s="102">
        <f>IFERROR(VLOOKUP($B39,'異常検知'!$A$6:$X$205,3,FALSE),"")</f>
        <v/>
      </c>
      <c r="E39" s="102">
        <f>IFERROR(VLOOKUP($B39,'異常検知'!$A$6:$X$205,4,FALSE),"")</f>
        <v/>
      </c>
      <c r="F39" s="102">
        <f>IFERROR(VLOOKUP($B39,'異常検知'!$A$6:$X$205,5,FALSE),"")</f>
        <v/>
      </c>
      <c r="G39" s="102">
        <f>IFERROR(VLOOKUP($B39,'異常検知'!$A$6:$X$205,7,FALSE),"")</f>
        <v/>
      </c>
      <c r="H39" s="102">
        <f>IFERROR(VLOOKUP($B39,'異常検知'!$A$6:$X$205,8,FALSE),"")</f>
        <v/>
      </c>
      <c r="I39" s="102">
        <f>IFERROR(VLOOKUP($B39,'異常検知'!$A$6:$X$205,14,FALSE),"")</f>
        <v/>
      </c>
      <c r="J39" s="102">
        <f>IFERROR(VLOOKUP($B39,'異常検知'!$A$6:$X$205,15,FALSE),"")</f>
        <v/>
      </c>
      <c r="K39" s="102">
        <f>IFERROR(VLOOKUP($B39,'異常検知'!$A$6:$X$205,18,FALSE),"")</f>
        <v/>
      </c>
      <c r="L39" s="102" t="inlineStr">
        <is>
          <t>未対応</t>
        </is>
      </c>
      <c r="M39" s="141">
        <f>IFERROR(VLOOKUP($B39,'異常検知'!$A$6:$X$205,20,FALSE),"")</f>
        <v/>
      </c>
      <c r="N39" s="141" t="n"/>
      <c r="O39" s="102">
        <f>IF($M39="","",IF(AND($L39&lt;&gt;"完了",TODAY()&gt;$M39),"期限超過","期限内"))</f>
        <v/>
      </c>
      <c r="P39" s="102" t="inlineStr">
        <is>
          <t>Not classified</t>
        </is>
      </c>
      <c r="Q39" s="102" t="n"/>
      <c r="R39" s="102" t="n"/>
      <c r="S39" s="144" t="n"/>
      <c r="T39" s="102" t="n"/>
    </row>
    <row r="40">
      <c r="A40" s="102">
        <f>IF($B40="","","WO-"&amp;TEXT(ROW()-5,"0000"))</f>
        <v/>
      </c>
      <c r="B40" s="102" t="n"/>
      <c r="C40" s="141">
        <f>IFERROR(VLOOKUP($B40,'異常検知'!$A$6:$X$205,2,FALSE),"")</f>
        <v/>
      </c>
      <c r="D40" s="102">
        <f>IFERROR(VLOOKUP($B40,'異常検知'!$A$6:$X$205,3,FALSE),"")</f>
        <v/>
      </c>
      <c r="E40" s="102">
        <f>IFERROR(VLOOKUP($B40,'異常検知'!$A$6:$X$205,4,FALSE),"")</f>
        <v/>
      </c>
      <c r="F40" s="102">
        <f>IFERROR(VLOOKUP($B40,'異常検知'!$A$6:$X$205,5,FALSE),"")</f>
        <v/>
      </c>
      <c r="G40" s="102">
        <f>IFERROR(VLOOKUP($B40,'異常検知'!$A$6:$X$205,7,FALSE),"")</f>
        <v/>
      </c>
      <c r="H40" s="102">
        <f>IFERROR(VLOOKUP($B40,'異常検知'!$A$6:$X$205,8,FALSE),"")</f>
        <v/>
      </c>
      <c r="I40" s="102">
        <f>IFERROR(VLOOKUP($B40,'異常検知'!$A$6:$X$205,14,FALSE),"")</f>
        <v/>
      </c>
      <c r="J40" s="102">
        <f>IFERROR(VLOOKUP($B40,'異常検知'!$A$6:$X$205,15,FALSE),"")</f>
        <v/>
      </c>
      <c r="K40" s="102">
        <f>IFERROR(VLOOKUP($B40,'異常検知'!$A$6:$X$205,18,FALSE),"")</f>
        <v/>
      </c>
      <c r="L40" s="102" t="inlineStr">
        <is>
          <t>未対応</t>
        </is>
      </c>
      <c r="M40" s="141">
        <f>IFERROR(VLOOKUP($B40,'異常検知'!$A$6:$X$205,20,FALSE),"")</f>
        <v/>
      </c>
      <c r="N40" s="141" t="n"/>
      <c r="O40" s="102">
        <f>IF($M40="","",IF(AND($L40&lt;&gt;"完了",TODAY()&gt;$M40),"期限超過","期限内"))</f>
        <v/>
      </c>
      <c r="P40" s="102" t="inlineStr">
        <is>
          <t>Not classified</t>
        </is>
      </c>
      <c r="Q40" s="102" t="n"/>
      <c r="R40" s="102" t="n"/>
      <c r="S40" s="144" t="n"/>
      <c r="T40" s="102" t="n"/>
    </row>
    <row r="41">
      <c r="A41" s="102">
        <f>IF($B41="","","WO-"&amp;TEXT(ROW()-5,"0000"))</f>
        <v/>
      </c>
      <c r="B41" s="102" t="n"/>
      <c r="C41" s="141">
        <f>IFERROR(VLOOKUP($B41,'異常検知'!$A$6:$X$205,2,FALSE),"")</f>
        <v/>
      </c>
      <c r="D41" s="102">
        <f>IFERROR(VLOOKUP($B41,'異常検知'!$A$6:$X$205,3,FALSE),"")</f>
        <v/>
      </c>
      <c r="E41" s="102">
        <f>IFERROR(VLOOKUP($B41,'異常検知'!$A$6:$X$205,4,FALSE),"")</f>
        <v/>
      </c>
      <c r="F41" s="102">
        <f>IFERROR(VLOOKUP($B41,'異常検知'!$A$6:$X$205,5,FALSE),"")</f>
        <v/>
      </c>
      <c r="G41" s="102">
        <f>IFERROR(VLOOKUP($B41,'異常検知'!$A$6:$X$205,7,FALSE),"")</f>
        <v/>
      </c>
      <c r="H41" s="102">
        <f>IFERROR(VLOOKUP($B41,'異常検知'!$A$6:$X$205,8,FALSE),"")</f>
        <v/>
      </c>
      <c r="I41" s="102">
        <f>IFERROR(VLOOKUP($B41,'異常検知'!$A$6:$X$205,14,FALSE),"")</f>
        <v/>
      </c>
      <c r="J41" s="102">
        <f>IFERROR(VLOOKUP($B41,'異常検知'!$A$6:$X$205,15,FALSE),"")</f>
        <v/>
      </c>
      <c r="K41" s="102">
        <f>IFERROR(VLOOKUP($B41,'異常検知'!$A$6:$X$205,18,FALSE),"")</f>
        <v/>
      </c>
      <c r="L41" s="102" t="inlineStr">
        <is>
          <t>未対応</t>
        </is>
      </c>
      <c r="M41" s="141">
        <f>IFERROR(VLOOKUP($B41,'異常検知'!$A$6:$X$205,20,FALSE),"")</f>
        <v/>
      </c>
      <c r="N41" s="141" t="n"/>
      <c r="O41" s="102">
        <f>IF($M41="","",IF(AND($L41&lt;&gt;"完了",TODAY()&gt;$M41),"期限超過","期限内"))</f>
        <v/>
      </c>
      <c r="P41" s="102" t="inlineStr">
        <is>
          <t>Not classified</t>
        </is>
      </c>
      <c r="Q41" s="102" t="n"/>
      <c r="R41" s="102" t="n"/>
      <c r="S41" s="144" t="n"/>
      <c r="T41" s="102" t="n"/>
    </row>
    <row r="42">
      <c r="A42" s="102">
        <f>IF($B42="","","WO-"&amp;TEXT(ROW()-5,"0000"))</f>
        <v/>
      </c>
      <c r="B42" s="102" t="n"/>
      <c r="C42" s="141">
        <f>IFERROR(VLOOKUP($B42,'異常検知'!$A$6:$X$205,2,FALSE),"")</f>
        <v/>
      </c>
      <c r="D42" s="102">
        <f>IFERROR(VLOOKUP($B42,'異常検知'!$A$6:$X$205,3,FALSE),"")</f>
        <v/>
      </c>
      <c r="E42" s="102">
        <f>IFERROR(VLOOKUP($B42,'異常検知'!$A$6:$X$205,4,FALSE),"")</f>
        <v/>
      </c>
      <c r="F42" s="102">
        <f>IFERROR(VLOOKUP($B42,'異常検知'!$A$6:$X$205,5,FALSE),"")</f>
        <v/>
      </c>
      <c r="G42" s="102">
        <f>IFERROR(VLOOKUP($B42,'異常検知'!$A$6:$X$205,7,FALSE),"")</f>
        <v/>
      </c>
      <c r="H42" s="102">
        <f>IFERROR(VLOOKUP($B42,'異常検知'!$A$6:$X$205,8,FALSE),"")</f>
        <v/>
      </c>
      <c r="I42" s="102">
        <f>IFERROR(VLOOKUP($B42,'異常検知'!$A$6:$X$205,14,FALSE),"")</f>
        <v/>
      </c>
      <c r="J42" s="102">
        <f>IFERROR(VLOOKUP($B42,'異常検知'!$A$6:$X$205,15,FALSE),"")</f>
        <v/>
      </c>
      <c r="K42" s="102">
        <f>IFERROR(VLOOKUP($B42,'異常検知'!$A$6:$X$205,18,FALSE),"")</f>
        <v/>
      </c>
      <c r="L42" s="102" t="inlineStr">
        <is>
          <t>未対応</t>
        </is>
      </c>
      <c r="M42" s="141">
        <f>IFERROR(VLOOKUP($B42,'異常検知'!$A$6:$X$205,20,FALSE),"")</f>
        <v/>
      </c>
      <c r="N42" s="141" t="n"/>
      <c r="O42" s="102">
        <f>IF($M42="","",IF(AND($L42&lt;&gt;"完了",TODAY()&gt;$M42),"期限超過","期限内"))</f>
        <v/>
      </c>
      <c r="P42" s="102" t="inlineStr">
        <is>
          <t>Not classified</t>
        </is>
      </c>
      <c r="Q42" s="102" t="n"/>
      <c r="R42" s="102" t="n"/>
      <c r="S42" s="144" t="n"/>
      <c r="T42" s="102" t="n"/>
    </row>
    <row r="43">
      <c r="A43" s="102">
        <f>IF($B43="","","WO-"&amp;TEXT(ROW()-5,"0000"))</f>
        <v/>
      </c>
      <c r="B43" s="102" t="n"/>
      <c r="C43" s="141">
        <f>IFERROR(VLOOKUP($B43,'異常検知'!$A$6:$X$205,2,FALSE),"")</f>
        <v/>
      </c>
      <c r="D43" s="102">
        <f>IFERROR(VLOOKUP($B43,'異常検知'!$A$6:$X$205,3,FALSE),"")</f>
        <v/>
      </c>
      <c r="E43" s="102">
        <f>IFERROR(VLOOKUP($B43,'異常検知'!$A$6:$X$205,4,FALSE),"")</f>
        <v/>
      </c>
      <c r="F43" s="102">
        <f>IFERROR(VLOOKUP($B43,'異常検知'!$A$6:$X$205,5,FALSE),"")</f>
        <v/>
      </c>
      <c r="G43" s="102">
        <f>IFERROR(VLOOKUP($B43,'異常検知'!$A$6:$X$205,7,FALSE),"")</f>
        <v/>
      </c>
      <c r="H43" s="102">
        <f>IFERROR(VLOOKUP($B43,'異常検知'!$A$6:$X$205,8,FALSE),"")</f>
        <v/>
      </c>
      <c r="I43" s="102">
        <f>IFERROR(VLOOKUP($B43,'異常検知'!$A$6:$X$205,14,FALSE),"")</f>
        <v/>
      </c>
      <c r="J43" s="102">
        <f>IFERROR(VLOOKUP($B43,'異常検知'!$A$6:$X$205,15,FALSE),"")</f>
        <v/>
      </c>
      <c r="K43" s="102">
        <f>IFERROR(VLOOKUP($B43,'異常検知'!$A$6:$X$205,18,FALSE),"")</f>
        <v/>
      </c>
      <c r="L43" s="102" t="inlineStr">
        <is>
          <t>未対応</t>
        </is>
      </c>
      <c r="M43" s="141">
        <f>IFERROR(VLOOKUP($B43,'異常検知'!$A$6:$X$205,20,FALSE),"")</f>
        <v/>
      </c>
      <c r="N43" s="141" t="n"/>
      <c r="O43" s="102">
        <f>IF($M43="","",IF(AND($L43&lt;&gt;"完了",TODAY()&gt;$M43),"期限超過","期限内"))</f>
        <v/>
      </c>
      <c r="P43" s="102" t="inlineStr">
        <is>
          <t>Not classified</t>
        </is>
      </c>
      <c r="Q43" s="102" t="n"/>
      <c r="R43" s="102" t="n"/>
      <c r="S43" s="144" t="n"/>
      <c r="T43" s="102" t="n"/>
    </row>
    <row r="44">
      <c r="A44" s="102">
        <f>IF($B44="","","WO-"&amp;TEXT(ROW()-5,"0000"))</f>
        <v/>
      </c>
      <c r="B44" s="102" t="n"/>
      <c r="C44" s="141">
        <f>IFERROR(VLOOKUP($B44,'異常検知'!$A$6:$X$205,2,FALSE),"")</f>
        <v/>
      </c>
      <c r="D44" s="102">
        <f>IFERROR(VLOOKUP($B44,'異常検知'!$A$6:$X$205,3,FALSE),"")</f>
        <v/>
      </c>
      <c r="E44" s="102">
        <f>IFERROR(VLOOKUP($B44,'異常検知'!$A$6:$X$205,4,FALSE),"")</f>
        <v/>
      </c>
      <c r="F44" s="102">
        <f>IFERROR(VLOOKUP($B44,'異常検知'!$A$6:$X$205,5,FALSE),"")</f>
        <v/>
      </c>
      <c r="G44" s="102">
        <f>IFERROR(VLOOKUP($B44,'異常検知'!$A$6:$X$205,7,FALSE),"")</f>
        <v/>
      </c>
      <c r="H44" s="102">
        <f>IFERROR(VLOOKUP($B44,'異常検知'!$A$6:$X$205,8,FALSE),"")</f>
        <v/>
      </c>
      <c r="I44" s="102">
        <f>IFERROR(VLOOKUP($B44,'異常検知'!$A$6:$X$205,14,FALSE),"")</f>
        <v/>
      </c>
      <c r="J44" s="102">
        <f>IFERROR(VLOOKUP($B44,'異常検知'!$A$6:$X$205,15,FALSE),"")</f>
        <v/>
      </c>
      <c r="K44" s="102">
        <f>IFERROR(VLOOKUP($B44,'異常検知'!$A$6:$X$205,18,FALSE),"")</f>
        <v/>
      </c>
      <c r="L44" s="102" t="inlineStr">
        <is>
          <t>未対応</t>
        </is>
      </c>
      <c r="M44" s="141">
        <f>IFERROR(VLOOKUP($B44,'異常検知'!$A$6:$X$205,20,FALSE),"")</f>
        <v/>
      </c>
      <c r="N44" s="141" t="n"/>
      <c r="O44" s="102">
        <f>IF($M44="","",IF(AND($L44&lt;&gt;"完了",TODAY()&gt;$M44),"期限超過","期限内"))</f>
        <v/>
      </c>
      <c r="P44" s="102" t="inlineStr">
        <is>
          <t>Not classified</t>
        </is>
      </c>
      <c r="Q44" s="102" t="n"/>
      <c r="R44" s="102" t="n"/>
      <c r="S44" s="144" t="n"/>
      <c r="T44" s="102" t="n"/>
    </row>
    <row r="45">
      <c r="A45" s="102">
        <f>IF($B45="","","WO-"&amp;TEXT(ROW()-5,"0000"))</f>
        <v/>
      </c>
      <c r="B45" s="102" t="n"/>
      <c r="C45" s="141">
        <f>IFERROR(VLOOKUP($B45,'異常検知'!$A$6:$X$205,2,FALSE),"")</f>
        <v/>
      </c>
      <c r="D45" s="102">
        <f>IFERROR(VLOOKUP($B45,'異常検知'!$A$6:$X$205,3,FALSE),"")</f>
        <v/>
      </c>
      <c r="E45" s="102">
        <f>IFERROR(VLOOKUP($B45,'異常検知'!$A$6:$X$205,4,FALSE),"")</f>
        <v/>
      </c>
      <c r="F45" s="102">
        <f>IFERROR(VLOOKUP($B45,'異常検知'!$A$6:$X$205,5,FALSE),"")</f>
        <v/>
      </c>
      <c r="G45" s="102">
        <f>IFERROR(VLOOKUP($B45,'異常検知'!$A$6:$X$205,7,FALSE),"")</f>
        <v/>
      </c>
      <c r="H45" s="102">
        <f>IFERROR(VLOOKUP($B45,'異常検知'!$A$6:$X$205,8,FALSE),"")</f>
        <v/>
      </c>
      <c r="I45" s="102">
        <f>IFERROR(VLOOKUP($B45,'異常検知'!$A$6:$X$205,14,FALSE),"")</f>
        <v/>
      </c>
      <c r="J45" s="102">
        <f>IFERROR(VLOOKUP($B45,'異常検知'!$A$6:$X$205,15,FALSE),"")</f>
        <v/>
      </c>
      <c r="K45" s="102">
        <f>IFERROR(VLOOKUP($B45,'異常検知'!$A$6:$X$205,18,FALSE),"")</f>
        <v/>
      </c>
      <c r="L45" s="102" t="inlineStr">
        <is>
          <t>未対応</t>
        </is>
      </c>
      <c r="M45" s="141">
        <f>IFERROR(VLOOKUP($B45,'異常検知'!$A$6:$X$205,20,FALSE),"")</f>
        <v/>
      </c>
      <c r="N45" s="141" t="n"/>
      <c r="O45" s="102">
        <f>IF($M45="","",IF(AND($L45&lt;&gt;"完了",TODAY()&gt;$M45),"期限超過","期限内"))</f>
        <v/>
      </c>
      <c r="P45" s="102" t="inlineStr">
        <is>
          <t>Not classified</t>
        </is>
      </c>
      <c r="Q45" s="102" t="n"/>
      <c r="R45" s="102" t="n"/>
      <c r="S45" s="144" t="n"/>
      <c r="T45" s="102" t="n"/>
    </row>
    <row r="46">
      <c r="A46" s="102">
        <f>IF($B46="","","WO-"&amp;TEXT(ROW()-5,"0000"))</f>
        <v/>
      </c>
      <c r="B46" s="102" t="n"/>
      <c r="C46" s="141">
        <f>IFERROR(VLOOKUP($B46,'異常検知'!$A$6:$X$205,2,FALSE),"")</f>
        <v/>
      </c>
      <c r="D46" s="102">
        <f>IFERROR(VLOOKUP($B46,'異常検知'!$A$6:$X$205,3,FALSE),"")</f>
        <v/>
      </c>
      <c r="E46" s="102">
        <f>IFERROR(VLOOKUP($B46,'異常検知'!$A$6:$X$205,4,FALSE),"")</f>
        <v/>
      </c>
      <c r="F46" s="102">
        <f>IFERROR(VLOOKUP($B46,'異常検知'!$A$6:$X$205,5,FALSE),"")</f>
        <v/>
      </c>
      <c r="G46" s="102">
        <f>IFERROR(VLOOKUP($B46,'異常検知'!$A$6:$X$205,7,FALSE),"")</f>
        <v/>
      </c>
      <c r="H46" s="102">
        <f>IFERROR(VLOOKUP($B46,'異常検知'!$A$6:$X$205,8,FALSE),"")</f>
        <v/>
      </c>
      <c r="I46" s="102">
        <f>IFERROR(VLOOKUP($B46,'異常検知'!$A$6:$X$205,14,FALSE),"")</f>
        <v/>
      </c>
      <c r="J46" s="102">
        <f>IFERROR(VLOOKUP($B46,'異常検知'!$A$6:$X$205,15,FALSE),"")</f>
        <v/>
      </c>
      <c r="K46" s="102">
        <f>IFERROR(VLOOKUP($B46,'異常検知'!$A$6:$X$205,18,FALSE),"")</f>
        <v/>
      </c>
      <c r="L46" s="102" t="inlineStr">
        <is>
          <t>未対応</t>
        </is>
      </c>
      <c r="M46" s="141">
        <f>IFERROR(VLOOKUP($B46,'異常検知'!$A$6:$X$205,20,FALSE),"")</f>
        <v/>
      </c>
      <c r="N46" s="141" t="n"/>
      <c r="O46" s="102">
        <f>IF($M46="","",IF(AND($L46&lt;&gt;"完了",TODAY()&gt;$M46),"期限超過","期限内"))</f>
        <v/>
      </c>
      <c r="P46" s="102" t="inlineStr">
        <is>
          <t>Not classified</t>
        </is>
      </c>
      <c r="Q46" s="102" t="n"/>
      <c r="R46" s="102" t="n"/>
      <c r="S46" s="144" t="n"/>
      <c r="T46" s="102" t="n"/>
    </row>
    <row r="47">
      <c r="A47" s="102">
        <f>IF($B47="","","WO-"&amp;TEXT(ROW()-5,"0000"))</f>
        <v/>
      </c>
      <c r="B47" s="102" t="n"/>
      <c r="C47" s="141">
        <f>IFERROR(VLOOKUP($B47,'異常検知'!$A$6:$X$205,2,FALSE),"")</f>
        <v/>
      </c>
      <c r="D47" s="102">
        <f>IFERROR(VLOOKUP($B47,'異常検知'!$A$6:$X$205,3,FALSE),"")</f>
        <v/>
      </c>
      <c r="E47" s="102">
        <f>IFERROR(VLOOKUP($B47,'異常検知'!$A$6:$X$205,4,FALSE),"")</f>
        <v/>
      </c>
      <c r="F47" s="102">
        <f>IFERROR(VLOOKUP($B47,'異常検知'!$A$6:$X$205,5,FALSE),"")</f>
        <v/>
      </c>
      <c r="G47" s="102">
        <f>IFERROR(VLOOKUP($B47,'異常検知'!$A$6:$X$205,7,FALSE),"")</f>
        <v/>
      </c>
      <c r="H47" s="102">
        <f>IFERROR(VLOOKUP($B47,'異常検知'!$A$6:$X$205,8,FALSE),"")</f>
        <v/>
      </c>
      <c r="I47" s="102">
        <f>IFERROR(VLOOKUP($B47,'異常検知'!$A$6:$X$205,14,FALSE),"")</f>
        <v/>
      </c>
      <c r="J47" s="102">
        <f>IFERROR(VLOOKUP($B47,'異常検知'!$A$6:$X$205,15,FALSE),"")</f>
        <v/>
      </c>
      <c r="K47" s="102">
        <f>IFERROR(VLOOKUP($B47,'異常検知'!$A$6:$X$205,18,FALSE),"")</f>
        <v/>
      </c>
      <c r="L47" s="102" t="inlineStr">
        <is>
          <t>未対応</t>
        </is>
      </c>
      <c r="M47" s="141">
        <f>IFERROR(VLOOKUP($B47,'異常検知'!$A$6:$X$205,20,FALSE),"")</f>
        <v/>
      </c>
      <c r="N47" s="141" t="n"/>
      <c r="O47" s="102">
        <f>IF($M47="","",IF(AND($L47&lt;&gt;"完了",TODAY()&gt;$M47),"期限超過","期限内"))</f>
        <v/>
      </c>
      <c r="P47" s="102" t="inlineStr">
        <is>
          <t>Not classified</t>
        </is>
      </c>
      <c r="Q47" s="102" t="n"/>
      <c r="R47" s="102" t="n"/>
      <c r="S47" s="144" t="n"/>
      <c r="T47" s="102" t="n"/>
    </row>
    <row r="48">
      <c r="A48" s="102">
        <f>IF($B48="","","WO-"&amp;TEXT(ROW()-5,"0000"))</f>
        <v/>
      </c>
      <c r="B48" s="102" t="n"/>
      <c r="C48" s="141">
        <f>IFERROR(VLOOKUP($B48,'異常検知'!$A$6:$X$205,2,FALSE),"")</f>
        <v/>
      </c>
      <c r="D48" s="102">
        <f>IFERROR(VLOOKUP($B48,'異常検知'!$A$6:$X$205,3,FALSE),"")</f>
        <v/>
      </c>
      <c r="E48" s="102">
        <f>IFERROR(VLOOKUP($B48,'異常検知'!$A$6:$X$205,4,FALSE),"")</f>
        <v/>
      </c>
      <c r="F48" s="102">
        <f>IFERROR(VLOOKUP($B48,'異常検知'!$A$6:$X$205,5,FALSE),"")</f>
        <v/>
      </c>
      <c r="G48" s="102">
        <f>IFERROR(VLOOKUP($B48,'異常検知'!$A$6:$X$205,7,FALSE),"")</f>
        <v/>
      </c>
      <c r="H48" s="102">
        <f>IFERROR(VLOOKUP($B48,'異常検知'!$A$6:$X$205,8,FALSE),"")</f>
        <v/>
      </c>
      <c r="I48" s="102">
        <f>IFERROR(VLOOKUP($B48,'異常検知'!$A$6:$X$205,14,FALSE),"")</f>
        <v/>
      </c>
      <c r="J48" s="102">
        <f>IFERROR(VLOOKUP($B48,'異常検知'!$A$6:$X$205,15,FALSE),"")</f>
        <v/>
      </c>
      <c r="K48" s="102">
        <f>IFERROR(VLOOKUP($B48,'異常検知'!$A$6:$X$205,18,FALSE),"")</f>
        <v/>
      </c>
      <c r="L48" s="102" t="inlineStr">
        <is>
          <t>未対応</t>
        </is>
      </c>
      <c r="M48" s="141">
        <f>IFERROR(VLOOKUP($B48,'異常検知'!$A$6:$X$205,20,FALSE),"")</f>
        <v/>
      </c>
      <c r="N48" s="141" t="n"/>
      <c r="O48" s="102">
        <f>IF($M48="","",IF(AND($L48&lt;&gt;"完了",TODAY()&gt;$M48),"期限超過","期限内"))</f>
        <v/>
      </c>
      <c r="P48" s="102" t="inlineStr">
        <is>
          <t>Not classified</t>
        </is>
      </c>
      <c r="Q48" s="102" t="n"/>
      <c r="R48" s="102" t="n"/>
      <c r="S48" s="144" t="n"/>
      <c r="T48" s="102" t="n"/>
    </row>
    <row r="49">
      <c r="A49" s="102">
        <f>IF($B49="","","WO-"&amp;TEXT(ROW()-5,"0000"))</f>
        <v/>
      </c>
      <c r="B49" s="102" t="n"/>
      <c r="C49" s="141">
        <f>IFERROR(VLOOKUP($B49,'異常検知'!$A$6:$X$205,2,FALSE),"")</f>
        <v/>
      </c>
      <c r="D49" s="102">
        <f>IFERROR(VLOOKUP($B49,'異常検知'!$A$6:$X$205,3,FALSE),"")</f>
        <v/>
      </c>
      <c r="E49" s="102">
        <f>IFERROR(VLOOKUP($B49,'異常検知'!$A$6:$X$205,4,FALSE),"")</f>
        <v/>
      </c>
      <c r="F49" s="102">
        <f>IFERROR(VLOOKUP($B49,'異常検知'!$A$6:$X$205,5,FALSE),"")</f>
        <v/>
      </c>
      <c r="G49" s="102">
        <f>IFERROR(VLOOKUP($B49,'異常検知'!$A$6:$X$205,7,FALSE),"")</f>
        <v/>
      </c>
      <c r="H49" s="102">
        <f>IFERROR(VLOOKUP($B49,'異常検知'!$A$6:$X$205,8,FALSE),"")</f>
        <v/>
      </c>
      <c r="I49" s="102">
        <f>IFERROR(VLOOKUP($B49,'異常検知'!$A$6:$X$205,14,FALSE),"")</f>
        <v/>
      </c>
      <c r="J49" s="102">
        <f>IFERROR(VLOOKUP($B49,'異常検知'!$A$6:$X$205,15,FALSE),"")</f>
        <v/>
      </c>
      <c r="K49" s="102">
        <f>IFERROR(VLOOKUP($B49,'異常検知'!$A$6:$X$205,18,FALSE),"")</f>
        <v/>
      </c>
      <c r="L49" s="102" t="inlineStr">
        <is>
          <t>未対応</t>
        </is>
      </c>
      <c r="M49" s="141">
        <f>IFERROR(VLOOKUP($B49,'異常検知'!$A$6:$X$205,20,FALSE),"")</f>
        <v/>
      </c>
      <c r="N49" s="141" t="n"/>
      <c r="O49" s="102">
        <f>IF($M49="","",IF(AND($L49&lt;&gt;"完了",TODAY()&gt;$M49),"期限超過","期限内"))</f>
        <v/>
      </c>
      <c r="P49" s="102" t="inlineStr">
        <is>
          <t>Not classified</t>
        </is>
      </c>
      <c r="Q49" s="102" t="n"/>
      <c r="R49" s="102" t="n"/>
      <c r="S49" s="144" t="n"/>
      <c r="T49" s="102" t="n"/>
    </row>
    <row r="50">
      <c r="A50" s="102">
        <f>IF($B50="","","WO-"&amp;TEXT(ROW()-5,"0000"))</f>
        <v/>
      </c>
      <c r="B50" s="102" t="n"/>
      <c r="C50" s="141">
        <f>IFERROR(VLOOKUP($B50,'異常検知'!$A$6:$X$205,2,FALSE),"")</f>
        <v/>
      </c>
      <c r="D50" s="102">
        <f>IFERROR(VLOOKUP($B50,'異常検知'!$A$6:$X$205,3,FALSE),"")</f>
        <v/>
      </c>
      <c r="E50" s="102">
        <f>IFERROR(VLOOKUP($B50,'異常検知'!$A$6:$X$205,4,FALSE),"")</f>
        <v/>
      </c>
      <c r="F50" s="102">
        <f>IFERROR(VLOOKUP($B50,'異常検知'!$A$6:$X$205,5,FALSE),"")</f>
        <v/>
      </c>
      <c r="G50" s="102">
        <f>IFERROR(VLOOKUP($B50,'異常検知'!$A$6:$X$205,7,FALSE),"")</f>
        <v/>
      </c>
      <c r="H50" s="102">
        <f>IFERROR(VLOOKUP($B50,'異常検知'!$A$6:$X$205,8,FALSE),"")</f>
        <v/>
      </c>
      <c r="I50" s="102">
        <f>IFERROR(VLOOKUP($B50,'異常検知'!$A$6:$X$205,14,FALSE),"")</f>
        <v/>
      </c>
      <c r="J50" s="102">
        <f>IFERROR(VLOOKUP($B50,'異常検知'!$A$6:$X$205,15,FALSE),"")</f>
        <v/>
      </c>
      <c r="K50" s="102">
        <f>IFERROR(VLOOKUP($B50,'異常検知'!$A$6:$X$205,18,FALSE),"")</f>
        <v/>
      </c>
      <c r="L50" s="102" t="inlineStr">
        <is>
          <t>未対応</t>
        </is>
      </c>
      <c r="M50" s="141">
        <f>IFERROR(VLOOKUP($B50,'異常検知'!$A$6:$X$205,20,FALSE),"")</f>
        <v/>
      </c>
      <c r="N50" s="141" t="n"/>
      <c r="O50" s="102">
        <f>IF($M50="","",IF(AND($L50&lt;&gt;"完了",TODAY()&gt;$M50),"期限超過","期限内"))</f>
        <v/>
      </c>
      <c r="P50" s="102" t="inlineStr">
        <is>
          <t>Not classified</t>
        </is>
      </c>
      <c r="Q50" s="102" t="n"/>
      <c r="R50" s="102" t="n"/>
      <c r="S50" s="144" t="n"/>
      <c r="T50" s="102" t="n"/>
    </row>
    <row r="51">
      <c r="A51" s="102">
        <f>IF($B51="","","WO-"&amp;TEXT(ROW()-5,"0000"))</f>
        <v/>
      </c>
      <c r="B51" s="102" t="n"/>
      <c r="C51" s="141">
        <f>IFERROR(VLOOKUP($B51,'異常検知'!$A$6:$X$205,2,FALSE),"")</f>
        <v/>
      </c>
      <c r="D51" s="102">
        <f>IFERROR(VLOOKUP($B51,'異常検知'!$A$6:$X$205,3,FALSE),"")</f>
        <v/>
      </c>
      <c r="E51" s="102">
        <f>IFERROR(VLOOKUP($B51,'異常検知'!$A$6:$X$205,4,FALSE),"")</f>
        <v/>
      </c>
      <c r="F51" s="102">
        <f>IFERROR(VLOOKUP($B51,'異常検知'!$A$6:$X$205,5,FALSE),"")</f>
        <v/>
      </c>
      <c r="G51" s="102">
        <f>IFERROR(VLOOKUP($B51,'異常検知'!$A$6:$X$205,7,FALSE),"")</f>
        <v/>
      </c>
      <c r="H51" s="102">
        <f>IFERROR(VLOOKUP($B51,'異常検知'!$A$6:$X$205,8,FALSE),"")</f>
        <v/>
      </c>
      <c r="I51" s="102">
        <f>IFERROR(VLOOKUP($B51,'異常検知'!$A$6:$X$205,14,FALSE),"")</f>
        <v/>
      </c>
      <c r="J51" s="102">
        <f>IFERROR(VLOOKUP($B51,'異常検知'!$A$6:$X$205,15,FALSE),"")</f>
        <v/>
      </c>
      <c r="K51" s="102">
        <f>IFERROR(VLOOKUP($B51,'異常検知'!$A$6:$X$205,18,FALSE),"")</f>
        <v/>
      </c>
      <c r="L51" s="102" t="inlineStr">
        <is>
          <t>未対応</t>
        </is>
      </c>
      <c r="M51" s="141">
        <f>IFERROR(VLOOKUP($B51,'異常検知'!$A$6:$X$205,20,FALSE),"")</f>
        <v/>
      </c>
      <c r="N51" s="141" t="n"/>
      <c r="O51" s="102">
        <f>IF($M51="","",IF(AND($L51&lt;&gt;"完了",TODAY()&gt;$M51),"期限超過","期限内"))</f>
        <v/>
      </c>
      <c r="P51" s="102" t="inlineStr">
        <is>
          <t>Not classified</t>
        </is>
      </c>
      <c r="Q51" s="102" t="n"/>
      <c r="R51" s="102" t="n"/>
      <c r="S51" s="144" t="n"/>
      <c r="T51" s="102" t="n"/>
    </row>
    <row r="52">
      <c r="A52" s="102">
        <f>IF($B52="","","WO-"&amp;TEXT(ROW()-5,"0000"))</f>
        <v/>
      </c>
      <c r="B52" s="102" t="n"/>
      <c r="C52" s="141">
        <f>IFERROR(VLOOKUP($B52,'異常検知'!$A$6:$X$205,2,FALSE),"")</f>
        <v/>
      </c>
      <c r="D52" s="102">
        <f>IFERROR(VLOOKUP($B52,'異常検知'!$A$6:$X$205,3,FALSE),"")</f>
        <v/>
      </c>
      <c r="E52" s="102">
        <f>IFERROR(VLOOKUP($B52,'異常検知'!$A$6:$X$205,4,FALSE),"")</f>
        <v/>
      </c>
      <c r="F52" s="102">
        <f>IFERROR(VLOOKUP($B52,'異常検知'!$A$6:$X$205,5,FALSE),"")</f>
        <v/>
      </c>
      <c r="G52" s="102">
        <f>IFERROR(VLOOKUP($B52,'異常検知'!$A$6:$X$205,7,FALSE),"")</f>
        <v/>
      </c>
      <c r="H52" s="102">
        <f>IFERROR(VLOOKUP($B52,'異常検知'!$A$6:$X$205,8,FALSE),"")</f>
        <v/>
      </c>
      <c r="I52" s="102">
        <f>IFERROR(VLOOKUP($B52,'異常検知'!$A$6:$X$205,14,FALSE),"")</f>
        <v/>
      </c>
      <c r="J52" s="102">
        <f>IFERROR(VLOOKUP($B52,'異常検知'!$A$6:$X$205,15,FALSE),"")</f>
        <v/>
      </c>
      <c r="K52" s="102">
        <f>IFERROR(VLOOKUP($B52,'異常検知'!$A$6:$X$205,18,FALSE),"")</f>
        <v/>
      </c>
      <c r="L52" s="102" t="inlineStr">
        <is>
          <t>未対応</t>
        </is>
      </c>
      <c r="M52" s="141">
        <f>IFERROR(VLOOKUP($B52,'異常検知'!$A$6:$X$205,20,FALSE),"")</f>
        <v/>
      </c>
      <c r="N52" s="141" t="n"/>
      <c r="O52" s="102">
        <f>IF($M52="","",IF(AND($L52&lt;&gt;"完了",TODAY()&gt;$M52),"期限超過","期限内"))</f>
        <v/>
      </c>
      <c r="P52" s="102" t="inlineStr">
        <is>
          <t>Not classified</t>
        </is>
      </c>
      <c r="Q52" s="102" t="n"/>
      <c r="R52" s="102" t="n"/>
      <c r="S52" s="144" t="n"/>
      <c r="T52" s="102" t="n"/>
    </row>
    <row r="53">
      <c r="A53" s="102">
        <f>IF($B53="","","WO-"&amp;TEXT(ROW()-5,"0000"))</f>
        <v/>
      </c>
      <c r="B53" s="102" t="n"/>
      <c r="C53" s="141">
        <f>IFERROR(VLOOKUP($B53,'異常検知'!$A$6:$X$205,2,FALSE),"")</f>
        <v/>
      </c>
      <c r="D53" s="102">
        <f>IFERROR(VLOOKUP($B53,'異常検知'!$A$6:$X$205,3,FALSE),"")</f>
        <v/>
      </c>
      <c r="E53" s="102">
        <f>IFERROR(VLOOKUP($B53,'異常検知'!$A$6:$X$205,4,FALSE),"")</f>
        <v/>
      </c>
      <c r="F53" s="102">
        <f>IFERROR(VLOOKUP($B53,'異常検知'!$A$6:$X$205,5,FALSE),"")</f>
        <v/>
      </c>
      <c r="G53" s="102">
        <f>IFERROR(VLOOKUP($B53,'異常検知'!$A$6:$X$205,7,FALSE),"")</f>
        <v/>
      </c>
      <c r="H53" s="102">
        <f>IFERROR(VLOOKUP($B53,'異常検知'!$A$6:$X$205,8,FALSE),"")</f>
        <v/>
      </c>
      <c r="I53" s="102">
        <f>IFERROR(VLOOKUP($B53,'異常検知'!$A$6:$X$205,14,FALSE),"")</f>
        <v/>
      </c>
      <c r="J53" s="102">
        <f>IFERROR(VLOOKUP($B53,'異常検知'!$A$6:$X$205,15,FALSE),"")</f>
        <v/>
      </c>
      <c r="K53" s="102">
        <f>IFERROR(VLOOKUP($B53,'異常検知'!$A$6:$X$205,18,FALSE),"")</f>
        <v/>
      </c>
      <c r="L53" s="102" t="inlineStr">
        <is>
          <t>未対応</t>
        </is>
      </c>
      <c r="M53" s="141">
        <f>IFERROR(VLOOKUP($B53,'異常検知'!$A$6:$X$205,20,FALSE),"")</f>
        <v/>
      </c>
      <c r="N53" s="141" t="n"/>
      <c r="O53" s="102">
        <f>IF($M53="","",IF(AND($L53&lt;&gt;"完了",TODAY()&gt;$M53),"期限超過","期限内"))</f>
        <v/>
      </c>
      <c r="P53" s="102" t="inlineStr">
        <is>
          <t>Not classified</t>
        </is>
      </c>
      <c r="Q53" s="102" t="n"/>
      <c r="R53" s="102" t="n"/>
      <c r="S53" s="144" t="n"/>
      <c r="T53" s="102" t="n"/>
    </row>
    <row r="54">
      <c r="A54" s="102">
        <f>IF($B54="","","WO-"&amp;TEXT(ROW()-5,"0000"))</f>
        <v/>
      </c>
      <c r="B54" s="102" t="n"/>
      <c r="C54" s="141">
        <f>IFERROR(VLOOKUP($B54,'異常検知'!$A$6:$X$205,2,FALSE),"")</f>
        <v/>
      </c>
      <c r="D54" s="102">
        <f>IFERROR(VLOOKUP($B54,'異常検知'!$A$6:$X$205,3,FALSE),"")</f>
        <v/>
      </c>
      <c r="E54" s="102">
        <f>IFERROR(VLOOKUP($B54,'異常検知'!$A$6:$X$205,4,FALSE),"")</f>
        <v/>
      </c>
      <c r="F54" s="102">
        <f>IFERROR(VLOOKUP($B54,'異常検知'!$A$6:$X$205,5,FALSE),"")</f>
        <v/>
      </c>
      <c r="G54" s="102">
        <f>IFERROR(VLOOKUP($B54,'異常検知'!$A$6:$X$205,7,FALSE),"")</f>
        <v/>
      </c>
      <c r="H54" s="102">
        <f>IFERROR(VLOOKUP($B54,'異常検知'!$A$6:$X$205,8,FALSE),"")</f>
        <v/>
      </c>
      <c r="I54" s="102">
        <f>IFERROR(VLOOKUP($B54,'異常検知'!$A$6:$X$205,14,FALSE),"")</f>
        <v/>
      </c>
      <c r="J54" s="102">
        <f>IFERROR(VLOOKUP($B54,'異常検知'!$A$6:$X$205,15,FALSE),"")</f>
        <v/>
      </c>
      <c r="K54" s="102">
        <f>IFERROR(VLOOKUP($B54,'異常検知'!$A$6:$X$205,18,FALSE),"")</f>
        <v/>
      </c>
      <c r="L54" s="102" t="inlineStr">
        <is>
          <t>未対応</t>
        </is>
      </c>
      <c r="M54" s="141">
        <f>IFERROR(VLOOKUP($B54,'異常検知'!$A$6:$X$205,20,FALSE),"")</f>
        <v/>
      </c>
      <c r="N54" s="141" t="n"/>
      <c r="O54" s="102">
        <f>IF($M54="","",IF(AND($L54&lt;&gt;"完了",TODAY()&gt;$M54),"期限超過","期限内"))</f>
        <v/>
      </c>
      <c r="P54" s="102" t="inlineStr">
        <is>
          <t>Not classified</t>
        </is>
      </c>
      <c r="Q54" s="102" t="n"/>
      <c r="R54" s="102" t="n"/>
      <c r="S54" s="144" t="n"/>
      <c r="T54" s="102" t="n"/>
    </row>
    <row r="55">
      <c r="A55" s="102">
        <f>IF($B55="","","WO-"&amp;TEXT(ROW()-5,"0000"))</f>
        <v/>
      </c>
      <c r="B55" s="102" t="n"/>
      <c r="C55" s="141">
        <f>IFERROR(VLOOKUP($B55,'異常検知'!$A$6:$X$205,2,FALSE),"")</f>
        <v/>
      </c>
      <c r="D55" s="102">
        <f>IFERROR(VLOOKUP($B55,'異常検知'!$A$6:$X$205,3,FALSE),"")</f>
        <v/>
      </c>
      <c r="E55" s="102">
        <f>IFERROR(VLOOKUP($B55,'異常検知'!$A$6:$X$205,4,FALSE),"")</f>
        <v/>
      </c>
      <c r="F55" s="102">
        <f>IFERROR(VLOOKUP($B55,'異常検知'!$A$6:$X$205,5,FALSE),"")</f>
        <v/>
      </c>
      <c r="G55" s="102">
        <f>IFERROR(VLOOKUP($B55,'異常検知'!$A$6:$X$205,7,FALSE),"")</f>
        <v/>
      </c>
      <c r="H55" s="102">
        <f>IFERROR(VLOOKUP($B55,'異常検知'!$A$6:$X$205,8,FALSE),"")</f>
        <v/>
      </c>
      <c r="I55" s="102">
        <f>IFERROR(VLOOKUP($B55,'異常検知'!$A$6:$X$205,14,FALSE),"")</f>
        <v/>
      </c>
      <c r="J55" s="102">
        <f>IFERROR(VLOOKUP($B55,'異常検知'!$A$6:$X$205,15,FALSE),"")</f>
        <v/>
      </c>
      <c r="K55" s="102">
        <f>IFERROR(VLOOKUP($B55,'異常検知'!$A$6:$X$205,18,FALSE),"")</f>
        <v/>
      </c>
      <c r="L55" s="102" t="inlineStr">
        <is>
          <t>未対応</t>
        </is>
      </c>
      <c r="M55" s="141">
        <f>IFERROR(VLOOKUP($B55,'異常検知'!$A$6:$X$205,20,FALSE),"")</f>
        <v/>
      </c>
      <c r="N55" s="141" t="n"/>
      <c r="O55" s="102">
        <f>IF($M55="","",IF(AND($L55&lt;&gt;"完了",TODAY()&gt;$M55),"期限超過","期限内"))</f>
        <v/>
      </c>
      <c r="P55" s="102" t="inlineStr">
        <is>
          <t>Not classified</t>
        </is>
      </c>
      <c r="Q55" s="102" t="n"/>
      <c r="R55" s="102" t="n"/>
      <c r="S55" s="144" t="n"/>
      <c r="T55" s="102" t="n"/>
    </row>
    <row r="56">
      <c r="A56" s="102">
        <f>IF($B56="","","WO-"&amp;TEXT(ROW()-5,"0000"))</f>
        <v/>
      </c>
      <c r="B56" s="102" t="n"/>
      <c r="C56" s="141">
        <f>IFERROR(VLOOKUP($B56,'異常検知'!$A$6:$X$205,2,FALSE),"")</f>
        <v/>
      </c>
      <c r="D56" s="102">
        <f>IFERROR(VLOOKUP($B56,'異常検知'!$A$6:$X$205,3,FALSE),"")</f>
        <v/>
      </c>
      <c r="E56" s="102">
        <f>IFERROR(VLOOKUP($B56,'異常検知'!$A$6:$X$205,4,FALSE),"")</f>
        <v/>
      </c>
      <c r="F56" s="102">
        <f>IFERROR(VLOOKUP($B56,'異常検知'!$A$6:$X$205,5,FALSE),"")</f>
        <v/>
      </c>
      <c r="G56" s="102">
        <f>IFERROR(VLOOKUP($B56,'異常検知'!$A$6:$X$205,7,FALSE),"")</f>
        <v/>
      </c>
      <c r="H56" s="102">
        <f>IFERROR(VLOOKUP($B56,'異常検知'!$A$6:$X$205,8,FALSE),"")</f>
        <v/>
      </c>
      <c r="I56" s="102">
        <f>IFERROR(VLOOKUP($B56,'異常検知'!$A$6:$X$205,14,FALSE),"")</f>
        <v/>
      </c>
      <c r="J56" s="102">
        <f>IFERROR(VLOOKUP($B56,'異常検知'!$A$6:$X$205,15,FALSE),"")</f>
        <v/>
      </c>
      <c r="K56" s="102">
        <f>IFERROR(VLOOKUP($B56,'異常検知'!$A$6:$X$205,18,FALSE),"")</f>
        <v/>
      </c>
      <c r="L56" s="102" t="inlineStr">
        <is>
          <t>未対応</t>
        </is>
      </c>
      <c r="M56" s="141">
        <f>IFERROR(VLOOKUP($B56,'異常検知'!$A$6:$X$205,20,FALSE),"")</f>
        <v/>
      </c>
      <c r="N56" s="141" t="n"/>
      <c r="O56" s="102">
        <f>IF($M56="","",IF(AND($L56&lt;&gt;"完了",TODAY()&gt;$M56),"期限超過","期限内"))</f>
        <v/>
      </c>
      <c r="P56" s="102" t="inlineStr">
        <is>
          <t>Not classified</t>
        </is>
      </c>
      <c r="Q56" s="102" t="n"/>
      <c r="R56" s="102" t="n"/>
      <c r="S56" s="144" t="n"/>
      <c r="T56" s="102" t="n"/>
    </row>
    <row r="57">
      <c r="A57" s="102">
        <f>IF($B57="","","WO-"&amp;TEXT(ROW()-5,"0000"))</f>
        <v/>
      </c>
      <c r="B57" s="102" t="n"/>
      <c r="C57" s="141">
        <f>IFERROR(VLOOKUP($B57,'異常検知'!$A$6:$X$205,2,FALSE),"")</f>
        <v/>
      </c>
      <c r="D57" s="102">
        <f>IFERROR(VLOOKUP($B57,'異常検知'!$A$6:$X$205,3,FALSE),"")</f>
        <v/>
      </c>
      <c r="E57" s="102">
        <f>IFERROR(VLOOKUP($B57,'異常検知'!$A$6:$X$205,4,FALSE),"")</f>
        <v/>
      </c>
      <c r="F57" s="102">
        <f>IFERROR(VLOOKUP($B57,'異常検知'!$A$6:$X$205,5,FALSE),"")</f>
        <v/>
      </c>
      <c r="G57" s="102">
        <f>IFERROR(VLOOKUP($B57,'異常検知'!$A$6:$X$205,7,FALSE),"")</f>
        <v/>
      </c>
      <c r="H57" s="102">
        <f>IFERROR(VLOOKUP($B57,'異常検知'!$A$6:$X$205,8,FALSE),"")</f>
        <v/>
      </c>
      <c r="I57" s="102">
        <f>IFERROR(VLOOKUP($B57,'異常検知'!$A$6:$X$205,14,FALSE),"")</f>
        <v/>
      </c>
      <c r="J57" s="102">
        <f>IFERROR(VLOOKUP($B57,'異常検知'!$A$6:$X$205,15,FALSE),"")</f>
        <v/>
      </c>
      <c r="K57" s="102">
        <f>IFERROR(VLOOKUP($B57,'異常検知'!$A$6:$X$205,18,FALSE),"")</f>
        <v/>
      </c>
      <c r="L57" s="102" t="inlineStr">
        <is>
          <t>未対応</t>
        </is>
      </c>
      <c r="M57" s="141">
        <f>IFERROR(VLOOKUP($B57,'異常検知'!$A$6:$X$205,20,FALSE),"")</f>
        <v/>
      </c>
      <c r="N57" s="141" t="n"/>
      <c r="O57" s="102">
        <f>IF($M57="","",IF(AND($L57&lt;&gt;"完了",TODAY()&gt;$M57),"期限超過","期限内"))</f>
        <v/>
      </c>
      <c r="P57" s="102" t="inlineStr">
        <is>
          <t>Not classified</t>
        </is>
      </c>
      <c r="Q57" s="102" t="n"/>
      <c r="R57" s="102" t="n"/>
      <c r="S57" s="144" t="n"/>
      <c r="T57" s="102" t="n"/>
    </row>
    <row r="58">
      <c r="A58" s="102">
        <f>IF($B58="","","WO-"&amp;TEXT(ROW()-5,"0000"))</f>
        <v/>
      </c>
      <c r="B58" s="102" t="n"/>
      <c r="C58" s="141">
        <f>IFERROR(VLOOKUP($B58,'異常検知'!$A$6:$X$205,2,FALSE),"")</f>
        <v/>
      </c>
      <c r="D58" s="102">
        <f>IFERROR(VLOOKUP($B58,'異常検知'!$A$6:$X$205,3,FALSE),"")</f>
        <v/>
      </c>
      <c r="E58" s="102">
        <f>IFERROR(VLOOKUP($B58,'異常検知'!$A$6:$X$205,4,FALSE),"")</f>
        <v/>
      </c>
      <c r="F58" s="102">
        <f>IFERROR(VLOOKUP($B58,'異常検知'!$A$6:$X$205,5,FALSE),"")</f>
        <v/>
      </c>
      <c r="G58" s="102">
        <f>IFERROR(VLOOKUP($B58,'異常検知'!$A$6:$X$205,7,FALSE),"")</f>
        <v/>
      </c>
      <c r="H58" s="102">
        <f>IFERROR(VLOOKUP($B58,'異常検知'!$A$6:$X$205,8,FALSE),"")</f>
        <v/>
      </c>
      <c r="I58" s="102">
        <f>IFERROR(VLOOKUP($B58,'異常検知'!$A$6:$X$205,14,FALSE),"")</f>
        <v/>
      </c>
      <c r="J58" s="102">
        <f>IFERROR(VLOOKUP($B58,'異常検知'!$A$6:$X$205,15,FALSE),"")</f>
        <v/>
      </c>
      <c r="K58" s="102">
        <f>IFERROR(VLOOKUP($B58,'異常検知'!$A$6:$X$205,18,FALSE),"")</f>
        <v/>
      </c>
      <c r="L58" s="102" t="inlineStr">
        <is>
          <t>未対応</t>
        </is>
      </c>
      <c r="M58" s="141">
        <f>IFERROR(VLOOKUP($B58,'異常検知'!$A$6:$X$205,20,FALSE),"")</f>
        <v/>
      </c>
      <c r="N58" s="141" t="n"/>
      <c r="O58" s="102">
        <f>IF($M58="","",IF(AND($L58&lt;&gt;"完了",TODAY()&gt;$M58),"期限超過","期限内"))</f>
        <v/>
      </c>
      <c r="P58" s="102" t="inlineStr">
        <is>
          <t>Not classified</t>
        </is>
      </c>
      <c r="Q58" s="102" t="n"/>
      <c r="R58" s="102" t="n"/>
      <c r="S58" s="144" t="n"/>
      <c r="T58" s="102" t="n"/>
    </row>
    <row r="59">
      <c r="A59" s="102">
        <f>IF($B59="","","WO-"&amp;TEXT(ROW()-5,"0000"))</f>
        <v/>
      </c>
      <c r="B59" s="102" t="n"/>
      <c r="C59" s="141">
        <f>IFERROR(VLOOKUP($B59,'異常検知'!$A$6:$X$205,2,FALSE),"")</f>
        <v/>
      </c>
      <c r="D59" s="102">
        <f>IFERROR(VLOOKUP($B59,'異常検知'!$A$6:$X$205,3,FALSE),"")</f>
        <v/>
      </c>
      <c r="E59" s="102">
        <f>IFERROR(VLOOKUP($B59,'異常検知'!$A$6:$X$205,4,FALSE),"")</f>
        <v/>
      </c>
      <c r="F59" s="102">
        <f>IFERROR(VLOOKUP($B59,'異常検知'!$A$6:$X$205,5,FALSE),"")</f>
        <v/>
      </c>
      <c r="G59" s="102">
        <f>IFERROR(VLOOKUP($B59,'異常検知'!$A$6:$X$205,7,FALSE),"")</f>
        <v/>
      </c>
      <c r="H59" s="102">
        <f>IFERROR(VLOOKUP($B59,'異常検知'!$A$6:$X$205,8,FALSE),"")</f>
        <v/>
      </c>
      <c r="I59" s="102">
        <f>IFERROR(VLOOKUP($B59,'異常検知'!$A$6:$X$205,14,FALSE),"")</f>
        <v/>
      </c>
      <c r="J59" s="102">
        <f>IFERROR(VLOOKUP($B59,'異常検知'!$A$6:$X$205,15,FALSE),"")</f>
        <v/>
      </c>
      <c r="K59" s="102">
        <f>IFERROR(VLOOKUP($B59,'異常検知'!$A$6:$X$205,18,FALSE),"")</f>
        <v/>
      </c>
      <c r="L59" s="102" t="inlineStr">
        <is>
          <t>未対応</t>
        </is>
      </c>
      <c r="M59" s="141">
        <f>IFERROR(VLOOKUP($B59,'異常検知'!$A$6:$X$205,20,FALSE),"")</f>
        <v/>
      </c>
      <c r="N59" s="141" t="n"/>
      <c r="O59" s="102">
        <f>IF($M59="","",IF(AND($L59&lt;&gt;"完了",TODAY()&gt;$M59),"期限超過","期限内"))</f>
        <v/>
      </c>
      <c r="P59" s="102" t="inlineStr">
        <is>
          <t>Not classified</t>
        </is>
      </c>
      <c r="Q59" s="102" t="n"/>
      <c r="R59" s="102" t="n"/>
      <c r="S59" s="144" t="n"/>
      <c r="T59" s="102" t="n"/>
    </row>
    <row r="60">
      <c r="A60" s="102">
        <f>IF($B60="","","WO-"&amp;TEXT(ROW()-5,"0000"))</f>
        <v/>
      </c>
      <c r="B60" s="102" t="n"/>
      <c r="C60" s="141">
        <f>IFERROR(VLOOKUP($B60,'異常検知'!$A$6:$X$205,2,FALSE),"")</f>
        <v/>
      </c>
      <c r="D60" s="102">
        <f>IFERROR(VLOOKUP($B60,'異常検知'!$A$6:$X$205,3,FALSE),"")</f>
        <v/>
      </c>
      <c r="E60" s="102">
        <f>IFERROR(VLOOKUP($B60,'異常検知'!$A$6:$X$205,4,FALSE),"")</f>
        <v/>
      </c>
      <c r="F60" s="102">
        <f>IFERROR(VLOOKUP($B60,'異常検知'!$A$6:$X$205,5,FALSE),"")</f>
        <v/>
      </c>
      <c r="G60" s="102">
        <f>IFERROR(VLOOKUP($B60,'異常検知'!$A$6:$X$205,7,FALSE),"")</f>
        <v/>
      </c>
      <c r="H60" s="102">
        <f>IFERROR(VLOOKUP($B60,'異常検知'!$A$6:$X$205,8,FALSE),"")</f>
        <v/>
      </c>
      <c r="I60" s="102">
        <f>IFERROR(VLOOKUP($B60,'異常検知'!$A$6:$X$205,14,FALSE),"")</f>
        <v/>
      </c>
      <c r="J60" s="102">
        <f>IFERROR(VLOOKUP($B60,'異常検知'!$A$6:$X$205,15,FALSE),"")</f>
        <v/>
      </c>
      <c r="K60" s="102">
        <f>IFERROR(VLOOKUP($B60,'異常検知'!$A$6:$X$205,18,FALSE),"")</f>
        <v/>
      </c>
      <c r="L60" s="102" t="inlineStr">
        <is>
          <t>未対応</t>
        </is>
      </c>
      <c r="M60" s="141">
        <f>IFERROR(VLOOKUP($B60,'異常検知'!$A$6:$X$205,20,FALSE),"")</f>
        <v/>
      </c>
      <c r="N60" s="141" t="n"/>
      <c r="O60" s="102">
        <f>IF($M60="","",IF(AND($L60&lt;&gt;"完了",TODAY()&gt;$M60),"期限超過","期限内"))</f>
        <v/>
      </c>
      <c r="P60" s="102" t="inlineStr">
        <is>
          <t>Not classified</t>
        </is>
      </c>
      <c r="Q60" s="102" t="n"/>
      <c r="R60" s="102" t="n"/>
      <c r="S60" s="144" t="n"/>
      <c r="T60" s="102" t="n"/>
    </row>
    <row r="61">
      <c r="A61" s="102">
        <f>IF($B61="","","WO-"&amp;TEXT(ROW()-5,"0000"))</f>
        <v/>
      </c>
      <c r="B61" s="102" t="n"/>
      <c r="C61" s="141">
        <f>IFERROR(VLOOKUP($B61,'異常検知'!$A$6:$X$205,2,FALSE),"")</f>
        <v/>
      </c>
      <c r="D61" s="102">
        <f>IFERROR(VLOOKUP($B61,'異常検知'!$A$6:$X$205,3,FALSE),"")</f>
        <v/>
      </c>
      <c r="E61" s="102">
        <f>IFERROR(VLOOKUP($B61,'異常検知'!$A$6:$X$205,4,FALSE),"")</f>
        <v/>
      </c>
      <c r="F61" s="102">
        <f>IFERROR(VLOOKUP($B61,'異常検知'!$A$6:$X$205,5,FALSE),"")</f>
        <v/>
      </c>
      <c r="G61" s="102">
        <f>IFERROR(VLOOKUP($B61,'異常検知'!$A$6:$X$205,7,FALSE),"")</f>
        <v/>
      </c>
      <c r="H61" s="102">
        <f>IFERROR(VLOOKUP($B61,'異常検知'!$A$6:$X$205,8,FALSE),"")</f>
        <v/>
      </c>
      <c r="I61" s="102">
        <f>IFERROR(VLOOKUP($B61,'異常検知'!$A$6:$X$205,14,FALSE),"")</f>
        <v/>
      </c>
      <c r="J61" s="102">
        <f>IFERROR(VLOOKUP($B61,'異常検知'!$A$6:$X$205,15,FALSE),"")</f>
        <v/>
      </c>
      <c r="K61" s="102">
        <f>IFERROR(VLOOKUP($B61,'異常検知'!$A$6:$X$205,18,FALSE),"")</f>
        <v/>
      </c>
      <c r="L61" s="102" t="inlineStr">
        <is>
          <t>未対応</t>
        </is>
      </c>
      <c r="M61" s="141">
        <f>IFERROR(VLOOKUP($B61,'異常検知'!$A$6:$X$205,20,FALSE),"")</f>
        <v/>
      </c>
      <c r="N61" s="141" t="n"/>
      <c r="O61" s="102">
        <f>IF($M61="","",IF(AND($L61&lt;&gt;"完了",TODAY()&gt;$M61),"期限超過","期限内"))</f>
        <v/>
      </c>
      <c r="P61" s="102" t="inlineStr">
        <is>
          <t>Not classified</t>
        </is>
      </c>
      <c r="Q61" s="102" t="n"/>
      <c r="R61" s="102" t="n"/>
      <c r="S61" s="144" t="n"/>
      <c r="T61" s="102" t="n"/>
    </row>
    <row r="62">
      <c r="A62" s="102">
        <f>IF($B62="","","WO-"&amp;TEXT(ROW()-5,"0000"))</f>
        <v/>
      </c>
      <c r="B62" s="102" t="n"/>
      <c r="C62" s="141">
        <f>IFERROR(VLOOKUP($B62,'異常検知'!$A$6:$X$205,2,FALSE),"")</f>
        <v/>
      </c>
      <c r="D62" s="102">
        <f>IFERROR(VLOOKUP($B62,'異常検知'!$A$6:$X$205,3,FALSE),"")</f>
        <v/>
      </c>
      <c r="E62" s="102">
        <f>IFERROR(VLOOKUP($B62,'異常検知'!$A$6:$X$205,4,FALSE),"")</f>
        <v/>
      </c>
      <c r="F62" s="102">
        <f>IFERROR(VLOOKUP($B62,'異常検知'!$A$6:$X$205,5,FALSE),"")</f>
        <v/>
      </c>
      <c r="G62" s="102">
        <f>IFERROR(VLOOKUP($B62,'異常検知'!$A$6:$X$205,7,FALSE),"")</f>
        <v/>
      </c>
      <c r="H62" s="102">
        <f>IFERROR(VLOOKUP($B62,'異常検知'!$A$6:$X$205,8,FALSE),"")</f>
        <v/>
      </c>
      <c r="I62" s="102">
        <f>IFERROR(VLOOKUP($B62,'異常検知'!$A$6:$X$205,14,FALSE),"")</f>
        <v/>
      </c>
      <c r="J62" s="102">
        <f>IFERROR(VLOOKUP($B62,'異常検知'!$A$6:$X$205,15,FALSE),"")</f>
        <v/>
      </c>
      <c r="K62" s="102">
        <f>IFERROR(VLOOKUP($B62,'異常検知'!$A$6:$X$205,18,FALSE),"")</f>
        <v/>
      </c>
      <c r="L62" s="102" t="inlineStr">
        <is>
          <t>未対応</t>
        </is>
      </c>
      <c r="M62" s="141">
        <f>IFERROR(VLOOKUP($B62,'異常検知'!$A$6:$X$205,20,FALSE),"")</f>
        <v/>
      </c>
      <c r="N62" s="141" t="n"/>
      <c r="O62" s="102">
        <f>IF($M62="","",IF(AND($L62&lt;&gt;"完了",TODAY()&gt;$M62),"期限超過","期限内"))</f>
        <v/>
      </c>
      <c r="P62" s="102" t="inlineStr">
        <is>
          <t>Not classified</t>
        </is>
      </c>
      <c r="Q62" s="102" t="n"/>
      <c r="R62" s="102" t="n"/>
      <c r="S62" s="144" t="n"/>
      <c r="T62" s="102" t="n"/>
    </row>
    <row r="63">
      <c r="A63" s="102">
        <f>IF($B63="","","WO-"&amp;TEXT(ROW()-5,"0000"))</f>
        <v/>
      </c>
      <c r="B63" s="102" t="n"/>
      <c r="C63" s="141">
        <f>IFERROR(VLOOKUP($B63,'異常検知'!$A$6:$X$205,2,FALSE),"")</f>
        <v/>
      </c>
      <c r="D63" s="102">
        <f>IFERROR(VLOOKUP($B63,'異常検知'!$A$6:$X$205,3,FALSE),"")</f>
        <v/>
      </c>
      <c r="E63" s="102">
        <f>IFERROR(VLOOKUP($B63,'異常検知'!$A$6:$X$205,4,FALSE),"")</f>
        <v/>
      </c>
      <c r="F63" s="102">
        <f>IFERROR(VLOOKUP($B63,'異常検知'!$A$6:$X$205,5,FALSE),"")</f>
        <v/>
      </c>
      <c r="G63" s="102">
        <f>IFERROR(VLOOKUP($B63,'異常検知'!$A$6:$X$205,7,FALSE),"")</f>
        <v/>
      </c>
      <c r="H63" s="102">
        <f>IFERROR(VLOOKUP($B63,'異常検知'!$A$6:$X$205,8,FALSE),"")</f>
        <v/>
      </c>
      <c r="I63" s="102">
        <f>IFERROR(VLOOKUP($B63,'異常検知'!$A$6:$X$205,14,FALSE),"")</f>
        <v/>
      </c>
      <c r="J63" s="102">
        <f>IFERROR(VLOOKUP($B63,'異常検知'!$A$6:$X$205,15,FALSE),"")</f>
        <v/>
      </c>
      <c r="K63" s="102">
        <f>IFERROR(VLOOKUP($B63,'異常検知'!$A$6:$X$205,18,FALSE),"")</f>
        <v/>
      </c>
      <c r="L63" s="102" t="inlineStr">
        <is>
          <t>未対応</t>
        </is>
      </c>
      <c r="M63" s="141">
        <f>IFERROR(VLOOKUP($B63,'異常検知'!$A$6:$X$205,20,FALSE),"")</f>
        <v/>
      </c>
      <c r="N63" s="141" t="n"/>
      <c r="O63" s="102">
        <f>IF($M63="","",IF(AND($L63&lt;&gt;"完了",TODAY()&gt;$M63),"期限超過","期限内"))</f>
        <v/>
      </c>
      <c r="P63" s="102" t="inlineStr">
        <is>
          <t>Not classified</t>
        </is>
      </c>
      <c r="Q63" s="102" t="n"/>
      <c r="R63" s="102" t="n"/>
      <c r="S63" s="144" t="n"/>
      <c r="T63" s="102" t="n"/>
    </row>
    <row r="64">
      <c r="A64" s="102">
        <f>IF($B64="","","WO-"&amp;TEXT(ROW()-5,"0000"))</f>
        <v/>
      </c>
      <c r="B64" s="102" t="n"/>
      <c r="C64" s="141">
        <f>IFERROR(VLOOKUP($B64,'異常検知'!$A$6:$X$205,2,FALSE),"")</f>
        <v/>
      </c>
      <c r="D64" s="102">
        <f>IFERROR(VLOOKUP($B64,'異常検知'!$A$6:$X$205,3,FALSE),"")</f>
        <v/>
      </c>
      <c r="E64" s="102">
        <f>IFERROR(VLOOKUP($B64,'異常検知'!$A$6:$X$205,4,FALSE),"")</f>
        <v/>
      </c>
      <c r="F64" s="102">
        <f>IFERROR(VLOOKUP($B64,'異常検知'!$A$6:$X$205,5,FALSE),"")</f>
        <v/>
      </c>
      <c r="G64" s="102">
        <f>IFERROR(VLOOKUP($B64,'異常検知'!$A$6:$X$205,7,FALSE),"")</f>
        <v/>
      </c>
      <c r="H64" s="102">
        <f>IFERROR(VLOOKUP($B64,'異常検知'!$A$6:$X$205,8,FALSE),"")</f>
        <v/>
      </c>
      <c r="I64" s="102">
        <f>IFERROR(VLOOKUP($B64,'異常検知'!$A$6:$X$205,14,FALSE),"")</f>
        <v/>
      </c>
      <c r="J64" s="102">
        <f>IFERROR(VLOOKUP($B64,'異常検知'!$A$6:$X$205,15,FALSE),"")</f>
        <v/>
      </c>
      <c r="K64" s="102">
        <f>IFERROR(VLOOKUP($B64,'異常検知'!$A$6:$X$205,18,FALSE),"")</f>
        <v/>
      </c>
      <c r="L64" s="102" t="inlineStr">
        <is>
          <t>未対応</t>
        </is>
      </c>
      <c r="M64" s="141">
        <f>IFERROR(VLOOKUP($B64,'異常検知'!$A$6:$X$205,20,FALSE),"")</f>
        <v/>
      </c>
      <c r="N64" s="141" t="n"/>
      <c r="O64" s="102">
        <f>IF($M64="","",IF(AND($L64&lt;&gt;"完了",TODAY()&gt;$M64),"期限超過","期限内"))</f>
        <v/>
      </c>
      <c r="P64" s="102" t="inlineStr">
        <is>
          <t>Not classified</t>
        </is>
      </c>
      <c r="Q64" s="102" t="n"/>
      <c r="R64" s="102" t="n"/>
      <c r="S64" s="144" t="n"/>
      <c r="T64" s="102" t="n"/>
    </row>
    <row r="65">
      <c r="A65" s="102">
        <f>IF($B65="","","WO-"&amp;TEXT(ROW()-5,"0000"))</f>
        <v/>
      </c>
      <c r="B65" s="102" t="n"/>
      <c r="C65" s="141">
        <f>IFERROR(VLOOKUP($B65,'異常検知'!$A$6:$X$205,2,FALSE),"")</f>
        <v/>
      </c>
      <c r="D65" s="102">
        <f>IFERROR(VLOOKUP($B65,'異常検知'!$A$6:$X$205,3,FALSE),"")</f>
        <v/>
      </c>
      <c r="E65" s="102">
        <f>IFERROR(VLOOKUP($B65,'異常検知'!$A$6:$X$205,4,FALSE),"")</f>
        <v/>
      </c>
      <c r="F65" s="102">
        <f>IFERROR(VLOOKUP($B65,'異常検知'!$A$6:$X$205,5,FALSE),"")</f>
        <v/>
      </c>
      <c r="G65" s="102">
        <f>IFERROR(VLOOKUP($B65,'異常検知'!$A$6:$X$205,7,FALSE),"")</f>
        <v/>
      </c>
      <c r="H65" s="102">
        <f>IFERROR(VLOOKUP($B65,'異常検知'!$A$6:$X$205,8,FALSE),"")</f>
        <v/>
      </c>
      <c r="I65" s="102">
        <f>IFERROR(VLOOKUP($B65,'異常検知'!$A$6:$X$205,14,FALSE),"")</f>
        <v/>
      </c>
      <c r="J65" s="102">
        <f>IFERROR(VLOOKUP($B65,'異常検知'!$A$6:$X$205,15,FALSE),"")</f>
        <v/>
      </c>
      <c r="K65" s="102">
        <f>IFERROR(VLOOKUP($B65,'異常検知'!$A$6:$X$205,18,FALSE),"")</f>
        <v/>
      </c>
      <c r="L65" s="102" t="inlineStr">
        <is>
          <t>未対応</t>
        </is>
      </c>
      <c r="M65" s="141">
        <f>IFERROR(VLOOKUP($B65,'異常検知'!$A$6:$X$205,20,FALSE),"")</f>
        <v/>
      </c>
      <c r="N65" s="141" t="n"/>
      <c r="O65" s="102">
        <f>IF($M65="","",IF(AND($L65&lt;&gt;"完了",TODAY()&gt;$M65),"期限超過","期限内"))</f>
        <v/>
      </c>
      <c r="P65" s="102" t="inlineStr">
        <is>
          <t>Not classified</t>
        </is>
      </c>
      <c r="Q65" s="102" t="n"/>
      <c r="R65" s="102" t="n"/>
      <c r="S65" s="144" t="n"/>
      <c r="T65" s="102" t="n"/>
    </row>
    <row r="66">
      <c r="A66" s="102">
        <f>IF($B66="","","WO-"&amp;TEXT(ROW()-5,"0000"))</f>
        <v/>
      </c>
      <c r="B66" s="102" t="n"/>
      <c r="C66" s="141">
        <f>IFERROR(VLOOKUP($B66,'異常検知'!$A$6:$X$205,2,FALSE),"")</f>
        <v/>
      </c>
      <c r="D66" s="102">
        <f>IFERROR(VLOOKUP($B66,'異常検知'!$A$6:$X$205,3,FALSE),"")</f>
        <v/>
      </c>
      <c r="E66" s="102">
        <f>IFERROR(VLOOKUP($B66,'異常検知'!$A$6:$X$205,4,FALSE),"")</f>
        <v/>
      </c>
      <c r="F66" s="102">
        <f>IFERROR(VLOOKUP($B66,'異常検知'!$A$6:$X$205,5,FALSE),"")</f>
        <v/>
      </c>
      <c r="G66" s="102">
        <f>IFERROR(VLOOKUP($B66,'異常検知'!$A$6:$X$205,7,FALSE),"")</f>
        <v/>
      </c>
      <c r="H66" s="102">
        <f>IFERROR(VLOOKUP($B66,'異常検知'!$A$6:$X$205,8,FALSE),"")</f>
        <v/>
      </c>
      <c r="I66" s="102">
        <f>IFERROR(VLOOKUP($B66,'異常検知'!$A$6:$X$205,14,FALSE),"")</f>
        <v/>
      </c>
      <c r="J66" s="102">
        <f>IFERROR(VLOOKUP($B66,'異常検知'!$A$6:$X$205,15,FALSE),"")</f>
        <v/>
      </c>
      <c r="K66" s="102">
        <f>IFERROR(VLOOKUP($B66,'異常検知'!$A$6:$X$205,18,FALSE),"")</f>
        <v/>
      </c>
      <c r="L66" s="102" t="inlineStr">
        <is>
          <t>未対応</t>
        </is>
      </c>
      <c r="M66" s="141">
        <f>IFERROR(VLOOKUP($B66,'異常検知'!$A$6:$X$205,20,FALSE),"")</f>
        <v/>
      </c>
      <c r="N66" s="141" t="n"/>
      <c r="O66" s="102">
        <f>IF($M66="","",IF(AND($L66&lt;&gt;"完了",TODAY()&gt;$M66),"期限超過","期限内"))</f>
        <v/>
      </c>
      <c r="P66" s="102" t="inlineStr">
        <is>
          <t>Not classified</t>
        </is>
      </c>
      <c r="Q66" s="102" t="n"/>
      <c r="R66" s="102" t="n"/>
      <c r="S66" s="144" t="n"/>
      <c r="T66" s="102" t="n"/>
    </row>
    <row r="67">
      <c r="A67" s="102">
        <f>IF($B67="","","WO-"&amp;TEXT(ROW()-5,"0000"))</f>
        <v/>
      </c>
      <c r="B67" s="102" t="n"/>
      <c r="C67" s="141">
        <f>IFERROR(VLOOKUP($B67,'異常検知'!$A$6:$X$205,2,FALSE),"")</f>
        <v/>
      </c>
      <c r="D67" s="102">
        <f>IFERROR(VLOOKUP($B67,'異常検知'!$A$6:$X$205,3,FALSE),"")</f>
        <v/>
      </c>
      <c r="E67" s="102">
        <f>IFERROR(VLOOKUP($B67,'異常検知'!$A$6:$X$205,4,FALSE),"")</f>
        <v/>
      </c>
      <c r="F67" s="102">
        <f>IFERROR(VLOOKUP($B67,'異常検知'!$A$6:$X$205,5,FALSE),"")</f>
        <v/>
      </c>
      <c r="G67" s="102">
        <f>IFERROR(VLOOKUP($B67,'異常検知'!$A$6:$X$205,7,FALSE),"")</f>
        <v/>
      </c>
      <c r="H67" s="102">
        <f>IFERROR(VLOOKUP($B67,'異常検知'!$A$6:$X$205,8,FALSE),"")</f>
        <v/>
      </c>
      <c r="I67" s="102">
        <f>IFERROR(VLOOKUP($B67,'異常検知'!$A$6:$X$205,14,FALSE),"")</f>
        <v/>
      </c>
      <c r="J67" s="102">
        <f>IFERROR(VLOOKUP($B67,'異常検知'!$A$6:$X$205,15,FALSE),"")</f>
        <v/>
      </c>
      <c r="K67" s="102">
        <f>IFERROR(VLOOKUP($B67,'異常検知'!$A$6:$X$205,18,FALSE),"")</f>
        <v/>
      </c>
      <c r="L67" s="102" t="inlineStr">
        <is>
          <t>未対応</t>
        </is>
      </c>
      <c r="M67" s="141">
        <f>IFERROR(VLOOKUP($B67,'異常検知'!$A$6:$X$205,20,FALSE),"")</f>
        <v/>
      </c>
      <c r="N67" s="141" t="n"/>
      <c r="O67" s="102">
        <f>IF($M67="","",IF(AND($L67&lt;&gt;"完了",TODAY()&gt;$M67),"期限超過","期限内"))</f>
        <v/>
      </c>
      <c r="P67" s="102" t="inlineStr">
        <is>
          <t>Not classified</t>
        </is>
      </c>
      <c r="Q67" s="102" t="n"/>
      <c r="R67" s="102" t="n"/>
      <c r="S67" s="144" t="n"/>
      <c r="T67" s="102" t="n"/>
    </row>
    <row r="68">
      <c r="A68" s="102">
        <f>IF($B68="","","WO-"&amp;TEXT(ROW()-5,"0000"))</f>
        <v/>
      </c>
      <c r="B68" s="102" t="n"/>
      <c r="C68" s="141">
        <f>IFERROR(VLOOKUP($B68,'異常検知'!$A$6:$X$205,2,FALSE),"")</f>
        <v/>
      </c>
      <c r="D68" s="102">
        <f>IFERROR(VLOOKUP($B68,'異常検知'!$A$6:$X$205,3,FALSE),"")</f>
        <v/>
      </c>
      <c r="E68" s="102">
        <f>IFERROR(VLOOKUP($B68,'異常検知'!$A$6:$X$205,4,FALSE),"")</f>
        <v/>
      </c>
      <c r="F68" s="102">
        <f>IFERROR(VLOOKUP($B68,'異常検知'!$A$6:$X$205,5,FALSE),"")</f>
        <v/>
      </c>
      <c r="G68" s="102">
        <f>IFERROR(VLOOKUP($B68,'異常検知'!$A$6:$X$205,7,FALSE),"")</f>
        <v/>
      </c>
      <c r="H68" s="102">
        <f>IFERROR(VLOOKUP($B68,'異常検知'!$A$6:$X$205,8,FALSE),"")</f>
        <v/>
      </c>
      <c r="I68" s="102">
        <f>IFERROR(VLOOKUP($B68,'異常検知'!$A$6:$X$205,14,FALSE),"")</f>
        <v/>
      </c>
      <c r="J68" s="102">
        <f>IFERROR(VLOOKUP($B68,'異常検知'!$A$6:$X$205,15,FALSE),"")</f>
        <v/>
      </c>
      <c r="K68" s="102">
        <f>IFERROR(VLOOKUP($B68,'異常検知'!$A$6:$X$205,18,FALSE),"")</f>
        <v/>
      </c>
      <c r="L68" s="102" t="inlineStr">
        <is>
          <t>未対応</t>
        </is>
      </c>
      <c r="M68" s="141">
        <f>IFERROR(VLOOKUP($B68,'異常検知'!$A$6:$X$205,20,FALSE),"")</f>
        <v/>
      </c>
      <c r="N68" s="141" t="n"/>
      <c r="O68" s="102">
        <f>IF($M68="","",IF(AND($L68&lt;&gt;"完了",TODAY()&gt;$M68),"期限超過","期限内"))</f>
        <v/>
      </c>
      <c r="P68" s="102" t="inlineStr">
        <is>
          <t>Not classified</t>
        </is>
      </c>
      <c r="Q68" s="102" t="n"/>
      <c r="R68" s="102" t="n"/>
      <c r="S68" s="144" t="n"/>
      <c r="T68" s="102" t="n"/>
    </row>
    <row r="69">
      <c r="A69" s="102">
        <f>IF($B69="","","WO-"&amp;TEXT(ROW()-5,"0000"))</f>
        <v/>
      </c>
      <c r="B69" s="102" t="n"/>
      <c r="C69" s="141">
        <f>IFERROR(VLOOKUP($B69,'異常検知'!$A$6:$X$205,2,FALSE),"")</f>
        <v/>
      </c>
      <c r="D69" s="102">
        <f>IFERROR(VLOOKUP($B69,'異常検知'!$A$6:$X$205,3,FALSE),"")</f>
        <v/>
      </c>
      <c r="E69" s="102">
        <f>IFERROR(VLOOKUP($B69,'異常検知'!$A$6:$X$205,4,FALSE),"")</f>
        <v/>
      </c>
      <c r="F69" s="102">
        <f>IFERROR(VLOOKUP($B69,'異常検知'!$A$6:$X$205,5,FALSE),"")</f>
        <v/>
      </c>
      <c r="G69" s="102">
        <f>IFERROR(VLOOKUP($B69,'異常検知'!$A$6:$X$205,7,FALSE),"")</f>
        <v/>
      </c>
      <c r="H69" s="102">
        <f>IFERROR(VLOOKUP($B69,'異常検知'!$A$6:$X$205,8,FALSE),"")</f>
        <v/>
      </c>
      <c r="I69" s="102">
        <f>IFERROR(VLOOKUP($B69,'異常検知'!$A$6:$X$205,14,FALSE),"")</f>
        <v/>
      </c>
      <c r="J69" s="102">
        <f>IFERROR(VLOOKUP($B69,'異常検知'!$A$6:$X$205,15,FALSE),"")</f>
        <v/>
      </c>
      <c r="K69" s="102">
        <f>IFERROR(VLOOKUP($B69,'異常検知'!$A$6:$X$205,18,FALSE),"")</f>
        <v/>
      </c>
      <c r="L69" s="102" t="inlineStr">
        <is>
          <t>未対応</t>
        </is>
      </c>
      <c r="M69" s="141">
        <f>IFERROR(VLOOKUP($B69,'異常検知'!$A$6:$X$205,20,FALSE),"")</f>
        <v/>
      </c>
      <c r="N69" s="141" t="n"/>
      <c r="O69" s="102">
        <f>IF($M69="","",IF(AND($L69&lt;&gt;"完了",TODAY()&gt;$M69),"期限超過","期限内"))</f>
        <v/>
      </c>
      <c r="P69" s="102" t="inlineStr">
        <is>
          <t>Not classified</t>
        </is>
      </c>
      <c r="Q69" s="102" t="n"/>
      <c r="R69" s="102" t="n"/>
      <c r="S69" s="144" t="n"/>
      <c r="T69" s="102" t="n"/>
    </row>
    <row r="70">
      <c r="A70" s="102">
        <f>IF($B70="","","WO-"&amp;TEXT(ROW()-5,"0000"))</f>
        <v/>
      </c>
      <c r="B70" s="102" t="n"/>
      <c r="C70" s="141">
        <f>IFERROR(VLOOKUP($B70,'異常検知'!$A$6:$X$205,2,FALSE),"")</f>
        <v/>
      </c>
      <c r="D70" s="102">
        <f>IFERROR(VLOOKUP($B70,'異常検知'!$A$6:$X$205,3,FALSE),"")</f>
        <v/>
      </c>
      <c r="E70" s="102">
        <f>IFERROR(VLOOKUP($B70,'異常検知'!$A$6:$X$205,4,FALSE),"")</f>
        <v/>
      </c>
      <c r="F70" s="102">
        <f>IFERROR(VLOOKUP($B70,'異常検知'!$A$6:$X$205,5,FALSE),"")</f>
        <v/>
      </c>
      <c r="G70" s="102">
        <f>IFERROR(VLOOKUP($B70,'異常検知'!$A$6:$X$205,7,FALSE),"")</f>
        <v/>
      </c>
      <c r="H70" s="102">
        <f>IFERROR(VLOOKUP($B70,'異常検知'!$A$6:$X$205,8,FALSE),"")</f>
        <v/>
      </c>
      <c r="I70" s="102">
        <f>IFERROR(VLOOKUP($B70,'異常検知'!$A$6:$X$205,14,FALSE),"")</f>
        <v/>
      </c>
      <c r="J70" s="102">
        <f>IFERROR(VLOOKUP($B70,'異常検知'!$A$6:$X$205,15,FALSE),"")</f>
        <v/>
      </c>
      <c r="K70" s="102">
        <f>IFERROR(VLOOKUP($B70,'異常検知'!$A$6:$X$205,18,FALSE),"")</f>
        <v/>
      </c>
      <c r="L70" s="102" t="inlineStr">
        <is>
          <t>未対応</t>
        </is>
      </c>
      <c r="M70" s="141">
        <f>IFERROR(VLOOKUP($B70,'異常検知'!$A$6:$X$205,20,FALSE),"")</f>
        <v/>
      </c>
      <c r="N70" s="141" t="n"/>
      <c r="O70" s="102">
        <f>IF($M70="","",IF(AND($L70&lt;&gt;"完了",TODAY()&gt;$M70),"期限超過","期限内"))</f>
        <v/>
      </c>
      <c r="P70" s="102" t="inlineStr">
        <is>
          <t>Not classified</t>
        </is>
      </c>
      <c r="Q70" s="102" t="n"/>
      <c r="R70" s="102" t="n"/>
      <c r="S70" s="144" t="n"/>
      <c r="T70" s="102" t="n"/>
    </row>
    <row r="71">
      <c r="A71" s="102">
        <f>IF($B71="","","WO-"&amp;TEXT(ROW()-5,"0000"))</f>
        <v/>
      </c>
      <c r="B71" s="102" t="n"/>
      <c r="C71" s="141">
        <f>IFERROR(VLOOKUP($B71,'異常検知'!$A$6:$X$205,2,FALSE),"")</f>
        <v/>
      </c>
      <c r="D71" s="102">
        <f>IFERROR(VLOOKUP($B71,'異常検知'!$A$6:$X$205,3,FALSE),"")</f>
        <v/>
      </c>
      <c r="E71" s="102">
        <f>IFERROR(VLOOKUP($B71,'異常検知'!$A$6:$X$205,4,FALSE),"")</f>
        <v/>
      </c>
      <c r="F71" s="102">
        <f>IFERROR(VLOOKUP($B71,'異常検知'!$A$6:$X$205,5,FALSE),"")</f>
        <v/>
      </c>
      <c r="G71" s="102">
        <f>IFERROR(VLOOKUP($B71,'異常検知'!$A$6:$X$205,7,FALSE),"")</f>
        <v/>
      </c>
      <c r="H71" s="102">
        <f>IFERROR(VLOOKUP($B71,'異常検知'!$A$6:$X$205,8,FALSE),"")</f>
        <v/>
      </c>
      <c r="I71" s="102">
        <f>IFERROR(VLOOKUP($B71,'異常検知'!$A$6:$X$205,14,FALSE),"")</f>
        <v/>
      </c>
      <c r="J71" s="102">
        <f>IFERROR(VLOOKUP($B71,'異常検知'!$A$6:$X$205,15,FALSE),"")</f>
        <v/>
      </c>
      <c r="K71" s="102">
        <f>IFERROR(VLOOKUP($B71,'異常検知'!$A$6:$X$205,18,FALSE),"")</f>
        <v/>
      </c>
      <c r="L71" s="102" t="inlineStr">
        <is>
          <t>未対応</t>
        </is>
      </c>
      <c r="M71" s="141">
        <f>IFERROR(VLOOKUP($B71,'異常検知'!$A$6:$X$205,20,FALSE),"")</f>
        <v/>
      </c>
      <c r="N71" s="141" t="n"/>
      <c r="O71" s="102">
        <f>IF($M71="","",IF(AND($L71&lt;&gt;"完了",TODAY()&gt;$M71),"期限超過","期限内"))</f>
        <v/>
      </c>
      <c r="P71" s="102" t="inlineStr">
        <is>
          <t>Not classified</t>
        </is>
      </c>
      <c r="Q71" s="102" t="n"/>
      <c r="R71" s="102" t="n"/>
      <c r="S71" s="144" t="n"/>
      <c r="T71" s="102" t="n"/>
    </row>
    <row r="72">
      <c r="A72" s="102">
        <f>IF($B72="","","WO-"&amp;TEXT(ROW()-5,"0000"))</f>
        <v/>
      </c>
      <c r="B72" s="102" t="n"/>
      <c r="C72" s="141">
        <f>IFERROR(VLOOKUP($B72,'異常検知'!$A$6:$X$205,2,FALSE),"")</f>
        <v/>
      </c>
      <c r="D72" s="102">
        <f>IFERROR(VLOOKUP($B72,'異常検知'!$A$6:$X$205,3,FALSE),"")</f>
        <v/>
      </c>
      <c r="E72" s="102">
        <f>IFERROR(VLOOKUP($B72,'異常検知'!$A$6:$X$205,4,FALSE),"")</f>
        <v/>
      </c>
      <c r="F72" s="102">
        <f>IFERROR(VLOOKUP($B72,'異常検知'!$A$6:$X$205,5,FALSE),"")</f>
        <v/>
      </c>
      <c r="G72" s="102">
        <f>IFERROR(VLOOKUP($B72,'異常検知'!$A$6:$X$205,7,FALSE),"")</f>
        <v/>
      </c>
      <c r="H72" s="102">
        <f>IFERROR(VLOOKUP($B72,'異常検知'!$A$6:$X$205,8,FALSE),"")</f>
        <v/>
      </c>
      <c r="I72" s="102">
        <f>IFERROR(VLOOKUP($B72,'異常検知'!$A$6:$X$205,14,FALSE),"")</f>
        <v/>
      </c>
      <c r="J72" s="102">
        <f>IFERROR(VLOOKUP($B72,'異常検知'!$A$6:$X$205,15,FALSE),"")</f>
        <v/>
      </c>
      <c r="K72" s="102">
        <f>IFERROR(VLOOKUP($B72,'異常検知'!$A$6:$X$205,18,FALSE),"")</f>
        <v/>
      </c>
      <c r="L72" s="102" t="inlineStr">
        <is>
          <t>未対応</t>
        </is>
      </c>
      <c r="M72" s="141">
        <f>IFERROR(VLOOKUP($B72,'異常検知'!$A$6:$X$205,20,FALSE),"")</f>
        <v/>
      </c>
      <c r="N72" s="141" t="n"/>
      <c r="O72" s="102">
        <f>IF($M72="","",IF(AND($L72&lt;&gt;"完了",TODAY()&gt;$M72),"期限超過","期限内"))</f>
        <v/>
      </c>
      <c r="P72" s="102" t="inlineStr">
        <is>
          <t>Not classified</t>
        </is>
      </c>
      <c r="Q72" s="102" t="n"/>
      <c r="R72" s="102" t="n"/>
      <c r="S72" s="144" t="n"/>
      <c r="T72" s="102" t="n"/>
    </row>
    <row r="73">
      <c r="A73" s="102">
        <f>IF($B73="","","WO-"&amp;TEXT(ROW()-5,"0000"))</f>
        <v/>
      </c>
      <c r="B73" s="102" t="n"/>
      <c r="C73" s="141">
        <f>IFERROR(VLOOKUP($B73,'異常検知'!$A$6:$X$205,2,FALSE),"")</f>
        <v/>
      </c>
      <c r="D73" s="102">
        <f>IFERROR(VLOOKUP($B73,'異常検知'!$A$6:$X$205,3,FALSE),"")</f>
        <v/>
      </c>
      <c r="E73" s="102">
        <f>IFERROR(VLOOKUP($B73,'異常検知'!$A$6:$X$205,4,FALSE),"")</f>
        <v/>
      </c>
      <c r="F73" s="102">
        <f>IFERROR(VLOOKUP($B73,'異常検知'!$A$6:$X$205,5,FALSE),"")</f>
        <v/>
      </c>
      <c r="G73" s="102">
        <f>IFERROR(VLOOKUP($B73,'異常検知'!$A$6:$X$205,7,FALSE),"")</f>
        <v/>
      </c>
      <c r="H73" s="102">
        <f>IFERROR(VLOOKUP($B73,'異常検知'!$A$6:$X$205,8,FALSE),"")</f>
        <v/>
      </c>
      <c r="I73" s="102">
        <f>IFERROR(VLOOKUP($B73,'異常検知'!$A$6:$X$205,14,FALSE),"")</f>
        <v/>
      </c>
      <c r="J73" s="102">
        <f>IFERROR(VLOOKUP($B73,'異常検知'!$A$6:$X$205,15,FALSE),"")</f>
        <v/>
      </c>
      <c r="K73" s="102">
        <f>IFERROR(VLOOKUP($B73,'異常検知'!$A$6:$X$205,18,FALSE),"")</f>
        <v/>
      </c>
      <c r="L73" s="102" t="inlineStr">
        <is>
          <t>未対応</t>
        </is>
      </c>
      <c r="M73" s="141">
        <f>IFERROR(VLOOKUP($B73,'異常検知'!$A$6:$X$205,20,FALSE),"")</f>
        <v/>
      </c>
      <c r="N73" s="141" t="n"/>
      <c r="O73" s="102">
        <f>IF($M73="","",IF(AND($L73&lt;&gt;"完了",TODAY()&gt;$M73),"期限超過","期限内"))</f>
        <v/>
      </c>
      <c r="P73" s="102" t="inlineStr">
        <is>
          <t>Not classified</t>
        </is>
      </c>
      <c r="Q73" s="102" t="n"/>
      <c r="R73" s="102" t="n"/>
      <c r="S73" s="144" t="n"/>
      <c r="T73" s="102" t="n"/>
    </row>
    <row r="74">
      <c r="A74" s="102">
        <f>IF($B74="","","WO-"&amp;TEXT(ROW()-5,"0000"))</f>
        <v/>
      </c>
      <c r="B74" s="102" t="n"/>
      <c r="C74" s="141">
        <f>IFERROR(VLOOKUP($B74,'異常検知'!$A$6:$X$205,2,FALSE),"")</f>
        <v/>
      </c>
      <c r="D74" s="102">
        <f>IFERROR(VLOOKUP($B74,'異常検知'!$A$6:$X$205,3,FALSE),"")</f>
        <v/>
      </c>
      <c r="E74" s="102">
        <f>IFERROR(VLOOKUP($B74,'異常検知'!$A$6:$X$205,4,FALSE),"")</f>
        <v/>
      </c>
      <c r="F74" s="102">
        <f>IFERROR(VLOOKUP($B74,'異常検知'!$A$6:$X$205,5,FALSE),"")</f>
        <v/>
      </c>
      <c r="G74" s="102">
        <f>IFERROR(VLOOKUP($B74,'異常検知'!$A$6:$X$205,7,FALSE),"")</f>
        <v/>
      </c>
      <c r="H74" s="102">
        <f>IFERROR(VLOOKUP($B74,'異常検知'!$A$6:$X$205,8,FALSE),"")</f>
        <v/>
      </c>
      <c r="I74" s="102">
        <f>IFERROR(VLOOKUP($B74,'異常検知'!$A$6:$X$205,14,FALSE),"")</f>
        <v/>
      </c>
      <c r="J74" s="102">
        <f>IFERROR(VLOOKUP($B74,'異常検知'!$A$6:$X$205,15,FALSE),"")</f>
        <v/>
      </c>
      <c r="K74" s="102">
        <f>IFERROR(VLOOKUP($B74,'異常検知'!$A$6:$X$205,18,FALSE),"")</f>
        <v/>
      </c>
      <c r="L74" s="102" t="inlineStr">
        <is>
          <t>未対応</t>
        </is>
      </c>
      <c r="M74" s="141">
        <f>IFERROR(VLOOKUP($B74,'異常検知'!$A$6:$X$205,20,FALSE),"")</f>
        <v/>
      </c>
      <c r="N74" s="141" t="n"/>
      <c r="O74" s="102">
        <f>IF($M74="","",IF(AND($L74&lt;&gt;"完了",TODAY()&gt;$M74),"期限超過","期限内"))</f>
        <v/>
      </c>
      <c r="P74" s="102" t="inlineStr">
        <is>
          <t>Not classified</t>
        </is>
      </c>
      <c r="Q74" s="102" t="n"/>
      <c r="R74" s="102" t="n"/>
      <c r="S74" s="144" t="n"/>
      <c r="T74" s="102" t="n"/>
    </row>
    <row r="75">
      <c r="A75" s="102">
        <f>IF($B75="","","WO-"&amp;TEXT(ROW()-5,"0000"))</f>
        <v/>
      </c>
      <c r="B75" s="102" t="n"/>
      <c r="C75" s="141">
        <f>IFERROR(VLOOKUP($B75,'異常検知'!$A$6:$X$205,2,FALSE),"")</f>
        <v/>
      </c>
      <c r="D75" s="102">
        <f>IFERROR(VLOOKUP($B75,'異常検知'!$A$6:$X$205,3,FALSE),"")</f>
        <v/>
      </c>
      <c r="E75" s="102">
        <f>IFERROR(VLOOKUP($B75,'異常検知'!$A$6:$X$205,4,FALSE),"")</f>
        <v/>
      </c>
      <c r="F75" s="102">
        <f>IFERROR(VLOOKUP($B75,'異常検知'!$A$6:$X$205,5,FALSE),"")</f>
        <v/>
      </c>
      <c r="G75" s="102">
        <f>IFERROR(VLOOKUP($B75,'異常検知'!$A$6:$X$205,7,FALSE),"")</f>
        <v/>
      </c>
      <c r="H75" s="102">
        <f>IFERROR(VLOOKUP($B75,'異常検知'!$A$6:$X$205,8,FALSE),"")</f>
        <v/>
      </c>
      <c r="I75" s="102">
        <f>IFERROR(VLOOKUP($B75,'異常検知'!$A$6:$X$205,14,FALSE),"")</f>
        <v/>
      </c>
      <c r="J75" s="102">
        <f>IFERROR(VLOOKUP($B75,'異常検知'!$A$6:$X$205,15,FALSE),"")</f>
        <v/>
      </c>
      <c r="K75" s="102">
        <f>IFERROR(VLOOKUP($B75,'異常検知'!$A$6:$X$205,18,FALSE),"")</f>
        <v/>
      </c>
      <c r="L75" s="102" t="inlineStr">
        <is>
          <t>未対応</t>
        </is>
      </c>
      <c r="M75" s="141">
        <f>IFERROR(VLOOKUP($B75,'異常検知'!$A$6:$X$205,20,FALSE),"")</f>
        <v/>
      </c>
      <c r="N75" s="141" t="n"/>
      <c r="O75" s="102">
        <f>IF($M75="","",IF(AND($L75&lt;&gt;"完了",TODAY()&gt;$M75),"期限超過","期限内"))</f>
        <v/>
      </c>
      <c r="P75" s="102" t="inlineStr">
        <is>
          <t>Not classified</t>
        </is>
      </c>
      <c r="Q75" s="102" t="n"/>
      <c r="R75" s="102" t="n"/>
      <c r="S75" s="144" t="n"/>
      <c r="T75" s="102" t="n"/>
    </row>
    <row r="76">
      <c r="A76" s="102">
        <f>IF($B76="","","WO-"&amp;TEXT(ROW()-5,"0000"))</f>
        <v/>
      </c>
      <c r="B76" s="102" t="n"/>
      <c r="C76" s="141">
        <f>IFERROR(VLOOKUP($B76,'異常検知'!$A$6:$X$205,2,FALSE),"")</f>
        <v/>
      </c>
      <c r="D76" s="102">
        <f>IFERROR(VLOOKUP($B76,'異常検知'!$A$6:$X$205,3,FALSE),"")</f>
        <v/>
      </c>
      <c r="E76" s="102">
        <f>IFERROR(VLOOKUP($B76,'異常検知'!$A$6:$X$205,4,FALSE),"")</f>
        <v/>
      </c>
      <c r="F76" s="102">
        <f>IFERROR(VLOOKUP($B76,'異常検知'!$A$6:$X$205,5,FALSE),"")</f>
        <v/>
      </c>
      <c r="G76" s="102">
        <f>IFERROR(VLOOKUP($B76,'異常検知'!$A$6:$X$205,7,FALSE),"")</f>
        <v/>
      </c>
      <c r="H76" s="102">
        <f>IFERROR(VLOOKUP($B76,'異常検知'!$A$6:$X$205,8,FALSE),"")</f>
        <v/>
      </c>
      <c r="I76" s="102">
        <f>IFERROR(VLOOKUP($B76,'異常検知'!$A$6:$X$205,14,FALSE),"")</f>
        <v/>
      </c>
      <c r="J76" s="102">
        <f>IFERROR(VLOOKUP($B76,'異常検知'!$A$6:$X$205,15,FALSE),"")</f>
        <v/>
      </c>
      <c r="K76" s="102">
        <f>IFERROR(VLOOKUP($B76,'異常検知'!$A$6:$X$205,18,FALSE),"")</f>
        <v/>
      </c>
      <c r="L76" s="102" t="inlineStr">
        <is>
          <t>未対応</t>
        </is>
      </c>
      <c r="M76" s="141">
        <f>IFERROR(VLOOKUP($B76,'異常検知'!$A$6:$X$205,20,FALSE),"")</f>
        <v/>
      </c>
      <c r="N76" s="141" t="n"/>
      <c r="O76" s="102">
        <f>IF($M76="","",IF(AND($L76&lt;&gt;"完了",TODAY()&gt;$M76),"期限超過","期限内"))</f>
        <v/>
      </c>
      <c r="P76" s="102" t="inlineStr">
        <is>
          <t>Not classified</t>
        </is>
      </c>
      <c r="Q76" s="102" t="n"/>
      <c r="R76" s="102" t="n"/>
      <c r="S76" s="144" t="n"/>
      <c r="T76" s="102" t="n"/>
    </row>
    <row r="77">
      <c r="A77" s="102">
        <f>IF($B77="","","WO-"&amp;TEXT(ROW()-5,"0000"))</f>
        <v/>
      </c>
      <c r="B77" s="102" t="n"/>
      <c r="C77" s="141">
        <f>IFERROR(VLOOKUP($B77,'異常検知'!$A$6:$X$205,2,FALSE),"")</f>
        <v/>
      </c>
      <c r="D77" s="102">
        <f>IFERROR(VLOOKUP($B77,'異常検知'!$A$6:$X$205,3,FALSE),"")</f>
        <v/>
      </c>
      <c r="E77" s="102">
        <f>IFERROR(VLOOKUP($B77,'異常検知'!$A$6:$X$205,4,FALSE),"")</f>
        <v/>
      </c>
      <c r="F77" s="102">
        <f>IFERROR(VLOOKUP($B77,'異常検知'!$A$6:$X$205,5,FALSE),"")</f>
        <v/>
      </c>
      <c r="G77" s="102">
        <f>IFERROR(VLOOKUP($B77,'異常検知'!$A$6:$X$205,7,FALSE),"")</f>
        <v/>
      </c>
      <c r="H77" s="102">
        <f>IFERROR(VLOOKUP($B77,'異常検知'!$A$6:$X$205,8,FALSE),"")</f>
        <v/>
      </c>
      <c r="I77" s="102">
        <f>IFERROR(VLOOKUP($B77,'異常検知'!$A$6:$X$205,14,FALSE),"")</f>
        <v/>
      </c>
      <c r="J77" s="102">
        <f>IFERROR(VLOOKUP($B77,'異常検知'!$A$6:$X$205,15,FALSE),"")</f>
        <v/>
      </c>
      <c r="K77" s="102">
        <f>IFERROR(VLOOKUP($B77,'異常検知'!$A$6:$X$205,18,FALSE),"")</f>
        <v/>
      </c>
      <c r="L77" s="102" t="inlineStr">
        <is>
          <t>未対応</t>
        </is>
      </c>
      <c r="M77" s="141">
        <f>IFERROR(VLOOKUP($B77,'異常検知'!$A$6:$X$205,20,FALSE),"")</f>
        <v/>
      </c>
      <c r="N77" s="141" t="n"/>
      <c r="O77" s="102">
        <f>IF($M77="","",IF(AND($L77&lt;&gt;"完了",TODAY()&gt;$M77),"期限超過","期限内"))</f>
        <v/>
      </c>
      <c r="P77" s="102" t="inlineStr">
        <is>
          <t>Not classified</t>
        </is>
      </c>
      <c r="Q77" s="102" t="n"/>
      <c r="R77" s="102" t="n"/>
      <c r="S77" s="144" t="n"/>
      <c r="T77" s="102" t="n"/>
    </row>
    <row r="78">
      <c r="A78" s="102">
        <f>IF($B78="","","WO-"&amp;TEXT(ROW()-5,"0000"))</f>
        <v/>
      </c>
      <c r="B78" s="102" t="n"/>
      <c r="C78" s="141">
        <f>IFERROR(VLOOKUP($B78,'異常検知'!$A$6:$X$205,2,FALSE),"")</f>
        <v/>
      </c>
      <c r="D78" s="102">
        <f>IFERROR(VLOOKUP($B78,'異常検知'!$A$6:$X$205,3,FALSE),"")</f>
        <v/>
      </c>
      <c r="E78" s="102">
        <f>IFERROR(VLOOKUP($B78,'異常検知'!$A$6:$X$205,4,FALSE),"")</f>
        <v/>
      </c>
      <c r="F78" s="102">
        <f>IFERROR(VLOOKUP($B78,'異常検知'!$A$6:$X$205,5,FALSE),"")</f>
        <v/>
      </c>
      <c r="G78" s="102">
        <f>IFERROR(VLOOKUP($B78,'異常検知'!$A$6:$X$205,7,FALSE),"")</f>
        <v/>
      </c>
      <c r="H78" s="102">
        <f>IFERROR(VLOOKUP($B78,'異常検知'!$A$6:$X$205,8,FALSE),"")</f>
        <v/>
      </c>
      <c r="I78" s="102">
        <f>IFERROR(VLOOKUP($B78,'異常検知'!$A$6:$X$205,14,FALSE),"")</f>
        <v/>
      </c>
      <c r="J78" s="102">
        <f>IFERROR(VLOOKUP($B78,'異常検知'!$A$6:$X$205,15,FALSE),"")</f>
        <v/>
      </c>
      <c r="K78" s="102">
        <f>IFERROR(VLOOKUP($B78,'異常検知'!$A$6:$X$205,18,FALSE),"")</f>
        <v/>
      </c>
      <c r="L78" s="102" t="inlineStr">
        <is>
          <t>未対応</t>
        </is>
      </c>
      <c r="M78" s="141">
        <f>IFERROR(VLOOKUP($B78,'異常検知'!$A$6:$X$205,20,FALSE),"")</f>
        <v/>
      </c>
      <c r="N78" s="141" t="n"/>
      <c r="O78" s="102">
        <f>IF($M78="","",IF(AND($L78&lt;&gt;"完了",TODAY()&gt;$M78),"期限超過","期限内"))</f>
        <v/>
      </c>
      <c r="P78" s="102" t="inlineStr">
        <is>
          <t>Not classified</t>
        </is>
      </c>
      <c r="Q78" s="102" t="n"/>
      <c r="R78" s="102" t="n"/>
      <c r="S78" s="144" t="n"/>
      <c r="T78" s="102" t="n"/>
    </row>
    <row r="79">
      <c r="A79" s="102">
        <f>IF($B79="","","WO-"&amp;TEXT(ROW()-5,"0000"))</f>
        <v/>
      </c>
      <c r="B79" s="102" t="n"/>
      <c r="C79" s="141">
        <f>IFERROR(VLOOKUP($B79,'異常検知'!$A$6:$X$205,2,FALSE),"")</f>
        <v/>
      </c>
      <c r="D79" s="102">
        <f>IFERROR(VLOOKUP($B79,'異常検知'!$A$6:$X$205,3,FALSE),"")</f>
        <v/>
      </c>
      <c r="E79" s="102">
        <f>IFERROR(VLOOKUP($B79,'異常検知'!$A$6:$X$205,4,FALSE),"")</f>
        <v/>
      </c>
      <c r="F79" s="102">
        <f>IFERROR(VLOOKUP($B79,'異常検知'!$A$6:$X$205,5,FALSE),"")</f>
        <v/>
      </c>
      <c r="G79" s="102">
        <f>IFERROR(VLOOKUP($B79,'異常検知'!$A$6:$X$205,7,FALSE),"")</f>
        <v/>
      </c>
      <c r="H79" s="102">
        <f>IFERROR(VLOOKUP($B79,'異常検知'!$A$6:$X$205,8,FALSE),"")</f>
        <v/>
      </c>
      <c r="I79" s="102">
        <f>IFERROR(VLOOKUP($B79,'異常検知'!$A$6:$X$205,14,FALSE),"")</f>
        <v/>
      </c>
      <c r="J79" s="102">
        <f>IFERROR(VLOOKUP($B79,'異常検知'!$A$6:$X$205,15,FALSE),"")</f>
        <v/>
      </c>
      <c r="K79" s="102">
        <f>IFERROR(VLOOKUP($B79,'異常検知'!$A$6:$X$205,18,FALSE),"")</f>
        <v/>
      </c>
      <c r="L79" s="102" t="inlineStr">
        <is>
          <t>未対応</t>
        </is>
      </c>
      <c r="M79" s="141">
        <f>IFERROR(VLOOKUP($B79,'異常検知'!$A$6:$X$205,20,FALSE),"")</f>
        <v/>
      </c>
      <c r="N79" s="141" t="n"/>
      <c r="O79" s="102">
        <f>IF($M79="","",IF(AND($L79&lt;&gt;"完了",TODAY()&gt;$M79),"期限超過","期限内"))</f>
        <v/>
      </c>
      <c r="P79" s="102" t="inlineStr">
        <is>
          <t>Not classified</t>
        </is>
      </c>
      <c r="Q79" s="102" t="n"/>
      <c r="R79" s="102" t="n"/>
      <c r="S79" s="144" t="n"/>
      <c r="T79" s="102" t="n"/>
    </row>
    <row r="80">
      <c r="A80" s="102">
        <f>IF($B80="","","WO-"&amp;TEXT(ROW()-5,"0000"))</f>
        <v/>
      </c>
      <c r="B80" s="102" t="n"/>
      <c r="C80" s="141">
        <f>IFERROR(VLOOKUP($B80,'異常検知'!$A$6:$X$205,2,FALSE),"")</f>
        <v/>
      </c>
      <c r="D80" s="102">
        <f>IFERROR(VLOOKUP($B80,'異常検知'!$A$6:$X$205,3,FALSE),"")</f>
        <v/>
      </c>
      <c r="E80" s="102">
        <f>IFERROR(VLOOKUP($B80,'異常検知'!$A$6:$X$205,4,FALSE),"")</f>
        <v/>
      </c>
      <c r="F80" s="102">
        <f>IFERROR(VLOOKUP($B80,'異常検知'!$A$6:$X$205,5,FALSE),"")</f>
        <v/>
      </c>
      <c r="G80" s="102">
        <f>IFERROR(VLOOKUP($B80,'異常検知'!$A$6:$X$205,7,FALSE),"")</f>
        <v/>
      </c>
      <c r="H80" s="102">
        <f>IFERROR(VLOOKUP($B80,'異常検知'!$A$6:$X$205,8,FALSE),"")</f>
        <v/>
      </c>
      <c r="I80" s="102">
        <f>IFERROR(VLOOKUP($B80,'異常検知'!$A$6:$X$205,14,FALSE),"")</f>
        <v/>
      </c>
      <c r="J80" s="102">
        <f>IFERROR(VLOOKUP($B80,'異常検知'!$A$6:$X$205,15,FALSE),"")</f>
        <v/>
      </c>
      <c r="K80" s="102">
        <f>IFERROR(VLOOKUP($B80,'異常検知'!$A$6:$X$205,18,FALSE),"")</f>
        <v/>
      </c>
      <c r="L80" s="102" t="inlineStr">
        <is>
          <t>未対応</t>
        </is>
      </c>
      <c r="M80" s="141">
        <f>IFERROR(VLOOKUP($B80,'異常検知'!$A$6:$X$205,20,FALSE),"")</f>
        <v/>
      </c>
      <c r="N80" s="141" t="n"/>
      <c r="O80" s="102">
        <f>IF($M80="","",IF(AND($L80&lt;&gt;"完了",TODAY()&gt;$M80),"期限超過","期限内"))</f>
        <v/>
      </c>
      <c r="P80" s="102" t="inlineStr">
        <is>
          <t>Not classified</t>
        </is>
      </c>
      <c r="Q80" s="102" t="n"/>
      <c r="R80" s="102" t="n"/>
      <c r="S80" s="144" t="n"/>
      <c r="T80" s="102" t="n"/>
    </row>
    <row r="81">
      <c r="A81" s="102">
        <f>IF($B81="","","WO-"&amp;TEXT(ROW()-5,"0000"))</f>
        <v/>
      </c>
      <c r="B81" s="102" t="n"/>
      <c r="C81" s="141">
        <f>IFERROR(VLOOKUP($B81,'異常検知'!$A$6:$X$205,2,FALSE),"")</f>
        <v/>
      </c>
      <c r="D81" s="102">
        <f>IFERROR(VLOOKUP($B81,'異常検知'!$A$6:$X$205,3,FALSE),"")</f>
        <v/>
      </c>
      <c r="E81" s="102">
        <f>IFERROR(VLOOKUP($B81,'異常検知'!$A$6:$X$205,4,FALSE),"")</f>
        <v/>
      </c>
      <c r="F81" s="102">
        <f>IFERROR(VLOOKUP($B81,'異常検知'!$A$6:$X$205,5,FALSE),"")</f>
        <v/>
      </c>
      <c r="G81" s="102">
        <f>IFERROR(VLOOKUP($B81,'異常検知'!$A$6:$X$205,7,FALSE),"")</f>
        <v/>
      </c>
      <c r="H81" s="102">
        <f>IFERROR(VLOOKUP($B81,'異常検知'!$A$6:$X$205,8,FALSE),"")</f>
        <v/>
      </c>
      <c r="I81" s="102">
        <f>IFERROR(VLOOKUP($B81,'異常検知'!$A$6:$X$205,14,FALSE),"")</f>
        <v/>
      </c>
      <c r="J81" s="102">
        <f>IFERROR(VLOOKUP($B81,'異常検知'!$A$6:$X$205,15,FALSE),"")</f>
        <v/>
      </c>
      <c r="K81" s="102">
        <f>IFERROR(VLOOKUP($B81,'異常検知'!$A$6:$X$205,18,FALSE),"")</f>
        <v/>
      </c>
      <c r="L81" s="102" t="inlineStr">
        <is>
          <t>未対応</t>
        </is>
      </c>
      <c r="M81" s="141">
        <f>IFERROR(VLOOKUP($B81,'異常検知'!$A$6:$X$205,20,FALSE),"")</f>
        <v/>
      </c>
      <c r="N81" s="141" t="n"/>
      <c r="O81" s="102">
        <f>IF($M81="","",IF(AND($L81&lt;&gt;"完了",TODAY()&gt;$M81),"期限超過","期限内"))</f>
        <v/>
      </c>
      <c r="P81" s="102" t="inlineStr">
        <is>
          <t>Not classified</t>
        </is>
      </c>
      <c r="Q81" s="102" t="n"/>
      <c r="R81" s="102" t="n"/>
      <c r="S81" s="144" t="n"/>
      <c r="T81" s="102" t="n"/>
    </row>
    <row r="82">
      <c r="A82" s="102">
        <f>IF($B82="","","WO-"&amp;TEXT(ROW()-5,"0000"))</f>
        <v/>
      </c>
      <c r="B82" s="102" t="n"/>
      <c r="C82" s="141">
        <f>IFERROR(VLOOKUP($B82,'異常検知'!$A$6:$X$205,2,FALSE),"")</f>
        <v/>
      </c>
      <c r="D82" s="102">
        <f>IFERROR(VLOOKUP($B82,'異常検知'!$A$6:$X$205,3,FALSE),"")</f>
        <v/>
      </c>
      <c r="E82" s="102">
        <f>IFERROR(VLOOKUP($B82,'異常検知'!$A$6:$X$205,4,FALSE),"")</f>
        <v/>
      </c>
      <c r="F82" s="102">
        <f>IFERROR(VLOOKUP($B82,'異常検知'!$A$6:$X$205,5,FALSE),"")</f>
        <v/>
      </c>
      <c r="G82" s="102">
        <f>IFERROR(VLOOKUP($B82,'異常検知'!$A$6:$X$205,7,FALSE),"")</f>
        <v/>
      </c>
      <c r="H82" s="102">
        <f>IFERROR(VLOOKUP($B82,'異常検知'!$A$6:$X$205,8,FALSE),"")</f>
        <v/>
      </c>
      <c r="I82" s="102">
        <f>IFERROR(VLOOKUP($B82,'異常検知'!$A$6:$X$205,14,FALSE),"")</f>
        <v/>
      </c>
      <c r="J82" s="102">
        <f>IFERROR(VLOOKUP($B82,'異常検知'!$A$6:$X$205,15,FALSE),"")</f>
        <v/>
      </c>
      <c r="K82" s="102">
        <f>IFERROR(VLOOKUP($B82,'異常検知'!$A$6:$X$205,18,FALSE),"")</f>
        <v/>
      </c>
      <c r="L82" s="102" t="inlineStr">
        <is>
          <t>未対応</t>
        </is>
      </c>
      <c r="M82" s="141">
        <f>IFERROR(VLOOKUP($B82,'異常検知'!$A$6:$X$205,20,FALSE),"")</f>
        <v/>
      </c>
      <c r="N82" s="141" t="n"/>
      <c r="O82" s="102">
        <f>IF($M82="","",IF(AND($L82&lt;&gt;"完了",TODAY()&gt;$M82),"期限超過","期限内"))</f>
        <v/>
      </c>
      <c r="P82" s="102" t="inlineStr">
        <is>
          <t>Not classified</t>
        </is>
      </c>
      <c r="Q82" s="102" t="n"/>
      <c r="R82" s="102" t="n"/>
      <c r="S82" s="144" t="n"/>
      <c r="T82" s="102" t="n"/>
    </row>
    <row r="83">
      <c r="A83" s="102">
        <f>IF($B83="","","WO-"&amp;TEXT(ROW()-5,"0000"))</f>
        <v/>
      </c>
      <c r="B83" s="102" t="n"/>
      <c r="C83" s="141">
        <f>IFERROR(VLOOKUP($B83,'異常検知'!$A$6:$X$205,2,FALSE),"")</f>
        <v/>
      </c>
      <c r="D83" s="102">
        <f>IFERROR(VLOOKUP($B83,'異常検知'!$A$6:$X$205,3,FALSE),"")</f>
        <v/>
      </c>
      <c r="E83" s="102">
        <f>IFERROR(VLOOKUP($B83,'異常検知'!$A$6:$X$205,4,FALSE),"")</f>
        <v/>
      </c>
      <c r="F83" s="102">
        <f>IFERROR(VLOOKUP($B83,'異常検知'!$A$6:$X$205,5,FALSE),"")</f>
        <v/>
      </c>
      <c r="G83" s="102">
        <f>IFERROR(VLOOKUP($B83,'異常検知'!$A$6:$X$205,7,FALSE),"")</f>
        <v/>
      </c>
      <c r="H83" s="102">
        <f>IFERROR(VLOOKUP($B83,'異常検知'!$A$6:$X$205,8,FALSE),"")</f>
        <v/>
      </c>
      <c r="I83" s="102">
        <f>IFERROR(VLOOKUP($B83,'異常検知'!$A$6:$X$205,14,FALSE),"")</f>
        <v/>
      </c>
      <c r="J83" s="102">
        <f>IFERROR(VLOOKUP($B83,'異常検知'!$A$6:$X$205,15,FALSE),"")</f>
        <v/>
      </c>
      <c r="K83" s="102">
        <f>IFERROR(VLOOKUP($B83,'異常検知'!$A$6:$X$205,18,FALSE),"")</f>
        <v/>
      </c>
      <c r="L83" s="102" t="inlineStr">
        <is>
          <t>未対応</t>
        </is>
      </c>
      <c r="M83" s="141">
        <f>IFERROR(VLOOKUP($B83,'異常検知'!$A$6:$X$205,20,FALSE),"")</f>
        <v/>
      </c>
      <c r="N83" s="141" t="n"/>
      <c r="O83" s="102">
        <f>IF($M83="","",IF(AND($L83&lt;&gt;"完了",TODAY()&gt;$M83),"期限超過","期限内"))</f>
        <v/>
      </c>
      <c r="P83" s="102" t="inlineStr">
        <is>
          <t>Not classified</t>
        </is>
      </c>
      <c r="Q83" s="102" t="n"/>
      <c r="R83" s="102" t="n"/>
      <c r="S83" s="144" t="n"/>
      <c r="T83" s="102" t="n"/>
    </row>
    <row r="84">
      <c r="A84" s="102">
        <f>IF($B84="","","WO-"&amp;TEXT(ROW()-5,"0000"))</f>
        <v/>
      </c>
      <c r="B84" s="102" t="n"/>
      <c r="C84" s="141">
        <f>IFERROR(VLOOKUP($B84,'異常検知'!$A$6:$X$205,2,FALSE),"")</f>
        <v/>
      </c>
      <c r="D84" s="102">
        <f>IFERROR(VLOOKUP($B84,'異常検知'!$A$6:$X$205,3,FALSE),"")</f>
        <v/>
      </c>
      <c r="E84" s="102">
        <f>IFERROR(VLOOKUP($B84,'異常検知'!$A$6:$X$205,4,FALSE),"")</f>
        <v/>
      </c>
      <c r="F84" s="102">
        <f>IFERROR(VLOOKUP($B84,'異常検知'!$A$6:$X$205,5,FALSE),"")</f>
        <v/>
      </c>
      <c r="G84" s="102">
        <f>IFERROR(VLOOKUP($B84,'異常検知'!$A$6:$X$205,7,FALSE),"")</f>
        <v/>
      </c>
      <c r="H84" s="102">
        <f>IFERROR(VLOOKUP($B84,'異常検知'!$A$6:$X$205,8,FALSE),"")</f>
        <v/>
      </c>
      <c r="I84" s="102">
        <f>IFERROR(VLOOKUP($B84,'異常検知'!$A$6:$X$205,14,FALSE),"")</f>
        <v/>
      </c>
      <c r="J84" s="102">
        <f>IFERROR(VLOOKUP($B84,'異常検知'!$A$6:$X$205,15,FALSE),"")</f>
        <v/>
      </c>
      <c r="K84" s="102">
        <f>IFERROR(VLOOKUP($B84,'異常検知'!$A$6:$X$205,18,FALSE),"")</f>
        <v/>
      </c>
      <c r="L84" s="102" t="inlineStr">
        <is>
          <t>未対応</t>
        </is>
      </c>
      <c r="M84" s="141">
        <f>IFERROR(VLOOKUP($B84,'異常検知'!$A$6:$X$205,20,FALSE),"")</f>
        <v/>
      </c>
      <c r="N84" s="141" t="n"/>
      <c r="O84" s="102">
        <f>IF($M84="","",IF(AND($L84&lt;&gt;"完了",TODAY()&gt;$M84),"期限超過","期限内"))</f>
        <v/>
      </c>
      <c r="P84" s="102" t="inlineStr">
        <is>
          <t>Not classified</t>
        </is>
      </c>
      <c r="Q84" s="102" t="n"/>
      <c r="R84" s="102" t="n"/>
      <c r="S84" s="144" t="n"/>
      <c r="T84" s="102" t="n"/>
    </row>
    <row r="85">
      <c r="A85" s="102">
        <f>IF($B85="","","WO-"&amp;TEXT(ROW()-5,"0000"))</f>
        <v/>
      </c>
      <c r="B85" s="102" t="n"/>
      <c r="C85" s="141">
        <f>IFERROR(VLOOKUP($B85,'異常検知'!$A$6:$X$205,2,FALSE),"")</f>
        <v/>
      </c>
      <c r="D85" s="102">
        <f>IFERROR(VLOOKUP($B85,'異常検知'!$A$6:$X$205,3,FALSE),"")</f>
        <v/>
      </c>
      <c r="E85" s="102">
        <f>IFERROR(VLOOKUP($B85,'異常検知'!$A$6:$X$205,4,FALSE),"")</f>
        <v/>
      </c>
      <c r="F85" s="102">
        <f>IFERROR(VLOOKUP($B85,'異常検知'!$A$6:$X$205,5,FALSE),"")</f>
        <v/>
      </c>
      <c r="G85" s="102">
        <f>IFERROR(VLOOKUP($B85,'異常検知'!$A$6:$X$205,7,FALSE),"")</f>
        <v/>
      </c>
      <c r="H85" s="102">
        <f>IFERROR(VLOOKUP($B85,'異常検知'!$A$6:$X$205,8,FALSE),"")</f>
        <v/>
      </c>
      <c r="I85" s="102">
        <f>IFERROR(VLOOKUP($B85,'異常検知'!$A$6:$X$205,14,FALSE),"")</f>
        <v/>
      </c>
      <c r="J85" s="102">
        <f>IFERROR(VLOOKUP($B85,'異常検知'!$A$6:$X$205,15,FALSE),"")</f>
        <v/>
      </c>
      <c r="K85" s="102">
        <f>IFERROR(VLOOKUP($B85,'異常検知'!$A$6:$X$205,18,FALSE),"")</f>
        <v/>
      </c>
      <c r="L85" s="102" t="inlineStr">
        <is>
          <t>未対応</t>
        </is>
      </c>
      <c r="M85" s="141">
        <f>IFERROR(VLOOKUP($B85,'異常検知'!$A$6:$X$205,20,FALSE),"")</f>
        <v/>
      </c>
      <c r="N85" s="141" t="n"/>
      <c r="O85" s="102">
        <f>IF($M85="","",IF(AND($L85&lt;&gt;"完了",TODAY()&gt;$M85),"期限超過","期限内"))</f>
        <v/>
      </c>
      <c r="P85" s="102" t="inlineStr">
        <is>
          <t>Not classified</t>
        </is>
      </c>
      <c r="Q85" s="102" t="n"/>
      <c r="R85" s="102" t="n"/>
      <c r="S85" s="144" t="n"/>
      <c r="T85" s="102" t="n"/>
    </row>
    <row r="86">
      <c r="A86" s="102">
        <f>IF($B86="","","WO-"&amp;TEXT(ROW()-5,"0000"))</f>
        <v/>
      </c>
      <c r="B86" s="102" t="n"/>
      <c r="C86" s="141">
        <f>IFERROR(VLOOKUP($B86,'異常検知'!$A$6:$X$205,2,FALSE),"")</f>
        <v/>
      </c>
      <c r="D86" s="102">
        <f>IFERROR(VLOOKUP($B86,'異常検知'!$A$6:$X$205,3,FALSE),"")</f>
        <v/>
      </c>
      <c r="E86" s="102">
        <f>IFERROR(VLOOKUP($B86,'異常検知'!$A$6:$X$205,4,FALSE),"")</f>
        <v/>
      </c>
      <c r="F86" s="102">
        <f>IFERROR(VLOOKUP($B86,'異常検知'!$A$6:$X$205,5,FALSE),"")</f>
        <v/>
      </c>
      <c r="G86" s="102">
        <f>IFERROR(VLOOKUP($B86,'異常検知'!$A$6:$X$205,7,FALSE),"")</f>
        <v/>
      </c>
      <c r="H86" s="102">
        <f>IFERROR(VLOOKUP($B86,'異常検知'!$A$6:$X$205,8,FALSE),"")</f>
        <v/>
      </c>
      <c r="I86" s="102">
        <f>IFERROR(VLOOKUP($B86,'異常検知'!$A$6:$X$205,14,FALSE),"")</f>
        <v/>
      </c>
      <c r="J86" s="102">
        <f>IFERROR(VLOOKUP($B86,'異常検知'!$A$6:$X$205,15,FALSE),"")</f>
        <v/>
      </c>
      <c r="K86" s="102">
        <f>IFERROR(VLOOKUP($B86,'異常検知'!$A$6:$X$205,18,FALSE),"")</f>
        <v/>
      </c>
      <c r="L86" s="102" t="inlineStr">
        <is>
          <t>未対応</t>
        </is>
      </c>
      <c r="M86" s="141">
        <f>IFERROR(VLOOKUP($B86,'異常検知'!$A$6:$X$205,20,FALSE),"")</f>
        <v/>
      </c>
      <c r="N86" s="141" t="n"/>
      <c r="O86" s="102">
        <f>IF($M86="","",IF(AND($L86&lt;&gt;"完了",TODAY()&gt;$M86),"期限超過","期限内"))</f>
        <v/>
      </c>
      <c r="P86" s="102" t="inlineStr">
        <is>
          <t>Not classified</t>
        </is>
      </c>
      <c r="Q86" s="102" t="n"/>
      <c r="R86" s="102" t="n"/>
      <c r="S86" s="144" t="n"/>
      <c r="T86" s="102" t="n"/>
    </row>
    <row r="87">
      <c r="A87" s="102">
        <f>IF($B87="","","WO-"&amp;TEXT(ROW()-5,"0000"))</f>
        <v/>
      </c>
      <c r="B87" s="102" t="n"/>
      <c r="C87" s="141">
        <f>IFERROR(VLOOKUP($B87,'異常検知'!$A$6:$X$205,2,FALSE),"")</f>
        <v/>
      </c>
      <c r="D87" s="102">
        <f>IFERROR(VLOOKUP($B87,'異常検知'!$A$6:$X$205,3,FALSE),"")</f>
        <v/>
      </c>
      <c r="E87" s="102">
        <f>IFERROR(VLOOKUP($B87,'異常検知'!$A$6:$X$205,4,FALSE),"")</f>
        <v/>
      </c>
      <c r="F87" s="102">
        <f>IFERROR(VLOOKUP($B87,'異常検知'!$A$6:$X$205,5,FALSE),"")</f>
        <v/>
      </c>
      <c r="G87" s="102">
        <f>IFERROR(VLOOKUP($B87,'異常検知'!$A$6:$X$205,7,FALSE),"")</f>
        <v/>
      </c>
      <c r="H87" s="102">
        <f>IFERROR(VLOOKUP($B87,'異常検知'!$A$6:$X$205,8,FALSE),"")</f>
        <v/>
      </c>
      <c r="I87" s="102">
        <f>IFERROR(VLOOKUP($B87,'異常検知'!$A$6:$X$205,14,FALSE),"")</f>
        <v/>
      </c>
      <c r="J87" s="102">
        <f>IFERROR(VLOOKUP($B87,'異常検知'!$A$6:$X$205,15,FALSE),"")</f>
        <v/>
      </c>
      <c r="K87" s="102">
        <f>IFERROR(VLOOKUP($B87,'異常検知'!$A$6:$X$205,18,FALSE),"")</f>
        <v/>
      </c>
      <c r="L87" s="102" t="inlineStr">
        <is>
          <t>未対応</t>
        </is>
      </c>
      <c r="M87" s="141">
        <f>IFERROR(VLOOKUP($B87,'異常検知'!$A$6:$X$205,20,FALSE),"")</f>
        <v/>
      </c>
      <c r="N87" s="141" t="n"/>
      <c r="O87" s="102">
        <f>IF($M87="","",IF(AND($L87&lt;&gt;"完了",TODAY()&gt;$M87),"期限超過","期限内"))</f>
        <v/>
      </c>
      <c r="P87" s="102" t="inlineStr">
        <is>
          <t>Not classified</t>
        </is>
      </c>
      <c r="Q87" s="102" t="n"/>
      <c r="R87" s="102" t="n"/>
      <c r="S87" s="144" t="n"/>
      <c r="T87" s="102" t="n"/>
    </row>
    <row r="88">
      <c r="A88" s="102">
        <f>IF($B88="","","WO-"&amp;TEXT(ROW()-5,"0000"))</f>
        <v/>
      </c>
      <c r="B88" s="102" t="n"/>
      <c r="C88" s="141">
        <f>IFERROR(VLOOKUP($B88,'異常検知'!$A$6:$X$205,2,FALSE),"")</f>
        <v/>
      </c>
      <c r="D88" s="102">
        <f>IFERROR(VLOOKUP($B88,'異常検知'!$A$6:$X$205,3,FALSE),"")</f>
        <v/>
      </c>
      <c r="E88" s="102">
        <f>IFERROR(VLOOKUP($B88,'異常検知'!$A$6:$X$205,4,FALSE),"")</f>
        <v/>
      </c>
      <c r="F88" s="102">
        <f>IFERROR(VLOOKUP($B88,'異常検知'!$A$6:$X$205,5,FALSE),"")</f>
        <v/>
      </c>
      <c r="G88" s="102">
        <f>IFERROR(VLOOKUP($B88,'異常検知'!$A$6:$X$205,7,FALSE),"")</f>
        <v/>
      </c>
      <c r="H88" s="102">
        <f>IFERROR(VLOOKUP($B88,'異常検知'!$A$6:$X$205,8,FALSE),"")</f>
        <v/>
      </c>
      <c r="I88" s="102">
        <f>IFERROR(VLOOKUP($B88,'異常検知'!$A$6:$X$205,14,FALSE),"")</f>
        <v/>
      </c>
      <c r="J88" s="102">
        <f>IFERROR(VLOOKUP($B88,'異常検知'!$A$6:$X$205,15,FALSE),"")</f>
        <v/>
      </c>
      <c r="K88" s="102">
        <f>IFERROR(VLOOKUP($B88,'異常検知'!$A$6:$X$205,18,FALSE),"")</f>
        <v/>
      </c>
      <c r="L88" s="102" t="inlineStr">
        <is>
          <t>未対応</t>
        </is>
      </c>
      <c r="M88" s="141">
        <f>IFERROR(VLOOKUP($B88,'異常検知'!$A$6:$X$205,20,FALSE),"")</f>
        <v/>
      </c>
      <c r="N88" s="141" t="n"/>
      <c r="O88" s="102">
        <f>IF($M88="","",IF(AND($L88&lt;&gt;"完了",TODAY()&gt;$M88),"期限超過","期限内"))</f>
        <v/>
      </c>
      <c r="P88" s="102" t="inlineStr">
        <is>
          <t>Not classified</t>
        </is>
      </c>
      <c r="Q88" s="102" t="n"/>
      <c r="R88" s="102" t="n"/>
      <c r="S88" s="144" t="n"/>
      <c r="T88" s="102" t="n"/>
    </row>
    <row r="89">
      <c r="A89" s="102">
        <f>IF($B89="","","WO-"&amp;TEXT(ROW()-5,"0000"))</f>
        <v/>
      </c>
      <c r="B89" s="102" t="n"/>
      <c r="C89" s="141">
        <f>IFERROR(VLOOKUP($B89,'異常検知'!$A$6:$X$205,2,FALSE),"")</f>
        <v/>
      </c>
      <c r="D89" s="102">
        <f>IFERROR(VLOOKUP($B89,'異常検知'!$A$6:$X$205,3,FALSE),"")</f>
        <v/>
      </c>
      <c r="E89" s="102">
        <f>IFERROR(VLOOKUP($B89,'異常検知'!$A$6:$X$205,4,FALSE),"")</f>
        <v/>
      </c>
      <c r="F89" s="102">
        <f>IFERROR(VLOOKUP($B89,'異常検知'!$A$6:$X$205,5,FALSE),"")</f>
        <v/>
      </c>
      <c r="G89" s="102">
        <f>IFERROR(VLOOKUP($B89,'異常検知'!$A$6:$X$205,7,FALSE),"")</f>
        <v/>
      </c>
      <c r="H89" s="102">
        <f>IFERROR(VLOOKUP($B89,'異常検知'!$A$6:$X$205,8,FALSE),"")</f>
        <v/>
      </c>
      <c r="I89" s="102">
        <f>IFERROR(VLOOKUP($B89,'異常検知'!$A$6:$X$205,14,FALSE),"")</f>
        <v/>
      </c>
      <c r="J89" s="102">
        <f>IFERROR(VLOOKUP($B89,'異常検知'!$A$6:$X$205,15,FALSE),"")</f>
        <v/>
      </c>
      <c r="K89" s="102">
        <f>IFERROR(VLOOKUP($B89,'異常検知'!$A$6:$X$205,18,FALSE),"")</f>
        <v/>
      </c>
      <c r="L89" s="102" t="inlineStr">
        <is>
          <t>未対応</t>
        </is>
      </c>
      <c r="M89" s="141">
        <f>IFERROR(VLOOKUP($B89,'異常検知'!$A$6:$X$205,20,FALSE),"")</f>
        <v/>
      </c>
      <c r="N89" s="141" t="n"/>
      <c r="O89" s="102">
        <f>IF($M89="","",IF(AND($L89&lt;&gt;"完了",TODAY()&gt;$M89),"期限超過","期限内"))</f>
        <v/>
      </c>
      <c r="P89" s="102" t="inlineStr">
        <is>
          <t>Not classified</t>
        </is>
      </c>
      <c r="Q89" s="102" t="n"/>
      <c r="R89" s="102" t="n"/>
      <c r="S89" s="144" t="n"/>
      <c r="T89" s="102" t="n"/>
    </row>
    <row r="90">
      <c r="A90" s="102">
        <f>IF($B90="","","WO-"&amp;TEXT(ROW()-5,"0000"))</f>
        <v/>
      </c>
      <c r="B90" s="102" t="n"/>
      <c r="C90" s="141">
        <f>IFERROR(VLOOKUP($B90,'異常検知'!$A$6:$X$205,2,FALSE),"")</f>
        <v/>
      </c>
      <c r="D90" s="102">
        <f>IFERROR(VLOOKUP($B90,'異常検知'!$A$6:$X$205,3,FALSE),"")</f>
        <v/>
      </c>
      <c r="E90" s="102">
        <f>IFERROR(VLOOKUP($B90,'異常検知'!$A$6:$X$205,4,FALSE),"")</f>
        <v/>
      </c>
      <c r="F90" s="102">
        <f>IFERROR(VLOOKUP($B90,'異常検知'!$A$6:$X$205,5,FALSE),"")</f>
        <v/>
      </c>
      <c r="G90" s="102">
        <f>IFERROR(VLOOKUP($B90,'異常検知'!$A$6:$X$205,7,FALSE),"")</f>
        <v/>
      </c>
      <c r="H90" s="102">
        <f>IFERROR(VLOOKUP($B90,'異常検知'!$A$6:$X$205,8,FALSE),"")</f>
        <v/>
      </c>
      <c r="I90" s="102">
        <f>IFERROR(VLOOKUP($B90,'異常検知'!$A$6:$X$205,14,FALSE),"")</f>
        <v/>
      </c>
      <c r="J90" s="102">
        <f>IFERROR(VLOOKUP($B90,'異常検知'!$A$6:$X$205,15,FALSE),"")</f>
        <v/>
      </c>
      <c r="K90" s="102">
        <f>IFERROR(VLOOKUP($B90,'異常検知'!$A$6:$X$205,18,FALSE),"")</f>
        <v/>
      </c>
      <c r="L90" s="102" t="inlineStr">
        <is>
          <t>未対応</t>
        </is>
      </c>
      <c r="M90" s="141">
        <f>IFERROR(VLOOKUP($B90,'異常検知'!$A$6:$X$205,20,FALSE),"")</f>
        <v/>
      </c>
      <c r="N90" s="141" t="n"/>
      <c r="O90" s="102">
        <f>IF($M90="","",IF(AND($L90&lt;&gt;"完了",TODAY()&gt;$M90),"期限超過","期限内"))</f>
        <v/>
      </c>
      <c r="P90" s="102" t="inlineStr">
        <is>
          <t>Not classified</t>
        </is>
      </c>
      <c r="Q90" s="102" t="n"/>
      <c r="R90" s="102" t="n"/>
      <c r="S90" s="144" t="n"/>
      <c r="T90" s="102" t="n"/>
    </row>
    <row r="91">
      <c r="A91" s="102">
        <f>IF($B91="","","WO-"&amp;TEXT(ROW()-5,"0000"))</f>
        <v/>
      </c>
      <c r="B91" s="102" t="n"/>
      <c r="C91" s="141">
        <f>IFERROR(VLOOKUP($B91,'異常検知'!$A$6:$X$205,2,FALSE),"")</f>
        <v/>
      </c>
      <c r="D91" s="102">
        <f>IFERROR(VLOOKUP($B91,'異常検知'!$A$6:$X$205,3,FALSE),"")</f>
        <v/>
      </c>
      <c r="E91" s="102">
        <f>IFERROR(VLOOKUP($B91,'異常検知'!$A$6:$X$205,4,FALSE),"")</f>
        <v/>
      </c>
      <c r="F91" s="102">
        <f>IFERROR(VLOOKUP($B91,'異常検知'!$A$6:$X$205,5,FALSE),"")</f>
        <v/>
      </c>
      <c r="G91" s="102">
        <f>IFERROR(VLOOKUP($B91,'異常検知'!$A$6:$X$205,7,FALSE),"")</f>
        <v/>
      </c>
      <c r="H91" s="102">
        <f>IFERROR(VLOOKUP($B91,'異常検知'!$A$6:$X$205,8,FALSE),"")</f>
        <v/>
      </c>
      <c r="I91" s="102">
        <f>IFERROR(VLOOKUP($B91,'異常検知'!$A$6:$X$205,14,FALSE),"")</f>
        <v/>
      </c>
      <c r="J91" s="102">
        <f>IFERROR(VLOOKUP($B91,'異常検知'!$A$6:$X$205,15,FALSE),"")</f>
        <v/>
      </c>
      <c r="K91" s="102">
        <f>IFERROR(VLOOKUP($B91,'異常検知'!$A$6:$X$205,18,FALSE),"")</f>
        <v/>
      </c>
      <c r="L91" s="102" t="inlineStr">
        <is>
          <t>未対応</t>
        </is>
      </c>
      <c r="M91" s="141">
        <f>IFERROR(VLOOKUP($B91,'異常検知'!$A$6:$X$205,20,FALSE),"")</f>
        <v/>
      </c>
      <c r="N91" s="141" t="n"/>
      <c r="O91" s="102">
        <f>IF($M91="","",IF(AND($L91&lt;&gt;"完了",TODAY()&gt;$M91),"期限超過","期限内"))</f>
        <v/>
      </c>
      <c r="P91" s="102" t="inlineStr">
        <is>
          <t>Not classified</t>
        </is>
      </c>
      <c r="Q91" s="102" t="n"/>
      <c r="R91" s="102" t="n"/>
      <c r="S91" s="144" t="n"/>
      <c r="T91" s="102" t="n"/>
    </row>
    <row r="92">
      <c r="A92" s="102">
        <f>IF($B92="","","WO-"&amp;TEXT(ROW()-5,"0000"))</f>
        <v/>
      </c>
      <c r="B92" s="102" t="n"/>
      <c r="C92" s="141">
        <f>IFERROR(VLOOKUP($B92,'異常検知'!$A$6:$X$205,2,FALSE),"")</f>
        <v/>
      </c>
      <c r="D92" s="102">
        <f>IFERROR(VLOOKUP($B92,'異常検知'!$A$6:$X$205,3,FALSE),"")</f>
        <v/>
      </c>
      <c r="E92" s="102">
        <f>IFERROR(VLOOKUP($B92,'異常検知'!$A$6:$X$205,4,FALSE),"")</f>
        <v/>
      </c>
      <c r="F92" s="102">
        <f>IFERROR(VLOOKUP($B92,'異常検知'!$A$6:$X$205,5,FALSE),"")</f>
        <v/>
      </c>
      <c r="G92" s="102">
        <f>IFERROR(VLOOKUP($B92,'異常検知'!$A$6:$X$205,7,FALSE),"")</f>
        <v/>
      </c>
      <c r="H92" s="102">
        <f>IFERROR(VLOOKUP($B92,'異常検知'!$A$6:$X$205,8,FALSE),"")</f>
        <v/>
      </c>
      <c r="I92" s="102">
        <f>IFERROR(VLOOKUP($B92,'異常検知'!$A$6:$X$205,14,FALSE),"")</f>
        <v/>
      </c>
      <c r="J92" s="102">
        <f>IFERROR(VLOOKUP($B92,'異常検知'!$A$6:$X$205,15,FALSE),"")</f>
        <v/>
      </c>
      <c r="K92" s="102">
        <f>IFERROR(VLOOKUP($B92,'異常検知'!$A$6:$X$205,18,FALSE),"")</f>
        <v/>
      </c>
      <c r="L92" s="102" t="inlineStr">
        <is>
          <t>未対応</t>
        </is>
      </c>
      <c r="M92" s="141">
        <f>IFERROR(VLOOKUP($B92,'異常検知'!$A$6:$X$205,20,FALSE),"")</f>
        <v/>
      </c>
      <c r="N92" s="141" t="n"/>
      <c r="O92" s="102">
        <f>IF($M92="","",IF(AND($L92&lt;&gt;"完了",TODAY()&gt;$M92),"期限超過","期限内"))</f>
        <v/>
      </c>
      <c r="P92" s="102" t="inlineStr">
        <is>
          <t>Not classified</t>
        </is>
      </c>
      <c r="Q92" s="102" t="n"/>
      <c r="R92" s="102" t="n"/>
      <c r="S92" s="144" t="n"/>
      <c r="T92" s="102" t="n"/>
    </row>
    <row r="93">
      <c r="A93" s="102">
        <f>IF($B93="","","WO-"&amp;TEXT(ROW()-5,"0000"))</f>
        <v/>
      </c>
      <c r="B93" s="102" t="n"/>
      <c r="C93" s="141">
        <f>IFERROR(VLOOKUP($B93,'異常検知'!$A$6:$X$205,2,FALSE),"")</f>
        <v/>
      </c>
      <c r="D93" s="102">
        <f>IFERROR(VLOOKUP($B93,'異常検知'!$A$6:$X$205,3,FALSE),"")</f>
        <v/>
      </c>
      <c r="E93" s="102">
        <f>IFERROR(VLOOKUP($B93,'異常検知'!$A$6:$X$205,4,FALSE),"")</f>
        <v/>
      </c>
      <c r="F93" s="102">
        <f>IFERROR(VLOOKUP($B93,'異常検知'!$A$6:$X$205,5,FALSE),"")</f>
        <v/>
      </c>
      <c r="G93" s="102">
        <f>IFERROR(VLOOKUP($B93,'異常検知'!$A$6:$X$205,7,FALSE),"")</f>
        <v/>
      </c>
      <c r="H93" s="102">
        <f>IFERROR(VLOOKUP($B93,'異常検知'!$A$6:$X$205,8,FALSE),"")</f>
        <v/>
      </c>
      <c r="I93" s="102">
        <f>IFERROR(VLOOKUP($B93,'異常検知'!$A$6:$X$205,14,FALSE),"")</f>
        <v/>
      </c>
      <c r="J93" s="102">
        <f>IFERROR(VLOOKUP($B93,'異常検知'!$A$6:$X$205,15,FALSE),"")</f>
        <v/>
      </c>
      <c r="K93" s="102">
        <f>IFERROR(VLOOKUP($B93,'異常検知'!$A$6:$X$205,18,FALSE),"")</f>
        <v/>
      </c>
      <c r="L93" s="102" t="inlineStr">
        <is>
          <t>未対応</t>
        </is>
      </c>
      <c r="M93" s="141">
        <f>IFERROR(VLOOKUP($B93,'異常検知'!$A$6:$X$205,20,FALSE),"")</f>
        <v/>
      </c>
      <c r="N93" s="141" t="n"/>
      <c r="O93" s="102">
        <f>IF($M93="","",IF(AND($L93&lt;&gt;"完了",TODAY()&gt;$M93),"期限超過","期限内"))</f>
        <v/>
      </c>
      <c r="P93" s="102" t="inlineStr">
        <is>
          <t>Not classified</t>
        </is>
      </c>
      <c r="Q93" s="102" t="n"/>
      <c r="R93" s="102" t="n"/>
      <c r="S93" s="144" t="n"/>
      <c r="T93" s="102" t="n"/>
    </row>
    <row r="94">
      <c r="A94" s="102">
        <f>IF($B94="","","WO-"&amp;TEXT(ROW()-5,"0000"))</f>
        <v/>
      </c>
      <c r="B94" s="102" t="n"/>
      <c r="C94" s="141">
        <f>IFERROR(VLOOKUP($B94,'異常検知'!$A$6:$X$205,2,FALSE),"")</f>
        <v/>
      </c>
      <c r="D94" s="102">
        <f>IFERROR(VLOOKUP($B94,'異常検知'!$A$6:$X$205,3,FALSE),"")</f>
        <v/>
      </c>
      <c r="E94" s="102">
        <f>IFERROR(VLOOKUP($B94,'異常検知'!$A$6:$X$205,4,FALSE),"")</f>
        <v/>
      </c>
      <c r="F94" s="102">
        <f>IFERROR(VLOOKUP($B94,'異常検知'!$A$6:$X$205,5,FALSE),"")</f>
        <v/>
      </c>
      <c r="G94" s="102">
        <f>IFERROR(VLOOKUP($B94,'異常検知'!$A$6:$X$205,7,FALSE),"")</f>
        <v/>
      </c>
      <c r="H94" s="102">
        <f>IFERROR(VLOOKUP($B94,'異常検知'!$A$6:$X$205,8,FALSE),"")</f>
        <v/>
      </c>
      <c r="I94" s="102">
        <f>IFERROR(VLOOKUP($B94,'異常検知'!$A$6:$X$205,14,FALSE),"")</f>
        <v/>
      </c>
      <c r="J94" s="102">
        <f>IFERROR(VLOOKUP($B94,'異常検知'!$A$6:$X$205,15,FALSE),"")</f>
        <v/>
      </c>
      <c r="K94" s="102">
        <f>IFERROR(VLOOKUP($B94,'異常検知'!$A$6:$X$205,18,FALSE),"")</f>
        <v/>
      </c>
      <c r="L94" s="102" t="inlineStr">
        <is>
          <t>未対応</t>
        </is>
      </c>
      <c r="M94" s="141">
        <f>IFERROR(VLOOKUP($B94,'異常検知'!$A$6:$X$205,20,FALSE),"")</f>
        <v/>
      </c>
      <c r="N94" s="141" t="n"/>
      <c r="O94" s="102">
        <f>IF($M94="","",IF(AND($L94&lt;&gt;"完了",TODAY()&gt;$M94),"期限超過","期限内"))</f>
        <v/>
      </c>
      <c r="P94" s="102" t="inlineStr">
        <is>
          <t>Not classified</t>
        </is>
      </c>
      <c r="Q94" s="102" t="n"/>
      <c r="R94" s="102" t="n"/>
      <c r="S94" s="144" t="n"/>
      <c r="T94" s="102" t="n"/>
    </row>
    <row r="95">
      <c r="A95" s="102">
        <f>IF($B95="","","WO-"&amp;TEXT(ROW()-5,"0000"))</f>
        <v/>
      </c>
      <c r="B95" s="102" t="n"/>
      <c r="C95" s="141">
        <f>IFERROR(VLOOKUP($B95,'異常検知'!$A$6:$X$205,2,FALSE),"")</f>
        <v/>
      </c>
      <c r="D95" s="102">
        <f>IFERROR(VLOOKUP($B95,'異常検知'!$A$6:$X$205,3,FALSE),"")</f>
        <v/>
      </c>
      <c r="E95" s="102">
        <f>IFERROR(VLOOKUP($B95,'異常検知'!$A$6:$X$205,4,FALSE),"")</f>
        <v/>
      </c>
      <c r="F95" s="102">
        <f>IFERROR(VLOOKUP($B95,'異常検知'!$A$6:$X$205,5,FALSE),"")</f>
        <v/>
      </c>
      <c r="G95" s="102">
        <f>IFERROR(VLOOKUP($B95,'異常検知'!$A$6:$X$205,7,FALSE),"")</f>
        <v/>
      </c>
      <c r="H95" s="102">
        <f>IFERROR(VLOOKUP($B95,'異常検知'!$A$6:$X$205,8,FALSE),"")</f>
        <v/>
      </c>
      <c r="I95" s="102">
        <f>IFERROR(VLOOKUP($B95,'異常検知'!$A$6:$X$205,14,FALSE),"")</f>
        <v/>
      </c>
      <c r="J95" s="102">
        <f>IFERROR(VLOOKUP($B95,'異常検知'!$A$6:$X$205,15,FALSE),"")</f>
        <v/>
      </c>
      <c r="K95" s="102">
        <f>IFERROR(VLOOKUP($B95,'異常検知'!$A$6:$X$205,18,FALSE),"")</f>
        <v/>
      </c>
      <c r="L95" s="102" t="inlineStr">
        <is>
          <t>未対応</t>
        </is>
      </c>
      <c r="M95" s="141">
        <f>IFERROR(VLOOKUP($B95,'異常検知'!$A$6:$X$205,20,FALSE),"")</f>
        <v/>
      </c>
      <c r="N95" s="141" t="n"/>
      <c r="O95" s="102">
        <f>IF($M95="","",IF(AND($L95&lt;&gt;"完了",TODAY()&gt;$M95),"期限超過","期限内"))</f>
        <v/>
      </c>
      <c r="P95" s="102" t="inlineStr">
        <is>
          <t>Not classified</t>
        </is>
      </c>
      <c r="Q95" s="102" t="n"/>
      <c r="R95" s="102" t="n"/>
      <c r="S95" s="144" t="n"/>
      <c r="T95" s="102" t="n"/>
    </row>
    <row r="96">
      <c r="A96" s="102">
        <f>IF($B96="","","WO-"&amp;TEXT(ROW()-5,"0000"))</f>
        <v/>
      </c>
      <c r="B96" s="102" t="n"/>
      <c r="C96" s="141">
        <f>IFERROR(VLOOKUP($B96,'異常検知'!$A$6:$X$205,2,FALSE),"")</f>
        <v/>
      </c>
      <c r="D96" s="102">
        <f>IFERROR(VLOOKUP($B96,'異常検知'!$A$6:$X$205,3,FALSE),"")</f>
        <v/>
      </c>
      <c r="E96" s="102">
        <f>IFERROR(VLOOKUP($B96,'異常検知'!$A$6:$X$205,4,FALSE),"")</f>
        <v/>
      </c>
      <c r="F96" s="102">
        <f>IFERROR(VLOOKUP($B96,'異常検知'!$A$6:$X$205,5,FALSE),"")</f>
        <v/>
      </c>
      <c r="G96" s="102">
        <f>IFERROR(VLOOKUP($B96,'異常検知'!$A$6:$X$205,7,FALSE),"")</f>
        <v/>
      </c>
      <c r="H96" s="102">
        <f>IFERROR(VLOOKUP($B96,'異常検知'!$A$6:$X$205,8,FALSE),"")</f>
        <v/>
      </c>
      <c r="I96" s="102">
        <f>IFERROR(VLOOKUP($B96,'異常検知'!$A$6:$X$205,14,FALSE),"")</f>
        <v/>
      </c>
      <c r="J96" s="102">
        <f>IFERROR(VLOOKUP($B96,'異常検知'!$A$6:$X$205,15,FALSE),"")</f>
        <v/>
      </c>
      <c r="K96" s="102">
        <f>IFERROR(VLOOKUP($B96,'異常検知'!$A$6:$X$205,18,FALSE),"")</f>
        <v/>
      </c>
      <c r="L96" s="102" t="inlineStr">
        <is>
          <t>未対応</t>
        </is>
      </c>
      <c r="M96" s="141">
        <f>IFERROR(VLOOKUP($B96,'異常検知'!$A$6:$X$205,20,FALSE),"")</f>
        <v/>
      </c>
      <c r="N96" s="141" t="n"/>
      <c r="O96" s="102">
        <f>IF($M96="","",IF(AND($L96&lt;&gt;"完了",TODAY()&gt;$M96),"期限超過","期限内"))</f>
        <v/>
      </c>
      <c r="P96" s="102" t="inlineStr">
        <is>
          <t>Not classified</t>
        </is>
      </c>
      <c r="Q96" s="102" t="n"/>
      <c r="R96" s="102" t="n"/>
      <c r="S96" s="144" t="n"/>
      <c r="T96" s="102" t="n"/>
    </row>
    <row r="97">
      <c r="A97" s="102">
        <f>IF($B97="","","WO-"&amp;TEXT(ROW()-5,"0000"))</f>
        <v/>
      </c>
      <c r="B97" s="102" t="n"/>
      <c r="C97" s="141">
        <f>IFERROR(VLOOKUP($B97,'異常検知'!$A$6:$X$205,2,FALSE),"")</f>
        <v/>
      </c>
      <c r="D97" s="102">
        <f>IFERROR(VLOOKUP($B97,'異常検知'!$A$6:$X$205,3,FALSE),"")</f>
        <v/>
      </c>
      <c r="E97" s="102">
        <f>IFERROR(VLOOKUP($B97,'異常検知'!$A$6:$X$205,4,FALSE),"")</f>
        <v/>
      </c>
      <c r="F97" s="102">
        <f>IFERROR(VLOOKUP($B97,'異常検知'!$A$6:$X$205,5,FALSE),"")</f>
        <v/>
      </c>
      <c r="G97" s="102">
        <f>IFERROR(VLOOKUP($B97,'異常検知'!$A$6:$X$205,7,FALSE),"")</f>
        <v/>
      </c>
      <c r="H97" s="102">
        <f>IFERROR(VLOOKUP($B97,'異常検知'!$A$6:$X$205,8,FALSE),"")</f>
        <v/>
      </c>
      <c r="I97" s="102">
        <f>IFERROR(VLOOKUP($B97,'異常検知'!$A$6:$X$205,14,FALSE),"")</f>
        <v/>
      </c>
      <c r="J97" s="102">
        <f>IFERROR(VLOOKUP($B97,'異常検知'!$A$6:$X$205,15,FALSE),"")</f>
        <v/>
      </c>
      <c r="K97" s="102">
        <f>IFERROR(VLOOKUP($B97,'異常検知'!$A$6:$X$205,18,FALSE),"")</f>
        <v/>
      </c>
      <c r="L97" s="102" t="inlineStr">
        <is>
          <t>未対応</t>
        </is>
      </c>
      <c r="M97" s="141">
        <f>IFERROR(VLOOKUP($B97,'異常検知'!$A$6:$X$205,20,FALSE),"")</f>
        <v/>
      </c>
      <c r="N97" s="141" t="n"/>
      <c r="O97" s="102">
        <f>IF($M97="","",IF(AND($L97&lt;&gt;"完了",TODAY()&gt;$M97),"期限超過","期限内"))</f>
        <v/>
      </c>
      <c r="P97" s="102" t="inlineStr">
        <is>
          <t>Not classified</t>
        </is>
      </c>
      <c r="Q97" s="102" t="n"/>
      <c r="R97" s="102" t="n"/>
      <c r="S97" s="144" t="n"/>
      <c r="T97" s="102" t="n"/>
    </row>
    <row r="98">
      <c r="A98" s="102">
        <f>IF($B98="","","WO-"&amp;TEXT(ROW()-5,"0000"))</f>
        <v/>
      </c>
      <c r="B98" s="102" t="n"/>
      <c r="C98" s="141">
        <f>IFERROR(VLOOKUP($B98,'異常検知'!$A$6:$X$205,2,FALSE),"")</f>
        <v/>
      </c>
      <c r="D98" s="102">
        <f>IFERROR(VLOOKUP($B98,'異常検知'!$A$6:$X$205,3,FALSE),"")</f>
        <v/>
      </c>
      <c r="E98" s="102">
        <f>IFERROR(VLOOKUP($B98,'異常検知'!$A$6:$X$205,4,FALSE),"")</f>
        <v/>
      </c>
      <c r="F98" s="102">
        <f>IFERROR(VLOOKUP($B98,'異常検知'!$A$6:$X$205,5,FALSE),"")</f>
        <v/>
      </c>
      <c r="G98" s="102">
        <f>IFERROR(VLOOKUP($B98,'異常検知'!$A$6:$X$205,7,FALSE),"")</f>
        <v/>
      </c>
      <c r="H98" s="102">
        <f>IFERROR(VLOOKUP($B98,'異常検知'!$A$6:$X$205,8,FALSE),"")</f>
        <v/>
      </c>
      <c r="I98" s="102">
        <f>IFERROR(VLOOKUP($B98,'異常検知'!$A$6:$X$205,14,FALSE),"")</f>
        <v/>
      </c>
      <c r="J98" s="102">
        <f>IFERROR(VLOOKUP($B98,'異常検知'!$A$6:$X$205,15,FALSE),"")</f>
        <v/>
      </c>
      <c r="K98" s="102">
        <f>IFERROR(VLOOKUP($B98,'異常検知'!$A$6:$X$205,18,FALSE),"")</f>
        <v/>
      </c>
      <c r="L98" s="102" t="inlineStr">
        <is>
          <t>未対応</t>
        </is>
      </c>
      <c r="M98" s="141">
        <f>IFERROR(VLOOKUP($B98,'異常検知'!$A$6:$X$205,20,FALSE),"")</f>
        <v/>
      </c>
      <c r="N98" s="141" t="n"/>
      <c r="O98" s="102">
        <f>IF($M98="","",IF(AND($L98&lt;&gt;"完了",TODAY()&gt;$M98),"期限超過","期限内"))</f>
        <v/>
      </c>
      <c r="P98" s="102" t="inlineStr">
        <is>
          <t>Not classified</t>
        </is>
      </c>
      <c r="Q98" s="102" t="n"/>
      <c r="R98" s="102" t="n"/>
      <c r="S98" s="144" t="n"/>
      <c r="T98" s="102" t="n"/>
    </row>
    <row r="99">
      <c r="A99" s="102">
        <f>IF($B99="","","WO-"&amp;TEXT(ROW()-5,"0000"))</f>
        <v/>
      </c>
      <c r="B99" s="102" t="n"/>
      <c r="C99" s="141">
        <f>IFERROR(VLOOKUP($B99,'異常検知'!$A$6:$X$205,2,FALSE),"")</f>
        <v/>
      </c>
      <c r="D99" s="102">
        <f>IFERROR(VLOOKUP($B99,'異常検知'!$A$6:$X$205,3,FALSE),"")</f>
        <v/>
      </c>
      <c r="E99" s="102">
        <f>IFERROR(VLOOKUP($B99,'異常検知'!$A$6:$X$205,4,FALSE),"")</f>
        <v/>
      </c>
      <c r="F99" s="102">
        <f>IFERROR(VLOOKUP($B99,'異常検知'!$A$6:$X$205,5,FALSE),"")</f>
        <v/>
      </c>
      <c r="G99" s="102">
        <f>IFERROR(VLOOKUP($B99,'異常検知'!$A$6:$X$205,7,FALSE),"")</f>
        <v/>
      </c>
      <c r="H99" s="102">
        <f>IFERROR(VLOOKUP($B99,'異常検知'!$A$6:$X$205,8,FALSE),"")</f>
        <v/>
      </c>
      <c r="I99" s="102">
        <f>IFERROR(VLOOKUP($B99,'異常検知'!$A$6:$X$205,14,FALSE),"")</f>
        <v/>
      </c>
      <c r="J99" s="102">
        <f>IFERROR(VLOOKUP($B99,'異常検知'!$A$6:$X$205,15,FALSE),"")</f>
        <v/>
      </c>
      <c r="K99" s="102">
        <f>IFERROR(VLOOKUP($B99,'異常検知'!$A$6:$X$205,18,FALSE),"")</f>
        <v/>
      </c>
      <c r="L99" s="102" t="inlineStr">
        <is>
          <t>未対応</t>
        </is>
      </c>
      <c r="M99" s="141">
        <f>IFERROR(VLOOKUP($B99,'異常検知'!$A$6:$X$205,20,FALSE),"")</f>
        <v/>
      </c>
      <c r="N99" s="141" t="n"/>
      <c r="O99" s="102">
        <f>IF($M99="","",IF(AND($L99&lt;&gt;"完了",TODAY()&gt;$M99),"期限超過","期限内"))</f>
        <v/>
      </c>
      <c r="P99" s="102" t="inlineStr">
        <is>
          <t>Not classified</t>
        </is>
      </c>
      <c r="Q99" s="102" t="n"/>
      <c r="R99" s="102" t="n"/>
      <c r="S99" s="144" t="n"/>
      <c r="T99" s="102" t="n"/>
    </row>
    <row r="100">
      <c r="A100" s="102">
        <f>IF($B100="","","WO-"&amp;TEXT(ROW()-5,"0000"))</f>
        <v/>
      </c>
      <c r="B100" s="102" t="n"/>
      <c r="C100" s="141">
        <f>IFERROR(VLOOKUP($B100,'異常検知'!$A$6:$X$205,2,FALSE),"")</f>
        <v/>
      </c>
      <c r="D100" s="102">
        <f>IFERROR(VLOOKUP($B100,'異常検知'!$A$6:$X$205,3,FALSE),"")</f>
        <v/>
      </c>
      <c r="E100" s="102">
        <f>IFERROR(VLOOKUP($B100,'異常検知'!$A$6:$X$205,4,FALSE),"")</f>
        <v/>
      </c>
      <c r="F100" s="102">
        <f>IFERROR(VLOOKUP($B100,'異常検知'!$A$6:$X$205,5,FALSE),"")</f>
        <v/>
      </c>
      <c r="G100" s="102">
        <f>IFERROR(VLOOKUP($B100,'異常検知'!$A$6:$X$205,7,FALSE),"")</f>
        <v/>
      </c>
      <c r="H100" s="102">
        <f>IFERROR(VLOOKUP($B100,'異常検知'!$A$6:$X$205,8,FALSE),"")</f>
        <v/>
      </c>
      <c r="I100" s="102">
        <f>IFERROR(VLOOKUP($B100,'異常検知'!$A$6:$X$205,14,FALSE),"")</f>
        <v/>
      </c>
      <c r="J100" s="102">
        <f>IFERROR(VLOOKUP($B100,'異常検知'!$A$6:$X$205,15,FALSE),"")</f>
        <v/>
      </c>
      <c r="K100" s="102">
        <f>IFERROR(VLOOKUP($B100,'異常検知'!$A$6:$X$205,18,FALSE),"")</f>
        <v/>
      </c>
      <c r="L100" s="102" t="inlineStr">
        <is>
          <t>未対応</t>
        </is>
      </c>
      <c r="M100" s="141">
        <f>IFERROR(VLOOKUP($B100,'異常検知'!$A$6:$X$205,20,FALSE),"")</f>
        <v/>
      </c>
      <c r="N100" s="141" t="n"/>
      <c r="O100" s="102">
        <f>IF($M100="","",IF(AND($L100&lt;&gt;"完了",TODAY()&gt;$M100),"期限超過","期限内"))</f>
        <v/>
      </c>
      <c r="P100" s="102" t="inlineStr">
        <is>
          <t>Not classified</t>
        </is>
      </c>
      <c r="Q100" s="102" t="n"/>
      <c r="R100" s="102" t="n"/>
      <c r="S100" s="144" t="n"/>
      <c r="T100" s="102" t="n"/>
    </row>
    <row r="101">
      <c r="A101" s="102">
        <f>IF($B101="","","WO-"&amp;TEXT(ROW()-5,"0000"))</f>
        <v/>
      </c>
      <c r="B101" s="102" t="n"/>
      <c r="C101" s="141">
        <f>IFERROR(VLOOKUP($B101,'異常検知'!$A$6:$X$205,2,FALSE),"")</f>
        <v/>
      </c>
      <c r="D101" s="102">
        <f>IFERROR(VLOOKUP($B101,'異常検知'!$A$6:$X$205,3,FALSE),"")</f>
        <v/>
      </c>
      <c r="E101" s="102">
        <f>IFERROR(VLOOKUP($B101,'異常検知'!$A$6:$X$205,4,FALSE),"")</f>
        <v/>
      </c>
      <c r="F101" s="102">
        <f>IFERROR(VLOOKUP($B101,'異常検知'!$A$6:$X$205,5,FALSE),"")</f>
        <v/>
      </c>
      <c r="G101" s="102">
        <f>IFERROR(VLOOKUP($B101,'異常検知'!$A$6:$X$205,7,FALSE),"")</f>
        <v/>
      </c>
      <c r="H101" s="102">
        <f>IFERROR(VLOOKUP($B101,'異常検知'!$A$6:$X$205,8,FALSE),"")</f>
        <v/>
      </c>
      <c r="I101" s="102">
        <f>IFERROR(VLOOKUP($B101,'異常検知'!$A$6:$X$205,14,FALSE),"")</f>
        <v/>
      </c>
      <c r="J101" s="102">
        <f>IFERROR(VLOOKUP($B101,'異常検知'!$A$6:$X$205,15,FALSE),"")</f>
        <v/>
      </c>
      <c r="K101" s="102">
        <f>IFERROR(VLOOKUP($B101,'異常検知'!$A$6:$X$205,18,FALSE),"")</f>
        <v/>
      </c>
      <c r="L101" s="102" t="inlineStr">
        <is>
          <t>未対応</t>
        </is>
      </c>
      <c r="M101" s="141">
        <f>IFERROR(VLOOKUP($B101,'異常検知'!$A$6:$X$205,20,FALSE),"")</f>
        <v/>
      </c>
      <c r="N101" s="141" t="n"/>
      <c r="O101" s="102">
        <f>IF($M101="","",IF(AND($L101&lt;&gt;"完了",TODAY()&gt;$M101),"期限超過","期限内"))</f>
        <v/>
      </c>
      <c r="P101" s="102" t="inlineStr">
        <is>
          <t>Not classified</t>
        </is>
      </c>
      <c r="Q101" s="102" t="n"/>
      <c r="R101" s="102" t="n"/>
      <c r="S101" s="144" t="n"/>
      <c r="T101" s="102" t="n"/>
    </row>
    <row r="102">
      <c r="A102" s="102">
        <f>IF($B102="","","WO-"&amp;TEXT(ROW()-5,"0000"))</f>
        <v/>
      </c>
      <c r="B102" s="102" t="n"/>
      <c r="C102" s="141">
        <f>IFERROR(VLOOKUP($B102,'異常検知'!$A$6:$X$205,2,FALSE),"")</f>
        <v/>
      </c>
      <c r="D102" s="102">
        <f>IFERROR(VLOOKUP($B102,'異常検知'!$A$6:$X$205,3,FALSE),"")</f>
        <v/>
      </c>
      <c r="E102" s="102">
        <f>IFERROR(VLOOKUP($B102,'異常検知'!$A$6:$X$205,4,FALSE),"")</f>
        <v/>
      </c>
      <c r="F102" s="102">
        <f>IFERROR(VLOOKUP($B102,'異常検知'!$A$6:$X$205,5,FALSE),"")</f>
        <v/>
      </c>
      <c r="G102" s="102">
        <f>IFERROR(VLOOKUP($B102,'異常検知'!$A$6:$X$205,7,FALSE),"")</f>
        <v/>
      </c>
      <c r="H102" s="102">
        <f>IFERROR(VLOOKUP($B102,'異常検知'!$A$6:$X$205,8,FALSE),"")</f>
        <v/>
      </c>
      <c r="I102" s="102">
        <f>IFERROR(VLOOKUP($B102,'異常検知'!$A$6:$X$205,14,FALSE),"")</f>
        <v/>
      </c>
      <c r="J102" s="102">
        <f>IFERROR(VLOOKUP($B102,'異常検知'!$A$6:$X$205,15,FALSE),"")</f>
        <v/>
      </c>
      <c r="K102" s="102">
        <f>IFERROR(VLOOKUP($B102,'異常検知'!$A$6:$X$205,18,FALSE),"")</f>
        <v/>
      </c>
      <c r="L102" s="102" t="inlineStr">
        <is>
          <t>未対応</t>
        </is>
      </c>
      <c r="M102" s="141">
        <f>IFERROR(VLOOKUP($B102,'異常検知'!$A$6:$X$205,20,FALSE),"")</f>
        <v/>
      </c>
      <c r="N102" s="141" t="n"/>
      <c r="O102" s="102">
        <f>IF($M102="","",IF(AND($L102&lt;&gt;"完了",TODAY()&gt;$M102),"期限超過","期限内"))</f>
        <v/>
      </c>
      <c r="P102" s="102" t="inlineStr">
        <is>
          <t>Not classified</t>
        </is>
      </c>
      <c r="Q102" s="102" t="n"/>
      <c r="R102" s="102" t="n"/>
      <c r="S102" s="144" t="n"/>
      <c r="T102" s="102" t="n"/>
    </row>
    <row r="103">
      <c r="A103" s="102">
        <f>IF($B103="","","WO-"&amp;TEXT(ROW()-5,"0000"))</f>
        <v/>
      </c>
      <c r="B103" s="102" t="n"/>
      <c r="C103" s="141">
        <f>IFERROR(VLOOKUP($B103,'異常検知'!$A$6:$X$205,2,FALSE),"")</f>
        <v/>
      </c>
      <c r="D103" s="102">
        <f>IFERROR(VLOOKUP($B103,'異常検知'!$A$6:$X$205,3,FALSE),"")</f>
        <v/>
      </c>
      <c r="E103" s="102">
        <f>IFERROR(VLOOKUP($B103,'異常検知'!$A$6:$X$205,4,FALSE),"")</f>
        <v/>
      </c>
      <c r="F103" s="102">
        <f>IFERROR(VLOOKUP($B103,'異常検知'!$A$6:$X$205,5,FALSE),"")</f>
        <v/>
      </c>
      <c r="G103" s="102">
        <f>IFERROR(VLOOKUP($B103,'異常検知'!$A$6:$X$205,7,FALSE),"")</f>
        <v/>
      </c>
      <c r="H103" s="102">
        <f>IFERROR(VLOOKUP($B103,'異常検知'!$A$6:$X$205,8,FALSE),"")</f>
        <v/>
      </c>
      <c r="I103" s="102">
        <f>IFERROR(VLOOKUP($B103,'異常検知'!$A$6:$X$205,14,FALSE),"")</f>
        <v/>
      </c>
      <c r="J103" s="102">
        <f>IFERROR(VLOOKUP($B103,'異常検知'!$A$6:$X$205,15,FALSE),"")</f>
        <v/>
      </c>
      <c r="K103" s="102">
        <f>IFERROR(VLOOKUP($B103,'異常検知'!$A$6:$X$205,18,FALSE),"")</f>
        <v/>
      </c>
      <c r="L103" s="102" t="inlineStr">
        <is>
          <t>未対応</t>
        </is>
      </c>
      <c r="M103" s="141">
        <f>IFERROR(VLOOKUP($B103,'異常検知'!$A$6:$X$205,20,FALSE),"")</f>
        <v/>
      </c>
      <c r="N103" s="141" t="n"/>
      <c r="O103" s="102">
        <f>IF($M103="","",IF(AND($L103&lt;&gt;"完了",TODAY()&gt;$M103),"期限超過","期限内"))</f>
        <v/>
      </c>
      <c r="P103" s="102" t="inlineStr">
        <is>
          <t>Not classified</t>
        </is>
      </c>
      <c r="Q103" s="102" t="n"/>
      <c r="R103" s="102" t="n"/>
      <c r="S103" s="144" t="n"/>
      <c r="T103" s="102" t="n"/>
    </row>
    <row r="104">
      <c r="A104" s="102">
        <f>IF($B104="","","WO-"&amp;TEXT(ROW()-5,"0000"))</f>
        <v/>
      </c>
      <c r="B104" s="102" t="n"/>
      <c r="C104" s="141">
        <f>IFERROR(VLOOKUP($B104,'異常検知'!$A$6:$X$205,2,FALSE),"")</f>
        <v/>
      </c>
      <c r="D104" s="102">
        <f>IFERROR(VLOOKUP($B104,'異常検知'!$A$6:$X$205,3,FALSE),"")</f>
        <v/>
      </c>
      <c r="E104" s="102">
        <f>IFERROR(VLOOKUP($B104,'異常検知'!$A$6:$X$205,4,FALSE),"")</f>
        <v/>
      </c>
      <c r="F104" s="102">
        <f>IFERROR(VLOOKUP($B104,'異常検知'!$A$6:$X$205,5,FALSE),"")</f>
        <v/>
      </c>
      <c r="G104" s="102">
        <f>IFERROR(VLOOKUP($B104,'異常検知'!$A$6:$X$205,7,FALSE),"")</f>
        <v/>
      </c>
      <c r="H104" s="102">
        <f>IFERROR(VLOOKUP($B104,'異常検知'!$A$6:$X$205,8,FALSE),"")</f>
        <v/>
      </c>
      <c r="I104" s="102">
        <f>IFERROR(VLOOKUP($B104,'異常検知'!$A$6:$X$205,14,FALSE),"")</f>
        <v/>
      </c>
      <c r="J104" s="102">
        <f>IFERROR(VLOOKUP($B104,'異常検知'!$A$6:$X$205,15,FALSE),"")</f>
        <v/>
      </c>
      <c r="K104" s="102">
        <f>IFERROR(VLOOKUP($B104,'異常検知'!$A$6:$X$205,18,FALSE),"")</f>
        <v/>
      </c>
      <c r="L104" s="102" t="inlineStr">
        <is>
          <t>未対応</t>
        </is>
      </c>
      <c r="M104" s="141">
        <f>IFERROR(VLOOKUP($B104,'異常検知'!$A$6:$X$205,20,FALSE),"")</f>
        <v/>
      </c>
      <c r="N104" s="141" t="n"/>
      <c r="O104" s="102">
        <f>IF($M104="","",IF(AND($L104&lt;&gt;"完了",TODAY()&gt;$M104),"期限超過","期限内"))</f>
        <v/>
      </c>
      <c r="P104" s="102" t="inlineStr">
        <is>
          <t>Not classified</t>
        </is>
      </c>
      <c r="Q104" s="102" t="n"/>
      <c r="R104" s="102" t="n"/>
      <c r="S104" s="144" t="n"/>
      <c r="T104" s="102" t="n"/>
    </row>
    <row r="105">
      <c r="A105" s="102">
        <f>IF($B105="","","WO-"&amp;TEXT(ROW()-5,"0000"))</f>
        <v/>
      </c>
      <c r="B105" s="102" t="n"/>
      <c r="C105" s="141">
        <f>IFERROR(VLOOKUP($B105,'異常検知'!$A$6:$X$205,2,FALSE),"")</f>
        <v/>
      </c>
      <c r="D105" s="102">
        <f>IFERROR(VLOOKUP($B105,'異常検知'!$A$6:$X$205,3,FALSE),"")</f>
        <v/>
      </c>
      <c r="E105" s="102">
        <f>IFERROR(VLOOKUP($B105,'異常検知'!$A$6:$X$205,4,FALSE),"")</f>
        <v/>
      </c>
      <c r="F105" s="102">
        <f>IFERROR(VLOOKUP($B105,'異常検知'!$A$6:$X$205,5,FALSE),"")</f>
        <v/>
      </c>
      <c r="G105" s="102">
        <f>IFERROR(VLOOKUP($B105,'異常検知'!$A$6:$X$205,7,FALSE),"")</f>
        <v/>
      </c>
      <c r="H105" s="102">
        <f>IFERROR(VLOOKUP($B105,'異常検知'!$A$6:$X$205,8,FALSE),"")</f>
        <v/>
      </c>
      <c r="I105" s="102">
        <f>IFERROR(VLOOKUP($B105,'異常検知'!$A$6:$X$205,14,FALSE),"")</f>
        <v/>
      </c>
      <c r="J105" s="102">
        <f>IFERROR(VLOOKUP($B105,'異常検知'!$A$6:$X$205,15,FALSE),"")</f>
        <v/>
      </c>
      <c r="K105" s="102">
        <f>IFERROR(VLOOKUP($B105,'異常検知'!$A$6:$X$205,18,FALSE),"")</f>
        <v/>
      </c>
      <c r="L105" s="102" t="inlineStr">
        <is>
          <t>未対応</t>
        </is>
      </c>
      <c r="M105" s="141">
        <f>IFERROR(VLOOKUP($B105,'異常検知'!$A$6:$X$205,20,FALSE),"")</f>
        <v/>
      </c>
      <c r="N105" s="141" t="n"/>
      <c r="O105" s="102">
        <f>IF($M105="","",IF(AND($L105&lt;&gt;"完了",TODAY()&gt;$M105),"期限超過","期限内"))</f>
        <v/>
      </c>
      <c r="P105" s="102" t="inlineStr">
        <is>
          <t>Not classified</t>
        </is>
      </c>
      <c r="Q105" s="102" t="n"/>
      <c r="R105" s="102" t="n"/>
      <c r="S105" s="144" t="n"/>
      <c r="T105" s="102" t="n"/>
    </row>
  </sheetData>
  <mergeCells count="1">
    <mergeCell ref="A1:T1"/>
  </mergeCells>
  <conditionalFormatting sqref="O6:O105">
    <cfRule type="expression" priority="1" dxfId="4">
      <formula>$O6="期限超過"</formula>
    </cfRule>
  </conditionalFormatting>
  <dataValidations count="3">
    <dataValidation sqref="B6:B105" showDropDown="0" showInputMessage="0" showErrorMessage="0" allowBlank="0" type="list">
      <formula1>異常検知!$A$6:$A$205</formula1>
    </dataValidation>
    <dataValidation sqref="L6:L105" showDropDown="0" showInputMessage="0" showErrorMessage="0" allowBlank="0" type="list">
      <formula1>基本設定!$N$13:$N$17</formula1>
    </dataValidation>
    <dataValidation sqref="P6:P105" showDropDown="0" showInputMessage="0" showErrorMessage="0" allowBlank="0" type="list">
      <formula1>基本設定!$R$13:$R$21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16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0" customWidth="1" min="9" max="9"/>
    <col width="14" customWidth="1" min="10" max="10"/>
    <col width="14" customWidth="1" min="11" max="11"/>
    <col width="4" customWidth="1" min="12" max="12"/>
    <col width="14" customWidth="1" min="13" max="13"/>
    <col width="14" customWidth="1" min="14" max="14"/>
    <col width="14" customWidth="1" min="15" max="15"/>
  </cols>
  <sheetData>
    <row r="1" ht="34" customHeight="1">
      <c r="A1" s="9" t="inlineStr">
        <is>
          <t>Monthly Summary by Energy Type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4" customHeight="1">
      <c r="A2" s="13" t="inlineStr">
        <is>
          <t>Description</t>
        </is>
      </c>
      <c r="B2" s="13" t="inlineStr">
        <is>
          <t>Column A can be replaced with the first day of any month. Formulas summarize data by month.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</row>
    <row r="3" ht="24" customHeight="1"/>
    <row r="4">
      <c r="A4" s="30" t="inlineStr">
        <is>
          <t>Month</t>
        </is>
      </c>
      <c r="B4" s="30" t="inlineStr">
        <is>
          <t>電気(kWh)</t>
        </is>
      </c>
      <c r="C4" s="30" t="inlineStr">
        <is>
          <t>水道(m³)</t>
        </is>
      </c>
      <c r="D4" s="30" t="inlineStr">
        <is>
          <t>ガス(m³)</t>
        </is>
      </c>
      <c r="E4" s="30" t="inlineStr">
        <is>
          <t>熱(GJ)</t>
        </is>
      </c>
      <c r="F4" s="30" t="inlineStr">
        <is>
          <t>蒸気(t)</t>
        </is>
      </c>
      <c r="G4" s="30" t="inlineStr">
        <is>
          <t>冷熱(GJ)</t>
        </is>
      </c>
      <c r="H4" s="30" t="inlineStr">
        <is>
          <t>Total cost</t>
        </is>
      </c>
      <c r="I4" s="30" t="inlineStr">
        <is>
          <t>Anomalies</t>
        </is>
      </c>
      <c r="J4" s="30" t="inlineStr">
        <is>
          <t>High / severe anomalies</t>
        </is>
      </c>
      <c r="K4" s="30" t="inlineStr">
        <is>
          <t>Carbon kgCO2e</t>
        </is>
      </c>
      <c r="M4" s="44" t="inlineStr">
        <is>
          <t>Energy type</t>
        </is>
      </c>
      <c r="N4" s="44" t="inlineStr">
        <is>
          <t>Usage summary</t>
        </is>
      </c>
      <c r="O4" s="44" t="inlineStr">
        <is>
          <t>Cost summary</t>
        </is>
      </c>
    </row>
    <row r="5">
      <c r="A5" s="136" t="n">
        <v>46023</v>
      </c>
      <c r="B5" s="145">
        <f>SUMIFS('エネルギーデータ入力'!$N$6:$N$205,'エネルギーデータ入力'!$B$6:$B$205,"&gt;="&amp;$A5,'エネルギーデータ入力'!$B$6:$B$205,"&lt;"&amp;EDATE($A5,1),'エネルギーデータ入力'!$J$6:$J$205,"電気")</f>
        <v/>
      </c>
      <c r="C5" s="145">
        <f>SUMIFS('エネルギーデータ入力'!$N$6:$N$205,'エネルギーデータ入力'!$B$6:$B$205,"&gt;="&amp;$A5,'エネルギーデータ入力'!$B$6:$B$205,"&lt;"&amp;EDATE($A5,1),'エネルギーデータ入力'!$J$6:$J$205,"水道")</f>
        <v/>
      </c>
      <c r="D5" s="145">
        <f>SUMIFS('エネルギーデータ入力'!$N$6:$N$205,'エネルギーデータ入力'!$B$6:$B$205,"&gt;="&amp;$A5,'エネルギーデータ入力'!$B$6:$B$205,"&lt;"&amp;EDATE($A5,1),'エネルギーデータ入力'!$J$6:$J$205,"ガス")</f>
        <v/>
      </c>
      <c r="E5" s="145">
        <f>SUMIFS('エネルギーデータ入力'!$N$6:$N$205,'エネルギーデータ入力'!$B$6:$B$205,"&gt;="&amp;$A5,'エネルギーデータ入力'!$B$6:$B$205,"&lt;"&amp;EDATE($A5,1),'エネルギーデータ入力'!$J$6:$J$205,"熱")</f>
        <v/>
      </c>
      <c r="F5" s="145">
        <f>SUMIFS('エネルギーデータ入力'!$N$6:$N$205,'エネルギーデータ入力'!$B$6:$B$205,"&gt;="&amp;$A5,'エネルギーデータ入力'!$B$6:$B$205,"&lt;"&amp;EDATE($A5,1),'エネルギーデータ入力'!$J$6:$J$205,"蒸気")</f>
        <v/>
      </c>
      <c r="G5" s="145">
        <f>SUMIFS('エネルギーデータ入力'!$N$6:$N$205,'エネルギーデータ入力'!$B$6:$B$205,"&gt;="&amp;$A5,'エネルギーデータ入力'!$B$6:$B$205,"&lt;"&amp;EDATE($A5,1),'エネルギーデータ入力'!$J$6:$J$205,"冷熱")</f>
        <v/>
      </c>
      <c r="H5" s="146">
        <f>SUMIFS('エネルギーデータ入力'!$P$6:$P$205,'エネルギーデータ入力'!$B$6:$B$205,"&gt;="&amp;$A5,'エネルギーデータ入力'!$B$6:$B$205,"&lt;"&amp;EDATE($A5,1))</f>
        <v/>
      </c>
      <c r="I5" s="147">
        <f>COUNTIFS('異常検知'!$B$6:$B$205,"&gt;="&amp;$A5,'異常検知'!$B$6:$B$205,"&lt;"&amp;EDATE($A5,1),'異常検知'!$N$6:$N$205,"&lt;&gt;正常",'異常検知'!$N$6:$N$205,"&lt;&gt;")</f>
        <v/>
      </c>
      <c r="J5" s="147">
        <f>COUNTIFS('異常検知'!$B$6:$B$205,"&gt;="&amp;$A5,'異常検知'!$B$6:$B$205,"&lt;"&amp;EDATE($A5,1),'異常検知'!$O$6:$O$205,"高")+COUNTIFS('異常検知'!$B$6:$B$205,"&gt;="&amp;$A5,'異常検知'!$B$6:$B$205,"&lt;"&amp;EDATE($A5,1),'異常検知'!$O$6:$O$205,"重大")</f>
        <v/>
      </c>
      <c r="K5" s="145">
        <f>SUMIFS('エネルギーデータ入力'!$U$6:$U$205,'エネルギーデータ入力'!$B$6:$B$205,"&gt;="&amp;$A5,'エネルギーデータ入力'!$B$6:$B$205,"&lt;"&amp;EDATE($A5,1))</f>
        <v/>
      </c>
      <c r="M5" t="inlineStr">
        <is>
          <t>電気</t>
        </is>
      </c>
      <c r="N5" s="145">
        <f>SUMIFS('エネルギーデータ入力'!$N$6:$N$205,'エネルギーデータ入力'!$J$6:$J$205,$M5)</f>
        <v/>
      </c>
      <c r="O5" s="146">
        <f>SUMIFS('エネルギーデータ入力'!$P$6:$P$205,'エネルギーデータ入力'!$J$6:$J$205,$M5)</f>
        <v/>
      </c>
    </row>
    <row r="6">
      <c r="A6" s="136" t="n">
        <v>46054</v>
      </c>
      <c r="B6" s="145">
        <f>SUMIFS('エネルギーデータ入力'!$N$6:$N$205,'エネルギーデータ入力'!$B$6:$B$205,"&gt;="&amp;$A6,'エネルギーデータ入力'!$B$6:$B$205,"&lt;"&amp;EDATE($A6,1),'エネルギーデータ入力'!$J$6:$J$205,"電気")</f>
        <v/>
      </c>
      <c r="C6" s="145">
        <f>SUMIFS('エネルギーデータ入力'!$N$6:$N$205,'エネルギーデータ入力'!$B$6:$B$205,"&gt;="&amp;$A6,'エネルギーデータ入力'!$B$6:$B$205,"&lt;"&amp;EDATE($A6,1),'エネルギーデータ入力'!$J$6:$J$205,"水道")</f>
        <v/>
      </c>
      <c r="D6" s="145">
        <f>SUMIFS('エネルギーデータ入力'!$N$6:$N$205,'エネルギーデータ入力'!$B$6:$B$205,"&gt;="&amp;$A6,'エネルギーデータ入力'!$B$6:$B$205,"&lt;"&amp;EDATE($A6,1),'エネルギーデータ入力'!$J$6:$J$205,"ガス")</f>
        <v/>
      </c>
      <c r="E6" s="145">
        <f>SUMIFS('エネルギーデータ入力'!$N$6:$N$205,'エネルギーデータ入力'!$B$6:$B$205,"&gt;="&amp;$A6,'エネルギーデータ入力'!$B$6:$B$205,"&lt;"&amp;EDATE($A6,1),'エネルギーデータ入力'!$J$6:$J$205,"熱")</f>
        <v/>
      </c>
      <c r="F6" s="145">
        <f>SUMIFS('エネルギーデータ入力'!$N$6:$N$205,'エネルギーデータ入力'!$B$6:$B$205,"&gt;="&amp;$A6,'エネルギーデータ入力'!$B$6:$B$205,"&lt;"&amp;EDATE($A6,1),'エネルギーデータ入力'!$J$6:$J$205,"蒸気")</f>
        <v/>
      </c>
      <c r="G6" s="145">
        <f>SUMIFS('エネルギーデータ入力'!$N$6:$N$205,'エネルギーデータ入力'!$B$6:$B$205,"&gt;="&amp;$A6,'エネルギーデータ入力'!$B$6:$B$205,"&lt;"&amp;EDATE($A6,1),'エネルギーデータ入力'!$J$6:$J$205,"冷熱")</f>
        <v/>
      </c>
      <c r="H6" s="146">
        <f>SUMIFS('エネルギーデータ入力'!$P$6:$P$205,'エネルギーデータ入力'!$B$6:$B$205,"&gt;="&amp;$A6,'エネルギーデータ入力'!$B$6:$B$205,"&lt;"&amp;EDATE($A6,1))</f>
        <v/>
      </c>
      <c r="I6" s="147">
        <f>COUNTIFS('異常検知'!$B$6:$B$205,"&gt;="&amp;$A6,'異常検知'!$B$6:$B$205,"&lt;"&amp;EDATE($A6,1),'異常検知'!$N$6:$N$205,"&lt;&gt;正常",'異常検知'!$N$6:$N$205,"&lt;&gt;")</f>
        <v/>
      </c>
      <c r="J6" s="147">
        <f>COUNTIFS('異常検知'!$B$6:$B$205,"&gt;="&amp;$A6,'異常検知'!$B$6:$B$205,"&lt;"&amp;EDATE($A6,1),'異常検知'!$O$6:$O$205,"高")+COUNTIFS('異常検知'!$B$6:$B$205,"&gt;="&amp;$A6,'異常検知'!$B$6:$B$205,"&lt;"&amp;EDATE($A6,1),'異常検知'!$O$6:$O$205,"重大")</f>
        <v/>
      </c>
      <c r="K6" s="145">
        <f>SUMIFS('エネルギーデータ入力'!$U$6:$U$205,'エネルギーデータ入力'!$B$6:$B$205,"&gt;="&amp;$A6,'エネルギーデータ入力'!$B$6:$B$205,"&lt;"&amp;EDATE($A6,1))</f>
        <v/>
      </c>
      <c r="M6" t="inlineStr">
        <is>
          <t>水道</t>
        </is>
      </c>
      <c r="N6" s="145">
        <f>SUMIFS('エネルギーデータ入力'!$N$6:$N$205,'エネルギーデータ入力'!$J$6:$J$205,$M6)</f>
        <v/>
      </c>
      <c r="O6" s="146">
        <f>SUMIFS('エネルギーデータ入力'!$P$6:$P$205,'エネルギーデータ入力'!$J$6:$J$205,$M6)</f>
        <v/>
      </c>
    </row>
    <row r="7">
      <c r="A7" s="136" t="n">
        <v>46082</v>
      </c>
      <c r="B7" s="145">
        <f>SUMIFS('エネルギーデータ入力'!$N$6:$N$205,'エネルギーデータ入力'!$B$6:$B$205,"&gt;="&amp;$A7,'エネルギーデータ入力'!$B$6:$B$205,"&lt;"&amp;EDATE($A7,1),'エネルギーデータ入力'!$J$6:$J$205,"電気")</f>
        <v/>
      </c>
      <c r="C7" s="145">
        <f>SUMIFS('エネルギーデータ入力'!$N$6:$N$205,'エネルギーデータ入力'!$B$6:$B$205,"&gt;="&amp;$A7,'エネルギーデータ入力'!$B$6:$B$205,"&lt;"&amp;EDATE($A7,1),'エネルギーデータ入力'!$J$6:$J$205,"水道")</f>
        <v/>
      </c>
      <c r="D7" s="145">
        <f>SUMIFS('エネルギーデータ入力'!$N$6:$N$205,'エネルギーデータ入力'!$B$6:$B$205,"&gt;="&amp;$A7,'エネルギーデータ入力'!$B$6:$B$205,"&lt;"&amp;EDATE($A7,1),'エネルギーデータ入力'!$J$6:$J$205,"ガス")</f>
        <v/>
      </c>
      <c r="E7" s="145">
        <f>SUMIFS('エネルギーデータ入力'!$N$6:$N$205,'エネルギーデータ入力'!$B$6:$B$205,"&gt;="&amp;$A7,'エネルギーデータ入力'!$B$6:$B$205,"&lt;"&amp;EDATE($A7,1),'エネルギーデータ入力'!$J$6:$J$205,"熱")</f>
        <v/>
      </c>
      <c r="F7" s="145">
        <f>SUMIFS('エネルギーデータ入力'!$N$6:$N$205,'エネルギーデータ入力'!$B$6:$B$205,"&gt;="&amp;$A7,'エネルギーデータ入力'!$B$6:$B$205,"&lt;"&amp;EDATE($A7,1),'エネルギーデータ入力'!$J$6:$J$205,"蒸気")</f>
        <v/>
      </c>
      <c r="G7" s="145">
        <f>SUMIFS('エネルギーデータ入力'!$N$6:$N$205,'エネルギーデータ入力'!$B$6:$B$205,"&gt;="&amp;$A7,'エネルギーデータ入力'!$B$6:$B$205,"&lt;"&amp;EDATE($A7,1),'エネルギーデータ入力'!$J$6:$J$205,"冷熱")</f>
        <v/>
      </c>
      <c r="H7" s="146">
        <f>SUMIFS('エネルギーデータ入力'!$P$6:$P$205,'エネルギーデータ入力'!$B$6:$B$205,"&gt;="&amp;$A7,'エネルギーデータ入力'!$B$6:$B$205,"&lt;"&amp;EDATE($A7,1))</f>
        <v/>
      </c>
      <c r="I7" s="147">
        <f>COUNTIFS('異常検知'!$B$6:$B$205,"&gt;="&amp;$A7,'異常検知'!$B$6:$B$205,"&lt;"&amp;EDATE($A7,1),'異常検知'!$N$6:$N$205,"&lt;&gt;正常",'異常検知'!$N$6:$N$205,"&lt;&gt;")</f>
        <v/>
      </c>
      <c r="J7" s="147">
        <f>COUNTIFS('異常検知'!$B$6:$B$205,"&gt;="&amp;$A7,'異常検知'!$B$6:$B$205,"&lt;"&amp;EDATE($A7,1),'異常検知'!$O$6:$O$205,"高")+COUNTIFS('異常検知'!$B$6:$B$205,"&gt;="&amp;$A7,'異常検知'!$B$6:$B$205,"&lt;"&amp;EDATE($A7,1),'異常検知'!$O$6:$O$205,"重大")</f>
        <v/>
      </c>
      <c r="K7" s="145">
        <f>SUMIFS('エネルギーデータ入力'!$U$6:$U$205,'エネルギーデータ入力'!$B$6:$B$205,"&gt;="&amp;$A7,'エネルギーデータ入力'!$B$6:$B$205,"&lt;"&amp;EDATE($A7,1))</f>
        <v/>
      </c>
      <c r="M7" t="inlineStr">
        <is>
          <t>ガス</t>
        </is>
      </c>
      <c r="N7" s="145">
        <f>SUMIFS('エネルギーデータ入力'!$N$6:$N$205,'エネルギーデータ入力'!$J$6:$J$205,$M7)</f>
        <v/>
      </c>
      <c r="O7" s="146">
        <f>SUMIFS('エネルギーデータ入力'!$P$6:$P$205,'エネルギーデータ入力'!$J$6:$J$205,$M7)</f>
        <v/>
      </c>
    </row>
    <row r="8">
      <c r="A8" s="136" t="n">
        <v>46113</v>
      </c>
      <c r="B8" s="145">
        <f>SUMIFS('エネルギーデータ入力'!$N$6:$N$205,'エネルギーデータ入力'!$B$6:$B$205,"&gt;="&amp;$A8,'エネルギーデータ入力'!$B$6:$B$205,"&lt;"&amp;EDATE($A8,1),'エネルギーデータ入力'!$J$6:$J$205,"電気")</f>
        <v/>
      </c>
      <c r="C8" s="145">
        <f>SUMIFS('エネルギーデータ入力'!$N$6:$N$205,'エネルギーデータ入力'!$B$6:$B$205,"&gt;="&amp;$A8,'エネルギーデータ入力'!$B$6:$B$205,"&lt;"&amp;EDATE($A8,1),'エネルギーデータ入力'!$J$6:$J$205,"水道")</f>
        <v/>
      </c>
      <c r="D8" s="145">
        <f>SUMIFS('エネルギーデータ入力'!$N$6:$N$205,'エネルギーデータ入力'!$B$6:$B$205,"&gt;="&amp;$A8,'エネルギーデータ入力'!$B$6:$B$205,"&lt;"&amp;EDATE($A8,1),'エネルギーデータ入力'!$J$6:$J$205,"ガス")</f>
        <v/>
      </c>
      <c r="E8" s="145">
        <f>SUMIFS('エネルギーデータ入力'!$N$6:$N$205,'エネルギーデータ入力'!$B$6:$B$205,"&gt;="&amp;$A8,'エネルギーデータ入力'!$B$6:$B$205,"&lt;"&amp;EDATE($A8,1),'エネルギーデータ入力'!$J$6:$J$205,"熱")</f>
        <v/>
      </c>
      <c r="F8" s="145">
        <f>SUMIFS('エネルギーデータ入力'!$N$6:$N$205,'エネルギーデータ入力'!$B$6:$B$205,"&gt;="&amp;$A8,'エネルギーデータ入力'!$B$6:$B$205,"&lt;"&amp;EDATE($A8,1),'エネルギーデータ入力'!$J$6:$J$205,"蒸気")</f>
        <v/>
      </c>
      <c r="G8" s="145">
        <f>SUMIFS('エネルギーデータ入力'!$N$6:$N$205,'エネルギーデータ入力'!$B$6:$B$205,"&gt;="&amp;$A8,'エネルギーデータ入力'!$B$6:$B$205,"&lt;"&amp;EDATE($A8,1),'エネルギーデータ入力'!$J$6:$J$205,"冷熱")</f>
        <v/>
      </c>
      <c r="H8" s="146">
        <f>SUMIFS('エネルギーデータ入力'!$P$6:$P$205,'エネルギーデータ入力'!$B$6:$B$205,"&gt;="&amp;$A8,'エネルギーデータ入力'!$B$6:$B$205,"&lt;"&amp;EDATE($A8,1))</f>
        <v/>
      </c>
      <c r="I8" s="147">
        <f>COUNTIFS('異常検知'!$B$6:$B$205,"&gt;="&amp;$A8,'異常検知'!$B$6:$B$205,"&lt;"&amp;EDATE($A8,1),'異常検知'!$N$6:$N$205,"&lt;&gt;正常",'異常検知'!$N$6:$N$205,"&lt;&gt;")</f>
        <v/>
      </c>
      <c r="J8" s="147">
        <f>COUNTIFS('異常検知'!$B$6:$B$205,"&gt;="&amp;$A8,'異常検知'!$B$6:$B$205,"&lt;"&amp;EDATE($A8,1),'異常検知'!$O$6:$O$205,"高")+COUNTIFS('異常検知'!$B$6:$B$205,"&gt;="&amp;$A8,'異常検知'!$B$6:$B$205,"&lt;"&amp;EDATE($A8,1),'異常検知'!$O$6:$O$205,"重大")</f>
        <v/>
      </c>
      <c r="K8" s="145">
        <f>SUMIFS('エネルギーデータ入力'!$U$6:$U$205,'エネルギーデータ入力'!$B$6:$B$205,"&gt;="&amp;$A8,'エネルギーデータ入力'!$B$6:$B$205,"&lt;"&amp;EDATE($A8,1))</f>
        <v/>
      </c>
      <c r="M8" t="inlineStr">
        <is>
          <t>熱</t>
        </is>
      </c>
      <c r="N8" s="145">
        <f>SUMIFS('エネルギーデータ入力'!$N$6:$N$205,'エネルギーデータ入力'!$J$6:$J$205,$M8)</f>
        <v/>
      </c>
      <c r="O8" s="146">
        <f>SUMIFS('エネルギーデータ入力'!$P$6:$P$205,'エネルギーデータ入力'!$J$6:$J$205,$M8)</f>
        <v/>
      </c>
    </row>
    <row r="9">
      <c r="A9" s="136" t="n">
        <v>46143</v>
      </c>
      <c r="B9" s="145">
        <f>SUMIFS('エネルギーデータ入力'!$N$6:$N$205,'エネルギーデータ入力'!$B$6:$B$205,"&gt;="&amp;$A9,'エネルギーデータ入力'!$B$6:$B$205,"&lt;"&amp;EDATE($A9,1),'エネルギーデータ入力'!$J$6:$J$205,"電気")</f>
        <v/>
      </c>
      <c r="C9" s="145">
        <f>SUMIFS('エネルギーデータ入力'!$N$6:$N$205,'エネルギーデータ入力'!$B$6:$B$205,"&gt;="&amp;$A9,'エネルギーデータ入力'!$B$6:$B$205,"&lt;"&amp;EDATE($A9,1),'エネルギーデータ入力'!$J$6:$J$205,"水道")</f>
        <v/>
      </c>
      <c r="D9" s="145">
        <f>SUMIFS('エネルギーデータ入力'!$N$6:$N$205,'エネルギーデータ入力'!$B$6:$B$205,"&gt;="&amp;$A9,'エネルギーデータ入力'!$B$6:$B$205,"&lt;"&amp;EDATE($A9,1),'エネルギーデータ入力'!$J$6:$J$205,"ガス")</f>
        <v/>
      </c>
      <c r="E9" s="145">
        <f>SUMIFS('エネルギーデータ入力'!$N$6:$N$205,'エネルギーデータ入力'!$B$6:$B$205,"&gt;="&amp;$A9,'エネルギーデータ入力'!$B$6:$B$205,"&lt;"&amp;EDATE($A9,1),'エネルギーデータ入力'!$J$6:$J$205,"熱")</f>
        <v/>
      </c>
      <c r="F9" s="145">
        <f>SUMIFS('エネルギーデータ入力'!$N$6:$N$205,'エネルギーデータ入力'!$B$6:$B$205,"&gt;="&amp;$A9,'エネルギーデータ入力'!$B$6:$B$205,"&lt;"&amp;EDATE($A9,1),'エネルギーデータ入力'!$J$6:$J$205,"蒸気")</f>
        <v/>
      </c>
      <c r="G9" s="145">
        <f>SUMIFS('エネルギーデータ入力'!$N$6:$N$205,'エネルギーデータ入力'!$B$6:$B$205,"&gt;="&amp;$A9,'エネルギーデータ入力'!$B$6:$B$205,"&lt;"&amp;EDATE($A9,1),'エネルギーデータ入力'!$J$6:$J$205,"冷熱")</f>
        <v/>
      </c>
      <c r="H9" s="146">
        <f>SUMIFS('エネルギーデータ入力'!$P$6:$P$205,'エネルギーデータ入力'!$B$6:$B$205,"&gt;="&amp;$A9,'エネルギーデータ入力'!$B$6:$B$205,"&lt;"&amp;EDATE($A9,1))</f>
        <v/>
      </c>
      <c r="I9" s="147">
        <f>COUNTIFS('異常検知'!$B$6:$B$205,"&gt;="&amp;$A9,'異常検知'!$B$6:$B$205,"&lt;"&amp;EDATE($A9,1),'異常検知'!$N$6:$N$205,"&lt;&gt;正常",'異常検知'!$N$6:$N$205,"&lt;&gt;")</f>
        <v/>
      </c>
      <c r="J9" s="147">
        <f>COUNTIFS('異常検知'!$B$6:$B$205,"&gt;="&amp;$A9,'異常検知'!$B$6:$B$205,"&lt;"&amp;EDATE($A9,1),'異常検知'!$O$6:$O$205,"高")+COUNTIFS('異常検知'!$B$6:$B$205,"&gt;="&amp;$A9,'異常検知'!$B$6:$B$205,"&lt;"&amp;EDATE($A9,1),'異常検知'!$O$6:$O$205,"重大")</f>
        <v/>
      </c>
      <c r="K9" s="145">
        <f>SUMIFS('エネルギーデータ入力'!$U$6:$U$205,'エネルギーデータ入力'!$B$6:$B$205,"&gt;="&amp;$A9,'エネルギーデータ入力'!$B$6:$B$205,"&lt;"&amp;EDATE($A9,1))</f>
        <v/>
      </c>
      <c r="M9" t="inlineStr">
        <is>
          <t>蒸気</t>
        </is>
      </c>
      <c r="N9" s="145">
        <f>SUMIFS('エネルギーデータ入力'!$N$6:$N$205,'エネルギーデータ入力'!$J$6:$J$205,$M9)</f>
        <v/>
      </c>
      <c r="O9" s="146">
        <f>SUMIFS('エネルギーデータ入力'!$P$6:$P$205,'エネルギーデータ入力'!$J$6:$J$205,$M9)</f>
        <v/>
      </c>
    </row>
    <row r="10">
      <c r="A10" s="136" t="n">
        <v>46174</v>
      </c>
      <c r="B10" s="145">
        <f>SUMIFS('エネルギーデータ入力'!$N$6:$N$205,'エネルギーデータ入力'!$B$6:$B$205,"&gt;="&amp;$A10,'エネルギーデータ入力'!$B$6:$B$205,"&lt;"&amp;EDATE($A10,1),'エネルギーデータ入力'!$J$6:$J$205,"電気")</f>
        <v/>
      </c>
      <c r="C10" s="145">
        <f>SUMIFS('エネルギーデータ入力'!$N$6:$N$205,'エネルギーデータ入力'!$B$6:$B$205,"&gt;="&amp;$A10,'エネルギーデータ入力'!$B$6:$B$205,"&lt;"&amp;EDATE($A10,1),'エネルギーデータ入力'!$J$6:$J$205,"水道")</f>
        <v/>
      </c>
      <c r="D10" s="145">
        <f>SUMIFS('エネルギーデータ入力'!$N$6:$N$205,'エネルギーデータ入力'!$B$6:$B$205,"&gt;="&amp;$A10,'エネルギーデータ入力'!$B$6:$B$205,"&lt;"&amp;EDATE($A10,1),'エネルギーデータ入力'!$J$6:$J$205,"ガス")</f>
        <v/>
      </c>
      <c r="E10" s="145">
        <f>SUMIFS('エネルギーデータ入力'!$N$6:$N$205,'エネルギーデータ入力'!$B$6:$B$205,"&gt;="&amp;$A10,'エネルギーデータ入力'!$B$6:$B$205,"&lt;"&amp;EDATE($A10,1),'エネルギーデータ入力'!$J$6:$J$205,"熱")</f>
        <v/>
      </c>
      <c r="F10" s="145">
        <f>SUMIFS('エネルギーデータ入力'!$N$6:$N$205,'エネルギーデータ入力'!$B$6:$B$205,"&gt;="&amp;$A10,'エネルギーデータ入力'!$B$6:$B$205,"&lt;"&amp;EDATE($A10,1),'エネルギーデータ入力'!$J$6:$J$205,"蒸気")</f>
        <v/>
      </c>
      <c r="G10" s="145">
        <f>SUMIFS('エネルギーデータ入力'!$N$6:$N$205,'エネルギーデータ入力'!$B$6:$B$205,"&gt;="&amp;$A10,'エネルギーデータ入力'!$B$6:$B$205,"&lt;"&amp;EDATE($A10,1),'エネルギーデータ入力'!$J$6:$J$205,"冷熱")</f>
        <v/>
      </c>
      <c r="H10" s="146">
        <f>SUMIFS('エネルギーデータ入力'!$P$6:$P$205,'エネルギーデータ入力'!$B$6:$B$205,"&gt;="&amp;$A10,'エネルギーデータ入力'!$B$6:$B$205,"&lt;"&amp;EDATE($A10,1))</f>
        <v/>
      </c>
      <c r="I10" s="147">
        <f>COUNTIFS('異常検知'!$B$6:$B$205,"&gt;="&amp;$A10,'異常検知'!$B$6:$B$205,"&lt;"&amp;EDATE($A10,1),'異常検知'!$N$6:$N$205,"&lt;&gt;正常",'異常検知'!$N$6:$N$205,"&lt;&gt;")</f>
        <v/>
      </c>
      <c r="J10" s="147">
        <f>COUNTIFS('異常検知'!$B$6:$B$205,"&gt;="&amp;$A10,'異常検知'!$B$6:$B$205,"&lt;"&amp;EDATE($A10,1),'異常検知'!$O$6:$O$205,"高")+COUNTIFS('異常検知'!$B$6:$B$205,"&gt;="&amp;$A10,'異常検知'!$B$6:$B$205,"&lt;"&amp;EDATE($A10,1),'異常検知'!$O$6:$O$205,"重大")</f>
        <v/>
      </c>
      <c r="K10" s="145">
        <f>SUMIFS('エネルギーデータ入力'!$U$6:$U$205,'エネルギーデータ入力'!$B$6:$B$205,"&gt;="&amp;$A10,'エネルギーデータ入力'!$B$6:$B$205,"&lt;"&amp;EDATE($A10,1))</f>
        <v/>
      </c>
      <c r="M10" t="inlineStr">
        <is>
          <t>冷熱</t>
        </is>
      </c>
      <c r="N10" s="145">
        <f>SUMIFS('エネルギーデータ入力'!$N$6:$N$205,'エネルギーデータ入力'!$J$6:$J$205,$M10)</f>
        <v/>
      </c>
      <c r="O10" s="146">
        <f>SUMIFS('エネルギーデータ入力'!$P$6:$P$205,'エネルギーデータ入力'!$J$6:$J$205,$M10)</f>
        <v/>
      </c>
    </row>
    <row r="11">
      <c r="A11" s="136" t="n">
        <v>46204</v>
      </c>
      <c r="B11" s="145">
        <f>SUMIFS('エネルギーデータ入力'!$N$6:$N$205,'エネルギーデータ入力'!$B$6:$B$205,"&gt;="&amp;$A11,'エネルギーデータ入力'!$B$6:$B$205,"&lt;"&amp;EDATE($A11,1),'エネルギーデータ入力'!$J$6:$J$205,"電気")</f>
        <v/>
      </c>
      <c r="C11" s="145">
        <f>SUMIFS('エネルギーデータ入力'!$N$6:$N$205,'エネルギーデータ入力'!$B$6:$B$205,"&gt;="&amp;$A11,'エネルギーデータ入力'!$B$6:$B$205,"&lt;"&amp;EDATE($A11,1),'エネルギーデータ入力'!$J$6:$J$205,"水道")</f>
        <v/>
      </c>
      <c r="D11" s="145">
        <f>SUMIFS('エネルギーデータ入力'!$N$6:$N$205,'エネルギーデータ入力'!$B$6:$B$205,"&gt;="&amp;$A11,'エネルギーデータ入力'!$B$6:$B$205,"&lt;"&amp;EDATE($A11,1),'エネルギーデータ入力'!$J$6:$J$205,"ガス")</f>
        <v/>
      </c>
      <c r="E11" s="145">
        <f>SUMIFS('エネルギーデータ入力'!$N$6:$N$205,'エネルギーデータ入力'!$B$6:$B$205,"&gt;="&amp;$A11,'エネルギーデータ入力'!$B$6:$B$205,"&lt;"&amp;EDATE($A11,1),'エネルギーデータ入力'!$J$6:$J$205,"熱")</f>
        <v/>
      </c>
      <c r="F11" s="145">
        <f>SUMIFS('エネルギーデータ入力'!$N$6:$N$205,'エネルギーデータ入力'!$B$6:$B$205,"&gt;="&amp;$A11,'エネルギーデータ入力'!$B$6:$B$205,"&lt;"&amp;EDATE($A11,1),'エネルギーデータ入力'!$J$6:$J$205,"蒸気")</f>
        <v/>
      </c>
      <c r="G11" s="145">
        <f>SUMIFS('エネルギーデータ入力'!$N$6:$N$205,'エネルギーデータ入力'!$B$6:$B$205,"&gt;="&amp;$A11,'エネルギーデータ入力'!$B$6:$B$205,"&lt;"&amp;EDATE($A11,1),'エネルギーデータ入力'!$J$6:$J$205,"冷熱")</f>
        <v/>
      </c>
      <c r="H11" s="146">
        <f>SUMIFS('エネルギーデータ入力'!$P$6:$P$205,'エネルギーデータ入力'!$B$6:$B$205,"&gt;="&amp;$A11,'エネルギーデータ入力'!$B$6:$B$205,"&lt;"&amp;EDATE($A11,1))</f>
        <v/>
      </c>
      <c r="I11" s="147">
        <f>COUNTIFS('異常検知'!$B$6:$B$205,"&gt;="&amp;$A11,'異常検知'!$B$6:$B$205,"&lt;"&amp;EDATE($A11,1),'異常検知'!$N$6:$N$205,"&lt;&gt;正常",'異常検知'!$N$6:$N$205,"&lt;&gt;")</f>
        <v/>
      </c>
      <c r="J11" s="147">
        <f>COUNTIFS('異常検知'!$B$6:$B$205,"&gt;="&amp;$A11,'異常検知'!$B$6:$B$205,"&lt;"&amp;EDATE($A11,1),'異常検知'!$O$6:$O$205,"高")+COUNTIFS('異常検知'!$B$6:$B$205,"&gt;="&amp;$A11,'異常検知'!$B$6:$B$205,"&lt;"&amp;EDATE($A11,1),'異常検知'!$O$6:$O$205,"重大")</f>
        <v/>
      </c>
      <c r="K11" s="145">
        <f>SUMIFS('エネルギーデータ入力'!$U$6:$U$205,'エネルギーデータ入力'!$B$6:$B$205,"&gt;="&amp;$A11,'エネルギーデータ入力'!$B$6:$B$205,"&lt;"&amp;EDATE($A11,1))</f>
        <v/>
      </c>
      <c r="M11" t="inlineStr">
        <is>
          <t>Integrated energy use</t>
        </is>
      </c>
      <c r="N11" s="145">
        <f>SUMIFS('エネルギーデータ入力'!$N$6:$N$205,'エネルギーデータ入力'!$J$6:$J$205,$M11)</f>
        <v/>
      </c>
      <c r="O11" s="146">
        <f>SUMIFS('エネルギーデータ入力'!$P$6:$P$205,'エネルギーデータ入力'!$J$6:$J$205,$M11)</f>
        <v/>
      </c>
    </row>
    <row r="12">
      <c r="A12" s="136" t="n">
        <v>46235</v>
      </c>
      <c r="B12" s="145">
        <f>SUMIFS('エネルギーデータ入力'!$N$6:$N$205,'エネルギーデータ入力'!$B$6:$B$205,"&gt;="&amp;$A12,'エネルギーデータ入力'!$B$6:$B$205,"&lt;"&amp;EDATE($A12,1),'エネルギーデータ入力'!$J$6:$J$205,"電気")</f>
        <v/>
      </c>
      <c r="C12" s="145">
        <f>SUMIFS('エネルギーデータ入力'!$N$6:$N$205,'エネルギーデータ入力'!$B$6:$B$205,"&gt;="&amp;$A12,'エネルギーデータ入力'!$B$6:$B$205,"&lt;"&amp;EDATE($A12,1),'エネルギーデータ入力'!$J$6:$J$205,"水道")</f>
        <v/>
      </c>
      <c r="D12" s="145">
        <f>SUMIFS('エネルギーデータ入力'!$N$6:$N$205,'エネルギーデータ入力'!$B$6:$B$205,"&gt;="&amp;$A12,'エネルギーデータ入力'!$B$6:$B$205,"&lt;"&amp;EDATE($A12,1),'エネルギーデータ入力'!$J$6:$J$205,"ガス")</f>
        <v/>
      </c>
      <c r="E12" s="145">
        <f>SUMIFS('エネルギーデータ入力'!$N$6:$N$205,'エネルギーデータ入力'!$B$6:$B$205,"&gt;="&amp;$A12,'エネルギーデータ入力'!$B$6:$B$205,"&lt;"&amp;EDATE($A12,1),'エネルギーデータ入力'!$J$6:$J$205,"熱")</f>
        <v/>
      </c>
      <c r="F12" s="145">
        <f>SUMIFS('エネルギーデータ入力'!$N$6:$N$205,'エネルギーデータ入力'!$B$6:$B$205,"&gt;="&amp;$A12,'エネルギーデータ入力'!$B$6:$B$205,"&lt;"&amp;EDATE($A12,1),'エネルギーデータ入力'!$J$6:$J$205,"蒸気")</f>
        <v/>
      </c>
      <c r="G12" s="145">
        <f>SUMIFS('エネルギーデータ入力'!$N$6:$N$205,'エネルギーデータ入力'!$B$6:$B$205,"&gt;="&amp;$A12,'エネルギーデータ入力'!$B$6:$B$205,"&lt;"&amp;EDATE($A12,1),'エネルギーデータ入力'!$J$6:$J$205,"冷熱")</f>
        <v/>
      </c>
      <c r="H12" s="146">
        <f>SUMIFS('エネルギーデータ入力'!$P$6:$P$205,'エネルギーデータ入力'!$B$6:$B$205,"&gt;="&amp;$A12,'エネルギーデータ入力'!$B$6:$B$205,"&lt;"&amp;EDATE($A12,1))</f>
        <v/>
      </c>
      <c r="I12" s="147">
        <f>COUNTIFS('異常検知'!$B$6:$B$205,"&gt;="&amp;$A12,'異常検知'!$B$6:$B$205,"&lt;"&amp;EDATE($A12,1),'異常検知'!$N$6:$N$205,"&lt;&gt;正常",'異常検知'!$N$6:$N$205,"&lt;&gt;")</f>
        <v/>
      </c>
      <c r="J12" s="147">
        <f>COUNTIFS('異常検知'!$B$6:$B$205,"&gt;="&amp;$A12,'異常検知'!$B$6:$B$205,"&lt;"&amp;EDATE($A12,1),'異常検知'!$O$6:$O$205,"高")+COUNTIFS('異常検知'!$B$6:$B$205,"&gt;="&amp;$A12,'異常検知'!$B$6:$B$205,"&lt;"&amp;EDATE($A12,1),'異常検知'!$O$6:$O$205,"重大")</f>
        <v/>
      </c>
      <c r="K12" s="145">
        <f>SUMIFS('エネルギーデータ入力'!$U$6:$U$205,'エネルギーデータ入力'!$B$6:$B$205,"&gt;="&amp;$A12,'エネルギーデータ入力'!$B$6:$B$205,"&lt;"&amp;EDATE($A12,1))</f>
        <v/>
      </c>
    </row>
    <row r="13">
      <c r="A13" s="136" t="n">
        <v>46266</v>
      </c>
      <c r="B13" s="145">
        <f>SUMIFS('エネルギーデータ入力'!$N$6:$N$205,'エネルギーデータ入力'!$B$6:$B$205,"&gt;="&amp;$A13,'エネルギーデータ入力'!$B$6:$B$205,"&lt;"&amp;EDATE($A13,1),'エネルギーデータ入力'!$J$6:$J$205,"電気")</f>
        <v/>
      </c>
      <c r="C13" s="145">
        <f>SUMIFS('エネルギーデータ入力'!$N$6:$N$205,'エネルギーデータ入力'!$B$6:$B$205,"&gt;="&amp;$A13,'エネルギーデータ入力'!$B$6:$B$205,"&lt;"&amp;EDATE($A13,1),'エネルギーデータ入力'!$J$6:$J$205,"水道")</f>
        <v/>
      </c>
      <c r="D13" s="145">
        <f>SUMIFS('エネルギーデータ入力'!$N$6:$N$205,'エネルギーデータ入力'!$B$6:$B$205,"&gt;="&amp;$A13,'エネルギーデータ入力'!$B$6:$B$205,"&lt;"&amp;EDATE($A13,1),'エネルギーデータ入力'!$J$6:$J$205,"ガス")</f>
        <v/>
      </c>
      <c r="E13" s="145">
        <f>SUMIFS('エネルギーデータ入力'!$N$6:$N$205,'エネルギーデータ入力'!$B$6:$B$205,"&gt;="&amp;$A13,'エネルギーデータ入力'!$B$6:$B$205,"&lt;"&amp;EDATE($A13,1),'エネルギーデータ入力'!$J$6:$J$205,"熱")</f>
        <v/>
      </c>
      <c r="F13" s="145">
        <f>SUMIFS('エネルギーデータ入力'!$N$6:$N$205,'エネルギーデータ入力'!$B$6:$B$205,"&gt;="&amp;$A13,'エネルギーデータ入力'!$B$6:$B$205,"&lt;"&amp;EDATE($A13,1),'エネルギーデータ入力'!$J$6:$J$205,"蒸気")</f>
        <v/>
      </c>
      <c r="G13" s="145">
        <f>SUMIFS('エネルギーデータ入力'!$N$6:$N$205,'エネルギーデータ入力'!$B$6:$B$205,"&gt;="&amp;$A13,'エネルギーデータ入力'!$B$6:$B$205,"&lt;"&amp;EDATE($A13,1),'エネルギーデータ入力'!$J$6:$J$205,"冷熱")</f>
        <v/>
      </c>
      <c r="H13" s="146">
        <f>SUMIFS('エネルギーデータ入力'!$P$6:$P$205,'エネルギーデータ入力'!$B$6:$B$205,"&gt;="&amp;$A13,'エネルギーデータ入力'!$B$6:$B$205,"&lt;"&amp;EDATE($A13,1))</f>
        <v/>
      </c>
      <c r="I13" s="147">
        <f>COUNTIFS('異常検知'!$B$6:$B$205,"&gt;="&amp;$A13,'異常検知'!$B$6:$B$205,"&lt;"&amp;EDATE($A13,1),'異常検知'!$N$6:$N$205,"&lt;&gt;正常",'異常検知'!$N$6:$N$205,"&lt;&gt;")</f>
        <v/>
      </c>
      <c r="J13" s="147">
        <f>COUNTIFS('異常検知'!$B$6:$B$205,"&gt;="&amp;$A13,'異常検知'!$B$6:$B$205,"&lt;"&amp;EDATE($A13,1),'異常検知'!$O$6:$O$205,"高")+COUNTIFS('異常検知'!$B$6:$B$205,"&gt;="&amp;$A13,'異常検知'!$B$6:$B$205,"&lt;"&amp;EDATE($A13,1),'異常検知'!$O$6:$O$205,"重大")</f>
        <v/>
      </c>
      <c r="K13" s="145">
        <f>SUMIFS('エネルギーデータ入力'!$U$6:$U$205,'エネルギーデータ入力'!$B$6:$B$205,"&gt;="&amp;$A13,'エネルギーデータ入力'!$B$6:$B$205,"&lt;"&amp;EDATE($A13,1))</f>
        <v/>
      </c>
    </row>
    <row r="14">
      <c r="A14" s="136" t="n">
        <v>46296</v>
      </c>
      <c r="B14" s="145">
        <f>SUMIFS('エネルギーデータ入力'!$N$6:$N$205,'エネルギーデータ入力'!$B$6:$B$205,"&gt;="&amp;$A14,'エネルギーデータ入力'!$B$6:$B$205,"&lt;"&amp;EDATE($A14,1),'エネルギーデータ入力'!$J$6:$J$205,"電気")</f>
        <v/>
      </c>
      <c r="C14" s="145">
        <f>SUMIFS('エネルギーデータ入力'!$N$6:$N$205,'エネルギーデータ入力'!$B$6:$B$205,"&gt;="&amp;$A14,'エネルギーデータ入力'!$B$6:$B$205,"&lt;"&amp;EDATE($A14,1),'エネルギーデータ入力'!$J$6:$J$205,"水道")</f>
        <v/>
      </c>
      <c r="D14" s="145">
        <f>SUMIFS('エネルギーデータ入力'!$N$6:$N$205,'エネルギーデータ入力'!$B$6:$B$205,"&gt;="&amp;$A14,'エネルギーデータ入力'!$B$6:$B$205,"&lt;"&amp;EDATE($A14,1),'エネルギーデータ入力'!$J$6:$J$205,"ガス")</f>
        <v/>
      </c>
      <c r="E14" s="145">
        <f>SUMIFS('エネルギーデータ入力'!$N$6:$N$205,'エネルギーデータ入力'!$B$6:$B$205,"&gt;="&amp;$A14,'エネルギーデータ入力'!$B$6:$B$205,"&lt;"&amp;EDATE($A14,1),'エネルギーデータ入力'!$J$6:$J$205,"熱")</f>
        <v/>
      </c>
      <c r="F14" s="145">
        <f>SUMIFS('エネルギーデータ入力'!$N$6:$N$205,'エネルギーデータ入力'!$B$6:$B$205,"&gt;="&amp;$A14,'エネルギーデータ入力'!$B$6:$B$205,"&lt;"&amp;EDATE($A14,1),'エネルギーデータ入力'!$J$6:$J$205,"蒸気")</f>
        <v/>
      </c>
      <c r="G14" s="145">
        <f>SUMIFS('エネルギーデータ入力'!$N$6:$N$205,'エネルギーデータ入力'!$B$6:$B$205,"&gt;="&amp;$A14,'エネルギーデータ入力'!$B$6:$B$205,"&lt;"&amp;EDATE($A14,1),'エネルギーデータ入力'!$J$6:$J$205,"冷熱")</f>
        <v/>
      </c>
      <c r="H14" s="146">
        <f>SUMIFS('エネルギーデータ入力'!$P$6:$P$205,'エネルギーデータ入力'!$B$6:$B$205,"&gt;="&amp;$A14,'エネルギーデータ入力'!$B$6:$B$205,"&lt;"&amp;EDATE($A14,1))</f>
        <v/>
      </c>
      <c r="I14" s="147">
        <f>COUNTIFS('異常検知'!$B$6:$B$205,"&gt;="&amp;$A14,'異常検知'!$B$6:$B$205,"&lt;"&amp;EDATE($A14,1),'異常検知'!$N$6:$N$205,"&lt;&gt;正常",'異常検知'!$N$6:$N$205,"&lt;&gt;")</f>
        <v/>
      </c>
      <c r="J14" s="147">
        <f>COUNTIFS('異常検知'!$B$6:$B$205,"&gt;="&amp;$A14,'異常検知'!$B$6:$B$205,"&lt;"&amp;EDATE($A14,1),'異常検知'!$O$6:$O$205,"高")+COUNTIFS('異常検知'!$B$6:$B$205,"&gt;="&amp;$A14,'異常検知'!$B$6:$B$205,"&lt;"&amp;EDATE($A14,1),'異常検知'!$O$6:$O$205,"重大")</f>
        <v/>
      </c>
      <c r="K14" s="145">
        <f>SUMIFS('エネルギーデータ入力'!$U$6:$U$205,'エネルギーデータ入力'!$B$6:$B$205,"&gt;="&amp;$A14,'エネルギーデータ入力'!$B$6:$B$205,"&lt;"&amp;EDATE($A14,1))</f>
        <v/>
      </c>
    </row>
    <row r="15">
      <c r="A15" s="136" t="n">
        <v>46327</v>
      </c>
      <c r="B15" s="145">
        <f>SUMIFS('エネルギーデータ入力'!$N$6:$N$205,'エネルギーデータ入力'!$B$6:$B$205,"&gt;="&amp;$A15,'エネルギーデータ入力'!$B$6:$B$205,"&lt;"&amp;EDATE($A15,1),'エネルギーデータ入力'!$J$6:$J$205,"電気")</f>
        <v/>
      </c>
      <c r="C15" s="145">
        <f>SUMIFS('エネルギーデータ入力'!$N$6:$N$205,'エネルギーデータ入力'!$B$6:$B$205,"&gt;="&amp;$A15,'エネルギーデータ入力'!$B$6:$B$205,"&lt;"&amp;EDATE($A15,1),'エネルギーデータ入力'!$J$6:$J$205,"水道")</f>
        <v/>
      </c>
      <c r="D15" s="145">
        <f>SUMIFS('エネルギーデータ入力'!$N$6:$N$205,'エネルギーデータ入力'!$B$6:$B$205,"&gt;="&amp;$A15,'エネルギーデータ入力'!$B$6:$B$205,"&lt;"&amp;EDATE($A15,1),'エネルギーデータ入力'!$J$6:$J$205,"ガス")</f>
        <v/>
      </c>
      <c r="E15" s="145">
        <f>SUMIFS('エネルギーデータ入力'!$N$6:$N$205,'エネルギーデータ入力'!$B$6:$B$205,"&gt;="&amp;$A15,'エネルギーデータ入力'!$B$6:$B$205,"&lt;"&amp;EDATE($A15,1),'エネルギーデータ入力'!$J$6:$J$205,"熱")</f>
        <v/>
      </c>
      <c r="F15" s="145">
        <f>SUMIFS('エネルギーデータ入力'!$N$6:$N$205,'エネルギーデータ入力'!$B$6:$B$205,"&gt;="&amp;$A15,'エネルギーデータ入力'!$B$6:$B$205,"&lt;"&amp;EDATE($A15,1),'エネルギーデータ入力'!$J$6:$J$205,"蒸気")</f>
        <v/>
      </c>
      <c r="G15" s="145">
        <f>SUMIFS('エネルギーデータ入力'!$N$6:$N$205,'エネルギーデータ入力'!$B$6:$B$205,"&gt;="&amp;$A15,'エネルギーデータ入力'!$B$6:$B$205,"&lt;"&amp;EDATE($A15,1),'エネルギーデータ入力'!$J$6:$J$205,"冷熱")</f>
        <v/>
      </c>
      <c r="H15" s="146">
        <f>SUMIFS('エネルギーデータ入力'!$P$6:$P$205,'エネルギーデータ入力'!$B$6:$B$205,"&gt;="&amp;$A15,'エネルギーデータ入力'!$B$6:$B$205,"&lt;"&amp;EDATE($A15,1))</f>
        <v/>
      </c>
      <c r="I15" s="147">
        <f>COUNTIFS('異常検知'!$B$6:$B$205,"&gt;="&amp;$A15,'異常検知'!$B$6:$B$205,"&lt;"&amp;EDATE($A15,1),'異常検知'!$N$6:$N$205,"&lt;&gt;正常",'異常検知'!$N$6:$N$205,"&lt;&gt;")</f>
        <v/>
      </c>
      <c r="J15" s="147">
        <f>COUNTIFS('異常検知'!$B$6:$B$205,"&gt;="&amp;$A15,'異常検知'!$B$6:$B$205,"&lt;"&amp;EDATE($A15,1),'異常検知'!$O$6:$O$205,"高")+COUNTIFS('異常検知'!$B$6:$B$205,"&gt;="&amp;$A15,'異常検知'!$B$6:$B$205,"&lt;"&amp;EDATE($A15,1),'異常検知'!$O$6:$O$205,"重大")</f>
        <v/>
      </c>
      <c r="K15" s="145">
        <f>SUMIFS('エネルギーデータ入力'!$U$6:$U$205,'エネルギーデータ入力'!$B$6:$B$205,"&gt;="&amp;$A15,'エネルギーデータ入力'!$B$6:$B$205,"&lt;"&amp;EDATE($A15,1))</f>
        <v/>
      </c>
    </row>
    <row r="16">
      <c r="A16" s="136" t="n">
        <v>46357</v>
      </c>
      <c r="B16" s="145">
        <f>SUMIFS('エネルギーデータ入力'!$N$6:$N$205,'エネルギーデータ入力'!$B$6:$B$205,"&gt;="&amp;$A16,'エネルギーデータ入力'!$B$6:$B$205,"&lt;"&amp;EDATE($A16,1),'エネルギーデータ入力'!$J$6:$J$205,"電気")</f>
        <v/>
      </c>
      <c r="C16" s="145">
        <f>SUMIFS('エネルギーデータ入力'!$N$6:$N$205,'エネルギーデータ入力'!$B$6:$B$205,"&gt;="&amp;$A16,'エネルギーデータ入力'!$B$6:$B$205,"&lt;"&amp;EDATE($A16,1),'エネルギーデータ入力'!$J$6:$J$205,"水道")</f>
        <v/>
      </c>
      <c r="D16" s="145">
        <f>SUMIFS('エネルギーデータ入力'!$N$6:$N$205,'エネルギーデータ入力'!$B$6:$B$205,"&gt;="&amp;$A16,'エネルギーデータ入力'!$B$6:$B$205,"&lt;"&amp;EDATE($A16,1),'エネルギーデータ入力'!$J$6:$J$205,"ガス")</f>
        <v/>
      </c>
      <c r="E16" s="145">
        <f>SUMIFS('エネルギーデータ入力'!$N$6:$N$205,'エネルギーデータ入力'!$B$6:$B$205,"&gt;="&amp;$A16,'エネルギーデータ入力'!$B$6:$B$205,"&lt;"&amp;EDATE($A16,1),'エネルギーデータ入力'!$J$6:$J$205,"熱")</f>
        <v/>
      </c>
      <c r="F16" s="145">
        <f>SUMIFS('エネルギーデータ入力'!$N$6:$N$205,'エネルギーデータ入力'!$B$6:$B$205,"&gt;="&amp;$A16,'エネルギーデータ入力'!$B$6:$B$205,"&lt;"&amp;EDATE($A16,1),'エネルギーデータ入力'!$J$6:$J$205,"蒸気")</f>
        <v/>
      </c>
      <c r="G16" s="145">
        <f>SUMIFS('エネルギーデータ入力'!$N$6:$N$205,'エネルギーデータ入力'!$B$6:$B$205,"&gt;="&amp;$A16,'エネルギーデータ入力'!$B$6:$B$205,"&lt;"&amp;EDATE($A16,1),'エネルギーデータ入力'!$J$6:$J$205,"冷熱")</f>
        <v/>
      </c>
      <c r="H16" s="146">
        <f>SUMIFS('エネルギーデータ入力'!$P$6:$P$205,'エネルギーデータ入力'!$B$6:$B$205,"&gt;="&amp;$A16,'エネルギーデータ入力'!$B$6:$B$205,"&lt;"&amp;EDATE($A16,1))</f>
        <v/>
      </c>
      <c r="I16" s="147">
        <f>COUNTIFS('異常検知'!$B$6:$B$205,"&gt;="&amp;$A16,'異常検知'!$B$6:$B$205,"&lt;"&amp;EDATE($A16,1),'異常検知'!$N$6:$N$205,"&lt;&gt;正常",'異常検知'!$N$6:$N$205,"&lt;&gt;")</f>
        <v/>
      </c>
      <c r="J16" s="147">
        <f>COUNTIFS('異常検知'!$B$6:$B$205,"&gt;="&amp;$A16,'異常検知'!$B$6:$B$205,"&lt;"&amp;EDATE($A16,1),'異常検知'!$O$6:$O$205,"高")+COUNTIFS('異常検知'!$B$6:$B$205,"&gt;="&amp;$A16,'異常検知'!$B$6:$B$205,"&lt;"&amp;EDATE($A16,1),'異常検知'!$O$6:$O$205,"重大")</f>
        <v/>
      </c>
      <c r="K16" s="145">
        <f>SUMIFS('エネルギーデータ入力'!$U$6:$U$205,'エネルギーデータ入力'!$B$6:$B$205,"&gt;="&amp;$A16,'エネルギーデータ入力'!$B$6:$B$205,"&lt;"&amp;EDATE($A16,1))</f>
        <v/>
      </c>
    </row>
  </sheetData>
  <mergeCells count="1">
    <mergeCell ref="A1:K1"/>
  </mergeCells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11" customWidth="1" min="1" max="1"/>
    <col width="8" customWidth="1" min="2" max="2"/>
    <col width="20" customWidth="1" min="3" max="3"/>
    <col width="12" customWidth="1" min="4" max="4"/>
    <col width="18" customWidth="1" min="5" max="5"/>
    <col width="22" customWidth="1" min="6" max="6"/>
    <col width="14" customWidth="1" min="7" max="7"/>
    <col width="14" customWidth="1" min="8" max="8"/>
    <col width="28" customWidth="1" min="9" max="9"/>
    <col width="24" customWidth="1" min="10" max="10"/>
    <col width="42" customWidth="1" min="11" max="11"/>
    <col width="10" customWidth="1" min="12" max="12"/>
    <col width="20" customWidth="1" min="13" max="13"/>
  </cols>
  <sheetData>
    <row r="1" ht="34" customHeight="1">
      <c r="A1" s="61" t="inlineStr">
        <is>
          <t>Anomaly Rule Library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4" customHeight="1">
      <c r="A2" s="13" t="inlineStr">
        <is>
          <t>Description</t>
        </is>
      </c>
      <c r="B2" s="13" t="inlineStr">
        <is>
          <t>This rule template uses default thresholds from Base Settings. Add rules by scenario or equipment type as needed.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</row>
    <row r="3" ht="24" customHeight="1"/>
    <row r="4">
      <c r="A4" s="66" t="inlineStr">
        <is>
          <t>Rule ID</t>
        </is>
      </c>
      <c r="B4" s="66" t="inlineStr">
        <is>
          <t>Enabled</t>
        </is>
      </c>
      <c r="C4" s="66" t="inlineStr">
        <is>
          <t>Business scenario</t>
        </is>
      </c>
      <c r="D4" s="66" t="inlineStr">
        <is>
          <t>Energy type</t>
        </is>
      </c>
      <c r="E4" s="66" t="inlineStr">
        <is>
          <t>Anomaly type</t>
        </is>
      </c>
      <c r="F4" s="66" t="inlineStr">
        <is>
          <t>Metric / checkpoint</t>
        </is>
      </c>
      <c r="G4" s="66" t="inlineStr">
        <is>
          <t>Alert threshold</t>
        </is>
      </c>
      <c r="H4" s="66" t="inlineStr">
        <is>
          <t>Severe threshold</t>
        </is>
      </c>
      <c r="I4" s="66" t="inlineStr">
        <is>
          <t>Calculation basis</t>
        </is>
      </c>
      <c r="J4" s="66" t="inlineStr">
        <is>
          <t>Applicable objects</t>
        </is>
      </c>
      <c r="K4" s="66" t="inlineStr">
        <is>
          <t>Recommended action</t>
        </is>
      </c>
      <c r="L4" s="66" t="inlineStr">
        <is>
          <t>SLA hours</t>
        </is>
      </c>
      <c r="M4" s="66" t="inlineStr">
        <is>
          <t>Responsible role</t>
        </is>
      </c>
    </row>
    <row r="5">
      <c r="A5" t="inlineStr">
        <is>
          <t>R001</t>
        </is>
      </c>
      <c r="B5" t="inlineStr">
        <is>
          <t>Yes</t>
        </is>
      </c>
      <c r="C5" t="inlineStr">
        <is>
          <t>すべて</t>
        </is>
      </c>
      <c r="D5" t="inlineStr">
        <is>
          <t>電気</t>
        </is>
      </c>
      <c r="E5" t="inlineStr">
        <is>
          <t>Usage spike</t>
        </is>
      </c>
      <c r="F5" t="inlineStr">
        <is>
          <t>日环比偏差</t>
        </is>
      </c>
      <c r="G5" t="inlineStr">
        <is>
          <t>20%</t>
        </is>
      </c>
      <c r="H5" t="inlineStr">
        <is>
          <t>50%</t>
        </is>
      </c>
      <c r="I5" t="inlineStr">
        <is>
          <t>同计量点近7日均值对比</t>
        </is>
      </c>
      <c r="J5" t="inlineStr">
        <is>
          <t>すべて電気表/回路</t>
        </is>
      </c>
      <c r="K5" t="inlineStr">
        <is>
          <t>核查空调、照明、生产设备、PeakOff-peak策略与临时负荷</t>
        </is>
      </c>
      <c r="L5" t="n">
        <v>24</v>
      </c>
      <c r="M5" t="inlineStr">
        <is>
          <t>Electrical / equipment supervisor</t>
        </is>
      </c>
    </row>
    <row r="6">
      <c r="A6" t="inlineStr">
        <is>
          <t>R002</t>
        </is>
      </c>
      <c r="B6" t="inlineStr">
        <is>
          <t>Yes</t>
        </is>
      </c>
      <c r="C6" t="inlineStr">
        <is>
          <t>すべて</t>
        </is>
      </c>
      <c r="D6" t="inlineStr">
        <is>
          <t>水道</t>
        </is>
      </c>
      <c r="E6" t="inlineStr">
        <is>
          <t>Usage spike</t>
        </is>
      </c>
      <c r="F6" t="inlineStr">
        <is>
          <t>日环比偏差</t>
        </is>
      </c>
      <c r="G6" t="inlineStr">
        <is>
          <t>15%</t>
        </is>
      </c>
      <c r="H6" t="inlineStr">
        <is>
          <t>40%</t>
        </is>
      </c>
      <c r="I6" t="inlineStr">
        <is>
          <t>同计量点近7日均值对比</t>
        </is>
      </c>
      <c r="J6" t="inlineStr">
        <is>
          <t>水道表/管网/卫生间</t>
        </is>
      </c>
      <c r="K6" t="inlineStr">
        <is>
          <t>检查阀门、管网、卫生间、冷却塔补水道与夜间流水道</t>
        </is>
      </c>
      <c r="L6" t="n">
        <v>12</v>
      </c>
      <c r="M6" t="inlineStr">
        <is>
          <t>Water / property supervisor</t>
        </is>
      </c>
    </row>
    <row r="7">
      <c r="A7" t="inlineStr">
        <is>
          <t>R003</t>
        </is>
      </c>
      <c r="B7" t="inlineStr">
        <is>
          <t>Yes</t>
        </is>
      </c>
      <c r="C7" t="inlineStr">
        <is>
          <t>すべて</t>
        </is>
      </c>
      <c r="D7" t="inlineStr">
        <is>
          <t>ガス</t>
        </is>
      </c>
      <c r="E7" t="inlineStr">
        <is>
          <t>Usage spike</t>
        </is>
      </c>
      <c r="F7" t="inlineStr">
        <is>
          <t>日环比偏差</t>
        </is>
      </c>
      <c r="G7" t="inlineStr">
        <is>
          <t>18%</t>
        </is>
      </c>
      <c r="H7" t="inlineStr">
        <is>
          <t>45%</t>
        </is>
      </c>
      <c r="I7" t="inlineStr">
        <is>
          <t>同计量点近7日均值对比</t>
        </is>
      </c>
      <c r="J7" t="inlineStr">
        <is>
          <t>燃ガス总表/锅炉/厨房</t>
        </is>
      </c>
      <c r="K7" t="inlineStr">
        <is>
          <t>核查燃ガス阀门、锅炉燃烧、厨房排班与泄漏风险</t>
        </is>
      </c>
      <c r="L7" t="n">
        <v>8</v>
      </c>
      <c r="M7" t="inlineStr">
        <is>
          <t>Utilities / safety supervisor</t>
        </is>
      </c>
    </row>
    <row r="8">
      <c r="A8" t="inlineStr">
        <is>
          <t>R004</t>
        </is>
      </c>
      <c r="B8" t="inlineStr">
        <is>
          <t>Yes</t>
        </is>
      </c>
      <c r="C8" t="inlineStr">
        <is>
          <t>Office building / headquarters campus</t>
        </is>
      </c>
      <c r="D8" t="inlineStr">
        <is>
          <t>電気</t>
        </is>
      </c>
      <c r="E8" t="inlineStr">
        <is>
          <t>Night anomaly</t>
        </is>
      </c>
      <c r="F8" t="inlineStr">
        <is>
          <t>低负荷时段用電気</t>
        </is>
      </c>
      <c r="G8" t="inlineStr">
        <is>
          <t>&gt;5kWh</t>
        </is>
      </c>
      <c r="H8" t="inlineStr">
        <is>
          <t>&gt;20kWh</t>
        </is>
      </c>
      <c r="I8" t="inlineStr">
        <is>
          <t>低负荷/夜间时段用量</t>
        </is>
      </c>
      <c r="J8" t="inlineStr">
        <is>
          <t>照明/空调/插座回路</t>
        </is>
      </c>
      <c r="K8" t="inlineStr">
        <is>
          <t>核查下班关停、保洁/加班计划与自控策略</t>
        </is>
      </c>
      <c r="L8" t="n">
        <v>24</v>
      </c>
      <c r="M8" t="inlineStr">
        <is>
          <t>Property supervisor</t>
        </is>
      </c>
    </row>
    <row r="9">
      <c r="A9" t="inlineStr">
        <is>
          <t>R005</t>
        </is>
      </c>
      <c r="B9" t="inlineStr">
        <is>
          <t>Yes</t>
        </is>
      </c>
      <c r="C9" t="inlineStr">
        <is>
          <t>Commercial complex / office building</t>
        </is>
      </c>
      <c r="D9" t="inlineStr">
        <is>
          <t>水道</t>
        </is>
      </c>
      <c r="E9" t="inlineStr">
        <is>
          <t>High restaurant water use</t>
        </is>
      </c>
      <c r="F9" t="inlineStr">
        <is>
          <t>租户/业态日用水道</t>
        </is>
      </c>
      <c r="G9" t="inlineStr">
        <is>
          <t>15%</t>
        </is>
      </c>
      <c r="H9" t="inlineStr">
        <is>
          <t>40%</t>
        </is>
      </c>
      <c r="I9" t="inlineStr">
        <is>
          <t>同租户历史均值或同业态均值</t>
        </is>
      </c>
      <c r="J9" t="inlineStr">
        <is>
          <t>餐饮租户</t>
        </is>
      </c>
      <c r="K9" t="inlineStr">
        <is>
          <t>通知租户自查后厨、地漏、制冰机和阀门</t>
        </is>
      </c>
      <c r="L9" t="n">
        <v>12</v>
      </c>
      <c r="M9" t="inlineStr">
        <is>
          <t>Tenant operations manager</t>
        </is>
      </c>
    </row>
    <row r="10">
      <c r="A10" t="inlineStr">
        <is>
          <t>R006</t>
        </is>
      </c>
      <c r="B10" t="inlineStr">
        <is>
          <t>Yes</t>
        </is>
      </c>
      <c r="C10" t="inlineStr">
        <is>
          <t>Industrial park / factory</t>
        </is>
      </c>
      <c r="D10" t="inlineStr">
        <is>
          <t>電気</t>
        </is>
      </c>
      <c r="E10" t="inlineStr">
        <is>
          <t>Unit product overrun</t>
        </is>
      </c>
      <c r="F10" t="inlineStr">
        <is>
          <t>kWh/产量</t>
        </is>
      </c>
      <c r="G10" t="inlineStr">
        <is>
          <t>&gt;目标值</t>
        </is>
      </c>
      <c r="H10" t="inlineStr">
        <is>
          <t>&gt;目标值*1.5</t>
        </is>
      </c>
      <c r="I10" t="inlineStr">
        <is>
          <t>用量/产量或业务量</t>
        </is>
      </c>
      <c r="J10" t="inlineStr">
        <is>
          <t>产线/车间</t>
        </is>
      </c>
      <c r="K10" t="inlineStr">
        <is>
          <t>联动MES排产，核查设备空转、工艺温度与压缩空ガス</t>
        </is>
      </c>
      <c r="L10" t="n">
        <v>24</v>
      </c>
      <c r="M10" t="inlineStr">
        <is>
          <t>Production / energy manager</t>
        </is>
      </c>
    </row>
    <row r="11">
      <c r="A11" t="inlineStr">
        <is>
          <t>R007</t>
        </is>
      </c>
      <c r="B11" t="inlineStr">
        <is>
          <t>Yes</t>
        </is>
      </c>
      <c r="C11" t="inlineStr">
        <is>
          <t>Hotel / serviced apartment</t>
        </is>
      </c>
      <c r="D11" t="inlineStr">
        <is>
          <t>水道</t>
        </is>
      </c>
      <c r="E11" t="inlineStr">
        <is>
          <t>Water use while vacant</t>
        </is>
      </c>
      <c r="F11" t="inlineStr">
        <is>
          <t>空置房间水道耗</t>
        </is>
      </c>
      <c r="G11" t="inlineStr">
        <is>
          <t>&gt;0.5m³</t>
        </is>
      </c>
      <c r="H11" t="inlineStr">
        <is>
          <t>&gt;2m³</t>
        </is>
      </c>
      <c r="I11" t="inlineStr">
        <is>
          <t>客房Status/租户Status关联</t>
        </is>
      </c>
      <c r="J11" t="inlineStr">
        <is>
          <t>客房/公寓</t>
        </is>
      </c>
      <c r="K11" t="inlineStr">
        <is>
          <t>核查马桶、水道龙头、熱水道管路和入住Status</t>
        </is>
      </c>
      <c r="L11" t="n">
        <v>12</v>
      </c>
      <c r="M11" t="inlineStr">
        <is>
          <t>Rooms / property supervisor</t>
        </is>
      </c>
    </row>
    <row r="12">
      <c r="A12" t="inlineStr">
        <is>
          <t>R008</t>
        </is>
      </c>
      <c r="B12" t="inlineStr">
        <is>
          <t>Yes</t>
        </is>
      </c>
      <c r="C12" t="inlineStr">
        <is>
          <t>Data center / server room</t>
        </is>
      </c>
      <c r="D12" t="inlineStr">
        <is>
          <t>冷熱</t>
        </is>
      </c>
      <c r="E12" t="inlineStr">
        <is>
          <t>Cooling efficiency decline</t>
        </is>
      </c>
      <c r="F12" t="inlineStr">
        <is>
          <t>冷熱/IT负载</t>
        </is>
      </c>
      <c r="G12" t="inlineStr">
        <is>
          <t>15%</t>
        </is>
      </c>
      <c r="H12" t="inlineStr">
        <is>
          <t>35%</t>
        </is>
      </c>
      <c r="I12" t="inlineStr">
        <is>
          <t>冷熱与IT负载相关性</t>
        </is>
      </c>
      <c r="J12" t="inlineStr">
        <is>
          <t>Chiller plant/精密空调</t>
        </is>
      </c>
      <c r="K12" t="inlineStr">
        <is>
          <t>核查冷冻水道温、过滤器、阀门、机柜冷熱通道</t>
        </is>
      </c>
      <c r="L12" t="n">
        <v>4</v>
      </c>
      <c r="M12" t="inlineStr">
        <is>
          <t>Data center operations supervisor</t>
        </is>
      </c>
    </row>
    <row r="13">
      <c r="A13" t="inlineStr">
        <is>
          <t>R009</t>
        </is>
      </c>
      <c r="B13" t="inlineStr">
        <is>
          <t>Yes</t>
        </is>
      </c>
      <c r="C13" t="inlineStr">
        <is>
          <t>Municipal / water supply zone</t>
        </is>
      </c>
      <c r="D13" t="inlineStr">
        <is>
          <t>水道</t>
        </is>
      </c>
      <c r="E13" t="inlineStr">
        <is>
          <t>夜间最小流量</t>
        </is>
      </c>
      <c r="F13" t="inlineStr">
        <is>
          <t>夜间连续流量</t>
        </is>
      </c>
      <c r="G13" t="inlineStr">
        <is>
          <t>&gt;0.5m³/h</t>
        </is>
      </c>
      <c r="H13" t="inlineStr">
        <is>
          <t>&gt;2m³/h</t>
        </is>
      </c>
      <c r="I13" t="inlineStr">
        <is>
          <t>00:00-06:00连续流量</t>
        </is>
      </c>
      <c r="J13" t="inlineStr">
        <is>
          <t>DMA分区/管网</t>
        </is>
      </c>
      <c r="K13" t="inlineStr">
        <is>
          <t>安排检漏、阀门分段测试与压力核查</t>
        </is>
      </c>
      <c r="L13" t="n">
        <v>24</v>
      </c>
      <c r="M13" t="inlineStr">
        <is>
          <t>Water inspection supervisor</t>
        </is>
      </c>
    </row>
    <row r="14">
      <c r="A14" t="inlineStr">
        <is>
          <t>R010</t>
        </is>
      </c>
      <c r="B14" t="inlineStr">
        <is>
          <t>Yes</t>
        </is>
      </c>
      <c r="C14" t="inlineStr">
        <is>
          <t>すべて</t>
        </is>
      </c>
      <c r="D14" t="inlineStr">
        <is>
          <t>Integrated energy use</t>
        </is>
      </c>
      <c r="E14" t="inlineStr">
        <is>
          <t>碳排/预算超限</t>
        </is>
      </c>
      <c r="F14" t="inlineStr">
        <is>
          <t>碳排强度或预算达成率</t>
        </is>
      </c>
      <c r="G14" t="inlineStr">
        <is>
          <t>10%</t>
        </is>
      </c>
      <c r="H14" t="inlineStr">
        <is>
          <t>30%</t>
        </is>
      </c>
      <c r="I14" t="inlineStr">
        <is>
          <t>按区域/Company对比目标</t>
        </is>
      </c>
      <c r="J14" t="inlineStr">
        <is>
          <t>集团/分Company</t>
        </is>
      </c>
      <c r="K14" t="inlineStr">
        <is>
          <t>核查能源结构、预算执行和高耗能环节</t>
        </is>
      </c>
      <c r="L14" t="n">
        <v>72</v>
      </c>
      <c r="M14" t="inlineStr">
        <is>
          <t>ESG / energy owner</t>
        </is>
      </c>
    </row>
  </sheetData>
  <mergeCells count="1">
    <mergeCell ref="A1:M1"/>
  </mergeCells>
  <dataValidations count="3">
    <dataValidation sqref="B5:B34" showDropDown="0" showInputMessage="0" showErrorMessage="0" allowBlank="0" type="list">
      <formula1>"Yes,否"</formula1>
    </dataValidation>
    <dataValidation sqref="C5:C34" showDropDown="0" showInputMessage="0" showErrorMessage="0" allowBlank="0" type="list">
      <formula1>基本設定!$M$13:$M$21</formula1>
    </dataValidation>
    <dataValidation sqref="D5:D34" showDropDown="0" showInputMessage="0" showErrorMessage="0" allowBlank="0" type="list">
      <formula1>基本設定!$S$13:$S$19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0" customWidth="1" min="1" max="1"/>
    <col width="32" customWidth="1" min="2" max="2"/>
    <col width="34" customWidth="1" min="3" max="3"/>
    <col width="42" customWidth="1" min="4" max="4"/>
    <col width="42" customWidth="1" min="5" max="5"/>
    <col width="34" customWidth="1" min="6" max="6"/>
  </cols>
  <sheetData>
    <row r="1" ht="34" customHeight="1">
      <c r="A1" s="61" t="inlineStr">
        <is>
          <t>Business Scenario Library</t>
        </is>
      </c>
      <c r="B1" s="1" t="n"/>
      <c r="C1" s="1" t="n"/>
      <c r="D1" s="1" t="n"/>
      <c r="E1" s="1" t="n"/>
      <c r="F1" s="1" t="n"/>
    </row>
    <row r="2" ht="24" customHeight="1"/>
    <row r="3" ht="24" customHeight="1">
      <c r="A3" s="54" t="inlineStr">
        <is>
          <t>Business scenario</t>
        </is>
      </c>
      <c r="B3" s="54" t="inlineStr">
        <is>
          <t>Main objects</t>
        </is>
      </c>
      <c r="C3" s="54" t="inlineStr">
        <is>
          <t>Key metrics</t>
        </is>
      </c>
      <c r="D3" s="54" t="inlineStr">
        <is>
          <t>Common anomalies</t>
        </is>
      </c>
      <c r="E3" s="54" t="inlineStr">
        <is>
          <t>Alert action</t>
        </is>
      </c>
      <c r="F3" s="54" t="inlineStr">
        <is>
          <t>Management focus</t>
        </is>
      </c>
    </row>
    <row r="4">
      <c r="A4" t="inlineStr">
        <is>
          <t>Office building / headquarters campus</t>
        </is>
      </c>
      <c r="B4" t="inlineStr">
        <is>
          <t>楼栋、楼层、会议室、餐厅、空调/照明回路</t>
        </is>
      </c>
      <c r="C4" t="inlineStr">
        <is>
          <t>Unit面积電気耗、人均水道耗、夜间低负荷用量</t>
        </is>
      </c>
      <c r="D4" t="inlineStr">
        <is>
          <t>长明灯、无人空调、夜间持续流水道、周末异常用電気</t>
        </is>
      </c>
      <c r="E4" t="inlineStr">
        <is>
          <t>推送物业/行政；核查排班、空调时段与阀门</t>
        </is>
      </c>
      <c r="F4" t="inlineStr">
        <is>
          <t>节能行为、分区责任、公共区域成本</t>
        </is>
      </c>
    </row>
    <row r="5">
      <c r="A5" t="inlineStr">
        <is>
          <t>Commercial complex / office building</t>
        </is>
      </c>
      <c r="B5" t="inlineStr">
        <is>
          <t>租户、商铺、公区、餐饮、影院、停车场</t>
        </is>
      </c>
      <c r="C5" t="inlineStr">
        <is>
          <t>分户能耗、公摊能耗、餐饮高Peak用水道、租户费用</t>
        </is>
      </c>
      <c r="D5" t="inlineStr">
        <is>
          <t>租户Usage spike、公摊异常、餐饮漏水道、欠费/预付费不足</t>
        </is>
      </c>
      <c r="E5" t="inlineStr">
        <is>
          <t>定位租户/公区；生成账单差异与预警工单</t>
        </is>
      </c>
      <c r="F5" t="inlineStr">
        <is>
          <t>租户计费、公摊公Standard、收缴率</t>
        </is>
      </c>
    </row>
    <row r="6">
      <c r="A6" t="inlineStr">
        <is>
          <t>Industrial park / factory</t>
        </is>
      </c>
      <c r="B6" t="inlineStr">
        <is>
          <t>车间、产线、锅炉、空压机、水道泵、污水道站</t>
        </is>
      </c>
      <c r="C6" t="inlineStr">
        <is>
          <t>Unit产品能耗、PeakOff-peak電気量、设备单耗、班次能耗</t>
        </is>
      </c>
      <c r="D6" t="inlineStr">
        <is>
          <t>设备空转、产线单耗升高、燃ガス/蒸気异常、读数停滞</t>
        </is>
      </c>
      <c r="E6" t="inlineStr">
        <is>
          <t>联动生产计划；派发设备/动力检修</t>
        </is>
      </c>
      <c r="F6" t="inlineStr">
        <is>
          <t>成本管控、产线效率、停机风险</t>
        </is>
      </c>
    </row>
    <row r="7">
      <c r="A7" t="inlineStr">
        <is>
          <t>School / hospital</t>
        </is>
      </c>
      <c r="B7" t="inlineStr">
        <is>
          <t>教学楼、宿舍、门诊/Inpatient building、实验室、熱水道/空调</t>
        </is>
      </c>
      <c r="C7" t="inlineStr">
        <is>
          <t>楼宇能耗、假期低负荷、人均用水道、重点设备用能</t>
        </is>
      </c>
      <c r="D7" t="inlineStr">
        <is>
          <t>假期未关停、熱水道泄漏、实验室异常用電気、空调策略失效</t>
        </is>
      </c>
      <c r="E7" t="inlineStr">
        <is>
          <t>按楼宇/科室Owner提醒；生成巡检清单</t>
        </is>
      </c>
      <c r="F7" t="inlineStr">
        <is>
          <t>绿色校园/医院、公共服务保障</t>
        </is>
      </c>
    </row>
    <row r="8">
      <c r="A8" t="inlineStr">
        <is>
          <t>Hotel / serviced apartment</t>
        </is>
      </c>
      <c r="B8" t="inlineStr">
        <is>
          <t>客房、租户、熱水道、厨房、洗衣房、公共区</t>
        </is>
      </c>
      <c r="C8" t="inlineStr">
        <is>
          <t>房晚能耗、租户余额、熱水道用量、低负荷漏损</t>
        </is>
      </c>
      <c r="D8" t="inlineStr">
        <is>
          <t>客房空置仍耗能、租户欠费、熱水道泄漏、厨房用ガス突增</t>
        </is>
      </c>
      <c r="E8" t="inlineStr">
        <is>
          <t>联动入住率/租户账单；核查阀门和设备</t>
        </is>
      </c>
      <c r="F8" t="inlineStr">
        <is>
          <t>住客体验、预付费、精细计费</t>
        </is>
      </c>
    </row>
    <row r="9">
      <c r="A9" t="inlineStr">
        <is>
          <t>Data center / server room</t>
        </is>
      </c>
      <c r="B9" t="inlineStr">
        <is>
          <t>IT负载、UPS、Chiller plant、精密空调、PDU</t>
        </is>
      </c>
      <c r="C9" t="inlineStr">
        <is>
          <t>PUE、冷熱、電気力负载率、温湿度关联能耗</t>
        </is>
      </c>
      <c r="D9" t="inlineStr">
        <is>
          <t>Cooling efficiency decline、PDU负载突增、非IT负载异常</t>
        </is>
      </c>
      <c r="E9" t="inlineStr">
        <is>
          <t>通知机房运维；核查Chiller plant与机柜负载</t>
        </is>
      </c>
      <c r="F9" t="inlineStr">
        <is>
          <t>可靠性、容量规划、能效优化</t>
        </is>
      </c>
    </row>
    <row r="10">
      <c r="A10" t="inlineStr">
        <is>
          <t>Municipal / water supply zone</t>
        </is>
      </c>
      <c r="B10" t="inlineStr">
        <is>
          <t>DMA分区、泵站、阀门、管线、用户总表</t>
        </is>
      </c>
      <c r="C10" t="inlineStr">
        <is>
          <t>夜间最小流量、产销差、泵站電気耗、压力</t>
        </is>
      </c>
      <c r="D10" t="inlineStr">
        <is>
          <t>管网漏损、泵站空转、通信中断、表计异常</t>
        </is>
      </c>
      <c r="E10" t="inlineStr">
        <is>
          <t>安排巡检/检漏；跟踪闭环与节水道收益</t>
        </is>
      </c>
      <c r="F10" t="inlineStr">
        <is>
          <t>漏损控制、水道务运维</t>
        </is>
      </c>
    </row>
    <row r="11">
      <c r="A11" t="inlineStr">
        <is>
          <t>Multi-subsidiary group</t>
        </is>
      </c>
      <c r="B11" t="inlineStr">
        <is>
          <t>分Company、园区、事业部、区域、成本中心</t>
        </is>
      </c>
      <c r="C11" t="inlineStr">
        <is>
          <t>Integrated energy use、碳排、预算达成、同比/环比</t>
        </is>
      </c>
      <c r="D11" t="inlineStr">
        <is>
          <t>超预算、碳排超限、子Company横向偏离</t>
        </is>
      </c>
      <c r="E11" t="inlineStr">
        <is>
          <t>集团预警；分级派单与月度复盘</t>
        </is>
      </c>
      <c r="F11" t="inlineStr">
        <is>
          <t>预算、ESG、经营分析</t>
        </is>
      </c>
    </row>
  </sheetData>
  <mergeCells count="1">
    <mergeCell ref="A1:F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S21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0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16" customWidth="1" min="10" max="10"/>
    <col width="20" customWidth="1" min="11" max="11"/>
    <col width="18" customWidth="1" min="13" max="13"/>
    <col width="18" customWidth="1" min="14" max="14"/>
    <col width="16" customWidth="1" min="15" max="15"/>
    <col width="16" customWidth="1" min="16" max="16"/>
    <col width="14" customWidth="1" min="17" max="17"/>
    <col width="20" customWidth="1" min="18" max="18"/>
    <col width="16" customWidth="1" min="19" max="19"/>
  </cols>
  <sheetData>
    <row r="1" ht="34" customHeight="1">
      <c r="A1" s="9" t="inlineStr">
        <is>
          <t>Base Settings / Drop-down Options / Thresholds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24" customHeight="1">
      <c r="A2" s="13" t="inlineStr">
        <is>
          <t>Purpose</t>
        </is>
      </c>
      <c r="B2" s="13" t="inlineStr">
        <is>
          <t>Maintain company name, reporting cycle, unit prices, carbon factors, anomaly thresholds, roles, and drop-down options first.</t>
        </is>
      </c>
      <c r="C2" s="13" t="n"/>
      <c r="D2" s="13" t="n"/>
      <c r="E2" s="13" t="n"/>
      <c r="F2" s="13" t="n"/>
      <c r="G2" s="13" t="n"/>
      <c r="H2" s="13" t="n"/>
      <c r="I2" s="13" t="n"/>
      <c r="J2" s="13" t="n"/>
      <c r="K2" s="13" t="n"/>
      <c r="L2" s="13" t="n"/>
      <c r="M2" s="13" t="n"/>
      <c r="N2" s="13" t="n"/>
      <c r="O2" s="13" t="n"/>
      <c r="P2" s="13" t="n"/>
      <c r="Q2" s="13" t="n"/>
      <c r="R2" s="13" t="n"/>
      <c r="S2" s="13" t="n"/>
    </row>
    <row r="3" ht="24" customHeight="1">
      <c r="A3" s="13" t="inlineStr">
        <is>
          <t>Tip</t>
        </is>
      </c>
      <c r="B3" s="13" t="inlineStr">
        <is>
          <t>Light yellow cells are recommended inputs. Blue-green headers are settings. Thresholds can be refined by industry or equipment type.</t>
        </is>
      </c>
      <c r="C3" s="13" t="n"/>
      <c r="D3" s="13" t="n"/>
      <c r="E3" s="13" t="n"/>
      <c r="F3" s="13" t="n"/>
      <c r="G3" s="13" t="n"/>
      <c r="H3" s="13" t="n"/>
      <c r="I3" s="13" t="n"/>
      <c r="J3" s="13" t="n"/>
      <c r="K3" s="13" t="n"/>
      <c r="L3" s="13" t="n"/>
      <c r="M3" s="13" t="n"/>
      <c r="N3" s="13" t="n"/>
      <c r="O3" s="13" t="n"/>
      <c r="P3" s="13" t="n"/>
      <c r="Q3" s="13" t="n"/>
      <c r="R3" s="13" t="n"/>
      <c r="S3" s="13" t="n"/>
    </row>
    <row r="4"/>
    <row r="5">
      <c r="A5" s="19" t="inlineStr">
        <is>
          <t>Default company name</t>
        </is>
      </c>
      <c r="B5" s="22" t="inlineStr">
        <is>
          <t>Example Group</t>
        </is>
      </c>
    </row>
    <row r="6">
      <c r="A6" s="19" t="inlineStr">
        <is>
          <t>Default reporting start</t>
        </is>
      </c>
      <c r="B6" s="135" t="n">
        <v>46113</v>
      </c>
    </row>
    <row r="7">
      <c r="A7" s="19" t="inlineStr">
        <is>
          <t>Default reporting end</t>
        </is>
      </c>
      <c r="B7" s="135" t="n">
        <v>46142</v>
      </c>
    </row>
    <row r="8">
      <c r="A8" s="19" t="inlineStr">
        <is>
          <t>Meter data rows</t>
        </is>
      </c>
      <c r="B8" s="22" t="n">
        <v>200</v>
      </c>
    </row>
    <row r="9">
      <c r="A9" s="19" t="inlineStr">
        <is>
          <t>Template version</t>
        </is>
      </c>
      <c r="B9" s="22" t="inlineStr">
        <is>
          <t>V1.0 通用版</t>
        </is>
      </c>
    </row>
    <row r="10"/>
    <row r="11"/>
    <row r="12">
      <c r="A12" s="30" t="inlineStr">
        <is>
          <t>Energy type</t>
        </is>
      </c>
      <c r="B12" s="30" t="inlineStr">
        <is>
          <t>Default unit</t>
        </is>
      </c>
      <c r="C12" s="30" t="inlineStr">
        <is>
          <t>Default unit price</t>
        </is>
      </c>
      <c r="D12" s="30" t="inlineStr">
        <is>
          <t>Carbon factor kgCO2e / unit</t>
        </is>
      </c>
      <c r="E12" s="30" t="inlineStr">
        <is>
          <t>Alert deviation %</t>
        </is>
      </c>
      <c r="F12" s="30" t="inlineStr">
        <is>
          <t>Severe deviation %</t>
        </is>
      </c>
      <c r="G12" s="30" t="inlineStr">
        <is>
          <t>Drop deviation %</t>
        </is>
      </c>
      <c r="H12" s="30" t="inlineStr">
        <is>
          <t>Area intensity threshold</t>
        </is>
      </c>
      <c r="I12" s="30" t="inlineStr">
        <is>
          <t>Business volume threshold</t>
        </is>
      </c>
      <c r="J12" s="30" t="inlineStr">
        <is>
          <t>Low-load / night threshold</t>
        </is>
      </c>
      <c r="K12" s="30" t="inlineStr">
        <is>
          <t>Default role</t>
        </is>
      </c>
      <c r="M12" s="44" t="inlineStr">
        <is>
          <t>Business scenario</t>
        </is>
      </c>
      <c r="N12" s="44" t="inlineStr">
        <is>
          <t>Status</t>
        </is>
      </c>
      <c r="O12" s="44" t="inlineStr">
        <is>
          <t>Data source</t>
        </is>
      </c>
      <c r="P12" s="44" t="inlineStr">
        <is>
          <t>Time band / shift</t>
        </is>
      </c>
      <c r="Q12" s="44" t="inlineStr">
        <is>
          <t>Risk level</t>
        </is>
      </c>
      <c r="R12" s="44" t="inlineStr">
        <is>
          <t>Root cause category</t>
        </is>
      </c>
      <c r="S12" s="44" t="inlineStr">
        <is>
          <t>Energy type list</t>
        </is>
      </c>
    </row>
    <row r="13">
      <c r="A13" t="inlineStr">
        <is>
          <t>電気</t>
        </is>
      </c>
      <c r="B13" t="inlineStr">
        <is>
          <t>kWh</t>
        </is>
      </c>
      <c r="C13" s="148" t="n">
        <v>0.85</v>
      </c>
      <c r="D13" s="148" t="n">
        <v>0.5703</v>
      </c>
      <c r="E13" s="149" t="n">
        <v>0.2</v>
      </c>
      <c r="F13" s="149" t="n">
        <v>0.5</v>
      </c>
      <c r="G13" s="149" t="n">
        <v>0.3</v>
      </c>
      <c r="H13" s="148" t="n">
        <v>12</v>
      </c>
      <c r="I13" s="148" t="n">
        <v>1.2</v>
      </c>
      <c r="J13" s="148" t="n">
        <v>5</v>
      </c>
      <c r="K13" t="inlineStr">
        <is>
          <t>Electrical / equipment supervisor</t>
        </is>
      </c>
      <c r="M13" t="inlineStr">
        <is>
          <t>すべて</t>
        </is>
      </c>
      <c r="N13" t="inlineStr">
        <is>
          <t>未対応</t>
        </is>
      </c>
      <c r="O13" t="inlineStr">
        <is>
          <t>Automatic meter reading</t>
        </is>
      </c>
      <c r="P13" t="inlineStr">
        <is>
          <t>All day</t>
        </is>
      </c>
      <c r="Q13" t="inlineStr">
        <is>
          <t>正常</t>
        </is>
      </c>
      <c r="R13" t="inlineStr">
        <is>
          <t>Not classified</t>
        </is>
      </c>
      <c r="S13" t="inlineStr">
        <is>
          <t>電気</t>
        </is>
      </c>
    </row>
    <row r="14">
      <c r="A14" t="inlineStr">
        <is>
          <t>水道</t>
        </is>
      </c>
      <c r="B14" t="inlineStr">
        <is>
          <t>m³</t>
        </is>
      </c>
      <c r="C14" s="148" t="n">
        <v>4.2</v>
      </c>
      <c r="D14" s="148" t="n">
        <v>0.0003</v>
      </c>
      <c r="E14" s="149" t="n">
        <v>0.15</v>
      </c>
      <c r="F14" s="149" t="n">
        <v>0.4</v>
      </c>
      <c r="G14" s="149" t="n">
        <v>0.3</v>
      </c>
      <c r="H14" s="148" t="n">
        <v>0.08</v>
      </c>
      <c r="I14" s="148" t="n">
        <v>0.02</v>
      </c>
      <c r="J14" s="148" t="n">
        <v>0.5</v>
      </c>
      <c r="K14" t="inlineStr">
        <is>
          <t>Water / property supervisor</t>
        </is>
      </c>
      <c r="M14" t="inlineStr">
        <is>
          <t>Office building / headquarters campus</t>
        </is>
      </c>
      <c r="N14" t="inlineStr">
        <is>
          <t>対応中</t>
        </is>
      </c>
      <c r="O14" t="inlineStr">
        <is>
          <t>Manual reading</t>
        </is>
      </c>
      <c r="P14" t="inlineStr">
        <is>
          <t>Critical peak</t>
        </is>
      </c>
      <c r="Q14" t="inlineStr">
        <is>
          <t>低</t>
        </is>
      </c>
      <c r="R14" t="inlineStr">
        <is>
          <t>Leakage</t>
        </is>
      </c>
      <c r="S14" t="inlineStr">
        <is>
          <t>水道</t>
        </is>
      </c>
    </row>
    <row r="15">
      <c r="A15" t="inlineStr">
        <is>
          <t>ガス</t>
        </is>
      </c>
      <c r="B15" t="inlineStr">
        <is>
          <t>m³</t>
        </is>
      </c>
      <c r="C15" s="148" t="n">
        <v>3.8</v>
      </c>
      <c r="D15" s="148" t="n">
        <v>2.1622</v>
      </c>
      <c r="E15" s="149" t="n">
        <v>0.18</v>
      </c>
      <c r="F15" s="149" t="n">
        <v>0.45</v>
      </c>
      <c r="G15" s="149" t="n">
        <v>0.3</v>
      </c>
      <c r="H15" s="148" t="n">
        <v>0.3</v>
      </c>
      <c r="I15" s="148" t="n">
        <v>0.06</v>
      </c>
      <c r="J15" s="148" t="n">
        <v>0.2</v>
      </c>
      <c r="K15" t="inlineStr">
        <is>
          <t>Utilities / safety supervisor</t>
        </is>
      </c>
      <c r="M15" t="inlineStr">
        <is>
          <t>Commercial complex / office building</t>
        </is>
      </c>
      <c r="N15" t="inlineStr">
        <is>
          <t>完了</t>
        </is>
      </c>
      <c r="O15" t="inlineStr">
        <is>
          <t>Bill import</t>
        </is>
      </c>
      <c r="P15" t="inlineStr">
        <is>
          <t>Peak</t>
        </is>
      </c>
      <c r="Q15" t="inlineStr">
        <is>
          <t>中</t>
        </is>
      </c>
      <c r="R15" t="inlineStr">
        <is>
          <t>Equipment failure</t>
        </is>
      </c>
      <c r="S15" t="inlineStr">
        <is>
          <t>ガス</t>
        </is>
      </c>
    </row>
    <row r="16">
      <c r="A16" t="inlineStr">
        <is>
          <t>熱</t>
        </is>
      </c>
      <c r="B16" t="inlineStr">
        <is>
          <t>GJ</t>
        </is>
      </c>
      <c r="C16" s="148" t="n">
        <v>75</v>
      </c>
      <c r="D16" s="148" t="n">
        <v>93</v>
      </c>
      <c r="E16" s="149" t="n">
        <v>0.18</v>
      </c>
      <c r="F16" s="149" t="n">
        <v>0.45</v>
      </c>
      <c r="G16" s="149" t="n">
        <v>0.3</v>
      </c>
      <c r="H16" s="148" t="n">
        <v>0.2</v>
      </c>
      <c r="I16" s="148" t="n">
        <v>0.04</v>
      </c>
      <c r="J16" s="148" t="n">
        <v>0.1</v>
      </c>
      <c r="K16" t="inlineStr">
        <is>
          <t>HVAC supervisor</t>
        </is>
      </c>
      <c r="M16" t="inlineStr">
        <is>
          <t>Industrial park / factory</t>
        </is>
      </c>
      <c r="N16" t="inlineStr">
        <is>
          <t>除外</t>
        </is>
      </c>
      <c r="O16" t="inlineStr">
        <is>
          <t>IoT platform import</t>
        </is>
      </c>
      <c r="P16" t="inlineStr">
        <is>
          <t>Standard</t>
        </is>
      </c>
      <c r="Q16" t="inlineStr">
        <is>
          <t>高</t>
        </is>
      </c>
      <c r="R16" t="inlineStr">
        <is>
          <t>Metering / communication anomaly</t>
        </is>
      </c>
      <c r="S16" t="inlineStr">
        <is>
          <t>熱</t>
        </is>
      </c>
    </row>
    <row r="17">
      <c r="A17" t="inlineStr">
        <is>
          <t>蒸気</t>
        </is>
      </c>
      <c r="B17" t="inlineStr">
        <is>
          <t>t</t>
        </is>
      </c>
      <c r="C17" s="148" t="n">
        <v>230</v>
      </c>
      <c r="D17" s="148" t="n">
        <v>230</v>
      </c>
      <c r="E17" s="149" t="n">
        <v>0.18</v>
      </c>
      <c r="F17" s="149" t="n">
        <v>0.45</v>
      </c>
      <c r="G17" s="149" t="n">
        <v>0.3</v>
      </c>
      <c r="H17" s="148" t="n">
        <v>0.16</v>
      </c>
      <c r="I17" s="148" t="n">
        <v>0.05</v>
      </c>
      <c r="J17" s="148" t="n">
        <v>0.1</v>
      </c>
      <c r="K17" t="inlineStr">
        <is>
          <t>Utilities supervisor</t>
        </is>
      </c>
      <c r="M17" t="inlineStr">
        <is>
          <t>School / hospital</t>
        </is>
      </c>
      <c r="N17" t="inlineStr">
        <is>
          <t>対応不要</t>
        </is>
      </c>
      <c r="O17" t="inlineStr">
        <is>
          <t>ERP / MES import</t>
        </is>
      </c>
      <c r="P17" t="inlineStr">
        <is>
          <t>Off-peak</t>
        </is>
      </c>
      <c r="Q17" t="inlineStr">
        <is>
          <t>重大</t>
        </is>
      </c>
      <c r="R17" t="inlineStr">
        <is>
          <t>Shift / production fluctuation</t>
        </is>
      </c>
      <c r="S17" t="inlineStr">
        <is>
          <t>蒸気</t>
        </is>
      </c>
    </row>
    <row r="18">
      <c r="A18" t="inlineStr">
        <is>
          <t>冷熱</t>
        </is>
      </c>
      <c r="B18" t="inlineStr">
        <is>
          <t>GJ</t>
        </is>
      </c>
      <c r="C18" s="148" t="n">
        <v>65</v>
      </c>
      <c r="D18" s="148" t="n">
        <v>45</v>
      </c>
      <c r="E18" s="149" t="n">
        <v>0.18</v>
      </c>
      <c r="F18" s="149" t="n">
        <v>0.45</v>
      </c>
      <c r="G18" s="149" t="n">
        <v>0.3</v>
      </c>
      <c r="H18" s="148" t="n">
        <v>0.25</v>
      </c>
      <c r="I18" s="148" t="n">
        <v>0.04</v>
      </c>
      <c r="J18" s="148" t="n">
        <v>0.1</v>
      </c>
      <c r="K18" t="inlineStr">
        <is>
          <t>HVAC supervisor</t>
        </is>
      </c>
      <c r="M18" t="inlineStr">
        <is>
          <t>Hotel / serviced apartment</t>
        </is>
      </c>
      <c r="O18" t="inlineStr">
        <is>
          <t>Tenant report</t>
        </is>
      </c>
      <c r="P18" t="inlineStr">
        <is>
          <t>Day shift</t>
        </is>
      </c>
      <c r="R18" t="inlineStr">
        <is>
          <t>Human waste</t>
        </is>
      </c>
      <c r="S18" t="inlineStr">
        <is>
          <t>冷熱</t>
        </is>
      </c>
    </row>
    <row r="19">
      <c r="A19" t="inlineStr">
        <is>
          <t>Integrated energy use</t>
        </is>
      </c>
      <c r="B19" t="inlineStr">
        <is>
          <t>kgce</t>
        </is>
      </c>
      <c r="C19" s="148" t="n">
        <v>1</v>
      </c>
      <c r="D19" s="148" t="n">
        <v>2.77</v>
      </c>
      <c r="E19" s="149" t="n">
        <v>0.2</v>
      </c>
      <c r="F19" s="149" t="n">
        <v>0.5</v>
      </c>
      <c r="G19" s="149" t="n">
        <v>0.3</v>
      </c>
      <c r="H19" s="148" t="n">
        <v>10</v>
      </c>
      <c r="I19" s="148" t="n">
        <v>1</v>
      </c>
      <c r="J19" s="148" t="n">
        <v>0</v>
      </c>
      <c r="K19" t="inlineStr">
        <is>
          <t>Energy management owner</t>
        </is>
      </c>
      <c r="M19" t="inlineStr">
        <is>
          <t>Data center / server room</t>
        </is>
      </c>
      <c r="P19" t="inlineStr">
        <is>
          <t>Night shift</t>
        </is>
      </c>
      <c r="R19" t="inlineStr">
        <is>
          <t>Pricing / billing anomaly</t>
        </is>
      </c>
      <c r="S19" t="inlineStr">
        <is>
          <t>Integrated energy use</t>
        </is>
      </c>
    </row>
    <row r="20">
      <c r="M20" t="inlineStr">
        <is>
          <t>Municipal / water supply zone</t>
        </is>
      </c>
      <c r="P20" t="inlineStr">
        <is>
          <t>低负荷/夜间</t>
        </is>
      </c>
      <c r="R20" t="inlineStr">
        <is>
          <t>Weather / traffic impact</t>
        </is>
      </c>
    </row>
    <row r="21">
      <c r="M21" t="inlineStr">
        <is>
          <t>Multi-subsidiary group</t>
        </is>
      </c>
      <c r="R21" t="inlineStr">
        <is>
          <t>Other</t>
        </is>
      </c>
    </row>
  </sheetData>
  <mergeCells count="1">
    <mergeCell ref="A1:S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  <col width="60" customWidth="1" min="3" max="3"/>
    <col width="26" customWidth="1" min="4" max="4"/>
  </cols>
  <sheetData>
    <row r="1" ht="34" customHeight="1">
      <c r="A1" s="61" t="inlineStr">
        <is>
          <t>使い方と参照元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t="inlineStr">
        <is>
          <t>手順</t>
        </is>
      </c>
      <c r="B2" t="inlineStr">
        <is>
          <t>操作</t>
        </is>
      </c>
      <c r="C2" t="inlineStr">
        <is>
          <t>推奨事項</t>
        </is>
      </c>
    </row>
    <row r="3" ht="24" customHeight="1">
      <c r="A3" s="30" t="inlineStr">
        <is>
          <t>1</t>
        </is>
      </c>
      <c r="B3" s="30" t="inlineStr">
        <is>
          <t>基本設定を整備する</t>
        </is>
      </c>
      <c r="C3" s="30" t="inlineStr">
        <is>
          <t>会社名、集計期間、エネルギー単価、CO2係数、警告しきい値、業務シーン、責任ロールを更新します。</t>
        </is>
      </c>
    </row>
    <row r="4">
      <c r="A4" t="inlineStr">
        <is>
          <t>2</t>
        </is>
      </c>
      <c r="B4" t="inlineStr">
        <is>
          <t>エネルギーデータを入力または取り込む</t>
        </is>
      </c>
      <c r="C4" t="inlineStr">
        <is>
          <t>日次、時間別、月次のいずれも利用できます。同じ分析範囲では同じ粒度を使ってください。黄色の列が主な入力項目です。</t>
        </is>
      </c>
    </row>
    <row r="5">
      <c r="A5" t="inlineStr">
        <is>
          <t>3</t>
        </is>
      </c>
      <c r="B5" t="inlineStr">
        <is>
          <t>異常検知を確認する</t>
        </is>
      </c>
      <c r="C5" t="inlineStr">
        <is>
          <t>リスクが重大または高のレコードを優先します。必要に応じてエネルギー種別、シーン、エリアで絞り込みます。</t>
        </is>
      </c>
    </row>
    <row r="6">
      <c r="A6" t="inlineStr">
        <is>
          <t>4</t>
        </is>
      </c>
      <c r="B6" t="inlineStr">
        <is>
          <t>対応管理を使う</t>
        </is>
      </c>
      <c r="C6" t="inlineStr">
        <is>
          <t>異常IDからチケットを作成し、責任者、ステータス、原因、是正対応、削減量を管理します。</t>
        </is>
      </c>
    </row>
    <row r="7">
      <c r="A7" t="inlineStr">
        <is>
          <t>5</t>
        </is>
      </c>
      <c r="B7" t="inlineStr">
        <is>
          <t>ダッシュボードと月次集計をレビューする</t>
        </is>
      </c>
      <c r="C7" t="inlineStr">
        <is>
          <t>月次の運用分析、コスト配賦、省エネ施策、ESG、CO2排出量の追跡に使います。</t>
        </is>
      </c>
    </row>
    <row r="8">
      <c r="A8" t="inlineStr">
        <is>
          <t>参照元と根拠</t>
        </is>
      </c>
      <c r="B8" t="inlineStr">
        <is>
          <t>URL</t>
        </is>
      </c>
      <c r="C8" t="inlineStr">
        <is>
          <t>テンプレートへの反映内容</t>
        </is>
      </c>
      <c r="D8" t="inlineStr">
        <is>
          <t>備考</t>
        </is>
      </c>
    </row>
    <row r="9">
      <c r="A9" t="inlineStr">
        <is>
          <t>ユーザー提供ページ</t>
        </is>
      </c>
      <c r="B9" t="inlineStr">
        <is>
          <t>http://localhost:2020/zh/excel-templates/facility-management/utility-consumption-anomaly-dashboard/</t>
        </is>
      </c>
      <c r="C9" t="inlineStr">
        <is>
          <t>水道、電気、ガスの使用量異常アラートを扱うテーマです。実行環境からローカルページへ接続できなかったため、類似する機能要件を基準に補完しました。</t>
        </is>
      </c>
      <c r="D9" t="inlineStr">
        <is>
          <t>最終ページの内容に合わせて確認してください。</t>
        </is>
      </c>
    </row>
    <row r="10">
      <c r="A10" s="44" t="inlineStr">
        <is>
          <t>使用量監視システム</t>
        </is>
      </c>
      <c r="B10" s="44" t="inlineStr">
        <is>
          <t>https://www.yxhiot.com/article/1208.html</t>
        </is>
      </c>
      <c r="C10" s="44" t="inlineStr">
        <is>
          <t>ダッシュボード、トレンドグラフ、日次・月次・年次検索、異常しきい値、コスト管理、複数シーンでの利用。</t>
        </is>
      </c>
      <c r="D10" s="44" t="inlineStr">
        <is>
          <t>公開ページ</t>
        </is>
      </c>
    </row>
    <row r="11">
      <c r="A11" t="inlineStr">
        <is>
          <t>使用量管理プラットフォーム</t>
        </is>
      </c>
      <c r="B11" t="inlineStr">
        <is>
          <t>https://www.szhzzd.com/h-nd-4725.html</t>
        </is>
      </c>
      <c r="C11" t="inlineStr">
        <is>
          <t>複数データソースの設備連携、リアルタイム監視、テナント別・項目別・時間帯別管理、異常検知、費用精算、CO2算定。</t>
        </is>
      </c>
      <c r="D11" t="inlineStr">
        <is>
          <t>公開ページ</t>
        </is>
      </c>
    </row>
    <row r="12">
      <c r="A12" t="inlineStr">
        <is>
          <t>スマートキャンパス使用量管理ソリューション</t>
        </is>
      </c>
      <c r="B12" t="inlineStr">
        <is>
          <t>https://acrel.cn/nxpt/?id=99&amp;type=detail</t>
        </is>
      </c>
      <c r="C12" t="inlineStr">
        <is>
          <t>カスタムレポート、前年比・前月比、分析レポート、異常アラーム、担当者への依頼、完了管理、CO2管理。</t>
        </is>
      </c>
      <c r="D12" t="inlineStr">
        <is>
          <t>公開ページ</t>
        </is>
      </c>
    </row>
    <row r="13">
      <c r="A13" t="inlineStr">
        <is>
          <t>使用量監視管理プラットフォーム</t>
        </is>
      </c>
      <c r="B13" t="inlineStr">
        <is>
          <t>https://yuntonglvneng.com/productinfo/30894.html</t>
        </is>
      </c>
      <c r="C13" t="inlineStr">
        <is>
          <t>カテゴリ別・項目別の使用量集計、面積あたり・一人あたり指標、履歴比較、トレンド予測、異常アラーム。</t>
        </is>
      </c>
      <c r="D13" t="inlineStr">
        <is>
          <t>公開ページ</t>
        </is>
      </c>
    </row>
    <row r="14">
      <c r="A14" t="inlineStr">
        <is>
          <t>使用量監視システム</t>
        </is>
      </c>
      <c r="B14" t="inlineStr">
        <is>
          <t>https://www.xlink.cn/pages/products/ems</t>
        </is>
      </c>
      <c r="C14" t="inlineStr">
        <is>
          <t>電気、水道、ガス、熱など複数エネルギーを対象に、カテゴリ別集計、異常アラート、設備監視を行います。</t>
        </is>
      </c>
      <c r="D14" t="inlineStr">
        <is>
          <t>公開ページ</t>
        </is>
      </c>
    </row>
    <row r="15"/>
    <row r="16"/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2026-05-05T14:31:18Z</dcterms:created>
  <dcterms:modified xmlns:dcterms="http://purl.org/dc/terms/" xmlns:xsi="http://www.w3.org/2001/XMLSchema-instance" xsi:type="dcterms:W3CDTF">2026-05-05T14:31:19Z</dcterms:modified>
</cp:coreProperties>
</file>